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IDS" sheetId="2" r:id="rId6"/>
    <sheet state="visible" name="Master Sheet" sheetId="3" r:id="rId7"/>
    <sheet state="visible" name="Inventory" sheetId="4" r:id="rId8"/>
    <sheet state="visible" name="_IDS" sheetId="5" r:id="rId9"/>
    <sheet state="visible" name="Presets" sheetId="6" r:id="rId10"/>
    <sheet state="hidden" name="DVT_Modules" sheetId="7" r:id="rId11"/>
    <sheet state="hidden" name="Mods Obtained" sheetId="8" r:id="rId12"/>
    <sheet state="hidden" name="Mods Obtained (old)" sheetId="9" r:id="rId13"/>
    <sheet state="hidden" name="Planner" sheetId="10" r:id="rId14"/>
    <sheet state="visible" name="Tracker" sheetId="11" r:id="rId15"/>
    <sheet state="visible" name="Reroll Calculator v3" sheetId="12" r:id="rId16"/>
    <sheet state="hidden" name="EXPORT" sheetId="13" r:id="rId17"/>
    <sheet state="visible" name="Optimal Assist levels" sheetId="14" r:id="rId18"/>
    <sheet state="visible" name="Shard Path" sheetId="15" r:id="rId19"/>
    <sheet state="visible" name="Overview" sheetId="16" r:id="rId20"/>
    <sheet state="visible" name="Substats" sheetId="17" r:id="rId21"/>
    <sheet state="visible" name="Module Costs" sheetId="18" r:id="rId22"/>
    <sheet state="hidden" name="DVT_Laboratory" sheetId="19" r:id="rId23"/>
  </sheets>
  <definedNames>
    <definedName name="MOD_ARMOR_INCREASE_ARRAY">DVT_Modules!$D$21:$D$30</definedName>
    <definedName name="DVT_Mod_Generator_Substats">DVT_Modules!$W$3:$W$29</definedName>
    <definedName name="MOD_GENERATOR_INCREASE_ARRAY">DVT_Modules!$E$21:$E$30</definedName>
    <definedName name="DVT_Mod_Cannon_Substats">DVT_Modules!$U$3:$U$29</definedName>
    <definedName name="MOD_STEPS_INCREASE_NEXT">DVT_Modules!$B$22:$B$31</definedName>
    <definedName name="MOD_CANNONS_LIST">DVT_Modules!$N$4:$N$79</definedName>
    <definedName name="MOD_BASE_STAT_ARRAY">DVT_Modules!$B$3:$F$17</definedName>
    <definedName localSheetId="18" name="LABS_LabLevel_Array">DVT_Laboratory!$A$3:$A$102</definedName>
    <definedName name="MOD_GENERATORS_LIST">DVT_Modules!$P$4:$P$79</definedName>
    <definedName name="MOD_CORES_LIST">DVT_Modules!$Q$4:$Q$79</definedName>
    <definedName name="DVT_Mod_SubStat_Value_Array">DVT_Modules!$Z$2:$AM$77</definedName>
    <definedName name="DVT_Mod_Core_Substats">DVT_Modules!$X$3:$X$29</definedName>
    <definedName name="DVT_Mod_Stat_Rarity">DVT_Modules!$T$3:$T$9</definedName>
    <definedName name="MOD_STEPS_INCREASE">DVT_Modules!$B$21:$B$30</definedName>
    <definedName name="DVT_Mod_Armor_Substats">DVT_Modules!$V$3:$V$29</definedName>
    <definedName name="DVT_Mod_Assist_Level">DVT_Modules!$K$2:$K$1000</definedName>
    <definedName name="MOD_ARMORS_LIST">DVT_Modules!$O$4:$O$79</definedName>
    <definedName name="MOD_CANNON_INCREASE_ARRAY">DVT_Modules!$C$21:$C$30</definedName>
    <definedName localSheetId="18" name="LABS_LabName_Array">DVT_Laboratory!$B$1:$LO$1</definedName>
    <definedName name="DVT_Mod_Base_Rarity_Uniques">DVT_Modules!$S$3:$S$15</definedName>
    <definedName name="DVT_Mod_Base_Rarity">DVT_Modules!$R$3:$R$18</definedName>
    <definedName localSheetId="18" name="LABS_LabSearchStartPoint">DVT_Laboratory!$B$3</definedName>
    <definedName name="MOD_CORE_INCREASE_ARRAY">DVT_Modules!$F$21:$F$30</definedName>
    <definedName name="MODSTAT_CANNON">LAMBDA(rarity, level, ROUND(
(VLOOKUP(SPLIT(rarity, " "),MOD_BASE_STAT_ARRAY,2,false)+SUMPRODUCT(IF(level&gt;MOD_STEPS_INCREASE_NEXT,MOD_STEPS_INCREASE_NEXT-MOD_STEPS_INCREASE,IF(level&lt;MOD_STEPS_INCREASE, 0, level-MOD_STEPS_INCREASE)), MOD_CANNON_INCREASE_ARRAY))*IF(RIGHT(rarity, 1) = "*", 1 + MID(rarity, 11, 1) * 0.04, 1)+1, 3))</definedName>
    <definedName name="LABDURATION_SINGLE_ADJUSTED">LAMBDA(lab_name, lab_level, DVT_LAB_DURATION(lab_name, lab_level) / LAB_SPEED_TOTAL())</definedName>
    <definedName name="IDS_MOD_CORE_SUBSTATS">LAMBDA(name, IFERROR(OFFSET('_IDS'!$BQ$31, MATCH(name, '_IDS'!$BQ$27:$BQ, 0)-1, 0, 8, 4)))</definedName>
    <definedName name="DVT_LAB_COST">LAMBDA(lab_name, lab_level, XLOOKUP(
    MAX(1, lab_level+1), 
    SEQUENCE(101, 1, 0, 1), 
    INDEX(
        DVT_Laboratory!$C$2:$ACB$102, 
        0, 
        MATCH(lab_name, DVT_Laboratory!$B$1:$1, 0)
    ), 
    "N/F", 
    0, 
    1
))</definedName>
    <definedName name="IDS_MOD_CANNON_ASSIST_SUBSTAT_CAP">LAMBDA('_IDS'!$BC$5)</definedName>
    <definedName name="IDS_MOD_ARMOR_ASSIST_NAME">LAMBDA(preset, OFFSET('_IDS'!$BH$9, MATCH(preset, '_IDS'!$BG$7:$BG$23, 0)-1, 0, 1, 1))</definedName>
    <definedName name="UNFORMAT_NUMBER">LAMBDA(number, IFERROR(LET(
  value1, VALUE(LEFT(number, LEN(number)-1)),
  value2, VALUE(LEFT(number, LEN(number)-2)), 
    SWITCH(RIGHT(number, 2),
    "aa", value2 * 10^36,
    "ab", value2 * 10^39,
    "ac", value2 * 10^42,
    "ad", value2 * 10^45,
    "ae", value2 * 10^48,
    "af", value2 * 10^51,
    "ag", value2 * 10^54,
    "ah", value2 * 10^57,
    "ai", value2 * 10^60,
    "aj", value2 * 10^63,
    "ak", value2 * 10^66,
    "al", value2 * 10^69,
    "am", value2 * 10^72,
    "an", value2 * 10^75,
    "ao", value2 * 10^78,
    "ap", value2 * 10^81,
    "aq", value2 * 10^84,
    "ar", value2 * 10^87,
    "as", value2 * 10^90,
    "at", value2 * 10^93,
    "au", value2 * 10^96,
    "av", value2 * 10^99,
    "aw", value2 * 10^102,
    "ax", value2 * 10^105,
    "ay", value2 * 10^108,
    "az", value2 * 10^111,
    SWITCH(CODE(RIGHT(number, 1)),
        CODE("K"), value1 * 10^3,
        CODE("M"), value1 * 10^6,
        CODE("B"), value1 * 10^9,
        CODE("T"), value1 * 10^12,
        CODE("q"), value1 * 10^15,
        CODE("Q"), value1 * 10^18,
        CODE("s"), value1 * 10^21,
        CODE("S"), value1 * 10^24,
        CODE("O"), value1 * 10^27,
        CODE("N"), value1 * 10^30,
        CODE("D"), value1 * 10^33,
        number)
)), 
    "Invalid input"
))</definedName>
    <definedName name="IDS_CARD_MASTERY">LAMBDA(card_name, VLOOKUP(card_name,'_IDS'!$AE$2:$AG, 3, FALSE))</definedName>
    <definedName name="IDS_MOD_ARMOR_ASSIST_SUBSTATS">LAMBDA(name, IFERROR(
  OFFSET(
    '_IDS'!$BG$31,
    MATCH(name, '_IDS'!$BG$27:$BG, 0)-1,
    0,
    LET(
      level, IDS_MOD_ARMOR_ASSIST_LEVEL(),
      IFS(
        level&gt;=241, 8,
        level&gt;=201, 7,
        level&gt;=161, 6,
        level&gt;=141, 5,
        level&gt;=101, 4,
        level&gt;=41, 3,
        TRUE, 2
      )
    ),
    4
  )
))</definedName>
    <definedName name="IDS_MOD_CORE_BONUS">LAMBDA(name, OFFSET('_IDS'!$BS$29, MATCH(name, '_IDS'!$BQ$27:$BQ, 0)-1, 0, 1, 1))</definedName>
    <definedName name="IDS_BOT_LEVEL">LAMBDA(bot_name, bot_property, LET(
  off, (MATCH(bot_name, '_IDS'!$AS$2:$AS$17, 0) - 1),
  VLOOKUP(bot_property, OFFSET('_IDS'!$AU$2, off, 0, 4, 3), 3, FALSE)
))</definedName>
    <definedName name="IDS_PS_FARMING_TIER">LAMBDA('_IDS'!$CE$4)</definedName>
    <definedName name="IDS_MOD_GENERATOR_BONUS">LAMBDA(name, OFFSET('_IDS'!$BN$29, MATCH(name, '_IDS'!$BL$27:$BL, 0)-1, 0, 1, 1))</definedName>
    <definedName name="IDS_MOD_CORE_ASSIST_NAME">LAMBDA(preset, OFFSET('_IDS'!$BR$9, MATCH(preset, '_IDS'!$BQ$7:$BQ$23, 0)-1, 0, 1, 1))</definedName>
    <definedName name="TIME_TO_RUSH_GEMS">LAMBDA(time, ROUNDUP(IFS(
   time*86400 &gt; 31104000, 25000,
   time*86400 &gt; 7776000, (17000 / 23328000) * (time * 86400 - 7776000) + 8000,
   time*86400 &gt; 2592000, (4450 / 5184000) * (time * 86400 - 2592000) + 3550,
   time*86400 &gt; 604800, (2550 / 1987200) * (time * 86400 - 604800) + 1000,
   time*86400 &gt; 86400, (837 / 518400) * (time * 86400 - 86400) + 163,
   time*86400 &gt; 3600, (155.5 / 82800) * (time * 86400 - 3600) + 7.5,
   time*86400 &gt; 60, (7.375 / 3540) * (time * 86400 - 60) + 0.125,
   time*86400 &gt; 1, (0.122917 / 59) * (time * 86400 - 1) + 0.002083,
   TRUE, 0
)))</definedName>
    <definedName name="IDS_MOD_GENERATOR_ASSIST_LEVEL">LAMBDA('_IDS'!$BN$2)</definedName>
    <definedName name="IDS_MOD_ARMOR_ASSIST_SUBSTAT_CAP">LAMBDA('_IDS'!$BH$5)</definedName>
    <definedName name="IDS_MOD_ARMOR_SUBSTAT">LAMBDA(preset, substat_name, IFERROR(VLOOKUP(
  substat_name,
  IDS_MOD_ARMOR_SUBSTATS(IDS_MOD_ARMOR_NAME(preset))
  ,4, FALSE), 0)
+IFERROR(VLOOKUP(
  substat_name,
  IDS_MOD_ARMOR_SUBSTATS(IDS_MOD_ARMOR_ASSIST_NAME(preset))
  ,4, FALSE), 0)
*(IDS_MOD_ARMOR_ASSIST_SUBSTAT_CAP()+IDS_LAB_LEVEL("Assist Module Substats - Armor")/100
))</definedName>
    <definedName name="IDS_MOD_CANNON_ASSIST_MULT_CAP">LAMBDA('_IDS'!$BC$4)</definedName>
    <definedName name="IDS_MOD_GENERATOR_RARITY">LAMBDA(name, IFERROR(OFFSET('_IDS'!$BL$29, MATCH(name, '_IDS'!$BL$27:$BL, 0)-1, 0, 1, 1)))</definedName>
    <definedName name="IDS_WS_LEVEL">LAMBDA(ws_name, MAX(IDS_WS_COIN_LEVEL(ws_name), IDS_WS_CASH_LEVEL(ws_name)))</definedName>
    <definedName name="IDS_WS_PRESET_LEVEL">LAMBDA(preset, ws_name, MAX(IDS_WS_PRESET_COIN_LEVEL(preset, ws_name), IDS_WS_PRESET_CASH_LEVEL(preset, ws_name)))</definedName>
    <definedName name="LABDURATION_SINGLE_BASE">LAMBDA(lab_name, lab_level, XLOOKUP(lab_level,LABS_LabLevel_Array,OFFSET(LABS_LabSearchStartPoint,0,MATCH(lab_name,LABS_LabName_Array,0)-1,100,1),"N/F",0,1))</definedName>
    <definedName name="IDS_LAB_LEVEL">LAMBDA(lab_name, IF('_IDS'!$C$1="✅", VLOOKUP(lab_name, '_IDS'!$A$2:$B, 2, FALSE), 0))</definedName>
    <definedName name="IDS_MOD_ARMOR_ASSIST_MULT_CAP">LAMBDA('_IDS'!$BH$4)</definedName>
    <definedName name="IDS_CARD_PRESET">LAMBDA(preset, OFFSET('_IDS'!$AH$3, 0, MATCH(preset, '_IDS'!$AH$2:$AL$2, 0)-1, 27, 1))</definedName>
    <definedName name="DVT_MODULE_COINS_COST_CUMMULATIVE">LAMBDA(level, IF(level &lt;= 1, 0, SUM(ARRAYFORMULA(DVT_MODULE_COINS_COST(ROW(INDIRECT("1:"&amp;level)))))))</definedName>
    <definedName name="IDS_MOD_CORE_NAME">LAMBDA(preset, OFFSET('_IDS'!$BR$8, MATCH(preset, '_IDS'!$BQ$7:$BQ$23, 0)-1, 0, 1, 1))</definedName>
    <definedName name="IDS_CARD_LEVEL">LAMBDA(card_name, IF(VLOOKUP(card_name,'_IDS'!$AE$2:$AG$31, 2, FALSE)="Locked", 1, VLOOKUP(card_name,'_IDS'!$AE$2:$AG, 2, FALSE)))</definedName>
    <definedName name="DVT_MODULE_SHARDS_COST">LAMBDA(level, IFS(
 level=1,0,
 level&lt;=5,7,
 level&lt;=10,12,
 level&lt;=15,20,
 level&lt;=20,25,
 level&lt;=25,40,
 level&lt;=30,50,
 level&lt;=35,75,
 level&lt;=40,90,
 level&lt;=50,120,
 level&lt;=60,180,
 level&lt;=70,250,
 level&lt;=80,350,
 level&lt;=90,500,
 level&lt;=100,700,
 level&lt;=110,1000,
 level&lt;=120,1300,
 level&lt;=130,1800,
 level&lt;=140,2500,
 level&lt;=150,3000,
 level&lt;=160,4000,
 level&lt;=200,5000 + (level-161)*125,
 level&lt;=300,10000 + (level-201)*250,
 level=300,49500
))</definedName>
    <definedName name="IDS_MOD_ARMOR_ASSIST_LEVEL">LAMBDA('_IDS'!$BI$2)</definedName>
    <definedName name="IDS_MOD_CANNON_ASSIST_SUBSTATS">LAMBDA(name, IFERROR(
  OFFSET(
    '_IDS'!$BB$31,
    MATCH(name, '_IDS'!$BB$27:$BB, 0)-1,
    0,
    LET(
      level, IDS_MOD_CANNON_ASSIST_LEVEL(),
      IFS(
        level&gt;=241, 8,
        level&gt;=201, 7,
        level&gt;=161, 6,
        level&gt;=141, 5,
        level&gt;=101, 4,
        level&gt;=41, 3,
        TRUE, 2
      )
    ),
    4
  )
))</definedName>
    <definedName name="IDS_MOD_CANNON_ASSIST_LEVEL">LAMBDA('_IDS'!$BD$2)</definedName>
    <definedName name="FORMAT_TIME_YEAR">LAMBDA(duration, IF(duration,IF(int(duration)&gt;364, FLOOR(int(duration)/365)&amp;"y ", )
&amp;mod(int(duration),365)&amp;"d "&amp;if(hour(mod(duration,1))&lt;10,CHAR(8194),)&amp;hour(mod(duration,1))&amp;"h "&amp;if(minute(mod(duration,1))&lt;10,CHAR(8194),)&amp;minute(mod(duration,1))&amp;"m",))</definedName>
    <definedName name="IDS_MOD_GENERATOR_ASSIST_SUBSTAT_CAP">LAMBDA('_IDS'!$BM$5)</definedName>
    <definedName name="MODSTAT_ARMOR">LAMBDA(rarity, level, ROUND(
(
  VLOOKUP(
    SPLIT(rarity, " "),
    MOD_BASE_STAT_ARRAY,3,false
  ) + SUMPRODUCT(
    IF(level &gt; MOD_STEPS_INCREASE_NEXT, 
      MOD_STEPS_INCREASE_NEXT - MOD_STEPS_INCREASE,
      IF(level &lt; MOD_STEPS_INCREASE, 
        0,
        level - MOD_STEPS_INCREASE
    )),
    MOD_ARMOR_INCREASE_ARRAY
  )
)*IF(RIGHT(rarity, 1) = "*", 1 + MID(rarity, 11, 1) * 0.04, 1)+1, 3))</definedName>
    <definedName name="DVT_LAB_DURATION">LAMBDA(lab_name, lab_level, XLOOKUP(
    lab_level, 
    SEQUENCE(100, 1, 1, 1), 
    INDEX(
        DVT_Laboratory!$B$3:$ACB$102, 
        0, 
        MATCH(lab_name, DVT_Laboratory!$B$1:$1, 0)
    ), 
    "N/F", 
    0, 
    1
))</definedName>
    <definedName name="MODSTAT_GENERATOR">LAMBDA(rarity, level, ROUND(
(VLOOKUP(SPLIT(rarity, " "),MOD_BASE_STAT_ARRAY,4,false)+SUMPRODUCT(IF(level&gt;MOD_STEPS_INCREASE_NEXT,MOD_STEPS_INCREASE_NEXT-MOD_STEPS_INCREASE,IF(level&lt;MOD_STEPS_INCREASE, 0, level-MOD_STEPS_INCREASE)), MOD_GENERATOR_INCREASE_ARRAY))*IF(RIGHT(rarity, 1) = "*", 1 + MID(rarity, 11, 1) * 0.04, 1)+1, 3))</definedName>
    <definedName name="IDS_MOD_CANNON_SUBSTAT">LAMBDA(preset, substat_name, IFERROR(VLOOKUP(
  substat_name,
  IDS_MOD_CANNON_SUBSTATS(IDS_MOD_CANNON_NAME(preset))
  ,4, FALSE), 0)
+IFERROR(VLOOKUP(
  substat_name,
  IDS_MOD_CANNON_SUBSTATS(IDS_MOD_CANNON_ASSIST_NAME(preset))
  ,4, FALSE), 0)
*(IDS_MOD_CANNON_ASSIST_SUBSTAT_CAP()+IDS_LAB_LEVEL("Assist Module Substats - Cannon")/100
))</definedName>
    <definedName name="IDS_PS_TIER_PB">LAMBDA(tiername, VLOOKUP(TierName, '_IDS'!$BZ$3:$CA, 2))</definedName>
    <definedName name="DVT_MODULE_CANNON_INCREMENT">LAMBDA(level, IFS(
  level=1, 0,
  level&lt;=20, 0.002,
  level&lt;=30, 0.004,
  level&lt;=40, 0.006,
  level&lt;=60, 0.008,
  level&lt;=80, 0.012,
  level&lt;=100,0.03,
  level&lt;=120,0.07,
  level&lt;=140,0.1,
  level&lt;=160,0.12,
  TRUE, 0.2
))</definedName>
    <definedName name="IDS_RELIC_STAT">LAMBDA(relic_stat, IFERROR(IF('_IDS'!$AO$1="✅", VLOOKUP(relic_stat,'_IDS'!$AM$2:$AN,2,FALSE), 0), 0))</definedName>
    <definedName name="IDS_MOD_CANNON_LEVEL">LAMBDA(name, OFFSET('_IDS'!$BC$29, MATCH(name, '_IDS'!$BB$27:$BB, 0)-1, 0, 1, 1))</definedName>
    <definedName name="DVT_MODULE_SHARDS_COST_CUMMULATIVE">LAMBDA(level, IF(level &lt;=1, 0, SUM(ARRAYFORMULA(DVT_MODULE_SHARDS_COST(ROW(INDIRECT("1:"&amp;level)))))))</definedName>
    <definedName name="IDS_MOD_GENERATOR_NAME">LAMBDA(preset, OFFSET('_IDS'!$BM$8, MATCH(preset, '_IDS'!$BL$7:$BL$23, 0)-1, 0, 1, 1))</definedName>
    <definedName name="FORMAT_TIME">LAMBDA(duration, IF(
  duration,
  int(duration) &amp; "d " &amp; if(
    hour(mod(duration,1))&lt;10,
    CHAR(8194)
    ,
  ) &amp; hour(mod(duration,1))&amp;"h " &amp; if(
    minute(mod(duration,1))&lt;10,
    CHAR(8194),)&amp;minute(mod(duration,1))&amp;"m"
    ,
  ))</definedName>
    <definedName name="IDS_MOD_GENERATOR_LEVEL">LAMBDA(name, OFFSET('_IDS'!$BM$29, MATCH(name, '_IDS'!$BL$27:$BL, 0)-1, 0, 1, 1))</definedName>
    <definedName name="IDS_BOT_OWN">LAMBDA(bot_name, LET(
  off, (MATCH(bot_name, '_IDS'!$AS$2:$AS$17, 0) - 1),
  OFFSET('_IDS'!$AS$5, off, 0, 1, 1)
))</definedName>
    <definedName name="IDS_MOD_GENERATOR_ASSIST_SUBSTATS">LAMBDA(name, IFERROR(
  OFFSET(
    '_IDS'!$BL$31,
    MATCH(name, '_IDS'!$BL$27:$BL, 0)-1,
    0,
    LET(
      level, IDS_MOD_GENERATOR_ASSIST_LEVEL(),
      IFS(
        level&gt;=241, 8,
        level&gt;=201, 7,
        level&gt;=161, 6,
        level&gt;=141, 5,
        level&gt;=101, 4,
        level&gt;=41, 3,
        TRUE, 2
      )
    ),
    4
  )
))</definedName>
    <definedName name="LAB_SPEED_TOTAL">LAMBDA((1+('Master Sheet'!$C$3*0.02))*(1+'Master Sheet'!$G$2))</definedName>
    <definedName name="RELIC_STAT">LAMBDA(relic_name, IF(RelicValidation="✅", VLOOKUP(relic_name,'_IDS'!$A$1:$B,2,FALSE), 0))</definedName>
    <definedName name="IDS_UW_VALUE">LAMBDA(uw_name, uw_stat, LET(
  off, (MATCH(uw_name, '_IDS'!$Z$2:$Z$37, 0) - 1),
  VLOOKUP(uw_stat, OFFSET('_IDS'!$AB$2, off, 0, 4, 2), 2, FALSE)
))</definedName>
    <definedName name="IDS_MOD_ARMOR_NAME">LAMBDA(preset, OFFSET('_IDS'!$BH$8, MATCH(preset, '_IDS'!$BG$7:$BG$23, 0)-1, 0, 1, 1))</definedName>
    <definedName name="IDS_MOD_CANNON_NAME">LAMBDA(preset, OFFSET('_IDS'!$BC$8, MATCH(preset, '_IDS'!$BB$7:$BB$23, 0)-1, 0, 1, 1))</definedName>
    <definedName name="IDS_MOD_GENERATOR_ASSIST_MULT_CAP">LAMBDA('_IDS'!$BM$4)</definedName>
    <definedName name="MOD_SUBSTAT_LOOKUP">LAMBDA(substat_name, substat_rarity, formatted_text_option, IFNA(VLOOKUP(substat_name,DVT_Mod_SubStat_Value_Array,MATCH(substat_rarity,ARRAY_CONSTRAIN(DVT_Mod_SubStat_Value_Array,1,COLUMNS(DVT_Mod_SubStat_Value_Array)),0)+IF(formatted_text_option,1,0),0),))</definedName>
    <definedName name="IDS_UW_LEVEL">LAMBDA(uw_name, uw_stat, LET(
  off, (MATCH(uw_name, '_IDS'!$Z$2:$Z$37, 0) - 1),
  VLOOKUP(uw_stat, OFFSET('_IDS'!$AB$2, off, 0, 4, 3), 3, FALSE)
))</definedName>
    <definedName name="LABDURATION_SINGLE_ADJUSTED_FORMATED">LAMBDA(lab_name, lab_level, XLOOKUP(lab_level,LR_LabLevel_Array,OFFSET(LR_LabSearchStartPoint,0,MATCH(lab_name,LR_LabName_Array,0),100,1),"N/F",0,1))</definedName>
    <definedName name="IDS_WS_PRESET_COIN_LEVEL">LAMBDA(preset, ws_name, IF('_IDS'!$G$1="✅", IFERROR(OFFSET('_IDS'!$G$4, MATCH(ws_name, '_IDS'!$F$4:$F, 0)-1, MATCH(preset, '_IDS'!$G$2:$P$2, 0)-1, 1, 1), 0), 0))</definedName>
    <definedName name="IDS_MOD_GENERATOR_SUBSTAT">LAMBDA(preset, substat_name, IFERROR(VLOOKUP(
  substat_name,
  IDS_MOD_GENERATOR_SUBSTATS(IDS_MOD_GENERATOR_NAME(preset))
  ,4, FALSE), 0)
+IFERROR(VLOOKUP(
  substat_name,
  IDS_MOD_GENERATOR_SUBSTATS(IDS_MOD_GENERATOR_ASSIST_NAME(preset))
  ,4, FALSE), 0)
*(IDS_MOD_GENERATOR_ASSIST_SUBSTAT_CAP()+IDS_LAB_LEVEL("Assist Module Substats - Generator")/100
))</definedName>
    <definedName name="MODSTAT_CORE">LAMBDA(rarity, level, ROUND(
(VLOOKUP(SPLIT(rarity, " "),MOD_BASE_STAT_ARRAY,5,false)+SUMPRODUCT(IF(level&gt;MOD_STEPS_INCREASE_NEXT,MOD_STEPS_INCREASE_NEXT-MOD_STEPS_INCREASE,IF(level&lt;MOD_STEPS_INCREASE, 0, level-MOD_STEPS_INCREASE)), MOD_CORE_INCREASE_ARRAY))*IF(RIGHT(rarity, 1) = "*", 1 + MID(rarity, 11, 1) * 0.04, 1)+1, 3))</definedName>
    <definedName name="IDS_MOD_CORE_ASSIST_MULT_CAP">LAMBDA('_IDS'!$BR$4)</definedName>
    <definedName name="IDS_MOD_ARMOR_SUBSTATS">LAMBDA(name, IFERROR(OFFSET('_IDS'!$BG$31, MATCH(name, '_IDS'!$BG$27:$BG, 0)-1, 0, 8, 4)))</definedName>
    <definedName name="IDS_MOD_CORE_ASSIST_SUBSTATS">LAMBDA(name, IFERROR(
  OFFSET(
    '_IDS'!$BQ$31,
    MATCH(name, '_IDS'!$BQ$27:$BQ, 0)-1,
    0,
    LET(
      level, IDS_MOD_CORE_ASSIST_LEVEL(),
      IFS(
        level&gt;=241, 8,
        level&gt;=201, 7,
        level&gt;=161, 6,
        level&gt;=141, 5,
        level&gt;=101, 4,
        level&gt;=41, 3,
        TRUE, 2
      )
    ),
    4
  )
))</definedName>
    <definedName name="IDS_MOD_GENERATOR_ASSIST_NAME">LAMBDA(preset, OFFSET('_IDS'!$BM$9, MATCH(preset, '_IDS'!$BL$7:$BL$23, 0)-1, 0, 1, 1))</definedName>
    <definedName name="IDS_WSE_LEVEL">LAMBDA(wse_name, IF('_IDS'!$G$1="✅", IFERROR(VLOOKUP(wse_name, '_IDS'!$R$2:$T, 3, FALSE), 0), 0))</definedName>
    <definedName name="IDS_MOD_CANNON_RARITY">LAMBDA(name, IFERROR(OFFSET('_IDS'!$BB$29, MATCH(name, '_IDS'!$BB$27:$BB, 0)-1, 0, 1, 1)))</definedName>
    <definedName name="IDS_UW_OWN">LAMBDA(uw_name, LET(
  off, (MATCH(uw_name, '_IDS'!$Z$2:$Z$37, 0) - 1),
  OFFSET('_IDS'!$Z$4, off, 0, 1, 1)
))</definedName>
    <definedName name="IDS_WS_COIN_LEVEL">LAMBDA(ws_name, IF('_IDS'!$G$1="✅", IFERROR(VLOOKUP(ws_name, '_IDS'!$F$2:$Q, 2, FALSE), 0), 0))</definedName>
    <definedName name="IDS_MOD_CORE_ASSIST_LEVEL">LAMBDA('_IDS'!$BS$2)</definedName>
    <definedName name="CAP_MOD_LEVEL">LAMBDA(level, rarity, MIN(level,
     SWITCH(rarity,
       "Common",        20,
       "Rare",          30,
       "Rare+",         40,
       "Epic",          60,
       "Epic+",         80,
       "Legendary",     100,
       "Legendary+",    120,
       "Mythic",        140,
       "Mythic+",       160,
       "Ancestral",     200,
       "Ancestral 1*",  220,
       "Ancestral 2*",  240,
       "Ancestral 3*",  260,
       "Ancestral 4*",  280,
       "Ancestral 5*",  300,
       0              ) ))</definedName>
    <definedName name="IDS_MOD_ARMOR_LEVEL">LAMBDA(name, OFFSET('_IDS'!$BH$29, MATCH(name, '_IDS'!$BG$27:$BG, 0)-1, 0, 1, 1))</definedName>
    <definedName name="IDS_MOD_GENERATOR_SUBSTATS">LAMBDA(name, IFERROR(OFFSET('_IDS'!$BL$31, MATCH(name, '_IDS'!$BL$27:$BL, 0)-1, 0, 8, 4)))</definedName>
    <definedName name="IDS_THEMES_BOOST">LAMBDA('_IDS'!$AY$2)</definedName>
    <definedName name="IDS_MOD_ARMOR_RARITY">LAMBDA(name, IFERROR(OFFSET('_IDS'!$BG$29, MATCH(name, '_IDS'!$BG$27:$BG, 0)-1, 0, 1, 1)))</definedName>
    <definedName name="IDS_WS_CASH_LEVEL">LAMBDA(ws_name, IF('_IDS'!$G$1="✅", IFERROR(VLOOKUP(ws_name, '_IDS'!$F$2:$Q, 3, FALSE), 0), 0))</definedName>
    <definedName name="DVT_MODULE_CANNON_STAT">LAMBDA(rarity, level, ROUND(
  (INDEX(
    {0.012,0.032,0.052,0.072,0.102,0.132,0.162,0.202,0.252,0.302},
    MATCH(
      IF(LEFT(rarity,9)="Ancestral","Ancestral",rarity),
      {"Common","Rare","Rare+","Epic","Epic+","Legendary","Legendary+","Mythic","Mythic+","Ancestral"},
      0
    )
  )
  +
  SUM(
    ARRAYFORMULA(
      DVT_MODULE_CANNON_INCREMENT(ROW(INDIRECT("1:"&amp;level)))
    )
  ))
  *
  IF(
    LEFT(rarity,9)="Ancestral",
    1 + IF(RIGHT(rarity,1)="*", VALUE(MID(rarity,11,1))*0.04,0),
    1
  )
  + 1,
3
))</definedName>
    <definedName name="IDS_LAB_TARGET">LAMBDA(lab_name, IF('_IDS'!$C$1="✅", VLOOKUP(lab_name, '_IDS'!$A$2:$C, 3, FALSE), ))</definedName>
    <definedName name="VERSION_AT_LEAST">LAMBDA(currentversion, minimalversion, LET(
  v, SPLIT(SUBSTITUTE(CurrentVersion,"v",""),"."),
  b, SPLIT(SUBSTITUTE(MinimalVersion,"v",""),"."),
  lv, COUNTA(v),
  lb, COUNTA(b),
  maxLen, MAX(lv, lb),
  vNums, IF(SEQUENCE(maxLen)&lt;=lv, INDEX(v,SEQUENCE(maxLen)), 0),
  bNums, IF(SEQUENCE(maxLen)&lt;=lb, INDEX(b,SEQUENCE(maxLen)), 0),
  compare, SIGN(vNums - bNums),
  firstDiff, INDEX(FILTER(compare, compare&lt;&gt;0),1,1),
  IF(ISNA(firstDiff), TRUE, firstDiff=1)
))</definedName>
    <definedName name="IDS_MOD_ARMOR_BONUS">LAMBDA(name, OFFSET('_IDS'!$BI$29, MATCH(name, '_IDS'!$BG$27:$BG, 0)-1, 0, 1, 1))</definedName>
    <definedName name="IDS_WS_PRESET_CASH_LEVEL">LAMBDA(preset, ws_name, IF('_IDS'!$G$1="✅", IFERROR(OFFSET('_IDS'!$H$4, MATCH(ws_name, '_IDS'!$F$4:$F, 0)-1, MATCH(preset, '_IDS'!$G$2:$P$2, 0)-1, 1, 1), 0), 0))</definedName>
    <definedName name="IDS_WSE_PRESET_LEVEL">LAMBDA(preset, wse_name, IF('_IDS'!$G$1="✅", IFERROR(OFFSET('_IDS'!$T$4, MATCH(wse_name, '_IDS'!$R$4:$R, 0)-1, MATCH(preset, '_IDS'!$T$2:$X$2, 0)-1, 1, 1), 0), 0))</definedName>
    <definedName name="IDS_GUARDIAN_OWN">LAMBDA(guardian_name, LET(
  off, (MATCH(guardian_name, '_IDS'!$BU$2:$BU, 0) - 1),
  OFFSET('_IDS'!$BU$4, off, 0, 1, 1)
))</definedName>
    <definedName name="IDS_MOD_CORE_ASSIST_SUBSTAT_CAP">LAMBDA('_IDS'!$BR$5)</definedName>
    <definedName name="IDS_MOD_CANNON_ASSIST_NAME">LAMBDA(preset, OFFSET('_IDS'!$BC$9, MATCH(preset, '_IDS'!$BB$7:$BB$23, 0)-1, 0, 1, 1))</definedName>
    <definedName name="IDS_PS_COIN_MULTIPLIER">LAMBDA('_IDS'!$CE$14)</definedName>
    <definedName name="FORMAT_NUMBER">LAMBDA(cell, IFS(
cell&gt;=1E+60,ROUND(cell/1E+60,2)&amp;" ai",
cell&gt;=1E+57,ROUND(cell/1E+57,2)&amp;" ah",
cell&gt;=1E+54,ROUND(cell/1E+54,2)&amp;" ag",
cell&gt;=1E+51,ROUND(cell/1E+51,2)&amp;" af",
cell&gt;=1E+48,ROUND(cell/1E+48,2)&amp;" ae",
cell&gt;=1E+45,ROUND(cell/1E+45,2)&amp;" ad",
cell&gt;=1E+42,ROUND(cell/1E+42,2)&amp;" ac",
cell&gt;=1E+39,ROUND(cell/1E+39,2)&amp;" ab",
cell&gt;=1E+36,ROUND(cell/1E+36,2)&amp;" aa",
cell&gt;=1E+33,ROUND(cell/1E+33,2)&amp;" D",
cell&gt;=1E+30,ROUND(cell/1E+30,2)&amp;" N",
cell&gt;=1E+27,ROUND(cell/1E+27,2)&amp;" O",
cell&gt;=1E+24,ROUND(cell/1E+24,2)&amp;" S",
cell&gt;=1E+21,ROUND(cell/1E+21,2)&amp;" s",
cell&gt;=1000000000000000000,ROUND(cell/1000000000000000000,2)&amp;" Q",
cell&gt;=1000000000000000,ROUND(cell/1000000000000000,2)&amp;" q",
cell&gt;=1000000000000,ROUND(cell/1000000000000,2)&amp;" T",
cell&gt;=1000000000,ROUND(cell/1000000000,2)&amp;" B",
cell&gt;=1000000,ROUND(cell/1000000,2)&amp;" M", 
cell&gt;=1000,ROUND(cell/1000,2)&amp;" K",
1,cell))</definedName>
    <definedName name="FORMAT_NUMBER2">LAMBDA(cell,  LET(
      array_letters,
      {"", " K", " M", " B", " T", " q", " Q", " s", " S", " O", " N", " D", " aa", " ab", " ac", " ad", " ae", " af", "ag", "ah", "ai", "aj"},
      array_Index,
      INT(LOG10(cell) / 3) + 1,
      IFERROR(
        ROUND( cell * 10^(-3* int(int(log10( cell ))/3)) , 2 ) &amp; index( array_letters, array_Index)
        , cell
      )
))</definedName>
    <definedName name="IDS_MOD_CANNON_BONUS">LAMBDA(name, OFFSET('_IDS'!$BD$29, MATCH(name, '_IDS'!$BB$27:$BB, 0)-1, 0, 1, 1))</definedName>
    <definedName name="IDS_MOD_CORE_LEVEL">LAMBDA(name, OFFSET('_IDS'!$BR$29, MATCH(name, '_IDS'!$BQ$27:$BQ, 0)-1, 0, 1, 1))</definedName>
    <definedName name="IDS_GUARDIAN_LEVEL">LAMBDA(guardian_name, guardian_stat, LET(
  off, (MATCH(guardian_name, '_IDS'!$BU$2:$BU, 0) - 1),
  VLOOKUP(guardian_stat, OFFSET('_IDS'!$BW$2, off, 0, 4, 3), 3, FALSE)
))</definedName>
    <definedName name="IDS_CARDS_IN_PRESET">LAMBDA(preset, card_name, COUNTIF(OFFSET('_IDS'!$AH$3, 0, MATCH(preset, '_IDS'!$AH$2:$AL$2, 0)-1, 30, 1)
, card_name) &gt; 0)</definedName>
    <definedName name="DVT_MODULE_COINS_COST">LAMBDA(level, IFS(
 level=1,0,
 level&lt;=5,10000,
 level&lt;=10,25000,
 level&lt;=15,45000,
 level&lt;=20,60000,
 level&lt;=25,120000,
 level&lt;=30,180000,
 level&lt;=35,350000,
 level&lt;=40,500000,
 level&lt;=50,1000000,
 level&lt;=60,3000000,
 level&lt;=70,25000000,
 level&lt;=80,100000000,
 level&lt;=100,350000000,
 level&lt;=120,8000000000,
 level&lt;=140,32000000000,
 level&lt;=160,500000000000,
 level&lt;=200,10000000000000 + (level-161)*50000000000000,
 level&lt;=240, ((((level-201)*(level-200))/2)+2)*1250000000000000,
 level&lt;=300, ((((level-241)*(level-240))/2)+2)*500000000000000000,
 level=300,886000000000000000000
))</definedName>
    <definedName name="LABCOST_SINGLE_ADJUSTED">LAMBDA(lab_name, lab_level, DVT_LAB_COST(lab_name, lab_level) * (1-LAB_COIN_DISCOUNT()))</definedName>
    <definedName name="LAB_COIN_DISCOUNT">LAMBDA('Master Sheet'!$C$2*0.003)</definedName>
    <definedName name="IDS_BOT_VALUE">LAMBDA(bot_name, bot_property, LET(
  off, (MATCH(bot_name, '_IDS'!$AS$2:$AS$17, 0) - 1),
  VLOOKUP(bot_property, OFFSET('_IDS'!$AU$2, off, 0, 4, 2), 2, FALSE)
))</definedName>
    <definedName name="IDS_MOD_CANNON_SUBSTATS">LAMBDA(name, IFERROR(OFFSET('_IDS'!$BB$31, MATCH(name, '_IDS'!$BB$27:$BB, 0)-1, 0, 8, 4)))</definedName>
    <definedName name="IDS_VAULT_STAT">LAMBDA(vault_stat, IFERROR(IF('_IDS'!$AR$1="✅", VLOOKUP(vault_stat,'_IDS'!$AP$2:$AQ,2,FALSE), 0), 0))</definedName>
    <definedName name="IDS_MOD_CORE_RARITY">LAMBDA(name, IFERROR(OFFSET('_IDS'!$BQ$29, MATCH(name, '_IDS'!$BQ$27:$BQ, 0)-1, 0, 1, 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6">
      <text>
        <t xml:space="preserve">B9BDCA52E3D8005A</t>
      </text>
    </comment>
    <comment authorId="0" ref="I6">
      <text>
        <t xml:space="preserve">B9BDCA52E3D8005A</t>
      </text>
    </comment>
    <comment authorId="0" ref="J6">
      <text>
        <t xml:space="preserve">B54B2EAF779842C2</t>
      </text>
    </comment>
    <comment authorId="0" ref="H7">
      <text>
        <t xml:space="preserve">B9BDCA52E3D8005A</t>
      </text>
    </comment>
    <comment authorId="0" ref="I7">
      <text>
        <t xml:space="preserve">B9BDCA52E3D8005A</t>
      </text>
    </comment>
    <comment authorId="0" ref="I9">
      <text>
        <t xml:space="preserve">B9BDCA52E3D8005A</t>
      </text>
    </comment>
    <comment authorId="0" ref="J10">
      <text>
        <t xml:space="preserve">8825B798A7D74410</t>
      </text>
    </comment>
    <comment authorId="0" ref="H14">
      <text>
        <t xml:space="preserve">D7856D2E3740A1AE</t>
      </text>
    </comment>
    <comment authorId="0" ref="H15">
      <text>
        <t xml:space="preserve">335558378DD4C132</t>
      </text>
    </comment>
    <comment authorId="0" ref="I15">
      <text>
        <t xml:space="preserve">B9BDCA52E3D8005A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
      <text>
        <t xml:space="preserve">Bounce Shot's range is increased by 3% of the Tower's total range. Each bounce increases the projectile's damage by 20/40/60/80%</t>
      </text>
    </comment>
    <comment authorId="0" ref="K3">
      <text>
        <t xml:space="preserve">When you super crit, your next 3/4/5/6 are guaranteed super crit</t>
      </text>
    </comment>
    <comment authorId="0" ref="P3">
      <text>
        <t xml:space="preserve">Chance of 5/8/11/15% to mark an enemy for death when it spawns, causing the first hit to destroy it</t>
      </text>
    </comment>
    <comment authorId="0" ref="U3">
      <text>
        <t xml:space="preserve">10/13/15/20% chance for Rend Armor to instantly go to max</t>
      </text>
    </comment>
    <comment authorId="0" ref="Z3">
      <text>
        <t xml:space="preserve">Attacks have a 1% chance to apply a non-stacking effect that decreases the enemy's mass by 10/20/30/40%</t>
      </text>
    </comment>
    <comment authorId="0" ref="AE3">
      <text>
        <t xml:space="preserve">Killing a boss or elite enemy increases Tower damage by 5x for 5/11/18/26s</t>
      </text>
    </comment>
    <comment authorId="0" ref="F16">
      <text>
        <t xml:space="preserve">Enemies take x10/15/20/25 damage for 7s after they are hit by a shockwave</t>
      </text>
    </comment>
    <comment authorId="0" ref="K16">
      <text>
        <t xml:space="preserve">If an Orb doesn't kill the enemy it will apply a stacking debuff, reducing its damage and speed by 1/1.5/2/2.5% per hit, to a max reduction of 50%</t>
      </text>
    </comment>
    <comment authorId="0" ref="P16">
      <text>
        <t xml:space="preserve">Landmines have a 15/20/25/30% chance to spawn as an Inner Land Mine (20 max) instead of a normal mine. These mines autonomously move and organize around the tower</t>
      </text>
    </comment>
    <comment authorId="0" ref="U16">
      <text>
        <t xml:space="preserve">Health Regen can heal up to 25/50/75/100% of Package Max Recovery</t>
      </text>
    </comment>
    <comment authorId="0" ref="Z16">
      <text>
        <t xml:space="preserve">Increase the wall's health and regen by x1.25/1.5/2/2.5. Enemies take +1% increased damage from wall thorns per subsequent hit.</t>
      </text>
    </comment>
    <comment authorId="0" ref="AE16">
      <text>
        <t xml:space="preserve">Orbital Augment adds 2/4/6/8 orbiting Electrons around the tower. Each Electron deals damage equal to 15% of the enemy's remaining health (quarter effective against Bosses and Fleets)</t>
      </text>
    </comment>
    <comment authorId="0" ref="F29">
      <text>
        <t xml:space="preserve">Temporarily get 3/5/7/10% extra Coins / Kill
Bonus for each free upgrade you got on the current wave. Free Upgrades can not increase Tower Range</t>
      </text>
    </comment>
    <comment authorId="0" ref="K29">
      <text>
        <t xml:space="preserve">Collecting a recovery package reduces the cooldown of all Ultimate Weapons by 10/13/17/20s</t>
      </text>
    </comment>
    <comment authorId="0" ref="P29">
      <text>
        <t xml:space="preserve">Increases the range of each bot by +5/8/11/15m.
Enemies hit by the Flame bot receive double</t>
      </text>
    </comment>
    <comment authorId="0" ref="U29">
      <text>
        <t xml:space="preserve">Each time a projectile hits an enemy, there is a 1/1.5/2/2.5% chance that it will reduce the enemy's Health and Attack Level by 1</t>
      </text>
    </comment>
    <comment authorId="0" ref="Z29">
      <text>
        <t xml:space="preserve">Tower damage is multiplied by
12.5/25/50/100% of the number of digits in your current cash.</t>
      </text>
    </comment>
    <comment authorId="0" ref="AE29">
      <text>
        <t xml:space="preserve">Packages grant a 50% attack speed boost for 15/20/25/30s, decaying for 60 seconds.</t>
      </text>
    </comment>
    <comment authorId="0" ref="F42">
      <text>
        <t xml:space="preserve">Death Wave, Golden Tower and Black Hole will always activate at the same time, but the cooldown will be the average of those +20/+10/+1/-10s</t>
      </text>
    </comment>
    <comment authorId="0" ref="K42">
      <text>
        <t xml:space="preserve">Chain Lightning have 60% chance of hitting the initial target. Shock chance and multiplier is doubled.
If the shock is applied to the same enemy the shock multiplier will add up to a max stack of 5/10/15/20</t>
      </text>
    </comment>
    <comment authorId="0" ref="P42">
      <text>
        <t xml:space="preserve">15/20/25/30% chance of poisoned enemies to miss attack. Boss chance is halved</t>
      </text>
    </comment>
    <comment authorId="0" ref="U42">
      <text>
        <t xml:space="preserve">Spotlight will rotate to focus a boss. Boss reflects the light around it to nearby enemies, increasing by x2/4/7/15 the damage they receive.</t>
      </text>
    </comment>
    <comment authorId="0" ref="Z42">
      <text>
        <t xml:space="preserve">1/2/3/4 Inner Land Mines are fired at Bosses as they enter Tower range. 25% of Elites have Inner Land Mines fired at them as they enter Tower range.</t>
      </text>
    </comment>
    <comment authorId="0" ref="AE42">
      <text>
        <t xml:space="preserve">Spawns one additional Black Hole. Damage from enemies within a Black Hole is decreased by 50%/55%/65%/80%</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Z1">
      <text>
        <t xml:space="preserve">If a value is incorrect or updated only adjust it in the RAW section and as a pure number no formatting. so 20% is 0.2 but -5s is -5</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5">
      <text>
        <t xml:space="preserve">This number is how many of each mod you would be expected to have obtained on average given how many actual unique mods you've pulled</t>
      </text>
    </comment>
    <comment authorId="0" ref="G25">
      <text>
        <t xml:space="preserve">This is the number of gems you should expect to spend on average before seeing a specific mod, the further you get from this number the less likely the event is</t>
      </text>
    </comment>
    <comment authorId="0" ref="B28">
      <text>
        <t xml:space="preserve">This is the number of mods in the standard banner, update to 20 after the final two new mods have finished their banners and been added to standard</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You can keep track of your lifetime pulls by entering the number of modules with unique effects that you shattered. This is the "Shattered epic" box in the "Module Tracker (Detailed)" section of this page</t>
      </text>
    </comment>
    <comment authorId="0" ref="L32">
      <text>
        <t xml:space="preserve">Will be later linked with Player &amp; Stuff</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This will pull the rarity from the primary and assist mods in Modules Presets.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L5">
      <text>
        <t xml:space="preserve">Select your Speed up (Cells)</t>
      </text>
    </comment>
  </commentList>
</comments>
</file>

<file path=xl/sharedStrings.xml><?xml version="1.0" encoding="utf-8"?>
<sst xmlns="http://schemas.openxmlformats.org/spreadsheetml/2006/main" count="4055" uniqueCount="758">
  <si>
    <t>Modules</t>
  </si>
  <si>
    <t>Sheet Tab</t>
  </si>
  <si>
    <t>Creator</t>
  </si>
  <si>
    <t>Main Contributor</t>
  </si>
  <si>
    <t>Helpers</t>
  </si>
  <si>
    <t>IDS</t>
  </si>
  <si>
    <t>@Mattew</t>
  </si>
  <si>
    <t>@Bisse</t>
  </si>
  <si>
    <t>Latest remote version :</t>
  </si>
  <si>
    <t>Master Sheet</t>
  </si>
  <si>
    <t>@TC Team</t>
  </si>
  <si>
    <t>Inventory</t>
  </si>
  <si>
    <t>@Shiriru94</t>
  </si>
  <si>
    <t>@Shiriru94, @Mattew</t>
  </si>
  <si>
    <t>Presets</t>
  </si>
  <si>
    <t>Tracker</t>
  </si>
  <si>
    <t>@Audacious, @gtsum</t>
  </si>
  <si>
    <t>@Meringue</t>
  </si>
  <si>
    <t>Version Change :</t>
  </si>
  <si>
    <t>Reroll Calculator V3</t>
  </si>
  <si>
    <t>@Freeman0916</t>
  </si>
  <si>
    <t>v5.13</t>
  </si>
  <si>
    <t>feat: Shattered epic tracker (@ghostofthecommentsection)</t>
  </si>
  <si>
    <t>Optimal Assist levels</t>
  </si>
  <si>
    <t>@Eyethberg</t>
  </si>
  <si>
    <t>@avacede</t>
  </si>
  <si>
    <t>v5.12.1</t>
  </si>
  <si>
    <t>feat: Enhanced OAL button</t>
  </si>
  <si>
    <t>Shard Path</t>
  </si>
  <si>
    <t>@QuietFanta</t>
  </si>
  <si>
    <t>v5.12</t>
  </si>
  <si>
    <t>feat: Optimal Assist Levels "Apply" button</t>
  </si>
  <si>
    <t>Overview</t>
  </si>
  <si>
    <t>@GodzillasDaddy</t>
  </si>
  <si>
    <t>v5.11.1</t>
  </si>
  <si>
    <t>fix: Optimal Assist Levels fix for Assist Level = 0</t>
  </si>
  <si>
    <t>Substats</t>
  </si>
  <si>
    <t>@kosmirionepos</t>
  </si>
  <si>
    <t>v5.11</t>
  </si>
  <si>
    <t>feat: Added Spare OA and Spare RB</t>
  </si>
  <si>
    <t>v5.10</t>
  </si>
  <si>
    <t>feat: Minimum levels for Optimal Assist &amp; performance improvements</t>
  </si>
  <si>
    <t>Tab colors explanation</t>
  </si>
  <si>
    <t>v5.9</t>
  </si>
  <si>
    <t>feat: New Module: Orbital Augment</t>
  </si>
  <si>
    <t>v5.8</t>
  </si>
  <si>
    <t>fix: Any Other 2 Substat values are grabbed</t>
  </si>
  <si>
    <t>Home Page</t>
  </si>
  <si>
    <t>Input Tabs</t>
  </si>
  <si>
    <t>Local Tools</t>
  </si>
  <si>
    <t>Static Data</t>
  </si>
  <si>
    <t>v5.7</t>
  </si>
  <si>
    <t>feat: New Module: Restorative Bonus</t>
  </si>
  <si>
    <t>v5.6.4</t>
  </si>
  <si>
    <t>fix: Optimal assist current now mults properly</t>
  </si>
  <si>
    <t>Related tools</t>
  </si>
  <si>
    <t>v5.6.3</t>
  </si>
  <si>
    <t>feat: Optimal Assist Levels Multi update</t>
  </si>
  <si>
    <t>Shows Shard earning prediction</t>
  </si>
  <si>
    <t>v5.6.2</t>
  </si>
  <si>
    <t>Fix: Level cap for Common, Rare, Rare+</t>
  </si>
  <si>
    <t>v5.6.1</t>
  </si>
  <si>
    <t>fix: Shard Path (@Gladiator)</t>
  </si>
  <si>
    <t>v5.6</t>
  </si>
  <si>
    <t>Add: Shard Path (@QuietFanta)</t>
  </si>
  <si>
    <t>v5.5.5</t>
  </si>
  <si>
    <t>fix: dropdown for spare modules</t>
  </si>
  <si>
    <r>
      <rPr>
        <rFont val="Comfortaa"/>
        <b/>
        <color rgb="FFFCE5CD"/>
        <sz val="11.0"/>
        <u/>
      </rPr>
      <t>Enjoying those sheets?</t>
    </r>
    <r>
      <rPr>
        <rFont val="Comfortaa"/>
        <color rgb="FFFFFFFF"/>
      </rPr>
      <t xml:space="preserve">
You can support me by using my creator code for any </t>
    </r>
    <r>
      <rPr>
        <rFont val="Comfortaa"/>
        <color rgb="FFFFFFFF"/>
        <u/>
      </rPr>
      <t>in game</t>
    </r>
    <r>
      <rPr>
        <rFont val="Comfortaa"/>
        <color rgb="FFFFFFFF"/>
      </rPr>
      <t xml:space="preserve"> or </t>
    </r>
    <r>
      <rPr>
        <rFont val="Comfortaa"/>
        <color rgb="FFFFFFFF"/>
        <u/>
      </rPr>
      <t>webstore</t>
    </r>
    <r>
      <rPr>
        <rFont val="Comfortaa"/>
        <color rgb="FFFFFFFF"/>
      </rPr>
      <t xml:space="preserve"> purchases.
My creator code is : </t>
    </r>
    <r>
      <rPr>
        <rFont val="Comfortaa"/>
        <color rgb="FF5DA282"/>
      </rPr>
      <t>SHEETLORD</t>
    </r>
  </si>
  <si>
    <t>v5.5.4</t>
  </si>
  <si>
    <t>fix: #ref! and data validations</t>
  </si>
  <si>
    <t>v5.5.3</t>
  </si>
  <si>
    <t>fix: Max Assist Level #ref!</t>
  </si>
  <si>
    <t>v5.5.2</t>
  </si>
  <si>
    <t>fix: 7th substat export for SR and AS</t>
  </si>
  <si>
    <t>v5.5.1</t>
  </si>
  <si>
    <t>Tracker: Fodder text bar improvements</t>
  </si>
  <si>
    <t>v5.5</t>
  </si>
  <si>
    <t>Add: Amplifying Strike</t>
  </si>
  <si>
    <r>
      <rPr>
        <rFont val="Comfortaa"/>
        <color rgb="FF999999"/>
        <sz val="8.0"/>
      </rPr>
      <t xml:space="preserve">Want to support someone else ? Here is the </t>
    </r>
    <r>
      <rPr>
        <rFont val="Comfortaa"/>
        <color rgb="FFB7B7B7"/>
        <sz val="8.0"/>
        <u/>
      </rPr>
      <t>creator code list</t>
    </r>
  </si>
  <si>
    <t>v5.4.4</t>
  </si>
  <si>
    <t>fix: Export Completion</t>
  </si>
  <si>
    <t>v5.4.3</t>
  </si>
  <si>
    <t>fix: OAL not showing optimal levels</t>
  </si>
  <si>
    <t>v5.4.2</t>
  </si>
  <si>
    <t>fix: Tracker showing correct merge instructions now</t>
  </si>
  <si>
    <t>v5.4.1</t>
  </si>
  <si>
    <t>fix: Optimal Assist Levels referencing only Cannon level</t>
  </si>
  <si>
    <t>v5.4</t>
  </si>
  <si>
    <t>Tracker: 6th Mod series included</t>
  </si>
  <si>
    <t>v5.3</t>
  </si>
  <si>
    <t>Add: Primordial Collapse</t>
  </si>
  <si>
    <t>v5.2.1</t>
  </si>
  <si>
    <t>Internal changes / Renames</t>
  </si>
  <si>
    <t>v5.2</t>
  </si>
  <si>
    <t>Add: Modules Overview Sheet</t>
  </si>
  <si>
    <t>v5.1.1</t>
  </si>
  <si>
    <t>fix: Optimal Assist Levels n/a's and other references</t>
  </si>
  <si>
    <t>v5.1</t>
  </si>
  <si>
    <t>Add: Optimal Assist Levels</t>
  </si>
  <si>
    <t>v5.0</t>
  </si>
  <si>
    <t>IDS 2.0 + V27</t>
  </si>
  <si>
    <t>v4.7</t>
  </si>
  <si>
    <t>Added Modules Tracker (hidden Mods Obtained)</t>
  </si>
  <si>
    <t>v4.6.2</t>
  </si>
  <si>
    <t>fix: 4.6 Import Updated</t>
  </si>
  <si>
    <t>v4.6.1</t>
  </si>
  <si>
    <t>fix: 4.6 highest level was broken [Import not update yet]</t>
  </si>
  <si>
    <t>v4.6</t>
  </si>
  <si>
    <t>fix: Spare modules | feat: Highest Level</t>
  </si>
  <si>
    <t>v4.5</t>
  </si>
  <si>
    <t>Import url fix, Dimension core now imports correctly</t>
  </si>
  <si>
    <t>v4.4</t>
  </si>
  <si>
    <t>Added Import</t>
  </si>
  <si>
    <t>v4.3</t>
  </si>
  <si>
    <t>Free Bans included in Reroll Calc.</t>
  </si>
  <si>
    <t>v4.2</t>
  </si>
  <si>
    <t>Version tracking udpate</t>
  </si>
  <si>
    <t>v4.1</t>
  </si>
  <si>
    <t>Added Module Substats</t>
  </si>
  <si>
    <t>v4.0</t>
  </si>
  <si>
    <t>New Modules Presets UI</t>
  </si>
  <si>
    <t>The IDS System</t>
  </si>
  <si>
    <t>Looking for the Import script ? Just run it as you were doing it before, but from IDS Master.
It will let you import every new versions at once!</t>
  </si>
  <si>
    <t>This Sheet ID is :</t>
  </si>
  <si>
    <t>1rOoSY6TK918myJ6Mn6zO4rmUaFbPu6qJnGI17kc9DzQ</t>
  </si>
  <si>
    <r>
      <rPr>
        <rFont val="Comfortaa"/>
        <b/>
        <color rgb="FFFFFFFF"/>
        <sz val="11.0"/>
      </rPr>
      <t>IDS Master</t>
    </r>
    <r>
      <rPr>
        <rFont val="Comfortaa"/>
        <b/>
        <i/>
        <color rgb="FFFFFFFF"/>
        <sz val="10.0"/>
      </rPr>
      <t xml:space="preserve">'s </t>
    </r>
    <r>
      <rPr>
        <rFont val="Comfortaa"/>
        <b val="0"/>
        <i/>
        <color rgb="FFFFFFFF"/>
        <sz val="10.0"/>
      </rPr>
      <t>ID</t>
    </r>
    <r>
      <rPr>
        <rFont val="Comfortaa"/>
        <b val="0"/>
        <color rgb="FFFFFFFF"/>
        <sz val="11.0"/>
      </rPr>
      <t xml:space="preserve">       ➡️</t>
    </r>
  </si>
  <si>
    <t>1HOIkxWbbciTIAzVruaahEGADlM8rS0-w86uBXj4PwNQ</t>
  </si>
  <si>
    <t>v2</t>
  </si>
  <si>
    <t>✅</t>
  </si>
  <si>
    <t>Issues</t>
  </si>
  <si>
    <r>
      <rPr>
        <rFont val="Comfortaa"/>
        <b/>
        <color rgb="FFFCE5CD"/>
        <u/>
      </rPr>
      <t>Mobile Users</t>
    </r>
    <r>
      <rPr>
        <rFont val="Comfortaa"/>
        <color rgb="FFFCE5CD"/>
      </rPr>
      <t xml:space="preserve">
If you are on mobile, you will not be able to do </t>
    </r>
    <r>
      <rPr>
        <rFont val="Comfortaa"/>
        <i/>
        <color rgb="FFFCE5CD"/>
      </rPr>
      <t>STEP 3</t>
    </r>
    <r>
      <rPr>
        <rFont val="Comfortaa"/>
        <color rgb="FFFCE5CD"/>
      </rPr>
      <t>. There is a workaround you can do still : You need to edit the viewing permissions to "</t>
    </r>
    <r>
      <rPr>
        <rFont val="Comfortaa"/>
        <i/>
        <color rgb="FFFCE5CD"/>
      </rPr>
      <t>anyone with the link</t>
    </r>
    <r>
      <rPr>
        <rFont val="Comfortaa"/>
        <color rgb="FFFCE5CD"/>
      </rPr>
      <t>" of all your IDs sheets
If you have any other trouble, let us know in the #effective-path Discord's channel.</t>
    </r>
    <r>
      <rPr>
        <rFont val="Comfortaa"/>
        <color rgb="FFFFFFFF"/>
      </rPr>
      <t xml:space="preserve">
</t>
    </r>
    <r>
      <rPr>
        <rFont val="Comfortaa"/>
        <color rgb="FF666666"/>
        <sz val="7.0"/>
      </rPr>
      <t>I say us, but don't ask Fanta. Fanta hates IDS.</t>
    </r>
  </si>
  <si>
    <t>How to use</t>
  </si>
  <si>
    <r>
      <rPr>
        <rFont val="Comfortaa"/>
        <b/>
        <color rgb="FFFFFFFF"/>
        <u/>
      </rPr>
      <t xml:space="preserve">STEP 1:
</t>
    </r>
    <r>
      <rPr>
        <rFont val="Comfortaa"/>
        <color rgb="FFFFFFFF"/>
      </rPr>
      <t xml:space="preserve">Click on the </t>
    </r>
    <r>
      <rPr>
        <rFont val="Comfortaa"/>
        <b/>
        <i/>
        <color rgb="FFFFFFFF"/>
      </rPr>
      <t>Copy Me</t>
    </r>
    <r>
      <rPr>
        <rFont val="Comfortaa"/>
        <color rgb="FFFFFFFF"/>
      </rPr>
      <t xml:space="preserve"> link and create your copy of the IDS Master.
</t>
    </r>
    <r>
      <rPr>
        <rFont val="Comfortaa"/>
        <b/>
        <color rgb="FFFFFFFF"/>
        <u/>
      </rPr>
      <t xml:space="preserve">STEP 2:
</t>
    </r>
    <r>
      <rPr>
        <rFont val="Comfortaa"/>
        <color rgb="FFFFFFFF"/>
      </rPr>
      <t xml:space="preserve">Copy the ID </t>
    </r>
    <r>
      <rPr>
        <rFont val="Comfortaa"/>
        <color rgb="FF999999"/>
        <sz val="8.0"/>
      </rPr>
      <t>(you will find it in the IDS page)</t>
    </r>
    <r>
      <rPr>
        <rFont val="Comfortaa"/>
        <color rgb="FFFFFFFF"/>
      </rPr>
      <t xml:space="preserve"> of your newly created sheet and paste it in the light gray area.
</t>
    </r>
    <r>
      <rPr>
        <rFont val="Comfortaa"/>
        <b/>
        <color rgb="FFFFFFFF"/>
        <u/>
      </rPr>
      <t xml:space="preserve">STEP 3:
</t>
    </r>
    <r>
      <rPr>
        <rFont val="Comfortaa"/>
        <color rgb="FFFFFFFF"/>
      </rPr>
      <t>Wait a little bit, the F5 cell will show "</t>
    </r>
    <r>
      <rPr>
        <rFont val="Comfortaa"/>
        <b/>
        <color rgb="FFFFFFFF"/>
      </rPr>
      <t>Loading...</t>
    </r>
    <r>
      <rPr>
        <rFont val="Comfortaa"/>
        <color rgb="FFFFFFFF"/>
      </rPr>
      <t>", and after few seconds it will display "</t>
    </r>
    <r>
      <rPr>
        <rFont val="Comfortaa"/>
        <b/>
        <color rgb="FFFFFFFF"/>
      </rPr>
      <t>#REF!</t>
    </r>
    <r>
      <rPr>
        <rFont val="Comfortaa"/>
        <color rgb="FFFFFFFF"/>
      </rPr>
      <t>". Click on the cell, and "</t>
    </r>
    <r>
      <rPr>
        <rFont val="Comfortaa"/>
        <b/>
        <color rgb="FF6AA84F"/>
      </rPr>
      <t>Authorize</t>
    </r>
    <r>
      <rPr>
        <rFont val="Comfortaa"/>
        <color rgb="FFFFFFFF"/>
      </rPr>
      <t>" to let this sheet access the other one.</t>
    </r>
  </si>
  <si>
    <r>
      <rPr>
        <rFont val="Comfortaa"/>
        <color rgb="FF999999"/>
        <sz val="9.0"/>
      </rPr>
      <t xml:space="preserve">And that's it! The IDS are setuped. You can now fill sub IDS in the </t>
    </r>
    <r>
      <rPr>
        <rFont val="Comfortaa"/>
        <b/>
        <i/>
        <color rgb="FF999999"/>
        <sz val="9.0"/>
      </rPr>
      <t>IDS Master</t>
    </r>
    <r>
      <rPr>
        <rFont val="Comfortaa"/>
        <color rgb="FF999999"/>
        <sz val="9.0"/>
      </rPr>
      <t xml:space="preserve"> with sub IDS sheets (Laboratory, Workshop, ...) just like you did in here.
Every time you will change a value (let's say, a lab level in Laboratory Sheet) the change will be propagated to every other sheet using the IDS Master automatically.</t>
    </r>
  </si>
  <si>
    <t>Level</t>
  </si>
  <si>
    <t>Max</t>
  </si>
  <si>
    <t>Bonus</t>
  </si>
  <si>
    <t>LABS</t>
  </si>
  <si>
    <t>Labs Coin Discount</t>
  </si>
  <si>
    <t>VAULT TREE</t>
  </si>
  <si>
    <t>Lab Speed</t>
  </si>
  <si>
    <t>Labs Speed</t>
  </si>
  <si>
    <t>Package After Boss</t>
  </si>
  <si>
    <t>Recovery Package Chance</t>
  </si>
  <si>
    <t>Discount Rerolls</t>
  </si>
  <si>
    <t>Recovery Package Chance Mastery</t>
  </si>
  <si>
    <t>Common Drop Chance</t>
  </si>
  <si>
    <t>Daily Mission Shards</t>
  </si>
  <si>
    <t>Module Shards Cost</t>
  </si>
  <si>
    <t>Rare Drop Chance</t>
  </si>
  <si>
    <t>Shatter Shards</t>
  </si>
  <si>
    <t>Cannon Effect Bans</t>
  </si>
  <si>
    <t>Armor Effect Bans</t>
  </si>
  <si>
    <t>Generator Effect Bans</t>
  </si>
  <si>
    <t>Core Effect Bans</t>
  </si>
  <si>
    <t>Assist Module Bonus - Cannon</t>
  </si>
  <si>
    <t>Assist Module Bonus - Armor</t>
  </si>
  <si>
    <t>Assist Module Bonus - Generator</t>
  </si>
  <si>
    <t>Assist Module Bonus - Core</t>
  </si>
  <si>
    <t>Module Inventory</t>
  </si>
  <si>
    <t>🔵 CANNON</t>
  </si>
  <si>
    <t>Astral Deliverance</t>
  </si>
  <si>
    <t>Being Annihilator</t>
  </si>
  <si>
    <t>Death Penalty</t>
  </si>
  <si>
    <t>Havoc Bringer</t>
  </si>
  <si>
    <t>Shrink Ray</t>
  </si>
  <si>
    <t>Amplifying Strike</t>
  </si>
  <si>
    <t>Any Other</t>
  </si>
  <si>
    <t>Any Other 2</t>
  </si>
  <si>
    <t>Highest Level</t>
  </si>
  <si>
    <t>Rarity</t>
  </si>
  <si>
    <t>Stat</t>
  </si>
  <si>
    <t>Tower Damage</t>
  </si>
  <si>
    <t>Mythic+</t>
  </si>
  <si>
    <t>Ancestral</t>
  </si>
  <si>
    <t>Legendary</t>
  </si>
  <si>
    <t>Epic</t>
  </si>
  <si>
    <t>Common</t>
  </si>
  <si>
    <t>Assist Level</t>
  </si>
  <si>
    <t>Attack Speed</t>
  </si>
  <si>
    <t>Mythic</t>
  </si>
  <si>
    <t>MultiShot Chance</t>
  </si>
  <si>
    <t>Bounce Shot Chance</t>
  </si>
  <si>
    <t>Multishot Targets</t>
  </si>
  <si>
    <t>Critical Factor</t>
  </si>
  <si>
    <t>Bounce Shot Targets</t>
  </si>
  <si>
    <t>Super Crit Multi</t>
  </si>
  <si>
    <t>🟥 ARMOR</t>
  </si>
  <si>
    <t>Anti-Cube Portal</t>
  </si>
  <si>
    <t>Negative Mass Projector</t>
  </si>
  <si>
    <t>Space Displacer</t>
  </si>
  <si>
    <t>Wormhole Redirector</t>
  </si>
  <si>
    <t>Sharp Fortitude</t>
  </si>
  <si>
    <t>Orbital Augment</t>
  </si>
  <si>
    <t>Tower Health</t>
  </si>
  <si>
    <t>Ancestral 2*</t>
  </si>
  <si>
    <t>Ancestral 1*</t>
  </si>
  <si>
    <t>Orb Speed</t>
  </si>
  <si>
    <t>Defense %</t>
  </si>
  <si>
    <t>Health Regen</t>
  </si>
  <si>
    <t>Shockwave Size</t>
  </si>
  <si>
    <t>Wall Health</t>
  </si>
  <si>
    <t>Knockback Force</t>
  </si>
  <si>
    <t>Death Defy</t>
  </si>
  <si>
    <t>Thorns Damage</t>
  </si>
  <si>
    <t>▲ GENERATOR</t>
  </si>
  <si>
    <t>Black Hole Digestor</t>
  </si>
  <si>
    <t>Galaxy Compressor</t>
  </si>
  <si>
    <t>Singularity Harness</t>
  </si>
  <si>
    <t>Pulsar Harvester</t>
  </si>
  <si>
    <t>Project Funding</t>
  </si>
  <si>
    <t>Restorative Bonus</t>
  </si>
  <si>
    <t>Coin Bonus</t>
  </si>
  <si>
    <t>Coins / Kill Bonus</t>
  </si>
  <si>
    <t>Package Chance</t>
  </si>
  <si>
    <t>Free Utility Upgrade</t>
  </si>
  <si>
    <t>Enemy Attack Level Skip</t>
  </si>
  <si>
    <t>Enemy Health Level Skip</t>
  </si>
  <si>
    <t>Free Defense Upgrade</t>
  </si>
  <si>
    <t>Free Attack Upgrade</t>
  </si>
  <si>
    <t>🔶 CORE</t>
  </si>
  <si>
    <t>Multiverse Nexus</t>
  </si>
  <si>
    <t>Dimension Core</t>
  </si>
  <si>
    <t>Harmony Conductor</t>
  </si>
  <si>
    <t>Om Chip</t>
  </si>
  <si>
    <t>Magnetic Hook</t>
  </si>
  <si>
    <t>Primordial Collapse</t>
  </si>
  <si>
    <t>UW Damage</t>
  </si>
  <si>
    <t>Ancestral 5*</t>
  </si>
  <si>
    <t>Death Wave - Quantity</t>
  </si>
  <si>
    <t>Chain Lightning - Chance</t>
  </si>
  <si>
    <t>Chrono Field - Duration</t>
  </si>
  <si>
    <t>Black Hole - Duration</t>
  </si>
  <si>
    <t>Golden Tower - Bonus</t>
  </si>
  <si>
    <t>Spotlight - Angle</t>
  </si>
  <si>
    <t>Spotlight - Bonus</t>
  </si>
  <si>
    <t>Black Hole - Cooldown</t>
  </si>
  <si>
    <t>Black Hole - Size</t>
  </si>
  <si>
    <t>Chain Lightning - Quantity</t>
  </si>
  <si>
    <t>Rare</t>
  </si>
  <si>
    <t>Chain Lightning - Damage</t>
  </si>
  <si>
    <t>Death Wave - Cooldown</t>
  </si>
  <si>
    <t>Chrono Field - Cooldown</t>
  </si>
  <si>
    <t>Chrono Field - Speed Reduction</t>
  </si>
  <si>
    <t>Death Wave - Damage</t>
  </si>
  <si>
    <t>Assist Slots</t>
  </si>
  <si>
    <t>Assist Slot</t>
  </si>
  <si>
    <t>Module Presets</t>
  </si>
  <si>
    <t>Farming</t>
  </si>
  <si>
    <t>Tourney</t>
  </si>
  <si>
    <t>Testing</t>
  </si>
  <si>
    <t>Rarity Cap</t>
  </si>
  <si>
    <t>Multiplier Cap</t>
  </si>
  <si>
    <t>00 | 1% | Cost 0 ⧌ | Next 15 ⧌</t>
  </si>
  <si>
    <t>Primary Slot</t>
  </si>
  <si>
    <t>Substat Cap</t>
  </si>
  <si>
    <t>09 | 10% | Cost 39 ⧌ | Next 42 ⧌</t>
  </si>
  <si>
    <t>RARITY</t>
  </si>
  <si>
    <t>Cannon</t>
  </si>
  <si>
    <t>Armor</t>
  </si>
  <si>
    <t>Generator</t>
  </si>
  <si>
    <t>Core</t>
  </si>
  <si>
    <t>Assist level</t>
  </si>
  <si>
    <t>Cost</t>
  </si>
  <si>
    <t>%</t>
  </si>
  <si>
    <t>Dropdown</t>
  </si>
  <si>
    <t>Substat Names</t>
  </si>
  <si>
    <t>Substat Values</t>
  </si>
  <si>
    <t>Format</t>
  </si>
  <si>
    <t>RAW</t>
  </si>
  <si>
    <t>Formated</t>
  </si>
  <si>
    <t>Base stat</t>
  </si>
  <si>
    <t>Damage</t>
  </si>
  <si>
    <t>Hp</t>
  </si>
  <si>
    <t>Coin</t>
  </si>
  <si>
    <t>UW</t>
  </si>
  <si>
    <t>DVT_Mod_Unique_Name</t>
  </si>
  <si>
    <t>Cannons</t>
  </si>
  <si>
    <t>Armors</t>
  </si>
  <si>
    <t>Generators</t>
  </si>
  <si>
    <t>Cores</t>
  </si>
  <si>
    <t>DVT_Mod_Base_Rarity</t>
  </si>
  <si>
    <t>DVT_Mod_Base_Rarity_Uniques</t>
  </si>
  <si>
    <t>DVT_Mod_Stat_Rarity</t>
  </si>
  <si>
    <t>Null</t>
  </si>
  <si>
    <t>None</t>
  </si>
  <si>
    <t xml:space="preserve"> </t>
  </si>
  <si>
    <t>[&lt;1]+0.0;[&gt;=1]+0;</t>
  </si>
  <si>
    <t>Critical Chance</t>
  </si>
  <si>
    <t>Rare+</t>
  </si>
  <si>
    <t>Epic+</t>
  </si>
  <si>
    <t>Cash / Wave</t>
  </si>
  <si>
    <t>Golden Tower - Duration</t>
  </si>
  <si>
    <t>[&lt;1]+0.0x;[&gt;=1]+0x;</t>
  </si>
  <si>
    <t>Defense Absolute</t>
  </si>
  <si>
    <t>Golden Tower - Cooldown</t>
  </si>
  <si>
    <t>Attack Range</t>
  </si>
  <si>
    <t>+0.00"m"</t>
  </si>
  <si>
    <t>Legendary+</t>
  </si>
  <si>
    <t>Coins / Wave</t>
  </si>
  <si>
    <t>Damage / Meter</t>
  </si>
  <si>
    <t>+0.000x</t>
  </si>
  <si>
    <t>Lifesteal</t>
  </si>
  <si>
    <t>Knockback Chance</t>
  </si>
  <si>
    <t>+0</t>
  </si>
  <si>
    <t>Rapid Fire Chance</t>
  </si>
  <si>
    <t>Interest / Wave</t>
  </si>
  <si>
    <t>Rapid Fire Duration</t>
  </si>
  <si>
    <t>+0.0"s"</t>
  </si>
  <si>
    <t>Orbs</t>
  </si>
  <si>
    <t>Recovery Amount</t>
  </si>
  <si>
    <t>Ancestral 3*</t>
  </si>
  <si>
    <t>Max Recovery</t>
  </si>
  <si>
    <t>Ancestral 4*</t>
  </si>
  <si>
    <t>Shockwave Frequency</t>
  </si>
  <si>
    <t>Bounce Shot Range</t>
  </si>
  <si>
    <t>Land Mine Damage</t>
  </si>
  <si>
    <t>Super Crit Chance</t>
  </si>
  <si>
    <t>Land Mine Chance</t>
  </si>
  <si>
    <t>Land Mine Radius</t>
  </si>
  <si>
    <t>Rend Armor Chance</t>
  </si>
  <si>
    <t>Smart Missiles - Damage</t>
  </si>
  <si>
    <t>Rend Armor Multi</t>
  </si>
  <si>
    <t>Smart Missiles - Quantity</t>
  </si>
  <si>
    <t>Max Rend Armor Multi</t>
  </si>
  <si>
    <t>Increase / lvl</t>
  </si>
  <si>
    <t>Wall Rebuild</t>
  </si>
  <si>
    <t>Smart Missiles - Cooldown</t>
  </si>
  <si>
    <t>Inner Land Mines - Damage</t>
  </si>
  <si>
    <t>Inner Land Mines - Quantity</t>
  </si>
  <si>
    <t>Inner Land Mines - Cooldown</t>
  </si>
  <si>
    <t>Poison Swamp - Damage</t>
  </si>
  <si>
    <t>Poison Swamp - Duration</t>
  </si>
  <si>
    <t>Poison Swamp - Cooldown</t>
  </si>
  <si>
    <t>+0.0</t>
  </si>
  <si>
    <t>[&lt;1.5]+0;[=1.5]+0.0;+0</t>
  </si>
  <si>
    <t>0"s"</t>
  </si>
  <si>
    <t>[&lt;1]+0.00;[&gt;=1]+0;</t>
  </si>
  <si>
    <t>[&lt;0.05]+0.0%;[&gt;=0.05]+0%;</t>
  </si>
  <si>
    <t>Cash Bonus</t>
  </si>
  <si>
    <t>+0.0x</t>
  </si>
  <si>
    <t>[&lt;1]+0.0x;[=1]+0x;+0.0x</t>
  </si>
  <si>
    <t>+0"s"</t>
  </si>
  <si>
    <t>[&lt;10]+0.0x;[&gt;=10]+0x;</t>
  </si>
  <si>
    <t>+0°</t>
  </si>
  <si>
    <t>[&lt;2]+0.0x;[&gt;=2]+0x;</t>
  </si>
  <si>
    <t>Mod</t>
  </si>
  <si>
    <t># Pulled</t>
  </si>
  <si>
    <t>%Ca</t>
  </si>
  <si>
    <t>%T</t>
  </si>
  <si>
    <t>%G</t>
  </si>
  <si>
    <t>AD</t>
  </si>
  <si>
    <t>BHD</t>
  </si>
  <si>
    <t>BA</t>
  </si>
  <si>
    <t>GC</t>
  </si>
  <si>
    <t>DP</t>
  </si>
  <si>
    <t>PH</t>
  </si>
  <si>
    <t>HB</t>
  </si>
  <si>
    <t>SH</t>
  </si>
  <si>
    <t>SR</t>
  </si>
  <si>
    <t>PF</t>
  </si>
  <si>
    <t>Total</t>
  </si>
  <si>
    <t>%A</t>
  </si>
  <si>
    <t>%Co</t>
  </si>
  <si>
    <t>ACP</t>
  </si>
  <si>
    <t>DC</t>
  </si>
  <si>
    <t>NMP</t>
  </si>
  <si>
    <t>HC</t>
  </si>
  <si>
    <t>SD</t>
  </si>
  <si>
    <t>MVN</t>
  </si>
  <si>
    <t>WHR</t>
  </si>
  <si>
    <t>OC</t>
  </si>
  <si>
    <t>SF</t>
  </si>
  <si>
    <t>MH</t>
  </si>
  <si>
    <t>Total Uniques</t>
  </si>
  <si>
    <t>Avg Gems per Mod</t>
  </si>
  <si>
    <t>Avg Gems Required</t>
  </si>
  <si>
    <t>Average Pulls</t>
  </si>
  <si>
    <t>Pity</t>
  </si>
  <si>
    <t>Pity Gems Required</t>
  </si>
  <si>
    <t>Expected Value (Each mod)</t>
  </si>
  <si>
    <t>Next Specific Mod Pull</t>
  </si>
  <si>
    <t>Standard #</t>
  </si>
  <si>
    <t>Uniques Remaining</t>
  </si>
  <si>
    <t>Weekly Gem Income</t>
  </si>
  <si>
    <t>Avg Gems Remaining</t>
  </si>
  <si>
    <t>Avg Weeks Remaining</t>
  </si>
  <si>
    <t>Module Planner</t>
  </si>
  <si>
    <t>Show Shattered</t>
  </si>
  <si>
    <t>Module Tracker (Global stats)</t>
  </si>
  <si>
    <t>Module Tracker (Detailed)</t>
  </si>
  <si>
    <t>Fodder Tracker</t>
  </si>
  <si>
    <t>Modules Obtained</t>
  </si>
  <si>
    <t>Cannon Summary</t>
  </si>
  <si>
    <t>Generator Summary</t>
  </si>
  <si>
    <t>Fodder Management (optional)</t>
  </si>
  <si>
    <t>Fodders</t>
  </si>
  <si>
    <t>Qty</t>
  </si>
  <si>
    <t>%Can</t>
  </si>
  <si>
    <t>Progress</t>
  </si>
  <si>
    <t>%Gen</t>
  </si>
  <si>
    <t>Properties</t>
  </si>
  <si>
    <t>Value</t>
  </si>
  <si>
    <t>Fodder Value</t>
  </si>
  <si>
    <t>Status</t>
  </si>
  <si>
    <t>eff.</t>
  </si>
  <si>
    <t>Primary</t>
  </si>
  <si>
    <t>GComp</t>
  </si>
  <si>
    <t>Copies</t>
  </si>
  <si>
    <t>AS</t>
  </si>
  <si>
    <t>RB</t>
  </si>
  <si>
    <t>Shattered epic</t>
  </si>
  <si>
    <t>Quantity | %Cannon | %Total</t>
  </si>
  <si>
    <t>%Fodders</t>
  </si>
  <si>
    <t>Armor Summary</t>
  </si>
  <si>
    <t>Core Summary</t>
  </si>
  <si>
    <t>%Arm</t>
  </si>
  <si>
    <t>%Core</t>
  </si>
  <si>
    <t>OA</t>
  </si>
  <si>
    <t>PC</t>
  </si>
  <si>
    <t>Quantity | %Armor | %Total</t>
  </si>
  <si>
    <t>Global Stats</t>
  </si>
  <si>
    <t>Gems review</t>
  </si>
  <si>
    <t>Total Unique Modules</t>
  </si>
  <si>
    <t>Average Gems per mod</t>
  </si>
  <si>
    <t>Average Value</t>
  </si>
  <si>
    <t>Average Gems spent</t>
  </si>
  <si>
    <t>Average Pulls (Total)</t>
  </si>
  <si>
    <t>Next Pity (Gems)</t>
  </si>
  <si>
    <t>Next Pity Pull (from 150)</t>
  </si>
  <si>
    <t>Max. Gems spent</t>
  </si>
  <si>
    <t>Current Inventory</t>
  </si>
  <si>
    <t>Next specific Mod Pull (avg)</t>
  </si>
  <si>
    <t>Additional Fodders needed</t>
  </si>
  <si>
    <t>Next specific Mod Pull (pity)</t>
  </si>
  <si>
    <t>Gems (Inventory)</t>
  </si>
  <si>
    <t>Quantity | %Generator | %Total</t>
  </si>
  <si>
    <t>Input values</t>
  </si>
  <si>
    <t>Remaining (average)</t>
  </si>
  <si>
    <t>Average Pulls per Unique</t>
  </si>
  <si>
    <t>Milestone</t>
  </si>
  <si>
    <t>Mods</t>
  </si>
  <si>
    <t>Weeks</t>
  </si>
  <si>
    <t>Gems</t>
  </si>
  <si>
    <t>Target Value</t>
  </si>
  <si>
    <t>Pity Counter</t>
  </si>
  <si>
    <t>Target</t>
  </si>
  <si>
    <t>Quantity | %Core | %Total</t>
  </si>
  <si>
    <t>Confidence:</t>
  </si>
  <si>
    <t>Desired Effects</t>
  </si>
  <si>
    <t>Locks</t>
  </si>
  <si>
    <t>By Freeman0916</t>
  </si>
  <si>
    <t>Note: There are slightly lower odds to roll an effect at higher rarities if it can appear at lower rarities due to the fact if it rolls at the lower rarity in an early open slot during a roll, it prevents it from appearing again at the desired higher rarity in the same roll. Because of this, it is more beneficial when banning effects to ban ones that can only appear at a higher rarity that are undesirable. This sheet does not account for this variation yet.</t>
  </si>
  <si>
    <t>Max Rolls Needed</t>
  </si>
  <si>
    <t>Dice Needed</t>
  </si>
  <si>
    <t>Cannon (Attack)</t>
  </si>
  <si>
    <t>Ancestral Odds Table</t>
  </si>
  <si>
    <t>1st mod</t>
  </si>
  <si>
    <t>2nd mod</t>
  </si>
  <si>
    <t>3rd mod</t>
  </si>
  <si>
    <t>4th mod</t>
  </si>
  <si>
    <t>5th mod</t>
  </si>
  <si>
    <t>6th mod</t>
  </si>
  <si>
    <t>7th mod</t>
  </si>
  <si>
    <t>8th mod</t>
  </si>
  <si>
    <t>Mythic Odds Table</t>
  </si>
  <si>
    <t>Legendary Odds Table</t>
  </si>
  <si>
    <t>Epic Odds Table</t>
  </si>
  <si>
    <t>Slots Unlocked:</t>
  </si>
  <si>
    <t>Possible Ancestral Cannon Effects</t>
  </si>
  <si>
    <t>Odds of Ancestral Cannon Effect:</t>
  </si>
  <si>
    <t>1st open slot</t>
  </si>
  <si>
    <t>Cannon Effects Banned:</t>
  </si>
  <si>
    <t>Possible Mythic Cannon Effects</t>
  </si>
  <si>
    <t>Odds of Mythic Cannon Effect or Better:</t>
  </si>
  <si>
    <t>2nd open slot</t>
  </si>
  <si>
    <t>Cannon Module Rarity:</t>
  </si>
  <si>
    <t>Possible Legendary Cannon Effects</t>
  </si>
  <si>
    <t>Odds of Legendary Cannon Effect or Better:</t>
  </si>
  <si>
    <t>3rd open slot</t>
  </si>
  <si>
    <t>Possible Epic Cannon Effects</t>
  </si>
  <si>
    <t>Odds of Epic Cannon Effect or Better:</t>
  </si>
  <si>
    <t>4th open slot</t>
  </si>
  <si>
    <t>5th open slot</t>
  </si>
  <si>
    <t>Possible Ancestral Armor Effects</t>
  </si>
  <si>
    <t>Odds of Ancestral Armor Effect:</t>
  </si>
  <si>
    <t>6th open slot</t>
  </si>
  <si>
    <t>Possible Mythic Armor Effects</t>
  </si>
  <si>
    <t>Odds of Mythic Armor Effect or Better:</t>
  </si>
  <si>
    <t>7th open slot</t>
  </si>
  <si>
    <t>Possible Legendary Armor Effects</t>
  </si>
  <si>
    <t>Odds of Legendary Armor Effect or Better:</t>
  </si>
  <si>
    <t>8th open slot</t>
  </si>
  <si>
    <t>Armor (Defense)</t>
  </si>
  <si>
    <t>Possible Epic Armor Effects</t>
  </si>
  <si>
    <t>Odds of Epic Armor Effect or Better:</t>
  </si>
  <si>
    <t>Number of rolls to get mod with set confidence</t>
  </si>
  <si>
    <t>Armor Effects Banned:</t>
  </si>
  <si>
    <t>Possible Ancestral Generator Effects</t>
  </si>
  <si>
    <t>Odds of Ancestral Generator Effect:</t>
  </si>
  <si>
    <t>Armor Module Rarity:</t>
  </si>
  <si>
    <t>Possible Mythic Generator Effects</t>
  </si>
  <si>
    <t>Odds of Mythic Generator Effect or Better:</t>
  </si>
  <si>
    <t>Possible Legendary Generator Effects</t>
  </si>
  <si>
    <t>Odds of Legendary Generator Effect or Better:</t>
  </si>
  <si>
    <t>Possible Epic Generator Effects</t>
  </si>
  <si>
    <t>Odds of Epic Generator Effect or Better:</t>
  </si>
  <si>
    <t>Possible Ancestral Core Effects</t>
  </si>
  <si>
    <t>Odds of Ancestral Core Effect:</t>
  </si>
  <si>
    <t>Possible Mythic Core Effects</t>
  </si>
  <si>
    <t>Odds of Mythic Core Effect or Better:</t>
  </si>
  <si>
    <t>Generator (Utility)</t>
  </si>
  <si>
    <t>Possible Legendary Core Effects</t>
  </si>
  <si>
    <t>Odds of Legendary Core Effect or Better:</t>
  </si>
  <si>
    <t>Possible Epic Core Effects</t>
  </si>
  <si>
    <t>Odds of Epic Core Effect or Better:</t>
  </si>
  <si>
    <t>Generator Effects Banned:</t>
  </si>
  <si>
    <t>Generator Module Rarity:</t>
  </si>
  <si>
    <t>Instructions: File &gt; Make a Copy. Fill in the blue boxes with the module's rarity, number of available slots, the number of bans for that module type (including auto-bans), and how many different effects you would be happy with at each stage of locking. 
Brief Explanation of "Confidence": A Confidence rating of 95% means that 95% of people will get their desired result within the number of rolls shown on the chart or earlier. If you're lucky, you could get it much earlier, even on your first roll, but it also means that you could get really unlucky and be in the 5% of people that will require more rolls to get their desired result. It is impossible to have 100% confidence on a random roll, and there is no pity mechanic we are aware of that gives you a result after a fixed number of tries. For most people, the default value of 95% Confidence will be fine, but if you want to be nearly certain you have enough dice for a result you can set it to 99.99% Confidence, or if you're feeling lucky, you can set it to 50% Confidence and see if you win the coin flip. Happy rolling!</t>
  </si>
  <si>
    <t>Core (UW)</t>
  </si>
  <si>
    <t>Free Bans:</t>
  </si>
  <si>
    <t>Core Effects Banned:</t>
  </si>
  <si>
    <t>Core Module Rarity:</t>
  </si>
  <si>
    <t>Module Reroll Discount:</t>
  </si>
  <si>
    <t>Dice Cost (0 locks):</t>
  </si>
  <si>
    <t>Base Dice Cost (0 locks):</t>
  </si>
  <si>
    <t>Odds of Epic Effect:</t>
  </si>
  <si>
    <t>Dice Cost (1 locks):</t>
  </si>
  <si>
    <t>Base Dice Cost (1 locks):</t>
  </si>
  <si>
    <t>Odds of Legendary Effect:</t>
  </si>
  <si>
    <t>Dice Cost (2 locks):</t>
  </si>
  <si>
    <t>Base Dice Cost (2 locks):</t>
  </si>
  <si>
    <t>Odds of Mythic Effect:</t>
  </si>
  <si>
    <t>Dice Cost (3 locks):</t>
  </si>
  <si>
    <t>Base Dice Cost (3 locks):</t>
  </si>
  <si>
    <t>Odds of Ancestral Effect:</t>
  </si>
  <si>
    <t>Dice Cost (4 locks):</t>
  </si>
  <si>
    <t>Base Dice Cost (4 locks):</t>
  </si>
  <si>
    <t>Original:</t>
  </si>
  <si>
    <t>Ticketmaster's Tower Tables v25 Update</t>
  </si>
  <si>
    <t>Dice Cost (5 locks):</t>
  </si>
  <si>
    <t>Base Dice Cost (5 locks):</t>
  </si>
  <si>
    <t>Dice Cost (6 locks):</t>
  </si>
  <si>
    <t>Base Dice Cost (6 locks):</t>
  </si>
  <si>
    <t>Dice Cost (7 locks):</t>
  </si>
  <si>
    <t>Base Dice Cost (7 locks):</t>
  </si>
  <si>
    <t>Mv5</t>
  </si>
  <si>
    <t>Placeholder 4th preset</t>
  </si>
  <si>
    <t>Placeholder 5th preset</t>
  </si>
  <si>
    <t/>
  </si>
  <si>
    <t>+1.5</t>
  </si>
  <si>
    <t>+0.4x</t>
  </si>
  <si>
    <t>+1</t>
  </si>
  <si>
    <t>+0.3</t>
  </si>
  <si>
    <t>+4%</t>
  </si>
  <si>
    <t>+2x</t>
  </si>
  <si>
    <t>+1.5%</t>
  </si>
  <si>
    <t>+8%</t>
  </si>
  <si>
    <t>+8.00m</t>
  </si>
  <si>
    <t>+8x</t>
  </si>
  <si>
    <t>+3</t>
  </si>
  <si>
    <t>+12%</t>
  </si>
  <si>
    <t>+11°</t>
  </si>
  <si>
    <t>+12x</t>
  </si>
  <si>
    <t>+15x</t>
  </si>
  <si>
    <t>+9%</t>
  </si>
  <si>
    <t>+50x</t>
  </si>
  <si>
    <t>+10%</t>
  </si>
  <si>
    <t>+0.5x</t>
  </si>
  <si>
    <t>+6%</t>
  </si>
  <si>
    <t>+11%</t>
  </si>
  <si>
    <t>+5%</t>
  </si>
  <si>
    <t>+7s</t>
  </si>
  <si>
    <t>+40%</t>
  </si>
  <si>
    <t>+100%</t>
  </si>
  <si>
    <t>+0.6x</t>
  </si>
  <si>
    <t>+3°</t>
  </si>
  <si>
    <t>+400%</t>
  </si>
  <si>
    <t>+0.9</t>
  </si>
  <si>
    <t>+120%</t>
  </si>
  <si>
    <t>+4s</t>
  </si>
  <si>
    <t>-4s</t>
  </si>
  <si>
    <t>+4</t>
  </si>
  <si>
    <t>+2</t>
  </si>
  <si>
    <t>+15°</t>
  </si>
  <si>
    <t>+5x</t>
  </si>
  <si>
    <t>+0.3x</t>
  </si>
  <si>
    <t>Shard Cost Discount</t>
  </si>
  <si>
    <t>Max Level</t>
  </si>
  <si>
    <t>Assist %</t>
  </si>
  <si>
    <t>Current Shards</t>
  </si>
  <si>
    <t>Primary level</t>
  </si>
  <si>
    <t>Holding shards</t>
  </si>
  <si>
    <t>Total Shards</t>
  </si>
  <si>
    <t>Simulations</t>
  </si>
  <si>
    <t>Primary Mod</t>
  </si>
  <si>
    <t>Optimal Level</t>
  </si>
  <si>
    <t>Minimum</t>
  </si>
  <si>
    <t>Assist Mod</t>
  </si>
  <si>
    <t>Apply optimal levels:</t>
  </si>
  <si>
    <t>Combination</t>
  </si>
  <si>
    <t>Current</t>
  </si>
  <si>
    <t>Multiplier</t>
  </si>
  <si>
    <t>Optimal</t>
  </si>
  <si>
    <t>% increase</t>
  </si>
  <si>
    <t>Shard cost</t>
  </si>
  <si>
    <t>Discounted cost</t>
  </si>
  <si>
    <t>Total discounted cost</t>
  </si>
  <si>
    <t>cannonPrimary</t>
  </si>
  <si>
    <t>armorPrimary</t>
  </si>
  <si>
    <t>generatorPrimary</t>
  </si>
  <si>
    <t>corePrimary</t>
  </si>
  <si>
    <t>cannonAssist</t>
  </si>
  <si>
    <t>armorAssist</t>
  </si>
  <si>
    <t>generatorAssist</t>
  </si>
  <si>
    <t>coreAssist</t>
  </si>
  <si>
    <t>cannonCombined</t>
  </si>
  <si>
    <t>armorCombined</t>
  </si>
  <si>
    <t>generatorCombined</t>
  </si>
  <si>
    <t>coreCombined</t>
  </si>
  <si>
    <t>Curve represent the effective value increase in the next 30 upgrades</t>
  </si>
  <si>
    <t xml:space="preserve"> ↓ Shard Lab PATH  ↓</t>
  </si>
  <si>
    <t>The Effective Avg. Shard Lab Path (0.27.0) (Time focused)</t>
  </si>
  <si>
    <t>Total Lab Time</t>
  </si>
  <si>
    <t>User Specific Guess</t>
  </si>
  <si>
    <t>Formulas</t>
  </si>
  <si>
    <t>Lab</t>
  </si>
  <si>
    <t>Workshop ($)</t>
  </si>
  <si>
    <t>LAB PATH UPDATE RUNNING</t>
  </si>
  <si>
    <t>eShard Calculations</t>
  </si>
  <si>
    <t>eShard Simulations</t>
  </si>
  <si>
    <t>TIME USAGE vs eSHARD GAIN</t>
  </si>
  <si>
    <t>LAB PATH UPDATE MATRIX</t>
  </si>
  <si>
    <t>Duration</t>
  </si>
  <si>
    <t>ROI / day</t>
  </si>
  <si>
    <t>Shards</t>
  </si>
  <si>
    <t>Running Time</t>
  </si>
  <si>
    <t>Expected Waves per Day</t>
  </si>
  <si>
    <t>eShards</t>
  </si>
  <si>
    <t>x1</t>
  </si>
  <si>
    <t>Avg. Shards/Day</t>
  </si>
  <si>
    <t>Boss spawns every # of waves</t>
  </si>
  <si>
    <t>Ignore target levels</t>
  </si>
  <si>
    <t>-</t>
  </si>
  <si>
    <t>Mastery</t>
  </si>
  <si>
    <t>15d 21h 18m</t>
  </si>
  <si>
    <t>2.84 K</t>
  </si>
  <si>
    <t>29d  3h  3m</t>
  </si>
  <si>
    <t>18d 12h 51m</t>
  </si>
  <si>
    <t>3.16 K</t>
  </si>
  <si>
    <t>47d 15h 54m</t>
  </si>
  <si>
    <t>Cards📝</t>
  </si>
  <si>
    <t>21d  4h 24m</t>
  </si>
  <si>
    <t>3.48 K</t>
  </si>
  <si>
    <t>68d 20h 18m</t>
  </si>
  <si>
    <t>Compare Masteries at level</t>
  </si>
  <si>
    <t>23d 19h 57m</t>
  </si>
  <si>
    <t>3.8 K</t>
  </si>
  <si>
    <t>92d 16h 15m</t>
  </si>
  <si>
    <t>26d 11h 30m</t>
  </si>
  <si>
    <t>4.13 K</t>
  </si>
  <si>
    <t>119d  3h 45m</t>
  </si>
  <si>
    <t>The Tower Modules, v27</t>
  </si>
  <si>
    <t>by @GodzillasDaddy, layout inspired by kosmirionepos</t>
  </si>
  <si>
    <t>Cannon Modules</t>
  </si>
  <si>
    <t>Generator Modules</t>
  </si>
  <si>
    <t>Effect</t>
  </si>
  <si>
    <t>Astral Deliverance
(AD)</t>
  </si>
  <si>
    <t>Bounce shot's range is increased by 3% of tower's total range. Each bounce increases the projectiles's damage by [x]%.</t>
  </si>
  <si>
    <t>Singularity Harness
(SH)</t>
  </si>
  <si>
    <t>Increase the range of each bot by +[x]m. Enemies hit by the Flame Bot receive double damage.</t>
  </si>
  <si>
    <t>Being Annihilator
(BA)</t>
  </si>
  <si>
    <t>When you super crit, your next [x] attacks are guaranteed super crits.</t>
  </si>
  <si>
    <t>Galaxy Compressor
(GC)</t>
  </si>
  <si>
    <t>Collecting a recovery package reduced the cooldown of all Ultimate Weapons except Poison Swamp by [x]s.</t>
  </si>
  <si>
    <t>10s</t>
  </si>
  <si>
    <t>13s</t>
  </si>
  <si>
    <t>17s</t>
  </si>
  <si>
    <t>20s</t>
  </si>
  <si>
    <t>Death Penalty
(DP)</t>
  </si>
  <si>
    <t>Chance of [x]% to mark an enemy for death when it spawns, causing the first hit to destroy it.</t>
  </si>
  <si>
    <t>Pulsar Harvester
(PH)</t>
  </si>
  <si>
    <t>Each time a projectile hits an enemy, there is a [x]% chance that it will reduce the enemy's Health and Attack level by 1 (diminishing returns after 100 reductions).</t>
  </si>
  <si>
    <t>Havoc Bringer
(HB)</t>
  </si>
  <si>
    <t>[x]% chance for rend armor to instantly go to max.</t>
  </si>
  <si>
    <t>Black Hole Digestor
(BHD)</t>
  </si>
  <si>
    <t>Temporarily get [x]% extra Coins/ Kill Bonus for each free upgrade you got on the current wave. Free Upgrades can not increase Tower Range.</t>
  </si>
  <si>
    <t>Shrink Ray
(SR)</t>
  </si>
  <si>
    <t>Attacks have a 1% chance to apply a non-stacking effect that decreases the enemy's mass by [x]%.</t>
  </si>
  <si>
    <t>Project Funding
(PF)</t>
  </si>
  <si>
    <t>Tower damage is multiplied by [x]% of the number of digits in your current cash.</t>
  </si>
  <si>
    <t>Amplifying Strike
(AS)</t>
  </si>
  <si>
    <t>Killing a boss or elite enemy increases Tower damage by 5x for [x]s</t>
  </si>
  <si>
    <t>5s</t>
  </si>
  <si>
    <t>11s</t>
  </si>
  <si>
    <t>18s</t>
  </si>
  <si>
    <t>26s</t>
  </si>
  <si>
    <t>Restorative Bonus
(RB)</t>
  </si>
  <si>
    <t>Packages grant a 50% attack speed boost for [x]s, decaying for 60 seconds.</t>
  </si>
  <si>
    <t>15s</t>
  </si>
  <si>
    <t>25s</t>
  </si>
  <si>
    <t>30s</t>
  </si>
  <si>
    <t>Armor Modules</t>
  </si>
  <si>
    <t>Core Modules</t>
  </si>
  <si>
    <t>Anti-Cube Portal
(ACP)</t>
  </si>
  <si>
    <t>Enemies take [x]x damage for 7s after they are hit by a shockwave.</t>
  </si>
  <si>
    <t>10x</t>
  </si>
  <si>
    <t>15x</t>
  </si>
  <si>
    <t>20x</t>
  </si>
  <si>
    <t>25x</t>
  </si>
  <si>
    <t>Om Chip
(OC)</t>
  </si>
  <si>
    <t>Spotlight will rotate to focus a Boss. Bosses reflect the light around it to nearby enemies, increasing by [x]</t>
  </si>
  <si>
    <t>Negative Mass Projector
(NMP)</t>
  </si>
  <si>
    <t>If an orb doesn't kill the enemy it will apply a stacking debuff, reducing its damage and speed by [x]% per hit, to a max reduction of 50%.</t>
  </si>
  <si>
    <t>Harmony Conductor
(HC)</t>
  </si>
  <si>
    <t>[x]% chance of poisoned enemies to miss-attack (bosses chance is halved).</t>
  </si>
  <si>
    <t>Wormhole Redirector
(WHR)</t>
  </si>
  <si>
    <t>Health Regen can heal up to [x]% of Package Max Recovery.</t>
  </si>
  <si>
    <t>Dimension Core
(DC)</t>
  </si>
  <si>
    <t>Chain lightning have 60% chance of hitting the initial target. Shock chance and multiplier is doubled. If shock is applied again to the same enemy the shock multiplier will add up to a max stack of [x]</t>
  </si>
  <si>
    <t>Space Displacer
(SD)</t>
  </si>
  <si>
    <t xml:space="preserve">Landmines have a [x]% chance to spawn as an Inner Land Mine (20 max) instead of a normal mine. These mines autonomously move and organize around the tower.  </t>
  </si>
  <si>
    <t>Multiverse Nexus
(MVN)</t>
  </si>
  <si>
    <t>Death Wave, Golden Tower and Black Hole will always activate at the same time, but the cooldown will be the average of those +/-[x]s.</t>
  </si>
  <si>
    <t>1s</t>
  </si>
  <si>
    <t>-10s</t>
  </si>
  <si>
    <t>Sharp Fortitude
(SF)</t>
  </si>
  <si>
    <t>Increase the Wall's health and regen by [x]. Enemies take +1% increased damage from wall thorns per subsequent hit.</t>
  </si>
  <si>
    <t>1.25x</t>
  </si>
  <si>
    <t>1.5x</t>
  </si>
  <si>
    <t>2x</t>
  </si>
  <si>
    <t>2.5x</t>
  </si>
  <si>
    <t>Magnetic Hook
(MH)</t>
  </si>
  <si>
    <t>[x] Inner Land Mines are fired at Bosses as they enter Tower range. 25% of Elites have Inner Land Mines fired at them as they enter Tower range.</t>
  </si>
  <si>
    <t>Orbital Augment
(OA)</t>
  </si>
  <si>
    <t>Orbital Augment adds [x] orbiting Electrons around the tower. Each Electron deals damage equal to 15% of the enemy's remaining health (quarter effective against Bosses and Fleets)</t>
  </si>
  <si>
    <t>Primordial Collapse
(PC)</t>
  </si>
  <si>
    <t>Spawns one additional Black Hole. Damage from enemies within a Black Hole is decreased by [x]%</t>
  </si>
  <si>
    <r>
      <rPr>
        <rFont val="Arial"/>
        <color rgb="FFAEAEAE"/>
        <sz val="10.0"/>
      </rPr>
      <t xml:space="preserve">credits: </t>
    </r>
    <r>
      <rPr>
        <rFont val="Arial"/>
        <color rgb="FFAEAEAE"/>
        <sz val="10.0"/>
        <u/>
      </rPr>
      <t>https://the-tower-idle-tower-defense.fandom.com/wiki/Modules</t>
    </r>
  </si>
  <si>
    <t>The Tower Module Substats, v27</t>
  </si>
  <si>
    <r>
      <rPr>
        <rFont val="Arial"/>
        <color rgb="FFFFFFFF"/>
        <sz val="11.0"/>
      </rPr>
      <t xml:space="preserve">by Kosmirion Epos / kosmirionepos
Donations Welcome: </t>
    </r>
    <r>
      <rPr>
        <rFont val="Arial"/>
        <color rgb="FFFFFFFF"/>
        <sz val="11.0"/>
        <u/>
      </rPr>
      <t>335558378DD4C132</t>
    </r>
  </si>
  <si>
    <t>Cannon Module</t>
  </si>
  <si>
    <t>Generator Module</t>
  </si>
  <si>
    <t>Multishot Chance</t>
  </si>
  <si>
    <t>Armor Module</t>
  </si>
  <si>
    <t>Core Module</t>
  </si>
  <si>
    <t>Hard Caps:</t>
  </si>
  <si>
    <t>150s</t>
  </si>
  <si>
    <t>7s</t>
  </si>
  <si>
    <t>37s</t>
  </si>
  <si>
    <t>Chance for each Rarity</t>
  </si>
  <si>
    <t>46.2%</t>
  </si>
  <si>
    <t>2.5%</t>
  </si>
  <si>
    <t>1.0%</t>
  </si>
  <si>
    <t>0.3%</t>
  </si>
  <si>
    <t>Module Level</t>
  </si>
  <si>
    <t>(Cummulated)</t>
  </si>
  <si>
    <t>Coin cost</t>
  </si>
</sst>
</file>

<file path=xl/styles.xml><?xml version="1.0" encoding="utf-8"?>
<styleSheet xmlns="http://schemas.openxmlformats.org/spreadsheetml/2006/main" xmlns:x14ac="http://schemas.microsoft.com/office/spreadsheetml/2009/9/ac" xmlns:mc="http://schemas.openxmlformats.org/markup-compatibility/2006">
  <numFmts count="41">
    <numFmt numFmtId="164" formatCode="0.0%"/>
    <numFmt numFmtId="165" formatCode="[$x]#,#0.000"/>
    <numFmt numFmtId="166" formatCode="&quot;x&quot;#,##0"/>
    <numFmt numFmtId="167" formatCode="&quot;x &quot;0.00"/>
    <numFmt numFmtId="168" formatCode="#,##0[$ keys]"/>
    <numFmt numFmtId="169" formatCode="0&quot;#&quot;"/>
    <numFmt numFmtId="170" formatCode="#&quot;s&quot;"/>
    <numFmt numFmtId="171" formatCode="#[$s]"/>
    <numFmt numFmtId="172" formatCode="[$x]#,#0"/>
    <numFmt numFmtId="173" formatCode="#&quot;m&quot;"/>
    <numFmt numFmtId="174" formatCode="#[$m]"/>
    <numFmt numFmtId="175" formatCode="#.0&quot;s&quot;"/>
    <numFmt numFmtId="176" formatCode="0.0&quot;s&quot;"/>
    <numFmt numFmtId="177" formatCode="0&quot;s&quot;"/>
    <numFmt numFmtId="178" formatCode="[$x]0.00"/>
    <numFmt numFmtId="179" formatCode="#.0[$s]"/>
    <numFmt numFmtId="180" formatCode="#&quot;#&quot;"/>
    <numFmt numFmtId="181" formatCode="#0&quot;m&quot;"/>
    <numFmt numFmtId="182" formatCode="[$x]#.0"/>
    <numFmt numFmtId="183" formatCode="&quot;x&quot;#0.0"/>
    <numFmt numFmtId="184" formatCode="#0[$s]"/>
    <numFmt numFmtId="185" formatCode="0.00&quot;/s&quot;"/>
    <numFmt numFmtId="186" formatCode="0.0&quot;x&quot;"/>
    <numFmt numFmtId="187" formatCode="[$x]#,#0.0"/>
    <numFmt numFmtId="188" formatCode="0.000"/>
    <numFmt numFmtId="189" formatCode="[&lt;1]+0.0;[&gt;=1]+0;"/>
    <numFmt numFmtId="190" formatCode="#,##0.000"/>
    <numFmt numFmtId="191" formatCode="0.0"/>
    <numFmt numFmtId="192" formatCode="0.000000%"/>
    <numFmt numFmtId="193" formatCode="0.000%"/>
    <numFmt numFmtId="194" formatCode="0.000000"/>
    <numFmt numFmtId="195" formatCode="0.00000%"/>
    <numFmt numFmtId="196" formatCode="[$lvl ]###0"/>
    <numFmt numFmtId="197" formatCode="0.000 000%"/>
    <numFmt numFmtId="198" formatCode="###,###,###,###,###,###,###"/>
    <numFmt numFmtId="199" formatCode="[$Lvl ]###0"/>
    <numFmt numFmtId="200" formatCode="[$x]#,#0.00"/>
    <numFmt numFmtId="201" formatCode="0.0000%"/>
    <numFmt numFmtId="202" formatCode="\+0;\-0;0"/>
    <numFmt numFmtId="203" formatCode="\+0%;\-0%;0%"/>
    <numFmt numFmtId="204" formatCode="[h]:mm:ss.000"/>
  </numFmts>
  <fonts count="168">
    <font>
      <sz val="10.0"/>
      <color rgb="FF000000"/>
      <name val="Aptos Narrow"/>
      <scheme val="minor"/>
    </font>
    <font>
      <color rgb="FFFFFFFF"/>
      <name val="Comfortaa"/>
    </font>
    <font>
      <b/>
      <sz val="22.0"/>
      <color theme="1"/>
      <name val="Lobster"/>
    </font>
    <font>
      <u/>
      <sz val="11.0"/>
      <color rgb="FF0000FF"/>
      <name val="Comfortaa"/>
    </font>
    <font>
      <b/>
      <sz val="12.0"/>
      <color rgb="FFFFFFFF"/>
      <name val="Comfortaa"/>
    </font>
    <font>
      <b/>
      <u/>
      <sz val="10.0"/>
      <color rgb="FFF4CCCC"/>
      <name val="Comfortaa"/>
    </font>
    <font>
      <b/>
      <color rgb="FFFFFFFF"/>
      <name val="Comfortaa"/>
    </font>
    <font/>
    <font>
      <color theme="1"/>
      <name val="Arial"/>
    </font>
    <font>
      <b/>
      <u/>
      <sz val="10.0"/>
      <color rgb="FFCFE2F3"/>
      <name val="Comfortaa"/>
    </font>
    <font>
      <b/>
      <u/>
      <sz val="10.0"/>
      <color rgb="FFCFE2F3"/>
      <name val="Comfortaa"/>
    </font>
    <font>
      <color theme="1"/>
      <name val="Comfortaa"/>
    </font>
    <font>
      <b/>
      <u/>
      <sz val="10.0"/>
      <color rgb="FFD9EAD3"/>
      <name val="Comfortaa"/>
    </font>
    <font>
      <u/>
      <sz val="8.0"/>
      <color rgb="FF999999"/>
      <name val="Comfortaa"/>
    </font>
    <font>
      <sz val="11.0"/>
      <color rgb="FFFFFFFF"/>
      <name val="Arial"/>
    </font>
    <font>
      <u/>
      <color rgb="FFFFFFFF"/>
      <name val="Arial"/>
    </font>
    <font>
      <color theme="0"/>
      <name val="Comfortaa"/>
    </font>
    <font>
      <sz val="15.0"/>
      <color theme="1"/>
      <name val="Comfortaa"/>
    </font>
    <font>
      <color rgb="FF999999"/>
      <name val="Comfortaa"/>
    </font>
    <font>
      <sz val="8.0"/>
      <color rgb="FFB7B7B7"/>
      <name val="Comfortaa"/>
    </font>
    <font>
      <b/>
      <sz val="11.0"/>
      <color rgb="FFFFFFFF"/>
      <name val="Comfortaa"/>
    </font>
    <font>
      <u/>
      <color rgb="FFFFFFFF"/>
      <name val="Comfortaa"/>
    </font>
    <font>
      <b/>
      <u/>
      <sz val="9.0"/>
      <color rgb="FF3D85C6"/>
      <name val="Comfortaa"/>
    </font>
    <font>
      <u/>
      <color rgb="FF3D85C6"/>
      <name val="Comfortaa"/>
    </font>
    <font>
      <color rgb="FFF6B26B"/>
      <name val="Comfortaa"/>
    </font>
    <font>
      <sz val="9.0"/>
      <color rgb="FF999999"/>
      <name val="Comfortaa"/>
    </font>
    <font>
      <b/>
      <u/>
      <sz val="11.0"/>
      <color rgb="FF0000FF"/>
      <name val="Calibri"/>
    </font>
    <font>
      <b/>
      <sz val="11.0"/>
      <color theme="1"/>
      <name val="Calibri"/>
    </font>
    <font>
      <b/>
      <sz val="9.0"/>
      <color theme="1"/>
      <name val="Verdana"/>
    </font>
    <font>
      <b/>
      <sz val="14.0"/>
      <color rgb="FFFFFFFF"/>
      <name val="Arial"/>
    </font>
    <font>
      <sz val="11.0"/>
      <color theme="1"/>
      <name val="Calibri"/>
    </font>
    <font>
      <b/>
      <sz val="11.0"/>
      <color rgb="FF666666"/>
      <name val="Calibri"/>
    </font>
    <font>
      <sz val="8.0"/>
      <color theme="1"/>
      <name val="Comfortaa"/>
    </font>
    <font>
      <b/>
      <sz val="8.0"/>
      <color rgb="FF666666"/>
      <name val="Comfortaa"/>
    </font>
    <font>
      <color theme="1"/>
      <name val="Aptos Narrow"/>
    </font>
    <font>
      <sz val="27.0"/>
      <color rgb="FFFFFFFF"/>
      <name val="Lobster"/>
    </font>
    <font>
      <color rgb="FF666666"/>
      <name val="Arial"/>
    </font>
    <font>
      <b/>
      <sz val="30.0"/>
      <color rgb="FFFFFFFF"/>
      <name val="Consolas"/>
    </font>
    <font>
      <b/>
      <sz val="16.0"/>
      <color rgb="FFFFFFFF"/>
      <name val="Comfortaa"/>
    </font>
    <font>
      <b/>
      <sz val="19.0"/>
      <color theme="1"/>
      <name val="Lobster"/>
    </font>
    <font>
      <b/>
      <sz val="11.0"/>
      <color rgb="FF000000"/>
      <name val="Consolas"/>
    </font>
    <font>
      <sz val="11.0"/>
      <color rgb="FF666666"/>
      <name val="Calibri"/>
    </font>
    <font>
      <sz val="10.0"/>
      <color theme="1"/>
      <name val="Calibri"/>
    </font>
    <font>
      <sz val="9.0"/>
      <color theme="1"/>
      <name val="Comfortaa"/>
    </font>
    <font>
      <color rgb="FFFFFFFF"/>
      <name val="Arial"/>
    </font>
    <font>
      <sz val="10.0"/>
      <color theme="1"/>
      <name val="Arial"/>
    </font>
    <font>
      <b/>
      <sz val="19.0"/>
      <color rgb="FF000000"/>
      <name val="Lobster"/>
    </font>
    <font>
      <b/>
      <color theme="1"/>
      <name val="Arial"/>
    </font>
    <font>
      <u/>
      <color rgb="FF0000FF"/>
      <name val="Arial"/>
    </font>
    <font>
      <u/>
      <color rgb="FF0000FF"/>
      <name val="Arial"/>
    </font>
    <font>
      <u/>
      <color rgb="FF1155CC"/>
      <name val="Arial"/>
    </font>
    <font>
      <u/>
      <color rgb="FF1155CC"/>
      <name val="Arial"/>
    </font>
    <font>
      <b/>
      <sz val="16.0"/>
      <color rgb="FFFFFFFF"/>
      <name val="Consolas"/>
    </font>
    <font>
      <b/>
      <sz val="17.0"/>
      <color rgb="FFFFFFFF"/>
      <name val="Comfortaa"/>
    </font>
    <font>
      <sz val="11.0"/>
      <color theme="1"/>
      <name val="Comfortaa"/>
    </font>
    <font>
      <sz val="8.0"/>
      <color rgb="FF0C343D"/>
      <name val="Comfortaa"/>
    </font>
    <font>
      <sz val="8.0"/>
      <color rgb="FF559E88"/>
      <name val="Comfortaa"/>
    </font>
    <font>
      <sz val="9.0"/>
      <color rgb="FF000000"/>
      <name val="Comfortaa"/>
    </font>
    <font>
      <b/>
      <color theme="1"/>
      <name val="Comfortaa"/>
    </font>
    <font>
      <b/>
      <sz val="9.0"/>
      <color theme="1"/>
      <name val="Comfortaa"/>
    </font>
    <font>
      <color theme="1"/>
      <name val="Aptos Narrow"/>
      <scheme val="minor"/>
    </font>
    <font>
      <b/>
      <color theme="1"/>
      <name val="Aptos Narrow"/>
      <scheme val="minor"/>
    </font>
    <font>
      <sz val="11.0"/>
      <color rgb="FF1F1F1F"/>
      <name val="&quot;Google Sans&quot;"/>
    </font>
    <font>
      <sz val="8.0"/>
      <color theme="1"/>
      <name val="Verdana"/>
    </font>
    <font>
      <b/>
      <sz val="8.0"/>
      <color theme="1"/>
      <name val="Verdana"/>
    </font>
    <font>
      <sz val="7.0"/>
      <color theme="1"/>
      <name val="Verdana"/>
    </font>
    <font>
      <b/>
      <u/>
      <sz val="8.0"/>
      <color theme="1"/>
      <name val="Verdana"/>
    </font>
    <font>
      <b/>
      <u/>
      <sz val="8.0"/>
      <color theme="1"/>
      <name val="Verdana"/>
    </font>
    <font>
      <b/>
      <u/>
      <sz val="8.0"/>
      <color theme="1"/>
      <name val="Verdana"/>
    </font>
    <font>
      <b/>
      <u/>
      <sz val="8.0"/>
      <color theme="1"/>
      <name val="Verdana"/>
    </font>
    <font>
      <b/>
      <u/>
      <sz val="8.0"/>
      <color theme="1"/>
      <name val="Verdana"/>
    </font>
    <font>
      <b/>
      <u/>
      <sz val="8.0"/>
      <color theme="1"/>
      <name val="Verdana"/>
    </font>
    <font>
      <b/>
      <sz val="8.0"/>
      <color rgb="FFFFFFFF"/>
      <name val="Comfortaa"/>
    </font>
    <font>
      <b/>
      <sz val="8.0"/>
      <color rgb="FF23272A"/>
      <name val="Comfortaa"/>
    </font>
    <font>
      <b/>
      <sz val="14.0"/>
      <color rgb="FFFFFFFF"/>
      <name val="Comfortaa"/>
    </font>
    <font>
      <b/>
      <sz val="15.0"/>
      <color theme="1"/>
      <name val="Comfortaa"/>
    </font>
    <font>
      <sz val="11.0"/>
      <color rgb="FFFFFFFF"/>
      <name val="Calibri"/>
    </font>
    <font>
      <b/>
      <sz val="13.0"/>
      <color rgb="FFFFFFFF"/>
      <name val="Comfortaa"/>
    </font>
    <font>
      <color rgb="FF23272A"/>
      <name val="Arial"/>
    </font>
    <font>
      <b/>
      <sz val="18.0"/>
      <color theme="1"/>
      <name val="Lobster"/>
    </font>
    <font>
      <b/>
      <sz val="28.0"/>
      <color rgb="FFFFFFFF"/>
      <name val="Consolas"/>
    </font>
    <font>
      <b/>
      <sz val="22.0"/>
      <color theme="1"/>
      <name val="Calibri"/>
    </font>
    <font>
      <b/>
      <i/>
      <sz val="22.0"/>
      <color theme="1"/>
      <name val="Calibri"/>
    </font>
    <font>
      <b/>
      <sz val="11.0"/>
      <color rgb="FFFFFFFF"/>
      <name val="Calibri"/>
    </font>
    <font>
      <b/>
      <sz val="25.0"/>
      <color theme="1"/>
      <name val="Lobster"/>
    </font>
    <font>
      <sz val="8.0"/>
      <color rgb="FFFFFFFF"/>
      <name val="Comfortaa"/>
    </font>
    <font>
      <b/>
      <i/>
      <sz val="11.0"/>
      <color theme="1"/>
      <name val="Calibri"/>
    </font>
    <font>
      <b/>
      <i/>
      <sz val="11.0"/>
      <color rgb="FF666666"/>
      <name val="Calibri"/>
    </font>
    <font>
      <strike/>
      <sz val="11.0"/>
      <color theme="1"/>
      <name val="Calibri"/>
    </font>
    <font>
      <b/>
      <sz val="9.0"/>
      <color theme="1"/>
      <name val="Aptos Narrow"/>
      <scheme val="minor"/>
    </font>
    <font>
      <u/>
      <color theme="1"/>
      <name val="Arial"/>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sz val="11.0"/>
      <color theme="1"/>
      <name val="Comfortaa"/>
    </font>
    <font>
      <color rgb="FF666666"/>
      <name val="Comfortaa"/>
    </font>
    <font>
      <color rgb="FF434343"/>
      <name val="Comfortaa"/>
    </font>
    <font>
      <b/>
      <color rgb="FF434343"/>
      <name val="Comfortaa"/>
    </font>
    <font>
      <sz val="9.0"/>
      <color rgb="FFFFFFFF"/>
      <name val="Comfortaa"/>
    </font>
    <font>
      <color rgb="FF434343"/>
      <name val="Arial"/>
    </font>
    <font>
      <color rgb="FF434343"/>
      <name val="Aptos Narrow"/>
    </font>
    <font>
      <color rgb="FF434343"/>
      <name val="Roboto"/>
    </font>
    <font>
      <color theme="1"/>
      <name val="Verdana"/>
    </font>
    <font>
      <color rgb="FFFFFFFF"/>
      <name val="Verdana"/>
    </font>
    <font>
      <sz val="7.0"/>
      <color rgb="FFFFFFFF"/>
      <name val="Verdana"/>
    </font>
    <font>
      <b/>
      <sz val="14.0"/>
      <color rgb="FFFFE599"/>
      <name val="Verdana"/>
    </font>
    <font>
      <b/>
      <i/>
      <color theme="1"/>
      <name val="Verdana"/>
    </font>
    <font>
      <b/>
      <i/>
      <sz val="14.0"/>
      <color rgb="FFFFFFFF"/>
      <name val="Verdana"/>
    </font>
    <font>
      <b/>
      <i/>
      <sz val="10.0"/>
      <color theme="1"/>
      <name val="Verdana"/>
    </font>
    <font>
      <b/>
      <i/>
      <sz val="9.0"/>
      <color theme="1"/>
      <name val="Verdana"/>
    </font>
    <font>
      <i/>
      <sz val="9.0"/>
      <color theme="1"/>
      <name val="Verdana"/>
    </font>
    <font>
      <sz val="9.0"/>
      <color theme="1"/>
      <name val="Verdana"/>
    </font>
    <font>
      <u/>
      <sz val="9.0"/>
      <color theme="1"/>
      <name val="Verdana"/>
    </font>
    <font>
      <b/>
      <i/>
      <sz val="8.0"/>
      <color theme="1"/>
      <name val="Verdana"/>
    </font>
    <font>
      <u/>
      <sz val="9.0"/>
      <color theme="1"/>
      <name val="Verdana"/>
    </font>
    <font>
      <sz val="8.0"/>
      <color rgb="FF666666"/>
      <name val="Verdana"/>
    </font>
    <font>
      <u/>
      <sz val="9.0"/>
      <color theme="1"/>
      <name val="Verdana"/>
    </font>
    <font>
      <b/>
      <sz val="9.0"/>
      <color rgb="FFFFFFFF"/>
      <name val="Verdana"/>
    </font>
    <font>
      <b/>
      <sz val="8.0"/>
      <color rgb="FF434343"/>
      <name val="Verdana"/>
    </font>
    <font>
      <sz val="8.0"/>
      <color rgb="FF434343"/>
      <name val="Verdana"/>
    </font>
    <font>
      <b/>
      <i/>
      <sz val="9.0"/>
      <color rgb="FFFFFFFF"/>
      <name val="Verdana"/>
    </font>
    <font>
      <sz val="9.0"/>
      <color rgb="FF060606"/>
      <name val="Verdana"/>
    </font>
    <font>
      <sz val="9.0"/>
      <color rgb="FF434343"/>
      <name val="Verdana"/>
    </font>
    <font>
      <sz val="10.0"/>
      <color rgb="FFFFFFFF"/>
      <name val="Verdana"/>
    </font>
    <font>
      <b/>
      <u/>
      <sz val="26.0"/>
      <color rgb="FFFFFFFF"/>
      <name val="Arial"/>
    </font>
    <font>
      <b/>
      <u/>
      <sz val="26.0"/>
      <color rgb="FFFFFFFF"/>
      <name val="Arial"/>
    </font>
    <font>
      <sz val="11.0"/>
      <color theme="1"/>
      <name val="Aptos Narrow"/>
    </font>
    <font>
      <sz val="18.0"/>
      <color rgb="FFFFFFFF"/>
      <name val="Arial"/>
    </font>
    <font>
      <sz val="11.0"/>
      <color theme="0"/>
      <name val="Aptos Narrow"/>
    </font>
    <font>
      <sz val="11.0"/>
      <color rgb="FFF557F9"/>
      <name val="Arial"/>
    </font>
    <font>
      <sz val="11.0"/>
      <color rgb="FFF6A030"/>
      <name val="Aptos Narrow"/>
    </font>
    <font>
      <sz val="11.0"/>
      <color rgb="FFFD5858"/>
      <name val="Aptos Narrow"/>
    </font>
    <font>
      <sz val="11.0"/>
      <color rgb="FF78F961"/>
      <name val="Aptos Narrow"/>
    </font>
    <font>
      <sz val="11.0"/>
      <color rgb="FFAEAEAE"/>
      <name val="Arial"/>
    </font>
    <font>
      <sz val="11.0"/>
      <color rgb="FFF557F9"/>
      <name val="Aptos Narrow"/>
    </font>
    <font>
      <sz val="11.0"/>
      <color rgb="FFF6A030"/>
      <name val="Arial"/>
    </font>
    <font>
      <sz val="11.0"/>
      <color rgb="FFFD5858"/>
      <name val="Arial"/>
    </font>
    <font>
      <sz val="11.0"/>
      <color rgb="FF78F961"/>
      <name val="Arial"/>
    </font>
    <font>
      <sz val="10.0"/>
      <color rgb="FFAEAEAE"/>
      <name val="Arial"/>
    </font>
    <font>
      <u/>
      <sz val="10.0"/>
      <color rgb="FFAEAEAE"/>
      <name val="Arial"/>
    </font>
    <font>
      <b/>
      <u/>
      <sz val="26.0"/>
      <color rgb="FFFFFFFF"/>
      <name val="Arial"/>
    </font>
    <font>
      <sz val="11.0"/>
      <color rgb="FFFFFFFF"/>
      <name val="Aptos Narrow"/>
    </font>
    <font>
      <sz val="18.0"/>
      <color theme="0"/>
      <name val="Aptos Narrow"/>
    </font>
    <font>
      <sz val="11.0"/>
      <color rgb="FFAEAEAE"/>
      <name val="Aptos Narrow"/>
    </font>
    <font>
      <sz val="11.0"/>
      <color rgb="FF6DD9F2"/>
      <name val="Aptos Narrow"/>
    </font>
    <font>
      <u/>
      <color rgb="FFB7B7B7"/>
      <name val="Comfortaa"/>
    </font>
    <font>
      <color rgb="FFB7B7B7"/>
      <name val="Comfortaa"/>
    </font>
    <font>
      <i/>
      <sz val="8.0"/>
      <color rgb="FFCCCCCC"/>
      <name val="Comfortaa"/>
    </font>
    <font>
      <color theme="1"/>
      <name val="&quot;Courier New&quot;"/>
    </font>
    <font>
      <sz val="8.0"/>
      <color rgb="FFFF0000"/>
      <name val="Consolas"/>
    </font>
    <font>
      <sz val="8.0"/>
      <color rgb="FFFF9900"/>
      <name val="Consolas"/>
    </font>
    <font>
      <sz val="8.0"/>
      <color rgb="FFFFFF00"/>
      <name val="Consolas"/>
    </font>
    <font>
      <sz val="8.0"/>
      <color rgb="FF00FF00"/>
      <name val="Consolas"/>
    </font>
    <font>
      <sz val="8.0"/>
      <color rgb="FF00FFFF"/>
      <name val="Consolas"/>
    </font>
    <font>
      <sz val="8.0"/>
      <color rgb="FF4A86E8"/>
      <name val="Consolas"/>
    </font>
    <font>
      <sz val="8.0"/>
      <color rgb="FFFF00FF"/>
      <name val="Consolas"/>
    </font>
    <font>
      <sz val="8.0"/>
      <color rgb="FF9900FF"/>
      <name val="Consolas"/>
    </font>
    <font>
      <sz val="8.0"/>
      <color rgb="FFFFFFFF"/>
      <name val="Consolas"/>
    </font>
    <font>
      <sz val="8.0"/>
      <color rgb="FFE6B8AF"/>
      <name val="Consolas"/>
    </font>
    <font>
      <b/>
      <sz val="8.0"/>
      <color rgb="FFFFFFFF"/>
      <name val="Consolas"/>
    </font>
    <font>
      <b/>
      <sz val="8.0"/>
      <color theme="1"/>
      <name val="Consolas"/>
    </font>
    <font>
      <sz val="8.0"/>
      <color theme="1"/>
      <name val="Consolas"/>
    </font>
    <font>
      <sz val="8.0"/>
      <color rgb="FF0000FF"/>
      <name val="Consolas"/>
    </font>
    <font>
      <color theme="1"/>
      <name val="Courier New"/>
    </font>
  </fonts>
  <fills count="83">
    <fill>
      <patternFill patternType="none"/>
    </fill>
    <fill>
      <patternFill patternType="lightGray"/>
    </fill>
    <fill>
      <patternFill patternType="solid">
        <fgColor rgb="FF23272A"/>
        <bgColor rgb="FF23272A"/>
      </patternFill>
    </fill>
    <fill>
      <patternFill patternType="solid">
        <fgColor rgb="FF559E88"/>
        <bgColor rgb="FF559E88"/>
      </patternFill>
    </fill>
    <fill>
      <patternFill patternType="solid">
        <fgColor rgb="FF9FC5E8"/>
        <bgColor rgb="FF9FC5E8"/>
      </patternFill>
    </fill>
    <fill>
      <patternFill patternType="solid">
        <fgColor rgb="FF434343"/>
        <bgColor rgb="FF434343"/>
      </patternFill>
    </fill>
    <fill>
      <patternFill patternType="solid">
        <fgColor rgb="FF93C47D"/>
        <bgColor rgb="FF93C47D"/>
      </patternFill>
    </fill>
    <fill>
      <patternFill patternType="solid">
        <fgColor rgb="FF666666"/>
        <bgColor rgb="FF666666"/>
      </patternFill>
    </fill>
    <fill>
      <patternFill patternType="solid">
        <fgColor rgb="FFFFF2CC"/>
        <bgColor rgb="FFFFF2CC"/>
      </patternFill>
    </fill>
    <fill>
      <patternFill patternType="solid">
        <fgColor rgb="FFF9CB9C"/>
        <bgColor rgb="FFF9CB9C"/>
      </patternFill>
    </fill>
    <fill>
      <patternFill patternType="solid">
        <fgColor rgb="FFFCE5CD"/>
        <bgColor rgb="FFFCE5CD"/>
      </patternFill>
    </fill>
    <fill>
      <patternFill patternType="solid">
        <fgColor rgb="FFFFE599"/>
        <bgColor rgb="FFFFE599"/>
      </patternFill>
    </fill>
    <fill>
      <patternFill patternType="solid">
        <fgColor rgb="FF9BEA78"/>
        <bgColor rgb="FF9BEA78"/>
      </patternFill>
    </fill>
    <fill>
      <patternFill patternType="solid">
        <fgColor rgb="FFCFFEBE"/>
        <bgColor rgb="FFCFFEBE"/>
      </patternFill>
    </fill>
    <fill>
      <patternFill patternType="solid">
        <fgColor rgb="FFDD7E6B"/>
        <bgColor rgb="FFDD7E6B"/>
      </patternFill>
    </fill>
    <fill>
      <patternFill patternType="solid">
        <fgColor rgb="FFE6B8AF"/>
        <bgColor rgb="FFE6B8AF"/>
      </patternFill>
    </fill>
    <fill>
      <patternFill patternType="solid">
        <fgColor rgb="FFE06666"/>
        <bgColor rgb="FFE06666"/>
      </patternFill>
    </fill>
    <fill>
      <patternFill patternType="solid">
        <fgColor rgb="FFEA9999"/>
        <bgColor rgb="FFEA9999"/>
      </patternFill>
    </fill>
    <fill>
      <patternFill patternType="solid">
        <fgColor rgb="FFD9D9D9"/>
        <bgColor rgb="FFD9D9D9"/>
      </patternFill>
    </fill>
    <fill>
      <patternFill patternType="solid">
        <fgColor rgb="FFF4CCCC"/>
        <bgColor rgb="FFF4CCCC"/>
      </patternFill>
    </fill>
    <fill>
      <patternFill patternType="solid">
        <fgColor rgb="FFCCCCCC"/>
        <bgColor rgb="FFCCCCCC"/>
      </patternFill>
    </fill>
    <fill>
      <patternFill patternType="solid">
        <fgColor rgb="FFB6D7A8"/>
        <bgColor rgb="FFB6D7A8"/>
      </patternFill>
    </fill>
    <fill>
      <patternFill patternType="solid">
        <fgColor rgb="FFD9EAD3"/>
        <bgColor rgb="FFD9EAD3"/>
      </patternFill>
    </fill>
    <fill>
      <patternFill patternType="solid">
        <fgColor rgb="FFFFD966"/>
        <bgColor rgb="FFFFD966"/>
      </patternFill>
    </fill>
    <fill>
      <patternFill patternType="solid">
        <fgColor rgb="FF6D9EEB"/>
        <bgColor rgb="FF6D9EEB"/>
      </patternFill>
    </fill>
    <fill>
      <patternFill patternType="solid">
        <fgColor rgb="FFA4C2F4"/>
        <bgColor rgb="FFA4C2F4"/>
      </patternFill>
    </fill>
    <fill>
      <patternFill patternType="solid">
        <fgColor rgb="FFC9DAF8"/>
        <bgColor rgb="FFC9DAF8"/>
      </patternFill>
    </fill>
    <fill>
      <patternFill patternType="solid">
        <fgColor rgb="FFB3E6D5"/>
        <bgColor rgb="FFB3E6D5"/>
      </patternFill>
    </fill>
    <fill>
      <patternFill patternType="solid">
        <fgColor rgb="FFFFFFFF"/>
        <bgColor rgb="FFFFFFFF"/>
      </patternFill>
    </fill>
    <fill>
      <patternFill patternType="solid">
        <fgColor rgb="FF000000"/>
        <bgColor rgb="FF000000"/>
      </patternFill>
    </fill>
    <fill>
      <patternFill patternType="solid">
        <fgColor rgb="FFC6C6C6"/>
        <bgColor rgb="FFC6C6C6"/>
      </patternFill>
    </fill>
    <fill>
      <patternFill patternType="solid">
        <fgColor rgb="FF00FFFF"/>
        <bgColor rgb="FF00FFFF"/>
      </patternFill>
    </fill>
    <fill>
      <patternFill patternType="solid">
        <fgColor rgb="FFB4A7D6"/>
        <bgColor rgb="FFB4A7D6"/>
      </patternFill>
    </fill>
    <fill>
      <patternFill patternType="solid">
        <fgColor rgb="FFBFFBA3"/>
        <bgColor rgb="FFBFFBA3"/>
      </patternFill>
    </fill>
    <fill>
      <patternFill patternType="solid">
        <fgColor rgb="FF999999"/>
        <bgColor rgb="FF999999"/>
      </patternFill>
    </fill>
    <fill>
      <patternFill patternType="solid">
        <fgColor rgb="FF8E7CC3"/>
        <bgColor rgb="FF8E7CC3"/>
      </patternFill>
    </fill>
    <fill>
      <patternFill patternType="solid">
        <fgColor rgb="FFF6B26B"/>
        <bgColor rgb="FFF6B26B"/>
      </patternFill>
    </fill>
    <fill>
      <patternFill patternType="solid">
        <fgColor rgb="FFB1EFA3"/>
        <bgColor rgb="FFB1EFA3"/>
      </patternFill>
    </fill>
    <fill>
      <patternFill patternType="solid">
        <fgColor rgb="FFA3E2A2"/>
        <bgColor rgb="FFA3E2A2"/>
      </patternFill>
    </fill>
    <fill>
      <patternFill patternType="solid">
        <fgColor rgb="FF90D18F"/>
        <bgColor rgb="FF90D18F"/>
      </patternFill>
    </fill>
    <fill>
      <patternFill patternType="solid">
        <fgColor rgb="FF79BC69"/>
        <bgColor rgb="FF79BC69"/>
      </patternFill>
    </fill>
    <fill>
      <patternFill patternType="solid">
        <fgColor rgb="FF62A743"/>
        <bgColor rgb="FF62A743"/>
      </patternFill>
    </fill>
    <fill>
      <patternFill patternType="solid">
        <fgColor theme="1"/>
        <bgColor theme="1"/>
      </patternFill>
    </fill>
    <fill>
      <patternFill patternType="solid">
        <fgColor theme="0"/>
        <bgColor theme="0"/>
      </patternFill>
    </fill>
    <fill>
      <patternFill patternType="solid">
        <fgColor rgb="FF5B95F9"/>
        <bgColor rgb="FF5B95F9"/>
      </patternFill>
    </fill>
    <fill>
      <patternFill patternType="solid">
        <fgColor rgb="FFF7CB4D"/>
        <bgColor rgb="FFF7CB4D"/>
      </patternFill>
    </fill>
    <fill>
      <patternFill patternType="solid">
        <fgColor rgb="FFE8F0FE"/>
        <bgColor rgb="FFE8F0FE"/>
      </patternFill>
    </fill>
    <fill>
      <patternFill patternType="solid">
        <fgColor rgb="FFFEF8E3"/>
        <bgColor rgb="FFFEF8E3"/>
      </patternFill>
    </fill>
    <fill>
      <patternFill patternType="solid">
        <fgColor rgb="FFF46524"/>
        <bgColor rgb="FFF46524"/>
      </patternFill>
    </fill>
    <fill>
      <patternFill patternType="solid">
        <fgColor rgb="FF8BC34A"/>
        <bgColor rgb="FF8BC34A"/>
      </patternFill>
    </fill>
    <fill>
      <patternFill patternType="solid">
        <fgColor rgb="FFFFE6DD"/>
        <bgColor rgb="FFFFE6DD"/>
      </patternFill>
    </fill>
    <fill>
      <patternFill patternType="solid">
        <fgColor rgb="FFEEF7E3"/>
        <bgColor rgb="FFEEF7E3"/>
      </patternFill>
    </fill>
    <fill>
      <patternFill patternType="solid">
        <fgColor rgb="FFBFE1F6"/>
        <bgColor rgb="FFBFE1F6"/>
      </patternFill>
    </fill>
    <fill>
      <patternFill patternType="solid">
        <fgColor rgb="FF0A53A8"/>
        <bgColor rgb="FF0A53A8"/>
      </patternFill>
    </fill>
    <fill>
      <patternFill patternType="solid">
        <fgColor rgb="FFE6CFF2"/>
        <bgColor rgb="FFE6CFF2"/>
      </patternFill>
    </fill>
    <fill>
      <patternFill patternType="solid">
        <fgColor rgb="FF5A3286"/>
        <bgColor rgb="FF5A3286"/>
      </patternFill>
    </fill>
    <fill>
      <patternFill patternType="solid">
        <fgColor rgb="FFFFC8AA"/>
        <bgColor rgb="FFFFC8AA"/>
      </patternFill>
    </fill>
    <fill>
      <patternFill patternType="solid">
        <fgColor rgb="FFF59B20"/>
        <bgColor rgb="FFF59B20"/>
      </patternFill>
    </fill>
    <fill>
      <patternFill patternType="solid">
        <fgColor rgb="FFB7B7B7"/>
        <bgColor rgb="FFB7B7B7"/>
      </patternFill>
    </fill>
    <fill>
      <patternFill patternType="solid">
        <fgColor rgb="FF9900FF"/>
        <bgColor rgb="FF9900FF"/>
      </patternFill>
    </fill>
    <fill>
      <patternFill patternType="solid">
        <fgColor rgb="FFFF9900"/>
        <bgColor rgb="FFFF9900"/>
      </patternFill>
    </fill>
    <fill>
      <patternFill patternType="solid">
        <fgColor rgb="FFFF0000"/>
        <bgColor rgb="FFFF0000"/>
      </patternFill>
    </fill>
    <fill>
      <patternFill patternType="solid">
        <fgColor rgb="FF00FF00"/>
        <bgColor rgb="FF00FF00"/>
      </patternFill>
    </fill>
    <fill>
      <patternFill patternType="solid">
        <fgColor rgb="FF6AA84F"/>
        <bgColor rgb="FF6AA84F"/>
      </patternFill>
    </fill>
    <fill>
      <patternFill patternType="solid">
        <fgColor rgb="FFD9D2E9"/>
        <bgColor rgb="FFD9D2E9"/>
      </patternFill>
    </fill>
    <fill>
      <patternFill patternType="solid">
        <fgColor rgb="FFEFEFEF"/>
        <bgColor rgb="FFEFEFEF"/>
      </patternFill>
    </fill>
    <fill>
      <patternFill patternType="solid">
        <fgColor rgb="FF4C1130"/>
        <bgColor rgb="FF4C1130"/>
      </patternFill>
    </fill>
    <fill>
      <patternFill patternType="solid">
        <fgColor rgb="FF356854"/>
        <bgColor rgb="FF356854"/>
      </patternFill>
    </fill>
    <fill>
      <patternFill patternType="solid">
        <fgColor rgb="FFF6F8F9"/>
        <bgColor rgb="FFF6F8F9"/>
      </patternFill>
    </fill>
    <fill>
      <patternFill patternType="solid">
        <fgColor rgb="FFFFF599"/>
        <bgColor rgb="FFFFF599"/>
      </patternFill>
    </fill>
    <fill>
      <patternFill patternType="solid">
        <fgColor rgb="FF87CEFA"/>
        <bgColor rgb="FF87CEFA"/>
      </patternFill>
    </fill>
    <fill>
      <patternFill patternType="solid">
        <fgColor rgb="FFFFFFE0"/>
        <bgColor rgb="FFFFFFE0"/>
      </patternFill>
    </fill>
    <fill>
      <patternFill patternType="solid">
        <fgColor rgb="FFC3E6FA"/>
        <bgColor rgb="FFC3E6FA"/>
      </patternFill>
    </fill>
    <fill>
      <patternFill patternType="solid">
        <fgColor rgb="FFFFECB3"/>
        <bgColor rgb="FFFFECB3"/>
      </patternFill>
    </fill>
    <fill>
      <patternFill patternType="solid">
        <fgColor rgb="FFCFE2F3"/>
        <bgColor rgb="FFCFE2F3"/>
      </patternFill>
    </fill>
    <fill>
      <patternFill patternType="solid">
        <fgColor rgb="FFBF9000"/>
        <bgColor rgb="FFBF9000"/>
      </patternFill>
    </fill>
    <fill>
      <patternFill patternType="solid">
        <fgColor rgb="FFFFD78A"/>
        <bgColor rgb="FFFFD78A"/>
      </patternFill>
    </fill>
    <fill>
      <patternFill patternType="solid">
        <fgColor rgb="FF34A853"/>
        <bgColor rgb="FF34A853"/>
      </patternFill>
    </fill>
    <fill>
      <patternFill patternType="solid">
        <fgColor rgb="FFFFEBD6"/>
        <bgColor rgb="FFFFEBD6"/>
      </patternFill>
    </fill>
    <fill>
      <patternFill patternType="solid">
        <fgColor rgb="FFFFA07A"/>
        <bgColor rgb="FFFFA07A"/>
      </patternFill>
    </fill>
    <fill>
      <patternFill patternType="solid">
        <fgColor rgb="FF262626"/>
        <bgColor rgb="FF262626"/>
      </patternFill>
    </fill>
    <fill>
      <patternFill patternType="solid">
        <fgColor rgb="FFD0E0E3"/>
        <bgColor rgb="FFD0E0E3"/>
      </patternFill>
    </fill>
    <fill>
      <patternFill patternType="solid">
        <fgColor rgb="FFEAD1DC"/>
        <bgColor rgb="FFEAD1DC"/>
      </patternFill>
    </fill>
  </fills>
  <borders count="188">
    <border/>
    <border>
      <left style="thin">
        <color rgb="FFFF0000"/>
      </left>
    </border>
    <border>
      <left style="thin">
        <color rgb="FF000000"/>
      </left>
      <right style="thin">
        <color rgb="FF000000"/>
      </right>
      <top style="thin">
        <color rgb="FF000000"/>
      </top>
      <bottom style="thin">
        <color rgb="FF000000"/>
      </bottom>
    </border>
    <border>
      <bottom style="thin">
        <color rgb="FFFFFFFF"/>
      </bottom>
    </border>
    <border>
      <left style="thin">
        <color rgb="FF0000FF"/>
      </left>
    </border>
    <border>
      <left style="thin">
        <color rgb="FF00FF00"/>
      </left>
    </border>
    <border>
      <bottom style="thick">
        <color rgb="FF666666"/>
      </bottom>
    </border>
    <border>
      <bottom style="thick">
        <color rgb="FFFF0000"/>
      </bottom>
    </border>
    <border>
      <bottom style="thick">
        <color rgb="FF0000FF"/>
      </bottom>
    </border>
    <border>
      <bottom style="medium">
        <color rgb="FF00FF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dotted">
        <color rgb="FFFCE5CD"/>
      </left>
      <top style="dotted">
        <color rgb="FFFCE5CD"/>
      </top>
    </border>
    <border>
      <top style="dotted">
        <color rgb="FFFCE5CD"/>
      </top>
    </border>
    <border>
      <right style="dotted">
        <color rgb="FFFCE5CD"/>
      </right>
      <top style="dotted">
        <color rgb="FFFCE5CD"/>
      </top>
    </border>
    <border>
      <left style="dotted">
        <color rgb="FFFCE5CD"/>
      </left>
    </border>
    <border>
      <right style="dotted">
        <color rgb="FFFCE5CD"/>
      </right>
    </border>
    <border>
      <left style="dotted">
        <color rgb="FFFCE5CD"/>
      </left>
      <bottom style="dotted">
        <color rgb="FFFCE5CD"/>
      </bottom>
    </border>
    <border>
      <bottom style="dotted">
        <color rgb="FFFCE5CD"/>
      </bottom>
    </border>
    <border>
      <right style="dotted">
        <color rgb="FFFCE5CD"/>
      </right>
      <bottom style="dotted">
        <color rgb="FFFCE5CD"/>
      </bottom>
    </border>
    <border>
      <left style="thin">
        <color rgb="FFFFFFFF"/>
      </left>
    </border>
    <border>
      <left style="thin">
        <color rgb="FF000000"/>
      </left>
      <right style="thin">
        <color rgb="FF666666"/>
      </right>
      <top style="thin">
        <color rgb="FF000000"/>
      </top>
      <bottom style="thin">
        <color rgb="FF000000"/>
      </bottom>
    </border>
    <border>
      <left style="thin">
        <color rgb="FF666666"/>
      </left>
      <right style="thin">
        <color rgb="FF666666"/>
      </right>
    </border>
    <border>
      <left style="thin">
        <color rgb="FF666666"/>
      </left>
      <top style="thin">
        <color rgb="FF000000"/>
      </top>
      <bottom style="thin">
        <color rgb="FF000000"/>
      </bottom>
    </border>
    <border>
      <right style="thin">
        <color rgb="FF23272A"/>
      </right>
      <top style="thin">
        <color rgb="FF23272A"/>
      </top>
      <bottom style="thin">
        <color rgb="FF23272A"/>
      </bottom>
    </border>
    <border>
      <left style="thin">
        <color rgb="FF000000"/>
      </left>
      <top style="thin">
        <color rgb="FF000000"/>
      </top>
    </border>
    <border>
      <left style="thin">
        <color rgb="FF000000"/>
      </left>
      <right style="thin">
        <color rgb="FF000000"/>
      </right>
      <top style="thin">
        <color rgb="FF000000"/>
      </top>
    </border>
    <border>
      <right style="thin">
        <color rgb="FF000000"/>
      </right>
      <top style="thin">
        <color rgb="FF000000"/>
      </top>
    </border>
    <border>
      <top style="thin">
        <color rgb="FF23272A"/>
      </top>
      <bottom style="thin">
        <color rgb="FF23272A"/>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F6B26B"/>
      </bottom>
    </border>
    <border>
      <right style="thin">
        <color rgb="FF23272A"/>
      </right>
      <bottom style="thin">
        <color rgb="FF23272A"/>
      </bottom>
    </border>
    <border>
      <left style="thin">
        <color rgb="FF000000"/>
      </left>
      <right style="thin">
        <color rgb="FF000000"/>
      </right>
      <bottom style="thin">
        <color rgb="FF23272A"/>
      </bottom>
    </border>
    <border>
      <left style="thin">
        <color rgb="FF000000"/>
      </left>
      <right style="thin">
        <color rgb="FF000000"/>
      </right>
      <top style="thin">
        <color rgb="FF23272A"/>
      </top>
    </border>
    <border>
      <right style="thin">
        <color rgb="FF000000"/>
      </right>
    </border>
    <border>
      <left style="thin">
        <color rgb="FF000000"/>
      </left>
      <right style="thin">
        <color rgb="FF000000"/>
      </right>
    </border>
    <border>
      <bottom style="double">
        <color rgb="FF559E88"/>
      </bottom>
    </border>
    <border>
      <top style="thin">
        <color rgb="FF23272A"/>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bottom style="thin">
        <color rgb="FF23272A"/>
      </bottom>
    </border>
    <border>
      <bottom style="thin">
        <color rgb="FF23272A"/>
      </bottom>
    </border>
    <border>
      <right style="medium">
        <color rgb="FF000000"/>
      </right>
      <bottom style="thin">
        <color rgb="FF23272A"/>
      </bottom>
    </border>
    <border>
      <left style="medium">
        <color rgb="FF000000"/>
      </left>
      <bottom style="thin">
        <color rgb="FF000000"/>
      </bottom>
    </border>
    <border>
      <right style="medium">
        <color rgb="FF000000"/>
      </right>
      <top style="thin">
        <color rgb="FF000000"/>
      </top>
    </border>
    <border>
      <left style="medium">
        <color rgb="FF000000"/>
      </left>
      <bottom style="medium">
        <color rgb="FF000000"/>
      </bottom>
    </border>
    <border>
      <left style="thin">
        <color rgb="FF000000"/>
      </left>
      <right style="thin">
        <color rgb="FF000000"/>
      </right>
      <top style="thin">
        <color rgb="FF000000"/>
      </top>
      <bottom style="medium">
        <color rgb="FF000000"/>
      </bottom>
    </border>
    <border>
      <right style="medium">
        <color rgb="FF000000"/>
      </right>
      <top style="thin">
        <color rgb="FF000000"/>
      </top>
      <bottom style="medium">
        <color rgb="FF000000"/>
      </bottom>
    </border>
    <border>
      <left style="thin">
        <color rgb="FF23272A"/>
      </left>
      <right style="thin">
        <color rgb="FF23272A"/>
      </right>
      <top style="thin">
        <color rgb="FF23272A"/>
      </top>
      <bottom style="thin">
        <color rgb="FF23272A"/>
      </bottom>
    </border>
    <border>
      <left style="thin">
        <color rgb="FF23272A"/>
      </left>
      <right style="thin">
        <color rgb="FF23272A"/>
      </right>
    </border>
    <border>
      <right style="medium">
        <color rgb="FF000000"/>
      </right>
      <top style="medium">
        <color rgb="FF000000"/>
      </top>
      <bottom style="medium">
        <color rgb="FF000000"/>
      </bottom>
    </border>
    <border>
      <right style="thin">
        <color rgb="FF000000"/>
      </right>
      <top style="medium">
        <color rgb="FF000000"/>
      </top>
    </border>
    <border>
      <left style="thin">
        <color rgb="FF000000"/>
      </left>
      <right style="medium">
        <color rgb="FF000000"/>
      </right>
      <bottom style="thin">
        <color rgb="FF000000"/>
      </bottom>
    </border>
    <border>
      <left style="thin">
        <color rgb="FF23272A"/>
      </left>
      <bottom style="thin">
        <color rgb="FF23272A"/>
      </bottom>
    </border>
    <border>
      <left style="thin">
        <color rgb="FF23272A"/>
      </left>
      <right style="thin">
        <color rgb="FF23272A"/>
      </right>
      <bottom style="thin">
        <color rgb="FF23272A"/>
      </bottom>
    </border>
    <border>
      <right style="medium">
        <color rgb="FF000000"/>
      </right>
    </border>
    <border>
      <left style="thin">
        <color rgb="FF000000"/>
      </left>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medium">
        <color rgb="FF000000"/>
      </left>
      <right style="thin">
        <color rgb="FFB3E6D5"/>
      </right>
      <bottom style="thin">
        <color rgb="FF000000"/>
      </bottom>
    </border>
    <border>
      <left style="thin">
        <color rgb="FFB3E6D5"/>
      </left>
      <bottom style="thin">
        <color rgb="FF000000"/>
      </bottom>
    </border>
    <border>
      <left style="medium">
        <color rgb="FF000000"/>
      </left>
      <bottom style="thick">
        <color rgb="FF000000"/>
      </bottom>
    </border>
    <border>
      <right style="medium">
        <color rgb="FF000000"/>
      </right>
      <bottom style="thick">
        <color rgb="FF000000"/>
      </bottom>
    </border>
    <border>
      <bottom style="hair">
        <color rgb="FF559E88"/>
      </bottom>
    </border>
    <border>
      <top style="hair">
        <color rgb="FF559E88"/>
      </top>
    </border>
    <border>
      <left style="medium">
        <color rgb="FF000000"/>
      </lef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thin">
        <color rgb="FF000000"/>
      </left>
      <bottom style="thin">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bottom style="medium">
        <color rgb="FF000000"/>
      </bottom>
    </border>
    <border>
      <top style="thin">
        <color rgb="FF000000"/>
      </top>
    </border>
    <border>
      <top style="medium">
        <color rgb="FF000000"/>
      </top>
      <bottom style="medium">
        <color rgb="FF000000"/>
      </bottom>
    </border>
    <border>
      <left style="medium">
        <color rgb="FF000000"/>
      </left>
      <right style="thin">
        <color rgb="FF000000"/>
      </right>
    </border>
    <border>
      <left style="medium">
        <color rgb="FF000000"/>
      </left>
      <right style="thin">
        <color rgb="FF000000"/>
      </right>
      <bottom style="thin">
        <color rgb="FF000000"/>
      </bottom>
    </border>
    <border>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right style="thin">
        <color rgb="FF000000"/>
      </right>
      <bottom style="medium">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medium">
        <color rgb="FF000000"/>
      </bottom>
    </border>
    <border>
      <left style="medium">
        <color rgb="FF000000"/>
      </left>
    </border>
    <border>
      <left style="thin">
        <color rgb="FF000000"/>
      </left>
      <right style="medium">
        <color rgb="FF000000"/>
      </right>
    </border>
    <border>
      <left style="thin">
        <color rgb="FF000000"/>
      </left>
      <right style="thin">
        <color rgb="FF7F7F7F"/>
      </right>
      <top style="thin">
        <color rgb="FF000000"/>
      </top>
    </border>
    <border>
      <left style="thin">
        <color rgb="FF000000"/>
      </left>
      <right style="thin">
        <color rgb="FF7F7F7F"/>
      </right>
    </border>
    <border>
      <right style="thin">
        <color rgb="FF7F7F7F"/>
      </right>
    </border>
    <border>
      <left style="thin">
        <color rgb="FF000000"/>
      </left>
      <right style="thin">
        <color rgb="FF7F7F7F"/>
      </right>
      <bottom style="thin">
        <color rgb="FF000000"/>
      </bottom>
    </border>
    <border>
      <right style="thin">
        <color rgb="FF7F7F7F"/>
      </right>
      <bottom style="thin">
        <color rgb="FF000000"/>
      </bottom>
    </border>
    <border>
      <left style="medium">
        <color rgb="FF000000"/>
      </left>
      <top style="medium">
        <color rgb="FF000000"/>
      </top>
      <bottom style="thick">
        <color rgb="FF000000"/>
      </bottom>
    </border>
    <border>
      <top style="medium">
        <color rgb="FF000000"/>
      </top>
      <bottom style="thick">
        <color rgb="FF000000"/>
      </bottom>
    </border>
    <border>
      <right style="medium">
        <color rgb="FF000000"/>
      </right>
      <top style="medium">
        <color rgb="FF000000"/>
      </top>
      <bottom style="thick">
        <color rgb="FF000000"/>
      </bottom>
    </border>
    <border>
      <left style="medium">
        <color rgb="FF000000"/>
      </left>
      <right style="medium">
        <color rgb="FF000000"/>
      </right>
      <top style="medium">
        <color rgb="FF000000"/>
      </top>
      <bottom style="medium">
        <color rgb="FF000000"/>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right style="thin">
        <color rgb="FF23272A"/>
      </right>
      <top style="thin">
        <color rgb="FF23272A"/>
      </top>
    </border>
    <border>
      <left style="thin">
        <color rgb="FF000000"/>
      </left>
      <top style="thin">
        <color rgb="FF000000"/>
      </top>
      <bottom style="thin">
        <color rgb="FF23272A"/>
      </bottom>
    </border>
    <border>
      <top style="thin">
        <color rgb="FF000000"/>
      </top>
      <bottom style="thin">
        <color rgb="FF23272A"/>
      </bottom>
    </border>
    <border>
      <right style="thin">
        <color rgb="FF23272A"/>
      </right>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top style="medium">
        <color rgb="FF000000"/>
      </top>
      <bottom style="thin">
        <color rgb="FF23272A"/>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medium">
        <color rgb="FF000000"/>
      </right>
      <top style="medium">
        <color rgb="FF000000"/>
      </top>
    </border>
    <border>
      <left style="medium">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left style="medium">
        <color rgb="FF000000"/>
      </left>
      <right style="thin">
        <color rgb="FF000000"/>
      </right>
      <top style="thin">
        <color rgb="FF000000"/>
      </top>
      <bottom style="dotted">
        <color rgb="FF000000"/>
      </bottom>
    </border>
    <border>
      <left style="thin">
        <color rgb="FF000000"/>
      </left>
      <right style="thin">
        <color rgb="FF000000"/>
      </right>
      <top style="thin">
        <color rgb="FF000000"/>
      </top>
      <bottom style="dotted">
        <color rgb="FF000000"/>
      </bottom>
    </border>
    <border>
      <left style="thin">
        <color rgb="FF000000"/>
      </left>
      <right style="medium">
        <color rgb="FF000000"/>
      </right>
      <top style="thin">
        <color rgb="FF000000"/>
      </top>
      <bottom style="dotted">
        <color rgb="FF000000"/>
      </bottom>
    </border>
    <border>
      <left style="medium">
        <color rgb="FF000000"/>
      </left>
      <right style="thin">
        <color rgb="FF000000"/>
      </right>
      <top style="dotted">
        <color rgb="FF000000"/>
      </top>
      <bottom style="medium">
        <color rgb="FF000000"/>
      </bottom>
    </border>
    <border>
      <left style="thin">
        <color rgb="FF000000"/>
      </left>
      <right style="thin">
        <color rgb="FF000000"/>
      </right>
      <top style="dotted">
        <color rgb="FF000000"/>
      </top>
      <bottom style="medium">
        <color rgb="FF000000"/>
      </bottom>
    </border>
    <border>
      <left style="thin">
        <color rgb="FF000000"/>
      </left>
      <right style="medium">
        <color rgb="FF000000"/>
      </right>
      <top style="dotted">
        <color rgb="FF000000"/>
      </top>
      <bottom style="medium">
        <color rgb="FF000000"/>
      </bottom>
    </border>
    <border>
      <left style="medium">
        <color rgb="FF000000"/>
      </left>
      <right style="medium">
        <color rgb="FF000000"/>
      </right>
      <top style="medium">
        <color rgb="FF000000"/>
      </top>
      <bottom style="thin">
        <color rgb="FF000000"/>
      </bottom>
    </border>
    <border>
      <left style="thin">
        <color rgb="FF000000"/>
      </left>
      <bottom style="medium">
        <color rgb="FF000000"/>
      </bottom>
    </border>
    <border>
      <right style="thin">
        <color rgb="FF000000"/>
      </right>
      <bottom style="thin">
        <color rgb="FF23272A"/>
      </bottom>
    </border>
    <border>
      <left style="medium">
        <color rgb="FF000000"/>
      </left>
      <right style="thin">
        <color rgb="FFB3E6D5"/>
      </right>
      <top style="thin">
        <color rgb="FF000000"/>
      </top>
      <bottom style="thin">
        <color rgb="FF000000"/>
      </bottom>
    </border>
    <border>
      <left style="thin">
        <color rgb="FFB3E6D5"/>
      </left>
      <right style="thin">
        <color rgb="FF000000"/>
      </right>
      <top style="thin">
        <color rgb="FF000000"/>
      </top>
      <bottom style="thin">
        <color rgb="FF000000"/>
      </bottom>
    </border>
    <border>
      <left/>
      <top/>
      <bottom/>
    </border>
    <border>
      <top/>
      <bottom/>
    </border>
    <border>
      <right/>
      <top/>
      <bottom/>
    </border>
    <border>
      <left/>
      <right/>
      <top/>
      <bottom style="thick">
        <color rgb="FF000000"/>
      </bottom>
    </border>
    <border>
      <bottom style="thick">
        <color rgb="FF000000"/>
      </bottom>
    </border>
    <border>
      <right/>
      <bottom style="thick">
        <color rgb="FF000000"/>
      </bottom>
    </border>
    <border>
      <left style="thick">
        <color rgb="FF000000"/>
      </left>
      <top style="thick">
        <color rgb="FF000000"/>
      </top>
      <bottom style="medium">
        <color rgb="FF7F7F7F"/>
      </bottom>
    </border>
    <border>
      <top style="thick">
        <color rgb="FF000000"/>
      </top>
      <bottom style="medium">
        <color rgb="FF7F7F7F"/>
      </bottom>
    </border>
    <border>
      <right style="thick">
        <color rgb="FF000000"/>
      </right>
      <top style="thick">
        <color rgb="FF000000"/>
      </top>
      <bottom style="medium">
        <color rgb="FF7F7F7F"/>
      </bottom>
    </border>
    <border>
      <left style="thick">
        <color rgb="FF000000"/>
      </left>
      <right/>
      <bottom/>
    </border>
    <border>
      <right/>
      <bottom/>
    </border>
    <border>
      <left/>
      <right/>
      <bottom style="thin">
        <color rgb="FF7F7F7F"/>
      </bottom>
    </border>
    <border>
      <left/>
      <bottom style="thin">
        <color rgb="FF7F7F7F"/>
      </bottom>
    </border>
    <border>
      <right style="thick">
        <color rgb="FF000000"/>
      </right>
      <bottom style="thin">
        <color rgb="FF7F7F7F"/>
      </bottom>
    </border>
    <border>
      <left style="thick">
        <color rgb="FF000000"/>
      </left>
      <right/>
      <top style="thin">
        <color rgb="FF7F7F7F"/>
      </top>
      <bottom style="thin">
        <color rgb="FF7F7F7F"/>
      </bottom>
    </border>
    <border>
      <right/>
      <top style="thin">
        <color rgb="FF7F7F7F"/>
      </top>
      <bottom style="thin">
        <color rgb="FF7F7F7F"/>
      </bottom>
    </border>
    <border>
      <left style="thick">
        <color rgb="FF000000"/>
      </left>
      <right/>
      <top style="thin">
        <color rgb="FF7F7F7F"/>
      </top>
      <bottom/>
    </border>
    <border>
      <right/>
      <top style="thin">
        <color rgb="FF7F7F7F"/>
      </top>
      <bottom/>
    </border>
    <border>
      <left style="thick">
        <color rgb="FF000000"/>
      </left>
      <right/>
      <top style="thin">
        <color rgb="FF7F7F7F"/>
      </top>
      <bottom style="thick">
        <color rgb="FF000000"/>
      </bottom>
    </border>
    <border>
      <left/>
      <right/>
      <bottom style="thick">
        <color rgb="FF000000"/>
      </bottom>
    </border>
    <border>
      <left/>
      <bottom style="thick">
        <color rgb="FF000000"/>
      </bottom>
    </border>
    <border>
      <right style="thick">
        <color rgb="FF000000"/>
      </right>
      <bottom style="thick">
        <color rgb="FF000000"/>
      </bottom>
    </border>
    <border>
      <top style="thin">
        <color rgb="FF7F7F7F"/>
      </top>
      <bottom/>
    </border>
    <border>
      <left style="thick">
        <color rgb="FF000000"/>
      </left>
      <right/>
      <top/>
      <bottom/>
    </border>
    <border>
      <left/>
      <right/>
      <top/>
      <bottom/>
    </border>
    <border>
      <left/>
      <right style="thick">
        <color rgb="FF000000"/>
      </right>
      <top/>
      <bottom/>
    </border>
    <border>
      <left/>
      <right/>
      <top style="thin">
        <color rgb="FF7F7F7F"/>
      </top>
      <bottom/>
    </border>
    <border>
      <left/>
      <right style="thick">
        <color rgb="FF000000"/>
      </right>
      <top style="thin">
        <color rgb="FF7F7F7F"/>
      </top>
      <bottom/>
    </border>
    <border>
      <left style="thick">
        <color rgb="FF000000"/>
      </left>
      <right/>
      <top/>
      <bottom style="thick">
        <color rgb="FF000000"/>
      </bottom>
    </border>
    <border>
      <left/>
      <right style="thick">
        <color rgb="FF000000"/>
      </right>
      <top/>
      <bottom style="thick">
        <color rgb="FF000000"/>
      </bottom>
    </border>
    <border>
      <left style="thick">
        <color rgb="FF000000"/>
      </left>
      <right/>
      <top style="medium">
        <color rgb="FF000000"/>
      </top>
      <bottom style="thick">
        <color rgb="FF000000"/>
      </bottom>
    </border>
    <border>
      <left/>
      <right/>
      <top style="medium">
        <color rgb="FF000000"/>
      </top>
      <bottom style="thick">
        <color rgb="FF000000"/>
      </bottom>
    </border>
    <border>
      <left/>
      <right style="thick">
        <color rgb="FF000000"/>
      </right>
      <top style="medium">
        <color rgb="FF000000"/>
      </top>
      <bottom style="thick">
        <color rgb="FF000000"/>
      </bottom>
    </border>
    <border>
      <right style="hair">
        <color rgb="FF999999"/>
      </right>
    </border>
    <border>
      <right style="thin">
        <color rgb="FFFFFFFF"/>
      </right>
    </border>
    <border>
      <top style="thin">
        <color rgb="FFFFFFFF"/>
      </top>
    </border>
    <border>
      <right style="thin">
        <color rgb="FFFFFFFF"/>
      </right>
      <top style="thin">
        <color rgb="FFFFFFFF"/>
      </top>
    </border>
    <border>
      <left style="thin">
        <color rgb="FFFFFFFF"/>
      </left>
      <top style="thin">
        <color rgb="FFFFFFFF"/>
      </top>
    </border>
    <border>
      <right style="thin">
        <color rgb="FFFFFFFF"/>
      </right>
      <bottom style="thin">
        <color rgb="FFFFFFFF"/>
      </bottom>
    </border>
    <border>
      <left style="thin">
        <color rgb="FFFFFFFF"/>
      </left>
      <bottom style="thin">
        <color rgb="FFFFFFFF"/>
      </bottom>
    </border>
  </borders>
  <cellStyleXfs count="1">
    <xf borderId="0" fillId="0" fontId="0" numFmtId="0" applyAlignment="1" applyFont="1"/>
  </cellStyleXfs>
  <cellXfs count="1579">
    <xf borderId="0" fillId="0" fontId="0" numFmtId="0" xfId="0" applyAlignment="1" applyFont="1">
      <alignment readingOrder="0" shrinkToFit="0" vertical="bottom" wrapText="0"/>
    </xf>
    <xf borderId="0" fillId="2" fontId="1" numFmtId="0" xfId="0" applyAlignment="1" applyFill="1" applyFont="1">
      <alignment vertical="bottom"/>
    </xf>
    <xf borderId="0" fillId="3" fontId="2" numFmtId="0" xfId="0" applyAlignment="1" applyFill="1" applyFont="1">
      <alignment horizontal="center" readingOrder="0"/>
    </xf>
    <xf borderId="0" fillId="4" fontId="3" numFmtId="0" xfId="0" applyAlignment="1" applyFill="1" applyFont="1">
      <alignment horizontal="center" vertical="center"/>
    </xf>
    <xf borderId="0" fillId="5" fontId="4" numFmtId="0" xfId="0" applyAlignment="1" applyFill="1" applyFont="1">
      <alignment horizontal="center"/>
    </xf>
    <xf borderId="0" fillId="5" fontId="4" numFmtId="0" xfId="0" applyAlignment="1" applyFont="1">
      <alignment horizontal="center" readingOrder="0"/>
    </xf>
    <xf borderId="1" fillId="5" fontId="5" numFmtId="0" xfId="0" applyAlignment="1" applyBorder="1" applyFont="1">
      <alignment horizontal="center" readingOrder="0"/>
    </xf>
    <xf borderId="2" fillId="2" fontId="1" numFmtId="0" xfId="0" applyAlignment="1" applyBorder="1" applyFont="1">
      <alignment readingOrder="0"/>
    </xf>
    <xf borderId="2" fillId="2" fontId="1" numFmtId="0" xfId="0" applyAlignment="1" applyBorder="1" applyFont="1">
      <alignment vertical="bottom"/>
    </xf>
    <xf borderId="3" fillId="2" fontId="6" numFmtId="0" xfId="0" applyAlignment="1" applyBorder="1" applyFont="1">
      <alignment vertical="bottom"/>
    </xf>
    <xf borderId="3" fillId="0" fontId="7" numFmtId="0" xfId="0" applyBorder="1" applyFont="1"/>
    <xf borderId="0" fillId="2" fontId="8" numFmtId="0" xfId="0" applyAlignment="1" applyFont="1">
      <alignment vertical="bottom"/>
    </xf>
    <xf borderId="2" fillId="2" fontId="1" numFmtId="0" xfId="0" applyAlignment="1" applyBorder="1" applyFont="1">
      <alignment readingOrder="0" vertical="center"/>
    </xf>
    <xf borderId="0" fillId="2" fontId="1" numFmtId="0" xfId="0" applyAlignment="1" applyFont="1">
      <alignment vertical="bottom"/>
    </xf>
    <xf borderId="0" fillId="2" fontId="8" numFmtId="0" xfId="0" applyAlignment="1" applyFont="1">
      <alignment vertical="bottom"/>
    </xf>
    <xf borderId="4" fillId="5" fontId="9" numFmtId="0" xfId="0" applyAlignment="1" applyBorder="1" applyFont="1">
      <alignment horizontal="center" readingOrder="0" vertical="center"/>
    </xf>
    <xf borderId="0" fillId="2" fontId="1" numFmtId="0" xfId="0" applyAlignment="1" applyFont="1">
      <alignment readingOrder="0" vertical="center"/>
    </xf>
    <xf borderId="3" fillId="2" fontId="6" numFmtId="0" xfId="0" applyAlignment="1" applyBorder="1" applyFont="1">
      <alignment readingOrder="0" vertical="bottom"/>
    </xf>
    <xf borderId="4" fillId="5" fontId="10" numFmtId="0" xfId="0" applyAlignment="1" applyBorder="1" applyFont="1">
      <alignment horizontal="center" readingOrder="0"/>
    </xf>
    <xf borderId="2" fillId="2" fontId="11" numFmtId="0" xfId="0" applyAlignment="1" applyBorder="1" applyFont="1">
      <alignment readingOrder="0"/>
    </xf>
    <xf borderId="0" fillId="2" fontId="1" numFmtId="0" xfId="0" applyAlignment="1" applyFont="1">
      <alignment readingOrder="0" vertical="bottom"/>
    </xf>
    <xf borderId="5" fillId="5" fontId="12" numFmtId="0" xfId="0" applyAlignment="1" applyBorder="1" applyFont="1">
      <alignment horizontal="center" readingOrder="0"/>
    </xf>
    <xf borderId="3" fillId="2" fontId="1" numFmtId="0" xfId="0" applyAlignment="1" applyBorder="1" applyFont="1">
      <alignment horizontal="center" vertical="bottom"/>
    </xf>
    <xf borderId="6" fillId="2" fontId="1" numFmtId="0" xfId="0" applyAlignment="1" applyBorder="1" applyFont="1">
      <alignment horizontal="center" vertical="bottom"/>
    </xf>
    <xf borderId="7" fillId="2" fontId="1" numFmtId="0" xfId="0" applyAlignment="1" applyBorder="1" applyFont="1">
      <alignment horizontal="center" vertical="bottom"/>
    </xf>
    <xf borderId="8" fillId="2" fontId="1" numFmtId="0" xfId="0" applyAlignment="1" applyBorder="1" applyFont="1">
      <alignment horizontal="center" readingOrder="0" vertical="bottom"/>
    </xf>
    <xf borderId="9" fillId="2" fontId="1" numFmtId="0" xfId="0" applyAlignment="1" applyBorder="1" applyFont="1">
      <alignment horizontal="center" readingOrder="0" vertical="bottom"/>
    </xf>
    <xf borderId="0" fillId="2" fontId="1" numFmtId="0" xfId="0" applyAlignment="1" applyFont="1">
      <alignment horizontal="center" readingOrder="0" vertical="bottom"/>
    </xf>
    <xf borderId="10" fillId="2" fontId="1" numFmtId="0" xfId="0" applyAlignment="1" applyBorder="1" applyFont="1">
      <alignment horizontal="left" readingOrder="0" vertical="bottom"/>
    </xf>
    <xf borderId="11" fillId="0" fontId="7" numFmtId="0" xfId="0" applyBorder="1" applyFont="1"/>
    <xf borderId="12" fillId="0" fontId="7" numFmtId="0" xfId="0" applyBorder="1" applyFont="1"/>
    <xf borderId="13" fillId="2" fontId="1" numFmtId="0" xfId="0" applyAlignment="1" applyBorder="1" applyFont="1">
      <alignment horizontal="center" readingOrder="0" shrinkToFit="0" vertical="center" wrapText="1"/>
    </xf>
    <xf borderId="14" fillId="0" fontId="7" numFmtId="0" xfId="0" applyBorder="1" applyFont="1"/>
    <xf borderId="15" fillId="0" fontId="7" numFmtId="0" xfId="0" applyBorder="1" applyFont="1"/>
    <xf borderId="16" fillId="0" fontId="7" numFmtId="0" xfId="0" applyBorder="1" applyFont="1"/>
    <xf borderId="17" fillId="0" fontId="7" numFmtId="0" xfId="0" applyBorder="1" applyFont="1"/>
    <xf borderId="18" fillId="0" fontId="7" numFmtId="0" xfId="0" applyBorder="1" applyFont="1"/>
    <xf borderId="19" fillId="0" fontId="7" numFmtId="0" xfId="0" applyBorder="1" applyFont="1"/>
    <xf borderId="20" fillId="0" fontId="7" numFmtId="0" xfId="0" applyBorder="1" applyFont="1"/>
    <xf borderId="0" fillId="2" fontId="13" numFmtId="0" xfId="0" applyAlignment="1" applyFont="1">
      <alignment horizontal="right" readingOrder="0" vertical="bottom"/>
    </xf>
    <xf borderId="3" fillId="2" fontId="14" numFmtId="0" xfId="0" applyAlignment="1" applyBorder="1" applyFont="1">
      <alignment horizontal="center" vertical="bottom"/>
    </xf>
    <xf borderId="0" fillId="2" fontId="15" numFmtId="0" xfId="0" applyAlignment="1" applyFont="1">
      <alignment horizontal="center" vertical="top"/>
    </xf>
    <xf borderId="0" fillId="2" fontId="16" numFmtId="0" xfId="0" applyAlignment="1" applyFont="1">
      <alignment vertical="bottom"/>
    </xf>
    <xf borderId="0" fillId="2" fontId="11" numFmtId="0" xfId="0" applyAlignment="1" applyFont="1">
      <alignment vertical="bottom"/>
    </xf>
    <xf borderId="0" fillId="6" fontId="17" numFmtId="0" xfId="0" applyAlignment="1" applyFill="1" applyFont="1">
      <alignment horizontal="center" readingOrder="0" vertical="center"/>
    </xf>
    <xf borderId="21" fillId="2" fontId="16" numFmtId="0" xfId="0" applyAlignment="1" applyBorder="1" applyFont="1">
      <alignment vertical="bottom"/>
    </xf>
    <xf borderId="0" fillId="2" fontId="18" numFmtId="0" xfId="0" applyAlignment="1" applyFont="1">
      <alignment shrinkToFit="0" vertical="bottom" wrapText="1"/>
    </xf>
    <xf borderId="0" fillId="2" fontId="1" numFmtId="0" xfId="0" applyAlignment="1" applyFont="1">
      <alignment horizontal="right" readingOrder="0" vertical="bottom"/>
    </xf>
    <xf borderId="22" fillId="7" fontId="19" numFmtId="0" xfId="0" applyAlignment="1" applyBorder="1" applyFill="1" applyFont="1">
      <alignment readingOrder="0" vertical="bottom"/>
    </xf>
    <xf borderId="23" fillId="2" fontId="16" numFmtId="0" xfId="0" applyAlignment="1" applyBorder="1" applyFont="1">
      <alignment vertical="bottom"/>
    </xf>
    <xf borderId="24" fillId="7" fontId="19" numFmtId="0" xfId="0" applyAlignment="1" applyBorder="1" applyFont="1">
      <alignment vertical="bottom"/>
    </xf>
    <xf borderId="25" fillId="2" fontId="16" numFmtId="0" xfId="0" applyAlignment="1" applyBorder="1" applyFont="1">
      <alignment vertical="bottom"/>
    </xf>
    <xf borderId="26" fillId="5" fontId="20" numFmtId="0" xfId="0" applyAlignment="1" applyBorder="1" applyFont="1">
      <alignment horizontal="center" readingOrder="0" vertical="bottom"/>
    </xf>
    <xf borderId="27" fillId="7" fontId="19" numFmtId="0" xfId="0" applyAlignment="1" applyBorder="1" applyFont="1">
      <alignment horizontal="center" readingOrder="0" vertical="bottom"/>
    </xf>
    <xf borderId="28" fillId="5" fontId="21" numFmtId="0" xfId="0" applyAlignment="1" applyBorder="1" applyFont="1">
      <alignment horizontal="right" vertical="bottom"/>
    </xf>
    <xf borderId="28" fillId="5" fontId="1" numFmtId="0" xfId="0" applyAlignment="1" applyBorder="1" applyFont="1">
      <alignment horizontal="right" vertical="bottom"/>
    </xf>
    <xf borderId="28" fillId="7" fontId="19" numFmtId="0" xfId="0" applyAlignment="1" applyBorder="1" applyFont="1">
      <alignment horizontal="center" readingOrder="0" vertical="bottom"/>
    </xf>
    <xf borderId="29" fillId="2" fontId="16" numFmtId="0" xfId="0" applyAlignment="1" applyBorder="1" applyFont="1">
      <alignment vertical="bottom"/>
    </xf>
    <xf borderId="30" fillId="5" fontId="22" numFmtId="0" xfId="0" applyAlignment="1" applyBorder="1" applyFont="1">
      <alignment horizontal="center" vertical="bottom"/>
    </xf>
    <xf borderId="31" fillId="5" fontId="23" numFmtId="0" xfId="0" applyAlignment="1" applyBorder="1" applyFont="1">
      <alignment horizontal="center" vertical="bottom"/>
    </xf>
    <xf borderId="31" fillId="5" fontId="8" numFmtId="0" xfId="0" applyAlignment="1" applyBorder="1" applyFont="1">
      <alignment readingOrder="0" vertical="bottom"/>
    </xf>
    <xf borderId="31" fillId="5" fontId="8" numFmtId="0" xfId="0" applyAlignment="1" applyBorder="1" applyFont="1">
      <alignment horizontal="right" readingOrder="0" vertical="bottom"/>
    </xf>
    <xf borderId="0" fillId="2" fontId="11" numFmtId="0" xfId="0" applyAlignment="1" applyFont="1">
      <alignment vertical="bottom"/>
    </xf>
    <xf borderId="21" fillId="2" fontId="1" numFmtId="0" xfId="0" applyAlignment="1" applyBorder="1" applyFont="1">
      <alignment readingOrder="0" vertical="bottom"/>
    </xf>
    <xf borderId="32" fillId="2" fontId="24" numFmtId="0" xfId="0" applyAlignment="1" applyBorder="1" applyFont="1">
      <alignment horizontal="center" readingOrder="0" vertical="bottom"/>
    </xf>
    <xf borderId="33" fillId="2" fontId="16" numFmtId="0" xfId="0" applyAlignment="1" applyBorder="1" applyFont="1">
      <alignment vertical="bottom"/>
    </xf>
    <xf borderId="21" fillId="2" fontId="1" numFmtId="0" xfId="0" applyAlignment="1" applyBorder="1" applyFont="1">
      <alignment readingOrder="0" vertical="center"/>
    </xf>
    <xf borderId="0" fillId="2" fontId="1" numFmtId="0" xfId="0" applyAlignment="1" applyFont="1">
      <alignment readingOrder="0" shrinkToFit="0" vertical="top" wrapText="1"/>
    </xf>
    <xf borderId="3" fillId="2" fontId="1" numFmtId="0" xfId="0" applyAlignment="1" applyBorder="1" applyFont="1">
      <alignment horizontal="center" readingOrder="0" vertical="bottom"/>
    </xf>
    <xf borderId="0" fillId="2" fontId="1" numFmtId="0" xfId="0" applyAlignment="1" applyFont="1">
      <alignment shrinkToFit="0" vertical="top" wrapText="1"/>
    </xf>
    <xf borderId="0" fillId="2" fontId="1" numFmtId="0" xfId="0" applyAlignment="1" applyFont="1">
      <alignment horizontal="center" shrinkToFit="0" vertical="center" wrapText="1"/>
    </xf>
    <xf borderId="0" fillId="2" fontId="16" numFmtId="0" xfId="0" applyAlignment="1" applyFont="1">
      <alignment horizontal="center" vertical="center"/>
    </xf>
    <xf borderId="0" fillId="2" fontId="25" numFmtId="0" xfId="0" applyAlignment="1" applyFont="1">
      <alignment readingOrder="0" shrinkToFit="0" vertical="top" wrapText="1"/>
    </xf>
    <xf borderId="34" fillId="2" fontId="8" numFmtId="0" xfId="0" applyAlignment="1" applyBorder="1" applyFont="1">
      <alignment vertical="bottom"/>
    </xf>
    <xf borderId="12" fillId="8" fontId="26" numFmtId="0" xfId="0" applyAlignment="1" applyBorder="1" applyFill="1" applyFont="1">
      <alignment horizontal="center" vertical="bottom"/>
    </xf>
    <xf borderId="31" fillId="8" fontId="27" numFmtId="0" xfId="0" applyAlignment="1" applyBorder="1" applyFont="1">
      <alignment horizontal="center" vertical="bottom"/>
    </xf>
    <xf borderId="12" fillId="8" fontId="28" numFmtId="0" xfId="0" applyAlignment="1" applyBorder="1" applyFont="1">
      <alignment horizontal="center" readingOrder="0" vertical="bottom"/>
    </xf>
    <xf borderId="35" fillId="2" fontId="29" numFmtId="0" xfId="0" applyAlignment="1" applyBorder="1" applyFont="1">
      <alignment horizontal="right" textRotation="90" vertical="top"/>
    </xf>
    <xf borderId="36" fillId="9" fontId="30" numFmtId="0" xfId="0" applyAlignment="1" applyBorder="1" applyFill="1" applyFont="1">
      <alignment readingOrder="0" vertical="bottom"/>
    </xf>
    <xf borderId="37" fillId="10" fontId="31" numFmtId="0" xfId="0" applyAlignment="1" applyBorder="1" applyFill="1" applyFont="1">
      <alignment horizontal="center" vertical="bottom"/>
    </xf>
    <xf borderId="37" fillId="9" fontId="30" numFmtId="0" xfId="0" applyAlignment="1" applyBorder="1" applyFont="1">
      <alignment horizontal="center" readingOrder="0" vertical="bottom"/>
    </xf>
    <xf borderId="35" fillId="2" fontId="29" numFmtId="0" xfId="0" applyAlignment="1" applyBorder="1" applyFont="1">
      <alignment horizontal="right" readingOrder="0" textRotation="90" vertical="top"/>
    </xf>
    <xf borderId="36" fillId="9" fontId="32" numFmtId="0" xfId="0" applyAlignment="1" applyBorder="1" applyFont="1">
      <alignment readingOrder="0" vertical="bottom"/>
    </xf>
    <xf borderId="36" fillId="10" fontId="33" numFmtId="164" xfId="0" applyAlignment="1" applyBorder="1" applyFont="1" applyNumberFormat="1">
      <alignment horizontal="center" vertical="bottom"/>
    </xf>
    <xf borderId="0" fillId="2" fontId="8" numFmtId="0" xfId="0" applyAlignment="1" applyFont="1">
      <alignment vertical="top"/>
    </xf>
    <xf borderId="37" fillId="0" fontId="7" numFmtId="0" xfId="0" applyBorder="1" applyFont="1"/>
    <xf borderId="36" fillId="9" fontId="30" numFmtId="0" xfId="0" applyAlignment="1" applyBorder="1" applyFont="1">
      <alignment vertical="bottom"/>
    </xf>
    <xf borderId="25" fillId="2" fontId="8" numFmtId="0" xfId="0" applyAlignment="1" applyBorder="1" applyFont="1">
      <alignment vertical="bottom"/>
    </xf>
    <xf borderId="36" fillId="11" fontId="30" numFmtId="0" xfId="0" applyAlignment="1" applyBorder="1" applyFill="1" applyFont="1">
      <alignment vertical="bottom"/>
    </xf>
    <xf borderId="37" fillId="8" fontId="31" numFmtId="0" xfId="0" applyAlignment="1" applyBorder="1" applyFont="1">
      <alignment horizontal="center" vertical="bottom"/>
    </xf>
    <xf borderId="37" fillId="11" fontId="30" numFmtId="0" xfId="0" applyAlignment="1" applyBorder="1" applyFont="1">
      <alignment horizontal="center" vertical="bottom"/>
    </xf>
    <xf borderId="12" fillId="8" fontId="27" numFmtId="0" xfId="0" applyAlignment="1" applyBorder="1" applyFont="1">
      <alignment horizontal="center" vertical="bottom"/>
    </xf>
    <xf borderId="37" fillId="11" fontId="30" numFmtId="0" xfId="0" applyAlignment="1" applyBorder="1" applyFont="1">
      <alignment horizontal="center" readingOrder="0" vertical="bottom"/>
    </xf>
    <xf borderId="36" fillId="9" fontId="32" numFmtId="0" xfId="0" applyAlignment="1" applyBorder="1" applyFont="1">
      <alignment vertical="bottom"/>
    </xf>
    <xf borderId="37" fillId="12" fontId="30" numFmtId="49" xfId="0" applyAlignment="1" applyBorder="1" applyFill="1" applyFont="1" applyNumberFormat="1">
      <alignment vertical="bottom"/>
    </xf>
    <xf borderId="37" fillId="13" fontId="31" numFmtId="0" xfId="0" applyAlignment="1" applyBorder="1" applyFill="1" applyFont="1">
      <alignment horizontal="center" vertical="bottom"/>
    </xf>
    <xf borderId="37" fillId="12" fontId="30" numFmtId="0" xfId="0" applyAlignment="1" applyBorder="1" applyFont="1">
      <alignment horizontal="center" readingOrder="0" vertical="bottom"/>
    </xf>
    <xf borderId="37" fillId="14" fontId="30" numFmtId="0" xfId="0" applyAlignment="1" applyBorder="1" applyFill="1" applyFont="1">
      <alignment vertical="bottom"/>
    </xf>
    <xf borderId="37" fillId="15" fontId="31" numFmtId="0" xfId="0" applyAlignment="1" applyBorder="1" applyFill="1" applyFont="1">
      <alignment horizontal="center" readingOrder="0" vertical="bottom"/>
    </xf>
    <xf borderId="37" fillId="14" fontId="30" numFmtId="0" xfId="0" applyAlignment="1" applyBorder="1" applyFont="1">
      <alignment horizontal="center" readingOrder="0" vertical="bottom"/>
    </xf>
    <xf borderId="37" fillId="14" fontId="30" numFmtId="0" xfId="0" applyAlignment="1" applyBorder="1" applyFont="1">
      <alignment readingOrder="0" vertical="bottom"/>
    </xf>
    <xf borderId="37" fillId="14" fontId="30" numFmtId="0" xfId="0" applyAlignment="1" applyBorder="1" applyFont="1">
      <alignment vertical="bottom"/>
    </xf>
    <xf borderId="37" fillId="14" fontId="30" numFmtId="0" xfId="0" applyAlignment="1" applyBorder="1" applyFont="1">
      <alignment horizontal="center" vertical="bottom"/>
    </xf>
    <xf borderId="34" fillId="0" fontId="7" numFmtId="0" xfId="0" applyBorder="1" applyFont="1"/>
    <xf borderId="0" fillId="2" fontId="29" numFmtId="0" xfId="0" applyAlignment="1" applyFont="1">
      <alignment horizontal="right" textRotation="90" vertical="top"/>
    </xf>
    <xf borderId="0" fillId="2" fontId="29" numFmtId="0" xfId="0" applyAlignment="1" applyFont="1">
      <alignment horizontal="right" readingOrder="0" textRotation="90" vertical="top"/>
    </xf>
    <xf borderId="0" fillId="14" fontId="30" numFmtId="0" xfId="0" applyAlignment="1" applyFont="1">
      <alignment vertical="bottom"/>
    </xf>
    <xf borderId="37" fillId="15" fontId="31" numFmtId="0" xfId="0" applyAlignment="1" applyBorder="1" applyFont="1">
      <alignment horizontal="center" vertical="bottom"/>
    </xf>
    <xf borderId="0" fillId="14" fontId="30" numFmtId="0" xfId="0" applyAlignment="1" applyFont="1">
      <alignment horizontal="center" vertical="bottom"/>
    </xf>
    <xf borderId="0" fillId="2" fontId="8" numFmtId="0" xfId="0" applyAlignment="1" applyFont="1">
      <alignment vertical="center"/>
    </xf>
    <xf borderId="0" fillId="2" fontId="34" numFmtId="0" xfId="0" applyAlignment="1" applyFont="1">
      <alignment vertical="bottom"/>
    </xf>
    <xf borderId="38" fillId="2" fontId="35" numFmtId="0" xfId="0" applyAlignment="1" applyBorder="1" applyFont="1">
      <alignment horizontal="center" readingOrder="0" vertical="bottom"/>
    </xf>
    <xf borderId="38" fillId="0" fontId="7" numFmtId="0" xfId="0" applyBorder="1" applyFont="1"/>
    <xf borderId="0" fillId="2" fontId="8" numFmtId="0" xfId="0" applyFont="1"/>
    <xf borderId="0" fillId="2" fontId="36" numFmtId="0" xfId="0" applyAlignment="1" applyFont="1">
      <alignment vertical="bottom"/>
    </xf>
    <xf borderId="39" fillId="2" fontId="37" numFmtId="0" xfId="0" applyAlignment="1" applyBorder="1" applyFont="1">
      <alignment horizontal="center" textRotation="90" vertical="center"/>
    </xf>
    <xf borderId="0" fillId="2" fontId="37" numFmtId="0" xfId="0" applyAlignment="1" applyFont="1">
      <alignment horizontal="center" textRotation="90" vertical="center"/>
    </xf>
    <xf borderId="0" fillId="2" fontId="38" numFmtId="0" xfId="0" applyAlignment="1" applyFont="1">
      <alignment horizontal="right" readingOrder="0" textRotation="90" vertical="top"/>
    </xf>
    <xf borderId="0" fillId="2" fontId="34" numFmtId="0" xfId="0" applyAlignment="1" applyFont="1">
      <alignment vertical="top"/>
    </xf>
    <xf borderId="40" fillId="16" fontId="39" numFmtId="0" xfId="0" applyAlignment="1" applyBorder="1" applyFill="1" applyFont="1">
      <alignment horizontal="center"/>
    </xf>
    <xf borderId="41" fillId="0" fontId="7" numFmtId="0" xfId="0" applyBorder="1" applyFont="1"/>
    <xf borderId="42" fillId="0" fontId="7" numFmtId="0" xfId="0" applyBorder="1" applyFont="1"/>
    <xf borderId="40" fillId="16" fontId="39" numFmtId="0" xfId="0" applyAlignment="1" applyBorder="1" applyFont="1">
      <alignment horizontal="center" readingOrder="0"/>
    </xf>
    <xf borderId="27" fillId="16" fontId="27" numFmtId="0" xfId="0" applyAlignment="1" applyBorder="1" applyFont="1">
      <alignment horizontal="center" vertical="bottom"/>
    </xf>
    <xf borderId="43" fillId="16" fontId="27" numFmtId="0" xfId="0" applyAlignment="1" applyBorder="1" applyFont="1">
      <alignment horizontal="center" vertical="bottom"/>
    </xf>
    <xf borderId="44" fillId="16" fontId="27" numFmtId="0" xfId="0" applyAlignment="1" applyBorder="1" applyFont="1">
      <alignment horizontal="center" vertical="bottom"/>
    </xf>
    <xf borderId="42" fillId="16" fontId="27" numFmtId="0" xfId="0" applyAlignment="1" applyBorder="1" applyFont="1">
      <alignment horizontal="center" vertical="bottom"/>
    </xf>
    <xf borderId="27" fillId="17" fontId="40" numFmtId="0" xfId="0" applyAlignment="1" applyBorder="1" applyFill="1" applyFont="1">
      <alignment horizontal="center" readingOrder="0" textRotation="90" vertical="center"/>
    </xf>
    <xf borderId="45" fillId="17" fontId="30" numFmtId="0" xfId="0" applyAlignment="1" applyBorder="1" applyFont="1">
      <alignment horizontal="center" readingOrder="0" vertical="bottom"/>
    </xf>
    <xf borderId="46" fillId="17" fontId="30" numFmtId="0" xfId="0" applyAlignment="1" applyBorder="1" applyFont="1">
      <alignment horizontal="center" readingOrder="0"/>
    </xf>
    <xf borderId="45" fillId="17" fontId="41" numFmtId="0" xfId="0" applyAlignment="1" applyBorder="1" applyFont="1">
      <alignment horizontal="center" readingOrder="0"/>
    </xf>
    <xf borderId="47" fillId="17" fontId="30" numFmtId="165" xfId="0" applyAlignment="1" applyBorder="1" applyFont="1" applyNumberFormat="1">
      <alignment horizontal="center" vertical="bottom"/>
    </xf>
    <xf borderId="46" fillId="18" fontId="30" numFmtId="0" xfId="0" applyAlignment="1" applyBorder="1" applyFill="1" applyFont="1">
      <alignment horizontal="center" readingOrder="0" vertical="bottom"/>
    </xf>
    <xf borderId="45" fillId="18" fontId="41" numFmtId="0" xfId="0" applyAlignment="1" applyBorder="1" applyFont="1">
      <alignment horizontal="center" readingOrder="0" vertical="bottom"/>
    </xf>
    <xf borderId="47" fillId="18" fontId="30" numFmtId="165" xfId="0" applyAlignment="1" applyBorder="1" applyFont="1" applyNumberFormat="1">
      <alignment horizontal="center" vertical="bottom"/>
    </xf>
    <xf borderId="48" fillId="19" fontId="30" numFmtId="0" xfId="0" applyAlignment="1" applyBorder="1" applyFill="1" applyFont="1">
      <alignment horizontal="center"/>
    </xf>
    <xf borderId="49" fillId="0" fontId="7" numFmtId="0" xfId="0" applyBorder="1" applyFont="1"/>
    <xf borderId="50" fillId="18" fontId="8" numFmtId="0" xfId="0" applyAlignment="1" applyBorder="1" applyFont="1">
      <alignment vertical="bottom"/>
    </xf>
    <xf borderId="51" fillId="0" fontId="7" numFmtId="0" xfId="0" applyBorder="1" applyFont="1"/>
    <xf borderId="52" fillId="0" fontId="7" numFmtId="0" xfId="0" applyBorder="1" applyFont="1"/>
    <xf borderId="53" fillId="17" fontId="30" numFmtId="0" xfId="0" applyAlignment="1" applyBorder="1" applyFont="1">
      <alignment readingOrder="0" vertical="bottom"/>
    </xf>
    <xf borderId="2" fillId="0" fontId="42" numFmtId="0" xfId="0" applyAlignment="1" applyBorder="1" applyFont="1">
      <alignment horizontal="center" readingOrder="0" vertical="center"/>
    </xf>
    <xf borderId="54" fillId="0" fontId="43" numFmtId="0" xfId="0" applyAlignment="1" applyBorder="1" applyFont="1">
      <alignment horizontal="center" vertical="center"/>
    </xf>
    <xf borderId="25" fillId="2" fontId="44" numFmtId="0" xfId="0" applyAlignment="1" applyBorder="1" applyFont="1">
      <alignment horizontal="right" vertical="bottom"/>
    </xf>
    <xf borderId="53" fillId="17" fontId="30" numFmtId="0" xfId="0" applyAlignment="1" applyBorder="1" applyFont="1">
      <alignment vertical="bottom"/>
    </xf>
    <xf borderId="53" fillId="20" fontId="8" numFmtId="0" xfId="0" applyAlignment="1" applyBorder="1" applyFill="1" applyFont="1">
      <alignment vertical="bottom"/>
    </xf>
    <xf borderId="0" fillId="2" fontId="44" numFmtId="0" xfId="0" applyAlignment="1" applyFont="1">
      <alignment horizontal="right" vertical="bottom"/>
    </xf>
    <xf borderId="53" fillId="20" fontId="8" numFmtId="0" xfId="0" applyAlignment="1" applyBorder="1" applyFont="1">
      <alignment readingOrder="0" vertical="bottom"/>
    </xf>
    <xf borderId="2" fillId="0" fontId="45" numFmtId="0" xfId="0" applyAlignment="1" applyBorder="1" applyFont="1">
      <alignment horizontal="center" readingOrder="0" vertical="center"/>
    </xf>
    <xf borderId="2" fillId="0" fontId="8" numFmtId="0" xfId="0" applyAlignment="1" applyBorder="1" applyFont="1">
      <alignment horizontal="center" readingOrder="0" vertical="center"/>
    </xf>
    <xf borderId="30" fillId="0" fontId="7" numFmtId="0" xfId="0" applyBorder="1" applyFont="1"/>
    <xf borderId="53" fillId="17" fontId="8" numFmtId="0" xfId="0" applyAlignment="1" applyBorder="1" applyFont="1">
      <alignment readingOrder="0" vertical="bottom"/>
    </xf>
    <xf borderId="53" fillId="17" fontId="8" numFmtId="0" xfId="0" applyAlignment="1" applyBorder="1" applyFont="1">
      <alignment vertical="bottom"/>
    </xf>
    <xf borderId="55" fillId="17" fontId="8" numFmtId="0" xfId="0" applyAlignment="1" applyBorder="1" applyFont="1">
      <alignment vertical="bottom"/>
    </xf>
    <xf borderId="56" fillId="0" fontId="8" numFmtId="0" xfId="0" applyAlignment="1" applyBorder="1" applyFont="1">
      <alignment horizontal="center" readingOrder="0" vertical="center"/>
    </xf>
    <xf borderId="57" fillId="0" fontId="43" numFmtId="0" xfId="0" applyAlignment="1" applyBorder="1" applyFont="1">
      <alignment horizontal="center" vertical="center"/>
    </xf>
    <xf borderId="55" fillId="20" fontId="8" numFmtId="0" xfId="0" applyAlignment="1" applyBorder="1" applyFont="1">
      <alignment vertical="bottom"/>
    </xf>
    <xf borderId="58" fillId="2" fontId="8" numFmtId="0" xfId="0" applyAlignment="1" applyBorder="1" applyFont="1">
      <alignment vertical="center"/>
    </xf>
    <xf borderId="0" fillId="2" fontId="8" numFmtId="0" xfId="0" applyAlignment="1" applyFont="1">
      <alignment vertical="center"/>
    </xf>
    <xf borderId="59" fillId="2" fontId="8" numFmtId="0" xfId="0" applyAlignment="1" applyBorder="1" applyFont="1">
      <alignment vertical="bottom"/>
    </xf>
    <xf borderId="58" fillId="2" fontId="8" numFmtId="0" xfId="0" applyAlignment="1" applyBorder="1" applyFont="1">
      <alignment vertical="bottom"/>
    </xf>
    <xf borderId="40" fillId="6" fontId="39" numFmtId="0" xfId="0" applyAlignment="1" applyBorder="1" applyFont="1">
      <alignment horizontal="center"/>
    </xf>
    <xf borderId="40" fillId="6" fontId="39" numFmtId="0" xfId="0" applyAlignment="1" applyBorder="1" applyFont="1">
      <alignment horizontal="center" readingOrder="0"/>
    </xf>
    <xf borderId="40" fillId="6" fontId="46" numFmtId="0" xfId="0" applyAlignment="1" applyBorder="1" applyFont="1">
      <alignment horizontal="center" readingOrder="0" vertical="center"/>
    </xf>
    <xf borderId="27" fillId="6" fontId="27" numFmtId="0" xfId="0" applyAlignment="1" applyBorder="1" applyFont="1">
      <alignment horizontal="center" vertical="bottom"/>
    </xf>
    <xf borderId="43" fillId="6" fontId="27" numFmtId="0" xfId="0" applyAlignment="1" applyBorder="1" applyFont="1">
      <alignment horizontal="center" vertical="bottom"/>
    </xf>
    <xf borderId="44" fillId="6" fontId="27" numFmtId="0" xfId="0" applyAlignment="1" applyBorder="1" applyFont="1">
      <alignment horizontal="center" vertical="bottom"/>
    </xf>
    <xf borderId="42" fillId="6" fontId="27" numFmtId="0" xfId="0" applyAlignment="1" applyBorder="1" applyFont="1">
      <alignment horizontal="center" vertical="bottom"/>
    </xf>
    <xf borderId="60" fillId="6" fontId="27" numFmtId="0" xfId="0" applyAlignment="1" applyBorder="1" applyFont="1">
      <alignment horizontal="center" vertical="bottom"/>
    </xf>
    <xf borderId="27" fillId="21" fontId="40" numFmtId="0" xfId="0" applyAlignment="1" applyBorder="1" applyFill="1" applyFont="1">
      <alignment horizontal="center" readingOrder="0" textRotation="90" vertical="center"/>
    </xf>
    <xf borderId="45" fillId="21" fontId="30" numFmtId="0" xfId="0" applyAlignment="1" applyBorder="1" applyFont="1">
      <alignment horizontal="center" readingOrder="0" vertical="bottom"/>
    </xf>
    <xf borderId="46" fillId="21" fontId="30" numFmtId="0" xfId="0" applyAlignment="1" applyBorder="1" applyFont="1">
      <alignment horizontal="center" readingOrder="0"/>
    </xf>
    <xf borderId="45" fillId="21" fontId="41" numFmtId="0" xfId="0" applyAlignment="1" applyBorder="1" applyFont="1">
      <alignment horizontal="center" readingOrder="0"/>
    </xf>
    <xf borderId="47" fillId="21" fontId="30" numFmtId="165" xfId="0" applyAlignment="1" applyBorder="1" applyFont="1" applyNumberFormat="1">
      <alignment horizontal="center" vertical="bottom"/>
    </xf>
    <xf borderId="48" fillId="22" fontId="30" numFmtId="0" xfId="0" applyAlignment="1" applyBorder="1" applyFill="1" applyFont="1">
      <alignment horizontal="center"/>
    </xf>
    <xf borderId="53" fillId="21" fontId="30" numFmtId="0" xfId="0" applyAlignment="1" applyBorder="1" applyFont="1">
      <alignment readingOrder="0" vertical="bottom"/>
    </xf>
    <xf borderId="53" fillId="21" fontId="30" numFmtId="0" xfId="0" applyAlignment="1" applyBorder="1" applyFont="1">
      <alignment vertical="bottom"/>
    </xf>
    <xf borderId="53" fillId="21" fontId="8" numFmtId="0" xfId="0" applyAlignment="1" applyBorder="1" applyFont="1">
      <alignment vertical="bottom"/>
    </xf>
    <xf borderId="53" fillId="21" fontId="8" numFmtId="0" xfId="0" applyAlignment="1" applyBorder="1" applyFont="1">
      <alignment readingOrder="0" vertical="bottom"/>
    </xf>
    <xf borderId="55" fillId="21" fontId="8" numFmtId="0" xfId="0" applyAlignment="1" applyBorder="1" applyFont="1">
      <alignment vertical="bottom"/>
    </xf>
    <xf borderId="40" fillId="23" fontId="39" numFmtId="0" xfId="0" applyAlignment="1" applyBorder="1" applyFill="1" applyFont="1">
      <alignment horizontal="center"/>
    </xf>
    <xf borderId="40" fillId="23" fontId="39" numFmtId="0" xfId="0" applyAlignment="1" applyBorder="1" applyFont="1">
      <alignment horizontal="center" readingOrder="0"/>
    </xf>
    <xf borderId="40" fillId="23" fontId="39" numFmtId="0" xfId="0" applyAlignment="1" applyBorder="1" applyFont="1">
      <alignment horizontal="center" readingOrder="0" vertical="center"/>
    </xf>
    <xf borderId="27" fillId="23" fontId="27" numFmtId="0" xfId="0" applyAlignment="1" applyBorder="1" applyFont="1">
      <alignment horizontal="center" vertical="bottom"/>
    </xf>
    <xf borderId="43" fillId="23" fontId="27" numFmtId="0" xfId="0" applyAlignment="1" applyBorder="1" applyFont="1">
      <alignment horizontal="center" vertical="bottom"/>
    </xf>
    <xf borderId="61" fillId="23" fontId="27" numFmtId="0" xfId="0" applyAlignment="1" applyBorder="1" applyFont="1">
      <alignment horizontal="center" vertical="bottom"/>
    </xf>
    <xf borderId="42" fillId="23" fontId="27" numFmtId="0" xfId="0" applyAlignment="1" applyBorder="1" applyFont="1">
      <alignment horizontal="center" vertical="bottom"/>
    </xf>
    <xf borderId="60" fillId="23" fontId="27" numFmtId="0" xfId="0" applyAlignment="1" applyBorder="1" applyFont="1">
      <alignment horizontal="center" vertical="bottom"/>
    </xf>
    <xf borderId="27" fillId="11" fontId="40" numFmtId="0" xfId="0" applyAlignment="1" applyBorder="1" applyFont="1">
      <alignment horizontal="center" readingOrder="0" textRotation="90" vertical="center"/>
    </xf>
    <xf borderId="45" fillId="11" fontId="30" numFmtId="0" xfId="0" applyAlignment="1" applyBorder="1" applyFont="1">
      <alignment horizontal="center" readingOrder="0" vertical="bottom"/>
    </xf>
    <xf borderId="46" fillId="11" fontId="30" numFmtId="0" xfId="0" applyAlignment="1" applyBorder="1" applyFont="1">
      <alignment horizontal="center" readingOrder="0"/>
    </xf>
    <xf borderId="45" fillId="11" fontId="41" numFmtId="0" xfId="0" applyAlignment="1" applyBorder="1" applyFont="1">
      <alignment horizontal="center" readingOrder="0"/>
    </xf>
    <xf borderId="47" fillId="11" fontId="30" numFmtId="165" xfId="0" applyAlignment="1" applyBorder="1" applyFont="1" applyNumberFormat="1">
      <alignment horizontal="center" vertical="bottom"/>
    </xf>
    <xf borderId="62" fillId="18" fontId="30" numFmtId="165" xfId="0" applyAlignment="1" applyBorder="1" applyFont="1" applyNumberFormat="1">
      <alignment horizontal="center" vertical="bottom"/>
    </xf>
    <xf borderId="48" fillId="8" fontId="30" numFmtId="0" xfId="0" applyAlignment="1" applyBorder="1" applyFont="1">
      <alignment horizontal="center"/>
    </xf>
    <xf borderId="53" fillId="11" fontId="30" numFmtId="0" xfId="0" applyAlignment="1" applyBorder="1" applyFont="1">
      <alignment readingOrder="0" vertical="bottom"/>
    </xf>
    <xf borderId="53" fillId="11" fontId="8" numFmtId="0" xfId="0" applyAlignment="1" applyBorder="1" applyFont="1">
      <alignment readingOrder="0" vertical="bottom"/>
    </xf>
    <xf borderId="53" fillId="11" fontId="8" numFmtId="0" xfId="0" applyAlignment="1" applyBorder="1" applyFont="1">
      <alignment vertical="bottom"/>
    </xf>
    <xf borderId="55" fillId="11" fontId="8" numFmtId="0" xfId="0" applyAlignment="1" applyBorder="1" applyFont="1">
      <alignment vertical="bottom"/>
    </xf>
    <xf borderId="40" fillId="24" fontId="39" numFmtId="0" xfId="0" applyAlignment="1" applyBorder="1" applyFill="1" applyFont="1">
      <alignment horizontal="center"/>
    </xf>
    <xf borderId="40" fillId="24" fontId="39" numFmtId="0" xfId="0" applyAlignment="1" applyBorder="1" applyFont="1">
      <alignment horizontal="center" readingOrder="0"/>
    </xf>
    <xf borderId="40" fillId="24" fontId="39" numFmtId="0" xfId="0" applyAlignment="1" applyBorder="1" applyFont="1">
      <alignment horizontal="center" readingOrder="0" vertical="center"/>
    </xf>
    <xf borderId="27" fillId="24" fontId="27" numFmtId="0" xfId="0" applyAlignment="1" applyBorder="1" applyFont="1">
      <alignment horizontal="center" vertical="bottom"/>
    </xf>
    <xf borderId="43" fillId="24" fontId="27" numFmtId="0" xfId="0" applyAlignment="1" applyBorder="1" applyFont="1">
      <alignment horizontal="center" vertical="bottom"/>
    </xf>
    <xf borderId="61" fillId="24" fontId="27" numFmtId="0" xfId="0" applyAlignment="1" applyBorder="1" applyFont="1">
      <alignment horizontal="center" vertical="bottom"/>
    </xf>
    <xf borderId="42" fillId="24" fontId="27" numFmtId="0" xfId="0" applyAlignment="1" applyBorder="1" applyFont="1">
      <alignment horizontal="center" vertical="bottom"/>
    </xf>
    <xf borderId="60" fillId="24" fontId="27" numFmtId="0" xfId="0" applyAlignment="1" applyBorder="1" applyFont="1">
      <alignment horizontal="center" vertical="bottom"/>
    </xf>
    <xf borderId="27" fillId="25" fontId="40" numFmtId="0" xfId="0" applyAlignment="1" applyBorder="1" applyFill="1" applyFont="1">
      <alignment horizontal="center" readingOrder="0" textRotation="90" vertical="center"/>
    </xf>
    <xf borderId="45" fillId="25" fontId="30" numFmtId="0" xfId="0" applyAlignment="1" applyBorder="1" applyFont="1">
      <alignment horizontal="center" readingOrder="0" vertical="bottom"/>
    </xf>
    <xf borderId="46" fillId="25" fontId="30" numFmtId="0" xfId="0" applyAlignment="1" applyBorder="1" applyFont="1">
      <alignment horizontal="center" readingOrder="0"/>
    </xf>
    <xf borderId="45" fillId="25" fontId="41" numFmtId="0" xfId="0" applyAlignment="1" applyBorder="1" applyFont="1">
      <alignment horizontal="center" readingOrder="0"/>
    </xf>
    <xf borderId="47" fillId="25" fontId="30" numFmtId="165" xfId="0" applyAlignment="1" applyBorder="1" applyFont="1" applyNumberFormat="1">
      <alignment horizontal="center" vertical="bottom"/>
    </xf>
    <xf borderId="48" fillId="26" fontId="30" numFmtId="0" xfId="0" applyAlignment="1" applyBorder="1" applyFill="1" applyFont="1">
      <alignment horizontal="center"/>
    </xf>
    <xf borderId="53" fillId="25" fontId="30" numFmtId="0" xfId="0" applyAlignment="1" applyBorder="1" applyFont="1">
      <alignment readingOrder="0" vertical="bottom"/>
    </xf>
    <xf borderId="53" fillId="25" fontId="30" numFmtId="0" xfId="0" applyAlignment="1" applyBorder="1" applyFont="1">
      <alignment vertical="bottom"/>
    </xf>
    <xf borderId="53" fillId="25" fontId="8" numFmtId="0" xfId="0" applyAlignment="1" applyBorder="1" applyFont="1">
      <alignment readingOrder="0" vertical="bottom"/>
    </xf>
    <xf borderId="53" fillId="25" fontId="8" numFmtId="0" xfId="0" applyAlignment="1" applyBorder="1" applyFont="1">
      <alignment vertical="bottom"/>
    </xf>
    <xf borderId="55" fillId="25" fontId="8" numFmtId="0" xfId="0" applyAlignment="1" applyBorder="1" applyFont="1">
      <alignment readingOrder="0" vertical="bottom"/>
    </xf>
    <xf borderId="55" fillId="25" fontId="8" numFmtId="0" xfId="0" applyAlignment="1" applyBorder="1" applyFont="1">
      <alignment vertical="bottom"/>
    </xf>
    <xf borderId="63" fillId="2" fontId="8" numFmtId="0" xfId="0" applyAlignment="1" applyBorder="1" applyFont="1">
      <alignment vertical="center"/>
    </xf>
    <xf borderId="63" fillId="2" fontId="8" numFmtId="0" xfId="0" applyAlignment="1" applyBorder="1" applyFont="1">
      <alignment vertical="bottom"/>
    </xf>
    <xf borderId="33" fillId="2" fontId="8" numFmtId="0" xfId="0" applyAlignment="1" applyBorder="1" applyFont="1">
      <alignment vertical="bottom"/>
    </xf>
    <xf borderId="64" fillId="2" fontId="8" numFmtId="0" xfId="0" applyAlignment="1" applyBorder="1" applyFont="1">
      <alignment vertical="bottom"/>
    </xf>
    <xf borderId="0" fillId="0" fontId="47" numFmtId="0" xfId="0" applyAlignment="1" applyFont="1">
      <alignment shrinkToFit="0" vertical="bottom" wrapText="0"/>
    </xf>
    <xf borderId="0" fillId="0" fontId="48" numFmtId="0" xfId="0" applyAlignment="1" applyFont="1">
      <alignment vertical="bottom"/>
    </xf>
    <xf borderId="0" fillId="0" fontId="8" numFmtId="0" xfId="0" applyAlignment="1" applyFont="1">
      <alignment vertical="bottom"/>
    </xf>
    <xf borderId="65" fillId="0" fontId="8" numFmtId="0" xfId="0" applyAlignment="1" applyBorder="1" applyFont="1">
      <alignment vertical="bottom"/>
    </xf>
    <xf borderId="65" fillId="0" fontId="8" numFmtId="49" xfId="0" applyAlignment="1" applyBorder="1" applyFont="1" applyNumberFormat="1">
      <alignment vertical="bottom"/>
    </xf>
    <xf borderId="0" fillId="0" fontId="47" numFmtId="1" xfId="0" applyAlignment="1" applyFont="1" applyNumberFormat="1">
      <alignment shrinkToFit="0" vertical="bottom" wrapText="0"/>
    </xf>
    <xf borderId="65" fillId="0" fontId="8" numFmtId="3" xfId="0" applyAlignment="1" applyBorder="1" applyFont="1" applyNumberFormat="1">
      <alignment vertical="bottom"/>
    </xf>
    <xf borderId="0" fillId="0" fontId="8" numFmtId="166" xfId="0" applyAlignment="1" applyFont="1" applyNumberFormat="1">
      <alignment vertical="bottom"/>
    </xf>
    <xf borderId="0" fillId="0" fontId="49" numFmtId="0" xfId="0" applyAlignment="1" applyFont="1">
      <alignment vertical="bottom"/>
    </xf>
    <xf borderId="65" fillId="0" fontId="8" numFmtId="164" xfId="0" applyAlignment="1" applyBorder="1" applyFont="1" applyNumberFormat="1">
      <alignment vertical="bottom"/>
    </xf>
    <xf borderId="0" fillId="0" fontId="47" numFmtId="166" xfId="0" applyAlignment="1" applyFont="1" applyNumberFormat="1">
      <alignment shrinkToFit="0" vertical="bottom" wrapText="0"/>
    </xf>
    <xf borderId="0" fillId="0" fontId="8" numFmtId="1" xfId="0" applyAlignment="1" applyFont="1" applyNumberFormat="1">
      <alignment vertical="bottom"/>
    </xf>
    <xf borderId="0" fillId="0" fontId="50" numFmtId="1" xfId="0" applyAlignment="1" applyFont="1" applyNumberFormat="1">
      <alignment vertical="bottom"/>
    </xf>
    <xf borderId="0" fillId="0" fontId="51" numFmtId="0" xfId="0" applyAlignment="1" applyFont="1">
      <alignment vertical="bottom"/>
    </xf>
    <xf borderId="0" fillId="0" fontId="47" numFmtId="0" xfId="0" applyAlignment="1" applyFont="1">
      <alignment vertical="bottom"/>
    </xf>
    <xf borderId="0" fillId="0" fontId="8" numFmtId="0" xfId="0" applyAlignment="1" applyFont="1">
      <alignment shrinkToFit="0" vertical="bottom" wrapText="0"/>
    </xf>
    <xf borderId="0" fillId="0" fontId="8" numFmtId="0" xfId="0" applyAlignment="1" applyFont="1">
      <alignment horizontal="right" shrinkToFit="0" vertical="bottom" wrapText="0"/>
    </xf>
    <xf borderId="65" fillId="0" fontId="8" numFmtId="0" xfId="0" applyAlignment="1" applyBorder="1" applyFont="1">
      <alignment horizontal="right" shrinkToFit="0" vertical="bottom" wrapText="0"/>
    </xf>
    <xf borderId="0" fillId="0" fontId="8" numFmtId="0" xfId="0" applyAlignment="1" applyFont="1">
      <alignment horizontal="center" shrinkToFit="0" vertical="bottom" wrapText="0"/>
    </xf>
    <xf borderId="0" fillId="0" fontId="8" numFmtId="167" xfId="0" applyAlignment="1" applyFont="1" applyNumberFormat="1">
      <alignment horizontal="center" shrinkToFit="0" vertical="bottom" wrapText="0"/>
    </xf>
    <xf borderId="65" fillId="0" fontId="8" numFmtId="166" xfId="0" applyAlignment="1" applyBorder="1" applyFont="1" applyNumberFormat="1">
      <alignment vertical="bottom"/>
    </xf>
    <xf borderId="0" fillId="0" fontId="8" numFmtId="167" xfId="0" applyAlignment="1" applyFont="1" applyNumberFormat="1">
      <alignment vertical="bottom"/>
    </xf>
    <xf borderId="0" fillId="0" fontId="8" numFmtId="164" xfId="0" applyAlignment="1" applyFont="1" applyNumberFormat="1">
      <alignment shrinkToFit="0" vertical="bottom" wrapText="0"/>
    </xf>
    <xf borderId="0" fillId="0" fontId="8" numFmtId="166" xfId="0" applyAlignment="1" applyFont="1" applyNumberFormat="1">
      <alignment horizontal="right" shrinkToFit="0" vertical="bottom" wrapText="0"/>
    </xf>
    <xf borderId="65" fillId="0" fontId="8" numFmtId="1" xfId="0" applyAlignment="1" applyBorder="1" applyFont="1" applyNumberFormat="1">
      <alignment shrinkToFit="0" vertical="bottom" wrapText="0"/>
    </xf>
    <xf borderId="0" fillId="0" fontId="8" numFmtId="168" xfId="0" applyAlignment="1" applyFont="1" applyNumberFormat="1">
      <alignment shrinkToFit="0" vertical="bottom" wrapText="0"/>
    </xf>
    <xf borderId="0" fillId="0" fontId="8" numFmtId="0" xfId="0" applyAlignment="1" applyFont="1">
      <alignment horizontal="right" vertical="bottom"/>
    </xf>
    <xf borderId="65" fillId="0" fontId="8" numFmtId="164" xfId="0" applyAlignment="1" applyBorder="1" applyFont="1" applyNumberFormat="1">
      <alignment horizontal="right" shrinkToFit="0" vertical="bottom" wrapText="0"/>
    </xf>
    <xf borderId="0" fillId="0" fontId="8" numFmtId="1" xfId="0" applyAlignment="1" applyFont="1" applyNumberFormat="1">
      <alignment shrinkToFit="0" vertical="bottom" wrapText="0"/>
    </xf>
    <xf borderId="0" fillId="0" fontId="8" numFmtId="9" xfId="0" applyAlignment="1" applyFont="1" applyNumberFormat="1">
      <alignment shrinkToFit="0" vertical="bottom" wrapText="0"/>
    </xf>
    <xf borderId="65" fillId="0" fontId="8" numFmtId="164" xfId="0" applyAlignment="1" applyBorder="1" applyFont="1" applyNumberFormat="1">
      <alignment shrinkToFit="0" vertical="bottom" wrapText="0"/>
    </xf>
    <xf borderId="65" fillId="0" fontId="8" numFmtId="9" xfId="0" applyAlignment="1" applyBorder="1" applyFont="1" applyNumberFormat="1">
      <alignment vertical="bottom"/>
    </xf>
    <xf borderId="0" fillId="0" fontId="8" numFmtId="168" xfId="0" applyAlignment="1" applyFont="1" applyNumberFormat="1">
      <alignment horizontal="right" shrinkToFit="0" vertical="bottom" wrapText="0"/>
    </xf>
    <xf borderId="65" fillId="0" fontId="8" numFmtId="168" xfId="0" applyAlignment="1" applyBorder="1" applyFont="1" applyNumberFormat="1">
      <alignment vertical="bottom"/>
    </xf>
    <xf borderId="0" fillId="0" fontId="8" numFmtId="164" xfId="0" applyAlignment="1" applyFont="1" applyNumberFormat="1">
      <alignment vertical="bottom"/>
    </xf>
    <xf borderId="0" fillId="0" fontId="8" numFmtId="9" xfId="0" applyAlignment="1" applyFont="1" applyNumberFormat="1">
      <alignment horizontal="right" vertical="bottom"/>
    </xf>
    <xf borderId="0" fillId="0" fontId="8" numFmtId="168" xfId="0" applyAlignment="1" applyFont="1" applyNumberFormat="1">
      <alignment vertical="bottom"/>
    </xf>
    <xf borderId="0" fillId="0" fontId="8" numFmtId="0" xfId="0" applyAlignment="1" applyFont="1">
      <alignment horizontal="right" vertical="bottom"/>
    </xf>
    <xf borderId="0" fillId="0" fontId="8" numFmtId="0" xfId="0" applyAlignment="1" applyFont="1">
      <alignment horizontal="center" vertical="bottom"/>
    </xf>
    <xf borderId="0" fillId="0" fontId="8" numFmtId="49" xfId="0" applyAlignment="1" applyFont="1" applyNumberFormat="1">
      <alignment horizontal="right" vertical="bottom"/>
    </xf>
    <xf borderId="65" fillId="0" fontId="8" numFmtId="166" xfId="0" applyAlignment="1" applyBorder="1" applyFont="1" applyNumberFormat="1">
      <alignment horizontal="center" shrinkToFit="0" vertical="bottom" wrapText="0"/>
    </xf>
    <xf borderId="65" fillId="0" fontId="8" numFmtId="169" xfId="0" applyAlignment="1" applyBorder="1" applyFont="1" applyNumberFormat="1">
      <alignment horizontal="center" shrinkToFit="0" vertical="bottom" wrapText="0"/>
    </xf>
    <xf borderId="0" fillId="0" fontId="8" numFmtId="169" xfId="0" applyAlignment="1" applyFont="1" applyNumberFormat="1">
      <alignment horizontal="right" shrinkToFit="0" vertical="bottom" wrapText="0"/>
    </xf>
    <xf borderId="0" fillId="0" fontId="8" numFmtId="169" xfId="0" applyAlignment="1" applyFont="1" applyNumberFormat="1">
      <alignment vertical="bottom"/>
    </xf>
    <xf borderId="0" fillId="0" fontId="8" numFmtId="9" xfId="0" applyAlignment="1" applyFont="1" applyNumberFormat="1">
      <alignment vertical="bottom"/>
    </xf>
    <xf borderId="0" fillId="0" fontId="8" numFmtId="3" xfId="0" applyAlignment="1" applyFont="1" applyNumberFormat="1">
      <alignment horizontal="right" shrinkToFit="0" vertical="bottom" wrapText="0"/>
    </xf>
    <xf borderId="0" fillId="0" fontId="8" numFmtId="3" xfId="0" applyAlignment="1" applyFont="1" applyNumberFormat="1">
      <alignment vertical="bottom"/>
    </xf>
    <xf borderId="0" fillId="0" fontId="8" numFmtId="170" xfId="0" applyAlignment="1" applyFont="1" applyNumberFormat="1">
      <alignment horizontal="right" vertical="bottom"/>
    </xf>
    <xf borderId="0" fillId="0" fontId="8" numFmtId="170" xfId="0" applyAlignment="1" applyFont="1" applyNumberFormat="1">
      <alignment vertical="bottom"/>
    </xf>
    <xf borderId="65" fillId="0" fontId="8" numFmtId="170" xfId="0" applyAlignment="1" applyBorder="1" applyFont="1" applyNumberFormat="1">
      <alignment vertical="bottom"/>
    </xf>
    <xf borderId="0" fillId="0" fontId="8" numFmtId="171" xfId="0" applyAlignment="1" applyFont="1" applyNumberFormat="1">
      <alignment horizontal="right" vertical="bottom"/>
    </xf>
    <xf borderId="65" fillId="0" fontId="8" numFmtId="49" xfId="0" applyAlignment="1" applyBorder="1" applyFont="1" applyNumberFormat="1">
      <alignment horizontal="right" shrinkToFit="0" vertical="bottom" wrapText="0"/>
    </xf>
    <xf borderId="0" fillId="0" fontId="8" numFmtId="167" xfId="0" applyAlignment="1" applyFont="1" applyNumberFormat="1">
      <alignment horizontal="right" shrinkToFit="0" vertical="bottom" wrapText="0"/>
    </xf>
    <xf borderId="65" fillId="0" fontId="8" numFmtId="3" xfId="0" applyAlignment="1" applyBorder="1" applyFont="1" applyNumberFormat="1">
      <alignment horizontal="right" shrinkToFit="0" vertical="bottom" wrapText="0"/>
    </xf>
    <xf borderId="0" fillId="0" fontId="8" numFmtId="164" xfId="0" applyAlignment="1" applyFont="1" applyNumberFormat="1">
      <alignment horizontal="center" shrinkToFit="0" vertical="bottom" wrapText="0"/>
    </xf>
    <xf borderId="0" fillId="0" fontId="8" numFmtId="164" xfId="0" applyAlignment="1" applyFont="1" applyNumberFormat="1">
      <alignment horizontal="right" shrinkToFit="0" vertical="bottom" wrapText="0"/>
    </xf>
    <xf borderId="0" fillId="0" fontId="8" numFmtId="3" xfId="0" applyAlignment="1" applyFont="1" applyNumberFormat="1">
      <alignment shrinkToFit="0" vertical="bottom" wrapText="0"/>
    </xf>
    <xf borderId="0" fillId="0" fontId="8" numFmtId="166" xfId="0" applyAlignment="1" applyFont="1" applyNumberFormat="1">
      <alignment horizontal="right" vertical="bottom"/>
    </xf>
    <xf borderId="0" fillId="0" fontId="8" numFmtId="172" xfId="0" applyAlignment="1" applyFont="1" applyNumberFormat="1">
      <alignment vertical="bottom"/>
    </xf>
    <xf borderId="0" fillId="0" fontId="8" numFmtId="165" xfId="0" applyAlignment="1" applyFont="1" applyNumberFormat="1">
      <alignment vertical="bottom"/>
    </xf>
    <xf borderId="65" fillId="0" fontId="8" numFmtId="165" xfId="0" applyAlignment="1" applyBorder="1" applyFont="1" applyNumberFormat="1">
      <alignment vertical="bottom"/>
    </xf>
    <xf borderId="0" fillId="0" fontId="8" numFmtId="49" xfId="0" applyAlignment="1" applyFont="1" applyNumberFormat="1">
      <alignment vertical="bottom"/>
    </xf>
    <xf borderId="0" fillId="0" fontId="8" numFmtId="165" xfId="0" applyAlignment="1" applyFont="1" applyNumberFormat="1">
      <alignment horizontal="right" vertical="bottom"/>
    </xf>
    <xf borderId="0" fillId="0" fontId="8" numFmtId="10" xfId="0" applyAlignment="1" applyFont="1" applyNumberFormat="1">
      <alignment shrinkToFit="0" vertical="bottom" wrapText="0"/>
    </xf>
    <xf borderId="0" fillId="0" fontId="8" numFmtId="10" xfId="0" applyAlignment="1" applyFont="1" applyNumberFormat="1">
      <alignment vertical="bottom"/>
    </xf>
    <xf borderId="0" fillId="0" fontId="8" numFmtId="49" xfId="0" applyAlignment="1" applyFont="1" applyNumberFormat="1">
      <alignment shrinkToFit="0" vertical="bottom" wrapText="0"/>
    </xf>
    <xf borderId="0" fillId="0" fontId="8" numFmtId="173" xfId="0" applyAlignment="1" applyFont="1" applyNumberFormat="1">
      <alignment horizontal="center" vertical="bottom"/>
    </xf>
    <xf borderId="0" fillId="0" fontId="8" numFmtId="174" xfId="0" applyAlignment="1" applyFont="1" applyNumberFormat="1">
      <alignment horizontal="right" vertical="bottom"/>
    </xf>
    <xf borderId="0" fillId="0" fontId="8" numFmtId="173" xfId="0" applyAlignment="1" applyFont="1" applyNumberFormat="1">
      <alignment vertical="bottom"/>
    </xf>
    <xf borderId="65" fillId="0" fontId="8" numFmtId="174" xfId="0" applyAlignment="1" applyBorder="1" applyFont="1" applyNumberFormat="1">
      <alignment vertical="bottom"/>
    </xf>
    <xf borderId="0" fillId="0" fontId="8" numFmtId="166" xfId="0" applyAlignment="1" applyFont="1" applyNumberFormat="1">
      <alignment horizontal="right" shrinkToFit="0" vertical="bottom" wrapText="0"/>
    </xf>
    <xf borderId="0" fillId="0" fontId="8" numFmtId="173" xfId="0" applyAlignment="1" applyFont="1" applyNumberFormat="1">
      <alignment shrinkToFit="0" vertical="bottom" wrapText="0"/>
    </xf>
    <xf borderId="0" fillId="0" fontId="8" numFmtId="166" xfId="0" applyAlignment="1" applyFont="1" applyNumberFormat="1">
      <alignment vertical="bottom"/>
    </xf>
    <xf borderId="0" fillId="0" fontId="8" numFmtId="173" xfId="0" applyAlignment="1" applyFont="1" applyNumberFormat="1">
      <alignment horizontal="right" shrinkToFit="0" vertical="bottom" wrapText="0"/>
    </xf>
    <xf borderId="65" fillId="0" fontId="8" numFmtId="173" xfId="0" applyAlignment="1" applyBorder="1" applyFont="1" applyNumberFormat="1">
      <alignment vertical="bottom"/>
    </xf>
    <xf borderId="0" fillId="0" fontId="8" numFmtId="175" xfId="0" applyAlignment="1" applyFont="1" applyNumberFormat="1">
      <alignment vertical="bottom"/>
    </xf>
    <xf borderId="0" fillId="0" fontId="8" numFmtId="176" xfId="0" applyAlignment="1" applyFont="1" applyNumberFormat="1">
      <alignment horizontal="right" vertical="bottom"/>
    </xf>
    <xf borderId="65" fillId="0" fontId="8" numFmtId="176" xfId="0" applyAlignment="1" applyBorder="1" applyFont="1" applyNumberFormat="1">
      <alignment vertical="bottom"/>
    </xf>
    <xf borderId="65" fillId="0" fontId="8" numFmtId="0" xfId="0" applyAlignment="1" applyBorder="1" applyFont="1">
      <alignment shrinkToFit="0" vertical="bottom" wrapText="0"/>
    </xf>
    <xf borderId="0" fillId="0" fontId="8" numFmtId="170" xfId="0" applyAlignment="1" applyFont="1" applyNumberFormat="1">
      <alignment vertical="bottom"/>
    </xf>
    <xf borderId="65" fillId="0" fontId="8" numFmtId="171" xfId="0" applyAlignment="1" applyBorder="1" applyFont="1" applyNumberFormat="1">
      <alignment vertical="bottom"/>
    </xf>
    <xf borderId="0" fillId="0" fontId="8" numFmtId="177" xfId="0" applyAlignment="1" applyFont="1" applyNumberFormat="1">
      <alignment horizontal="right" shrinkToFit="0" vertical="bottom" wrapText="0"/>
    </xf>
    <xf borderId="0" fillId="0" fontId="8" numFmtId="177" xfId="0" applyAlignment="1" applyFont="1" applyNumberFormat="1">
      <alignment vertical="bottom"/>
    </xf>
    <xf borderId="0" fillId="0" fontId="8" numFmtId="178" xfId="0" applyAlignment="1" applyFont="1" applyNumberFormat="1">
      <alignment horizontal="right" vertical="bottom"/>
    </xf>
    <xf borderId="0" fillId="0" fontId="8" numFmtId="1" xfId="0" applyAlignment="1" applyFont="1" applyNumberFormat="1">
      <alignment horizontal="right" vertical="bottom"/>
    </xf>
    <xf borderId="0" fillId="0" fontId="8" numFmtId="177" xfId="0" applyAlignment="1" applyFont="1" applyNumberFormat="1">
      <alignment shrinkToFit="0" vertical="bottom" wrapText="0"/>
    </xf>
    <xf borderId="0" fillId="0" fontId="8" numFmtId="1" xfId="0" applyAlignment="1" applyFont="1" applyNumberFormat="1">
      <alignment horizontal="right" shrinkToFit="0" vertical="bottom" wrapText="0"/>
    </xf>
    <xf borderId="0" fillId="0" fontId="8" numFmtId="174" xfId="0" applyAlignment="1" applyFont="1" applyNumberFormat="1">
      <alignment horizontal="right" vertical="bottom"/>
    </xf>
    <xf borderId="65" fillId="0" fontId="8" numFmtId="174" xfId="0" applyAlignment="1" applyBorder="1" applyFont="1" applyNumberFormat="1">
      <alignment vertical="bottom"/>
    </xf>
    <xf borderId="0" fillId="0" fontId="8" numFmtId="179" xfId="0" applyAlignment="1" applyFont="1" applyNumberFormat="1">
      <alignment horizontal="right" vertical="bottom"/>
    </xf>
    <xf borderId="65" fillId="0" fontId="8" numFmtId="179" xfId="0" applyAlignment="1" applyBorder="1" applyFont="1" applyNumberFormat="1">
      <alignment vertical="bottom"/>
    </xf>
    <xf borderId="0" fillId="0" fontId="8" numFmtId="180" xfId="0" applyAlignment="1" applyFont="1" applyNumberFormat="1">
      <alignment horizontal="right" shrinkToFit="0" vertical="bottom" wrapText="0"/>
    </xf>
    <xf borderId="0" fillId="0" fontId="8" numFmtId="180" xfId="0" applyAlignment="1" applyFont="1" applyNumberFormat="1">
      <alignment vertical="bottom"/>
    </xf>
    <xf borderId="0" fillId="0" fontId="8" numFmtId="181" xfId="0" applyAlignment="1" applyFont="1" applyNumberFormat="1">
      <alignment horizontal="right" shrinkToFit="0" vertical="bottom" wrapText="0"/>
    </xf>
    <xf borderId="0" fillId="0" fontId="8" numFmtId="181" xfId="0" applyAlignment="1" applyFont="1" applyNumberFormat="1">
      <alignment vertical="bottom"/>
    </xf>
    <xf borderId="0" fillId="0" fontId="8" numFmtId="177" xfId="0" applyAlignment="1" applyFont="1" applyNumberFormat="1">
      <alignment horizontal="right" vertical="bottom"/>
    </xf>
    <xf borderId="65" fillId="0" fontId="8" numFmtId="177" xfId="0" applyAlignment="1" applyBorder="1" applyFont="1" applyNumberFormat="1">
      <alignment vertical="bottom"/>
    </xf>
    <xf borderId="0" fillId="0" fontId="8" numFmtId="49" xfId="0" applyAlignment="1" applyFont="1" applyNumberFormat="1">
      <alignment horizontal="center" shrinkToFit="0" vertical="bottom" wrapText="0"/>
    </xf>
    <xf borderId="0" fillId="0" fontId="8" numFmtId="170" xfId="0" applyAlignment="1" applyFont="1" applyNumberFormat="1">
      <alignment horizontal="right" shrinkToFit="0" vertical="bottom" wrapText="0"/>
    </xf>
    <xf borderId="0" fillId="0" fontId="8" numFmtId="182" xfId="0" applyAlignment="1" applyFont="1" applyNumberFormat="1">
      <alignment horizontal="right" vertical="bottom"/>
    </xf>
    <xf borderId="65" fillId="0" fontId="8" numFmtId="182" xfId="0" applyAlignment="1" applyBorder="1" applyFont="1" applyNumberFormat="1">
      <alignment vertical="bottom"/>
    </xf>
    <xf borderId="0" fillId="0" fontId="8" numFmtId="169" xfId="0" applyAlignment="1" applyFont="1" applyNumberFormat="1">
      <alignment shrinkToFit="0" vertical="bottom" wrapText="0"/>
    </xf>
    <xf borderId="0" fillId="0" fontId="8" numFmtId="169" xfId="0" applyAlignment="1" applyFont="1" applyNumberFormat="1">
      <alignment vertical="bottom"/>
    </xf>
    <xf borderId="0" fillId="0" fontId="8" numFmtId="9" xfId="0" applyAlignment="1" applyFont="1" applyNumberFormat="1">
      <alignment horizontal="right" shrinkToFit="0" vertical="bottom" wrapText="0"/>
    </xf>
    <xf borderId="0" fillId="0" fontId="8" numFmtId="1" xfId="0" applyAlignment="1" applyFont="1" applyNumberFormat="1">
      <alignment horizontal="center" vertical="bottom"/>
    </xf>
    <xf borderId="0" fillId="0" fontId="8" numFmtId="171" xfId="0" applyAlignment="1" applyFont="1" applyNumberFormat="1">
      <alignment vertical="bottom"/>
    </xf>
    <xf borderId="0" fillId="0" fontId="8" numFmtId="177" xfId="0" applyAlignment="1" applyFont="1" applyNumberFormat="1">
      <alignment horizontal="right" vertical="bottom"/>
    </xf>
    <xf borderId="65" fillId="0" fontId="8" numFmtId="177" xfId="0" applyAlignment="1" applyBorder="1" applyFont="1" applyNumberFormat="1">
      <alignment vertical="bottom"/>
    </xf>
    <xf borderId="0" fillId="0" fontId="8" numFmtId="183" xfId="0" applyAlignment="1" applyFont="1" applyNumberFormat="1">
      <alignment vertical="bottom"/>
    </xf>
    <xf borderId="0" fillId="0" fontId="8" numFmtId="184" xfId="0" applyAlignment="1" applyFont="1" applyNumberFormat="1">
      <alignment vertical="bottom"/>
    </xf>
    <xf borderId="0" fillId="0" fontId="8" numFmtId="167" xfId="0" applyAlignment="1" applyFont="1" applyNumberFormat="1">
      <alignment horizontal="right" vertical="bottom"/>
    </xf>
    <xf borderId="0" fillId="0" fontId="8" numFmtId="185" xfId="0" applyAlignment="1" applyFont="1" applyNumberFormat="1">
      <alignment shrinkToFit="0" vertical="bottom" wrapText="0"/>
    </xf>
    <xf borderId="0" fillId="0" fontId="8" numFmtId="185" xfId="0" applyAlignment="1" applyFont="1" applyNumberFormat="1">
      <alignment vertical="bottom"/>
    </xf>
    <xf borderId="0" fillId="0" fontId="8" numFmtId="186" xfId="0" applyAlignment="1" applyFont="1" applyNumberFormat="1">
      <alignment horizontal="right" shrinkToFit="0" vertical="bottom" wrapText="0"/>
    </xf>
    <xf borderId="0" fillId="0" fontId="8" numFmtId="186" xfId="0" applyAlignment="1" applyFont="1" applyNumberFormat="1">
      <alignment vertical="bottom"/>
    </xf>
    <xf borderId="0" fillId="0" fontId="8" numFmtId="177" xfId="0" applyAlignment="1" applyFont="1" applyNumberFormat="1">
      <alignment horizontal="right" shrinkToFit="0" vertical="bottom" wrapText="0"/>
    </xf>
    <xf borderId="0" fillId="0" fontId="8" numFmtId="177" xfId="0" applyAlignment="1" applyFont="1" applyNumberFormat="1">
      <alignment vertical="bottom"/>
    </xf>
    <xf borderId="0" fillId="0" fontId="8" numFmtId="10" xfId="0" applyAlignment="1" applyFont="1" applyNumberFormat="1">
      <alignment horizontal="right" shrinkToFit="0" vertical="bottom" wrapText="0"/>
    </xf>
    <xf borderId="0" fillId="0" fontId="8" numFmtId="187" xfId="0" applyAlignment="1" applyFont="1" applyNumberFormat="1">
      <alignment horizontal="right" shrinkToFit="0" vertical="bottom" wrapText="0"/>
    </xf>
    <xf borderId="0" fillId="0" fontId="8" numFmtId="187" xfId="0" applyAlignment="1" applyFont="1" applyNumberFormat="1">
      <alignment vertical="bottom"/>
    </xf>
    <xf borderId="0" fillId="0" fontId="8" numFmtId="184" xfId="0" applyAlignment="1" applyFont="1" applyNumberFormat="1">
      <alignment horizontal="right" shrinkToFit="0" vertical="bottom" wrapText="0"/>
    </xf>
    <xf borderId="0" fillId="0" fontId="8" numFmtId="184" xfId="0" applyAlignment="1" applyFont="1" applyNumberFormat="1">
      <alignment vertical="bottom"/>
    </xf>
    <xf borderId="65" fillId="0" fontId="8" numFmtId="0" xfId="0" applyAlignment="1" applyBorder="1" applyFont="1">
      <alignment horizontal="right" vertical="bottom"/>
    </xf>
    <xf borderId="0" fillId="0" fontId="8" numFmtId="164" xfId="0" applyAlignment="1" applyFont="1" applyNumberFormat="1">
      <alignment horizontal="right" vertical="bottom"/>
    </xf>
    <xf borderId="0" fillId="0" fontId="8" numFmtId="0" xfId="0" applyAlignment="1" applyFont="1">
      <alignment vertical="bottom"/>
    </xf>
    <xf borderId="0" fillId="0" fontId="8" numFmtId="2" xfId="0" applyAlignment="1" applyFont="1" applyNumberFormat="1">
      <alignment vertical="bottom"/>
    </xf>
    <xf borderId="65" fillId="0" fontId="8" numFmtId="1" xfId="0" applyAlignment="1" applyBorder="1" applyFont="1" applyNumberFormat="1">
      <alignment vertical="bottom"/>
    </xf>
    <xf borderId="0" fillId="0" fontId="8" numFmtId="174" xfId="0" applyAlignment="1" applyFont="1" applyNumberFormat="1">
      <alignment vertical="bottom"/>
    </xf>
    <xf borderId="0" fillId="0" fontId="8" numFmtId="176" xfId="0" applyAlignment="1" applyFont="1" applyNumberFormat="1">
      <alignment vertical="bottom"/>
    </xf>
    <xf borderId="0" fillId="0" fontId="8" numFmtId="174" xfId="0" applyAlignment="1" applyFont="1" applyNumberFormat="1">
      <alignment vertical="bottom"/>
    </xf>
    <xf borderId="0" fillId="0" fontId="8" numFmtId="182" xfId="0" applyAlignment="1" applyFont="1" applyNumberFormat="1">
      <alignment vertical="bottom"/>
    </xf>
    <xf borderId="0" fillId="0" fontId="8" numFmtId="179" xfId="0" applyAlignment="1" applyFont="1" applyNumberFormat="1">
      <alignment vertical="bottom"/>
    </xf>
    <xf borderId="39" fillId="2" fontId="52" numFmtId="0" xfId="0" applyAlignment="1" applyBorder="1" applyFont="1">
      <alignment horizontal="center" textRotation="90" vertical="center"/>
    </xf>
    <xf borderId="66" fillId="2" fontId="38" numFmtId="0" xfId="0" applyAlignment="1" applyBorder="1" applyFont="1">
      <alignment horizontal="right" readingOrder="0" textRotation="90" vertical="top"/>
    </xf>
    <xf borderId="66" fillId="2" fontId="53" numFmtId="0" xfId="0" applyAlignment="1" applyBorder="1" applyFont="1">
      <alignment horizontal="right" readingOrder="0" textRotation="90" vertical="top"/>
    </xf>
    <xf borderId="67" fillId="3" fontId="54" numFmtId="0" xfId="0" applyAlignment="1" applyBorder="1" applyFont="1">
      <alignment horizontal="center" readingOrder="0" vertical="center"/>
    </xf>
    <xf borderId="68" fillId="3" fontId="55" numFmtId="0" xfId="0" applyAlignment="1" applyBorder="1" applyFont="1">
      <alignment horizontal="right" readingOrder="0" vertical="center"/>
    </xf>
    <xf borderId="69" fillId="3" fontId="54" numFmtId="0" xfId="0" applyAlignment="1" applyBorder="1" applyFont="1">
      <alignment horizontal="center" readingOrder="0" vertical="center"/>
    </xf>
    <xf borderId="40" fillId="16" fontId="39" numFmtId="0" xfId="0" applyAlignment="1" applyBorder="1" applyFont="1">
      <alignment horizontal="center" vertical="bottom"/>
    </xf>
    <xf borderId="66" fillId="0" fontId="7" numFmtId="0" xfId="0" applyBorder="1" applyFont="1"/>
    <xf borderId="70" fillId="27" fontId="43" numFmtId="0" xfId="0" applyAlignment="1" applyBorder="1" applyFill="1" applyFont="1">
      <alignment horizontal="left" readingOrder="0" vertical="center"/>
    </xf>
    <xf borderId="71" fillId="27" fontId="11" numFmtId="0" xfId="0" applyAlignment="1" applyBorder="1" applyFont="1">
      <alignment horizontal="center" readingOrder="0" vertical="center"/>
    </xf>
    <xf borderId="31" fillId="0" fontId="7" numFmtId="0" xfId="0" applyBorder="1" applyFont="1"/>
    <xf borderId="72" fillId="0" fontId="7" numFmtId="0" xfId="0" applyBorder="1" applyFont="1"/>
    <xf borderId="73" fillId="0" fontId="7" numFmtId="0" xfId="0" applyBorder="1" applyFont="1"/>
    <xf borderId="71" fillId="27" fontId="56" numFmtId="9" xfId="0" applyAlignment="1" applyBorder="1" applyFont="1" applyNumberFormat="1">
      <alignment horizontal="right" readingOrder="0" vertical="center"/>
    </xf>
    <xf borderId="2" fillId="28" fontId="57" numFmtId="0" xfId="0" applyAlignment="1" applyBorder="1" applyFill="1" applyFont="1">
      <alignment horizontal="left" readingOrder="0" textRotation="0" vertical="center"/>
    </xf>
    <xf borderId="30" fillId="17" fontId="58" numFmtId="0" xfId="0" applyAlignment="1" applyBorder="1" applyFont="1">
      <alignment horizontal="center" vertical="bottom"/>
    </xf>
    <xf borderId="30" fillId="0" fontId="59" numFmtId="0" xfId="0" applyAlignment="1" applyBorder="1" applyFont="1">
      <alignment horizontal="center" readingOrder="0" vertical="bottom"/>
    </xf>
    <xf borderId="30" fillId="0" fontId="34" numFmtId="0" xfId="0" applyAlignment="1" applyBorder="1" applyFont="1">
      <alignment horizontal="center" readingOrder="0" vertical="bottom"/>
    </xf>
    <xf borderId="2" fillId="17" fontId="11" numFmtId="0" xfId="0" applyAlignment="1" applyBorder="1" applyFont="1">
      <alignment horizontal="center" vertical="bottom"/>
    </xf>
    <xf borderId="2" fillId="0" fontId="8" numFmtId="0" xfId="0" applyAlignment="1" applyBorder="1" applyFont="1">
      <alignment horizontal="center" readingOrder="0" vertical="bottom"/>
    </xf>
    <xf borderId="2" fillId="0" fontId="34" numFmtId="0" xfId="0" applyAlignment="1" applyBorder="1" applyFont="1">
      <alignment horizontal="center" vertical="bottom"/>
    </xf>
    <xf borderId="74" fillId="2" fontId="38" numFmtId="0" xfId="0" applyAlignment="1" applyBorder="1" applyFont="1">
      <alignment horizontal="right" readingOrder="0" textRotation="90" vertical="top"/>
    </xf>
    <xf borderId="74" fillId="2" fontId="34" numFmtId="0" xfId="0" applyAlignment="1" applyBorder="1" applyFont="1">
      <alignment vertical="top"/>
    </xf>
    <xf borderId="75" fillId="2" fontId="38" numFmtId="0" xfId="0" applyAlignment="1" applyBorder="1" applyFont="1">
      <alignment horizontal="right" readingOrder="0" textRotation="90" vertical="top"/>
    </xf>
    <xf borderId="75" fillId="2" fontId="34" numFmtId="0" xfId="0" applyAlignment="1" applyBorder="1" applyFont="1">
      <alignment vertical="top"/>
    </xf>
    <xf borderId="40" fillId="6" fontId="39" numFmtId="0" xfId="0" applyAlignment="1" applyBorder="1" applyFont="1">
      <alignment horizontal="center" vertical="bottom"/>
    </xf>
    <xf borderId="30" fillId="21" fontId="58" numFmtId="0" xfId="0" applyAlignment="1" applyBorder="1" applyFont="1">
      <alignment horizontal="center" vertical="bottom"/>
    </xf>
    <xf borderId="2" fillId="0" fontId="43" numFmtId="0" xfId="0" applyAlignment="1" applyBorder="1" applyFont="1">
      <alignment horizontal="center" readingOrder="0" vertical="bottom"/>
    </xf>
    <xf borderId="2" fillId="0" fontId="34" numFmtId="0" xfId="0" applyAlignment="1" applyBorder="1" applyFont="1">
      <alignment horizontal="center" readingOrder="0" vertical="bottom"/>
    </xf>
    <xf borderId="2" fillId="21" fontId="11" numFmtId="0" xfId="0" applyAlignment="1" applyBorder="1" applyFont="1">
      <alignment horizontal="center" vertical="bottom"/>
    </xf>
    <xf borderId="40" fillId="23" fontId="39" numFmtId="0" xfId="0" applyAlignment="1" applyBorder="1" applyFont="1">
      <alignment horizontal="center" vertical="bottom"/>
    </xf>
    <xf borderId="30" fillId="11" fontId="58" numFmtId="0" xfId="0" applyAlignment="1" applyBorder="1" applyFont="1">
      <alignment horizontal="center" vertical="bottom"/>
    </xf>
    <xf borderId="2" fillId="11" fontId="11" numFmtId="0" xfId="0" applyAlignment="1" applyBorder="1" applyFont="1">
      <alignment horizontal="center" vertical="bottom"/>
    </xf>
    <xf borderId="40" fillId="24" fontId="39" numFmtId="0" xfId="0" applyAlignment="1" applyBorder="1" applyFont="1">
      <alignment horizontal="center" vertical="bottom"/>
    </xf>
    <xf borderId="30" fillId="25" fontId="58" numFmtId="0" xfId="0" applyAlignment="1" applyBorder="1" applyFont="1">
      <alignment horizontal="center" vertical="bottom"/>
    </xf>
    <xf borderId="2" fillId="25" fontId="11" numFmtId="0" xfId="0" applyAlignment="1" applyBorder="1" applyFont="1">
      <alignment horizontal="center" vertical="bottom"/>
    </xf>
    <xf borderId="37" fillId="29" fontId="8" numFmtId="0" xfId="0" applyAlignment="1" applyBorder="1" applyFill="1" applyFont="1">
      <alignment vertical="bottom"/>
    </xf>
    <xf borderId="0" fillId="0" fontId="60" numFmtId="0" xfId="0" applyAlignment="1" applyFont="1">
      <alignment horizontal="left" readingOrder="0" shrinkToFit="0" vertical="center" wrapText="0"/>
    </xf>
    <xf borderId="0" fillId="0" fontId="61" numFmtId="0" xfId="0" applyAlignment="1" applyFont="1">
      <alignment horizontal="left" readingOrder="0" shrinkToFit="0" vertical="center" wrapText="0"/>
    </xf>
    <xf borderId="0" fillId="0" fontId="60" numFmtId="0" xfId="0" applyAlignment="1" applyFont="1">
      <alignment readingOrder="0"/>
    </xf>
    <xf borderId="36" fillId="29" fontId="29" numFmtId="0" xfId="0" applyAlignment="1" applyBorder="1" applyFont="1">
      <alignment horizontal="right" readingOrder="0" shrinkToFit="0" textRotation="90" vertical="top" wrapText="0"/>
    </xf>
    <xf borderId="0" fillId="0" fontId="61" numFmtId="0" xfId="0" applyAlignment="1" applyFont="1">
      <alignment readingOrder="0" shrinkToFit="0" vertical="center" wrapText="0"/>
    </xf>
    <xf borderId="0" fillId="0" fontId="34" numFmtId="0" xfId="0" applyAlignment="1" applyFont="1">
      <alignment horizontal="right" vertical="bottom"/>
    </xf>
    <xf borderId="0" fillId="0" fontId="34" numFmtId="9" xfId="0" applyAlignment="1" applyFont="1" applyNumberFormat="1">
      <alignment horizontal="right" vertical="bottom"/>
    </xf>
    <xf borderId="0" fillId="0" fontId="34" numFmtId="0" xfId="0" applyAlignment="1" applyFont="1">
      <alignment vertical="bottom"/>
    </xf>
    <xf borderId="0" fillId="0" fontId="34" numFmtId="0" xfId="0" applyAlignment="1" applyFont="1">
      <alignment vertical="bottom"/>
    </xf>
    <xf borderId="76" fillId="0" fontId="60" numFmtId="0" xfId="0" applyAlignment="1" applyBorder="1" applyFont="1">
      <alignment readingOrder="0"/>
    </xf>
    <xf borderId="60" fillId="0" fontId="60" numFmtId="0" xfId="0" applyBorder="1" applyFont="1"/>
    <xf borderId="77" fillId="30" fontId="60" numFmtId="0" xfId="0" applyAlignment="1" applyBorder="1" applyFill="1" applyFont="1">
      <alignment readingOrder="0"/>
    </xf>
    <xf borderId="78" fillId="30" fontId="60" numFmtId="0" xfId="0" applyAlignment="1" applyBorder="1" applyFont="1">
      <alignment readingOrder="0"/>
    </xf>
    <xf borderId="77" fillId="31" fontId="60" numFmtId="4" xfId="0" applyAlignment="1" applyBorder="1" applyFill="1" applyFont="1" applyNumberFormat="1">
      <alignment horizontal="left" readingOrder="0" vertical="center"/>
    </xf>
    <xf borderId="78" fillId="31" fontId="60" numFmtId="0" xfId="0" applyAlignment="1" applyBorder="1" applyFont="1">
      <alignment horizontal="left" readingOrder="0" vertical="center"/>
    </xf>
    <xf borderId="77" fillId="32" fontId="60" numFmtId="4" xfId="0" applyAlignment="1" applyBorder="1" applyFill="1" applyFont="1" applyNumberFormat="1">
      <alignment horizontal="left"/>
    </xf>
    <xf borderId="78" fillId="32" fontId="60" numFmtId="0" xfId="0" applyAlignment="1" applyBorder="1" applyFont="1">
      <alignment horizontal="left"/>
    </xf>
    <xf borderId="77" fillId="9" fontId="60" numFmtId="4" xfId="0" applyAlignment="1" applyBorder="1" applyFont="1" applyNumberFormat="1">
      <alignment horizontal="left"/>
    </xf>
    <xf borderId="78" fillId="9" fontId="60" numFmtId="0" xfId="0" applyAlignment="1" applyBorder="1" applyFont="1">
      <alignment horizontal="left"/>
    </xf>
    <xf borderId="77" fillId="17" fontId="60" numFmtId="4" xfId="0" applyAlignment="1" applyBorder="1" applyFont="1" applyNumberFormat="1">
      <alignment horizontal="left"/>
    </xf>
    <xf borderId="78" fillId="17" fontId="60" numFmtId="0" xfId="0" applyAlignment="1" applyBorder="1" applyFont="1">
      <alignment horizontal="left"/>
    </xf>
    <xf borderId="77" fillId="33" fontId="60" numFmtId="4" xfId="0" applyAlignment="1" applyBorder="1" applyFill="1" applyFont="1" applyNumberFormat="1">
      <alignment horizontal="left" readingOrder="0" vertical="center"/>
    </xf>
    <xf borderId="78" fillId="33" fontId="60" numFmtId="0" xfId="0" applyAlignment="1" applyBorder="1" applyFont="1">
      <alignment horizontal="left" readingOrder="0" vertical="center"/>
    </xf>
    <xf borderId="36" fillId="0" fontId="7" numFmtId="0" xfId="0" applyBorder="1" applyFont="1"/>
    <xf borderId="0" fillId="18" fontId="61" numFmtId="0" xfId="0" applyAlignment="1" applyFont="1">
      <alignment readingOrder="0" shrinkToFit="0" vertical="center" wrapText="0"/>
    </xf>
    <xf borderId="0" fillId="18" fontId="60" numFmtId="188" xfId="0" applyAlignment="1" applyFont="1" applyNumberFormat="1">
      <alignment readingOrder="0" shrinkToFit="0" vertical="center" wrapText="0"/>
    </xf>
    <xf borderId="0" fillId="18" fontId="60" numFmtId="0" xfId="0" applyAlignment="1" applyFont="1">
      <alignment readingOrder="0" shrinkToFit="0" vertical="center" wrapText="0"/>
    </xf>
    <xf borderId="27" fillId="0" fontId="60" numFmtId="0" xfId="0" applyAlignment="1" applyBorder="1" applyFont="1">
      <alignment readingOrder="0"/>
    </xf>
    <xf borderId="27" fillId="0" fontId="8" numFmtId="0" xfId="0" applyAlignment="1" applyBorder="1" applyFont="1">
      <alignment readingOrder="0"/>
    </xf>
    <xf borderId="27" fillId="0" fontId="8" numFmtId="0" xfId="0" applyAlignment="1" applyBorder="1" applyFont="1">
      <alignment vertical="bottom"/>
    </xf>
    <xf borderId="79" fillId="26" fontId="8" numFmtId="0" xfId="0" applyAlignment="1" applyBorder="1" applyFont="1">
      <alignment horizontal="right" vertical="bottom"/>
    </xf>
    <xf borderId="42" fillId="0" fontId="8" numFmtId="0" xfId="0" applyAlignment="1" applyBorder="1" applyFont="1">
      <alignment horizontal="right" readingOrder="0" shrinkToFit="0" vertical="bottom" wrapText="0"/>
    </xf>
    <xf borderId="41" fillId="0" fontId="60" numFmtId="4" xfId="0" applyAlignment="1" applyBorder="1" applyFont="1" applyNumberFormat="1">
      <alignment readingOrder="0"/>
    </xf>
    <xf borderId="42" fillId="34" fontId="8" numFmtId="189" xfId="0" applyAlignment="1" applyBorder="1" applyFill="1" applyFont="1" applyNumberFormat="1">
      <alignment horizontal="right" vertical="bottom"/>
    </xf>
    <xf borderId="41" fillId="0" fontId="60" numFmtId="4" xfId="0" applyBorder="1" applyFont="1" applyNumberFormat="1"/>
    <xf borderId="0" fillId="4" fontId="61" numFmtId="0" xfId="0" applyAlignment="1" applyFont="1">
      <alignment readingOrder="0" shrinkToFit="0" vertical="center" wrapText="0"/>
    </xf>
    <xf borderId="0" fillId="4" fontId="60" numFmtId="188" xfId="0" applyAlignment="1" applyFont="1" applyNumberFormat="1">
      <alignment readingOrder="0" shrinkToFit="0" vertical="center" wrapText="0"/>
    </xf>
    <xf borderId="0" fillId="4" fontId="60" numFmtId="0" xfId="0" applyAlignment="1" applyFont="1">
      <alignment readingOrder="0" shrinkToFit="0" vertical="center" wrapText="0"/>
    </xf>
    <xf borderId="37" fillId="30" fontId="60" numFmtId="0" xfId="0" applyAlignment="1" applyBorder="1" applyFont="1">
      <alignment readingOrder="0"/>
    </xf>
    <xf borderId="37" fillId="32" fontId="60" numFmtId="0" xfId="0" applyAlignment="1" applyBorder="1" applyFont="1">
      <alignment horizontal="left"/>
    </xf>
    <xf borderId="37" fillId="0" fontId="8" numFmtId="0" xfId="0" applyAlignment="1" applyBorder="1" applyFont="1">
      <alignment horizontal="right" vertical="bottom"/>
    </xf>
    <xf borderId="37" fillId="0" fontId="8" numFmtId="0" xfId="0" applyAlignment="1" applyBorder="1" applyFont="1">
      <alignment horizontal="right" vertical="bottom"/>
    </xf>
    <xf borderId="80" fillId="26" fontId="8" numFmtId="0" xfId="0" applyAlignment="1" applyBorder="1" applyFont="1">
      <alignment horizontal="right" vertical="bottom"/>
    </xf>
    <xf borderId="0" fillId="0" fontId="60" numFmtId="4" xfId="0" applyAlignment="1" applyFont="1" applyNumberFormat="1">
      <alignment readingOrder="0"/>
    </xf>
    <xf borderId="65" fillId="34" fontId="8" numFmtId="189" xfId="0" applyAlignment="1" applyBorder="1" applyFont="1" applyNumberFormat="1">
      <alignment horizontal="right" vertical="bottom"/>
    </xf>
    <xf borderId="0" fillId="0" fontId="8" numFmtId="4" xfId="0" applyAlignment="1" applyFont="1" applyNumberFormat="1">
      <alignment horizontal="right" vertical="bottom"/>
    </xf>
    <xf borderId="37" fillId="31" fontId="60" numFmtId="0" xfId="0" applyAlignment="1" applyBorder="1" applyFont="1">
      <alignment horizontal="left" readingOrder="0" vertical="center"/>
    </xf>
    <xf borderId="37" fillId="35" fontId="60" numFmtId="0" xfId="0" applyAlignment="1" applyBorder="1" applyFill="1" applyFont="1">
      <alignment horizontal="left"/>
    </xf>
    <xf borderId="80" fillId="26" fontId="8" numFmtId="0" xfId="0" applyAlignment="1" applyBorder="1" applyFont="1">
      <alignment horizontal="right" vertical="bottom"/>
    </xf>
    <xf borderId="65" fillId="0" fontId="8" numFmtId="0" xfId="0" applyAlignment="1" applyBorder="1" applyFont="1">
      <alignment horizontal="right" readingOrder="0" shrinkToFit="0" vertical="bottom" wrapText="0"/>
    </xf>
    <xf borderId="0" fillId="32" fontId="61" numFmtId="0" xfId="0" applyAlignment="1" applyFont="1">
      <alignment readingOrder="0" shrinkToFit="0" vertical="center" wrapText="0"/>
    </xf>
    <xf borderId="0" fillId="32" fontId="60" numFmtId="188" xfId="0" applyAlignment="1" applyFont="1" applyNumberFormat="1">
      <alignment readingOrder="0" shrinkToFit="0" vertical="center" wrapText="0"/>
    </xf>
    <xf borderId="0" fillId="32" fontId="60" numFmtId="0" xfId="0" applyAlignment="1" applyFont="1">
      <alignment readingOrder="0" shrinkToFit="0" vertical="center" wrapText="0"/>
    </xf>
    <xf borderId="37" fillId="25" fontId="60" numFmtId="0" xfId="0" applyAlignment="1" applyBorder="1" applyFont="1">
      <alignment horizontal="left"/>
    </xf>
    <xf borderId="37" fillId="9" fontId="60" numFmtId="0" xfId="0" applyAlignment="1" applyBorder="1" applyFont="1">
      <alignment horizontal="left"/>
    </xf>
    <xf quotePrefix="1" borderId="65" fillId="0" fontId="8" numFmtId="0" xfId="0" applyAlignment="1" applyBorder="1" applyFont="1">
      <alignment horizontal="right" readingOrder="0" shrinkToFit="0" vertical="bottom" wrapText="0"/>
    </xf>
    <xf borderId="0" fillId="0" fontId="8" numFmtId="0" xfId="0" applyAlignment="1" applyFont="1">
      <alignment readingOrder="0" vertical="bottom"/>
    </xf>
    <xf borderId="37" fillId="36" fontId="60" numFmtId="0" xfId="0" applyAlignment="1" applyBorder="1" applyFill="1" applyFont="1">
      <alignment horizontal="left"/>
    </xf>
    <xf borderId="0" fillId="0" fontId="60" numFmtId="190" xfId="0" applyAlignment="1" applyFont="1" applyNumberFormat="1">
      <alignment readingOrder="0"/>
    </xf>
    <xf borderId="0" fillId="0" fontId="8" numFmtId="190" xfId="0" applyAlignment="1" applyFont="1" applyNumberFormat="1">
      <alignment horizontal="right" vertical="bottom"/>
    </xf>
    <xf borderId="0" fillId="11" fontId="61" numFmtId="0" xfId="0" applyAlignment="1" applyFont="1">
      <alignment readingOrder="0" shrinkToFit="0" vertical="center" wrapText="0"/>
    </xf>
    <xf borderId="0" fillId="11" fontId="60" numFmtId="188" xfId="0" applyAlignment="1" applyFont="1" applyNumberFormat="1">
      <alignment readingOrder="0" shrinkToFit="0" vertical="center" wrapText="0"/>
    </xf>
    <xf borderId="0" fillId="11" fontId="60" numFmtId="0" xfId="0" applyAlignment="1" applyFont="1">
      <alignment readingOrder="0" shrinkToFit="0" vertical="center" wrapText="0"/>
    </xf>
    <xf borderId="37" fillId="17" fontId="60" numFmtId="0" xfId="0" applyAlignment="1" applyBorder="1" applyFont="1">
      <alignment horizontal="left"/>
    </xf>
    <xf borderId="0" fillId="0" fontId="60" numFmtId="4" xfId="0" applyFont="1" applyNumberFormat="1"/>
    <xf borderId="37" fillId="16" fontId="60" numFmtId="0" xfId="0" applyAlignment="1" applyBorder="1" applyFont="1">
      <alignment horizontal="left"/>
    </xf>
    <xf borderId="30" fillId="33" fontId="60" numFmtId="0" xfId="0" applyAlignment="1" applyBorder="1" applyFont="1">
      <alignment horizontal="left" readingOrder="0" vertical="center"/>
    </xf>
    <xf borderId="0" fillId="17" fontId="61" numFmtId="0" xfId="0" applyAlignment="1" applyFont="1">
      <alignment readingOrder="0" shrinkToFit="0" vertical="center" wrapText="0"/>
    </xf>
    <xf borderId="0" fillId="17" fontId="60" numFmtId="188" xfId="0" applyAlignment="1" applyFont="1" applyNumberFormat="1">
      <alignment readingOrder="0" shrinkToFit="0" vertical="center" wrapText="0"/>
    </xf>
    <xf borderId="0" fillId="17" fontId="60" numFmtId="0" xfId="0" applyAlignment="1" applyFont="1">
      <alignment readingOrder="0" shrinkToFit="0" vertical="center" wrapText="0"/>
    </xf>
    <xf borderId="37" fillId="33" fontId="60" numFmtId="0" xfId="0" applyAlignment="1" applyBorder="1" applyFont="1">
      <alignment horizontal="left" readingOrder="0" vertical="center"/>
    </xf>
    <xf borderId="37" fillId="0" fontId="60" numFmtId="0" xfId="0" applyBorder="1" applyFont="1"/>
    <xf borderId="37" fillId="37" fontId="8" numFmtId="0" xfId="0" applyAlignment="1" applyBorder="1" applyFill="1" applyFont="1">
      <alignment horizontal="left" readingOrder="0" vertical="center"/>
    </xf>
    <xf borderId="0" fillId="21" fontId="61" numFmtId="0" xfId="0" applyAlignment="1" applyFont="1">
      <alignment readingOrder="0" shrinkToFit="0" vertical="center" wrapText="0"/>
    </xf>
    <xf borderId="0" fillId="21" fontId="60" numFmtId="188" xfId="0" applyAlignment="1" applyFont="1" applyNumberFormat="1">
      <alignment readingOrder="0" shrinkToFit="0" vertical="center" wrapText="0"/>
    </xf>
    <xf borderId="0" fillId="21" fontId="60" numFmtId="0" xfId="0" applyAlignment="1" applyFont="1">
      <alignment readingOrder="0" shrinkToFit="0" vertical="center" wrapText="0"/>
    </xf>
    <xf borderId="37" fillId="38" fontId="8" numFmtId="0" xfId="0" applyAlignment="1" applyBorder="1" applyFill="1" applyFont="1">
      <alignment horizontal="left" readingOrder="0" vertical="center"/>
    </xf>
    <xf borderId="66" fillId="39" fontId="8" numFmtId="0" xfId="0" applyAlignment="1" applyBorder="1" applyFill="1" applyFont="1">
      <alignment horizontal="left" readingOrder="0" vertical="center"/>
    </xf>
    <xf borderId="37" fillId="37" fontId="60" numFmtId="0" xfId="0" applyAlignment="1" applyBorder="1" applyFont="1">
      <alignment horizontal="left" readingOrder="0" vertical="center"/>
    </xf>
    <xf borderId="66" fillId="40" fontId="8" numFmtId="0" xfId="0" applyAlignment="1" applyBorder="1" applyFill="1" applyFont="1">
      <alignment horizontal="left" readingOrder="0" vertical="center"/>
    </xf>
    <xf borderId="36" fillId="29" fontId="29" numFmtId="0" xfId="0" applyAlignment="1" applyBorder="1" applyFont="1">
      <alignment horizontal="right" shrinkToFit="0" textRotation="90" vertical="top" wrapText="0"/>
    </xf>
    <xf borderId="37" fillId="38" fontId="60" numFmtId="0" xfId="0" applyAlignment="1" applyBorder="1" applyFont="1">
      <alignment horizontal="left" readingOrder="0" vertical="center"/>
    </xf>
    <xf borderId="81" fillId="41" fontId="8" numFmtId="0" xfId="0" applyAlignment="1" applyBorder="1" applyFill="1" applyFont="1">
      <alignment horizontal="left" readingOrder="0" vertical="center"/>
    </xf>
    <xf borderId="66" fillId="39" fontId="60" numFmtId="0" xfId="0" applyAlignment="1" applyBorder="1" applyFont="1">
      <alignment horizontal="left" readingOrder="0" vertical="center"/>
    </xf>
    <xf borderId="66" fillId="0" fontId="60" numFmtId="0" xfId="0" applyBorder="1" applyFont="1"/>
    <xf borderId="36" fillId="0" fontId="60" numFmtId="0" xfId="0" applyBorder="1" applyFont="1"/>
    <xf borderId="65" fillId="28" fontId="62" numFmtId="0" xfId="0" applyAlignment="1" applyBorder="1" applyFont="1">
      <alignment readingOrder="0" shrinkToFit="0" wrapText="0"/>
    </xf>
    <xf borderId="66" fillId="40" fontId="60" numFmtId="0" xfId="0" applyAlignment="1" applyBorder="1" applyFont="1">
      <alignment horizontal="left" readingOrder="0" vertical="center"/>
    </xf>
    <xf borderId="37" fillId="0" fontId="8" numFmtId="0" xfId="0" applyAlignment="1" applyBorder="1" applyFont="1">
      <alignment vertical="bottom"/>
    </xf>
    <xf borderId="81" fillId="41" fontId="60" numFmtId="0" xfId="0" applyAlignment="1" applyBorder="1" applyFont="1">
      <alignment horizontal="left" readingOrder="0" vertical="center"/>
    </xf>
    <xf borderId="82" fillId="26" fontId="8" numFmtId="0" xfId="0" applyAlignment="1" applyBorder="1" applyFont="1">
      <alignment horizontal="right" vertical="bottom"/>
    </xf>
    <xf borderId="83" fillId="0" fontId="8" numFmtId="0" xfId="0" applyAlignment="1" applyBorder="1" applyFont="1">
      <alignment horizontal="right" shrinkToFit="0" vertical="bottom" wrapText="0"/>
    </xf>
    <xf borderId="84" fillId="0" fontId="60" numFmtId="4" xfId="0" applyBorder="1" applyFont="1" applyNumberFormat="1"/>
    <xf borderId="83" fillId="34" fontId="8" numFmtId="189" xfId="0" applyAlignment="1" applyBorder="1" applyFont="1" applyNumberFormat="1">
      <alignment horizontal="right" vertical="bottom"/>
    </xf>
    <xf borderId="84" fillId="0" fontId="8" numFmtId="4" xfId="0" applyAlignment="1" applyBorder="1" applyFont="1" applyNumberFormat="1">
      <alignment horizontal="right" vertical="bottom"/>
    </xf>
    <xf borderId="36" fillId="29" fontId="29" numFmtId="0" xfId="0" applyAlignment="1" applyBorder="1" applyFont="1">
      <alignment textRotation="90" vertical="top"/>
    </xf>
    <xf borderId="0" fillId="0" fontId="61" numFmtId="0" xfId="0" applyAlignment="1" applyFont="1">
      <alignment readingOrder="0"/>
    </xf>
    <xf borderId="66" fillId="0" fontId="8" numFmtId="0" xfId="0" applyAlignment="1" applyBorder="1" applyFont="1">
      <alignment horizontal="right" vertical="bottom"/>
    </xf>
    <xf borderId="79" fillId="19" fontId="8" numFmtId="0" xfId="0" applyAlignment="1" applyBorder="1" applyFont="1">
      <alignment horizontal="right" vertical="bottom"/>
    </xf>
    <xf borderId="42" fillId="0" fontId="8" numFmtId="0" xfId="0" applyAlignment="1" applyBorder="1" applyFont="1">
      <alignment horizontal="right" shrinkToFit="0" vertical="bottom" wrapText="0"/>
    </xf>
    <xf borderId="41" fillId="0" fontId="8" numFmtId="4" xfId="0" applyAlignment="1" applyBorder="1" applyFont="1" applyNumberFormat="1">
      <alignment horizontal="right" vertical="bottom"/>
    </xf>
    <xf borderId="0" fillId="0" fontId="60" numFmtId="188" xfId="0" applyFont="1" applyNumberFormat="1"/>
    <xf borderId="0" fillId="0" fontId="60" numFmtId="188" xfId="0" applyAlignment="1" applyFont="1" applyNumberFormat="1">
      <alignment readingOrder="0"/>
    </xf>
    <xf borderId="66" fillId="0" fontId="8" numFmtId="0" xfId="0" applyAlignment="1" applyBorder="1" applyFont="1">
      <alignment horizontal="right" vertical="bottom"/>
    </xf>
    <xf borderId="80" fillId="19" fontId="8" numFmtId="0" xfId="0" applyAlignment="1" applyBorder="1" applyFont="1">
      <alignment horizontal="right" readingOrder="0" vertical="bottom"/>
    </xf>
    <xf borderId="80" fillId="19" fontId="8" numFmtId="0" xfId="0" applyAlignment="1" applyBorder="1" applyFont="1">
      <alignment horizontal="right" vertical="bottom"/>
    </xf>
    <xf borderId="80" fillId="19" fontId="8" numFmtId="0" xfId="0" applyAlignment="1" applyBorder="1" applyFont="1">
      <alignment horizontal="right" vertical="bottom"/>
    </xf>
    <xf borderId="30" fillId="0" fontId="8" numFmtId="0" xfId="0" applyAlignment="1" applyBorder="1" applyFont="1">
      <alignment vertical="bottom"/>
    </xf>
    <xf borderId="30" fillId="0" fontId="8" numFmtId="0" xfId="0" applyAlignment="1" applyBorder="1" applyFont="1">
      <alignment horizontal="right" vertical="bottom"/>
    </xf>
    <xf borderId="0" fillId="0" fontId="8" numFmtId="4" xfId="0" applyAlignment="1" applyFont="1" applyNumberFormat="1">
      <alignment horizontal="right" readingOrder="0" vertical="bottom"/>
    </xf>
    <xf borderId="0" fillId="0" fontId="60" numFmtId="3" xfId="0" applyAlignment="1" applyFont="1" applyNumberFormat="1">
      <alignment readingOrder="0"/>
    </xf>
    <xf borderId="82" fillId="19" fontId="8" numFmtId="0" xfId="0" applyAlignment="1" applyBorder="1" applyFont="1">
      <alignment horizontal="right" vertical="bottom"/>
    </xf>
    <xf borderId="83" fillId="0" fontId="8" numFmtId="0" xfId="0" applyAlignment="1" applyBorder="1" applyFont="1">
      <alignment horizontal="right" readingOrder="0" shrinkToFit="0" vertical="bottom" wrapText="0"/>
    </xf>
    <xf borderId="84" fillId="0" fontId="8" numFmtId="4" xfId="0" applyAlignment="1" applyBorder="1" applyFont="1" applyNumberFormat="1">
      <alignment horizontal="right" readingOrder="0" vertical="bottom"/>
    </xf>
    <xf borderId="79" fillId="8" fontId="8" numFmtId="0" xfId="0" applyAlignment="1" applyBorder="1" applyFont="1">
      <alignment horizontal="right" vertical="bottom"/>
    </xf>
    <xf quotePrefix="1" borderId="42" fillId="28" fontId="62" numFmtId="0" xfId="0" applyAlignment="1" applyBorder="1" applyFont="1">
      <alignment readingOrder="0" shrinkToFit="0" wrapText="0"/>
    </xf>
    <xf borderId="80" fillId="8" fontId="8" numFmtId="0" xfId="0" applyAlignment="1" applyBorder="1" applyFont="1">
      <alignment horizontal="right" vertical="bottom"/>
    </xf>
    <xf borderId="80" fillId="8" fontId="8" numFmtId="0" xfId="0" applyAlignment="1" applyBorder="1" applyFont="1">
      <alignment horizontal="right" vertical="bottom"/>
    </xf>
    <xf borderId="82" fillId="8" fontId="8" numFmtId="0" xfId="0" applyAlignment="1" applyBorder="1" applyFont="1">
      <alignment horizontal="right" vertical="bottom"/>
    </xf>
    <xf borderId="79" fillId="22" fontId="8" numFmtId="0" xfId="0" applyAlignment="1" applyBorder="1" applyFont="1">
      <alignment horizontal="right" vertical="bottom"/>
    </xf>
    <xf borderId="0" fillId="29" fontId="29" numFmtId="0" xfId="0" applyAlignment="1" applyFont="1">
      <alignment textRotation="90" vertical="top"/>
    </xf>
    <xf borderId="80" fillId="22" fontId="8" numFmtId="0" xfId="0" applyAlignment="1" applyBorder="1" applyFont="1">
      <alignment horizontal="right" vertical="bottom"/>
    </xf>
    <xf borderId="80" fillId="22" fontId="8" numFmtId="0" xfId="0" applyAlignment="1" applyBorder="1" applyFont="1">
      <alignment horizontal="right" vertical="bottom"/>
    </xf>
    <xf borderId="80" fillId="22" fontId="8" numFmtId="0" xfId="0" applyAlignment="1" applyBorder="1" applyFont="1">
      <alignment horizontal="right" readingOrder="0" vertical="bottom"/>
    </xf>
    <xf borderId="0" fillId="0" fontId="8" numFmtId="4" xfId="0" applyAlignment="1" applyFont="1" applyNumberFormat="1">
      <alignment readingOrder="0"/>
    </xf>
    <xf borderId="82" fillId="22" fontId="8" numFmtId="0" xfId="0" applyAlignment="1" applyBorder="1" applyFont="1">
      <alignment horizontal="right" vertical="bottom"/>
    </xf>
    <xf borderId="0" fillId="0" fontId="8" numFmtId="0" xfId="0" applyAlignment="1" applyFont="1">
      <alignment horizontal="right" readingOrder="0" vertical="bottom"/>
    </xf>
    <xf borderId="0" fillId="42" fontId="63" numFmtId="0" xfId="0" applyAlignment="1" applyFill="1" applyFont="1">
      <alignment horizontal="center" vertical="center"/>
    </xf>
    <xf borderId="0" fillId="43" fontId="64" numFmtId="0" xfId="0" applyAlignment="1" applyFill="1" applyFont="1">
      <alignment horizontal="center" readingOrder="0" vertical="center"/>
    </xf>
    <xf borderId="0" fillId="43" fontId="65" numFmtId="0" xfId="0" applyAlignment="1" applyFont="1">
      <alignment horizontal="center" readingOrder="0" shrinkToFit="0" vertical="center" wrapText="1"/>
    </xf>
    <xf borderId="0" fillId="43" fontId="63" numFmtId="0" xfId="0" applyAlignment="1" applyFont="1">
      <alignment horizontal="center" vertical="center"/>
    </xf>
    <xf borderId="10" fillId="44" fontId="66" numFmtId="0" xfId="0" applyAlignment="1" applyBorder="1" applyFill="1" applyFont="1">
      <alignment horizontal="center" readingOrder="0" vertical="center"/>
    </xf>
    <xf borderId="11" fillId="44" fontId="7" numFmtId="0" xfId="0" applyBorder="1" applyFont="1"/>
    <xf borderId="12" fillId="44" fontId="7" numFmtId="0" xfId="0" applyBorder="1" applyFont="1"/>
    <xf borderId="10" fillId="45" fontId="67" numFmtId="0" xfId="0" applyAlignment="1" applyBorder="1" applyFill="1" applyFont="1">
      <alignment horizontal="center" readingOrder="0" vertical="center"/>
    </xf>
    <xf borderId="11" fillId="45" fontId="7" numFmtId="0" xfId="0" applyBorder="1" applyFont="1"/>
    <xf borderId="12" fillId="45" fontId="7" numFmtId="0" xfId="0" applyBorder="1" applyFont="1"/>
    <xf borderId="2" fillId="28" fontId="64" numFmtId="0" xfId="0" applyAlignment="1" applyBorder="1" applyFont="1">
      <alignment horizontal="center" readingOrder="0" vertical="center"/>
    </xf>
    <xf borderId="2" fillId="28" fontId="64" numFmtId="0" xfId="0" applyAlignment="1" applyBorder="1" applyFont="1">
      <alignment horizontal="center" vertical="center"/>
    </xf>
    <xf borderId="27" fillId="46" fontId="63" numFmtId="0" xfId="0" applyAlignment="1" applyBorder="1" applyFill="1" applyFont="1">
      <alignment horizontal="center" readingOrder="0" vertical="center"/>
    </xf>
    <xf borderId="27" fillId="46" fontId="63" numFmtId="164" xfId="0" applyAlignment="1" applyBorder="1" applyFont="1" applyNumberFormat="1">
      <alignment horizontal="center" readingOrder="0" vertical="center"/>
    </xf>
    <xf borderId="0" fillId="43" fontId="63" numFmtId="0" xfId="0" applyAlignment="1" applyFont="1">
      <alignment horizontal="center" readingOrder="0" vertical="center"/>
    </xf>
    <xf borderId="27" fillId="47" fontId="63" numFmtId="0" xfId="0" applyAlignment="1" applyBorder="1" applyFill="1" applyFont="1">
      <alignment horizontal="center" vertical="center"/>
    </xf>
    <xf borderId="37" fillId="47" fontId="63" numFmtId="0" xfId="0" applyAlignment="1" applyBorder="1" applyFont="1">
      <alignment horizontal="center" readingOrder="0" vertical="center"/>
    </xf>
    <xf borderId="27" fillId="47" fontId="63" numFmtId="164" xfId="0" applyAlignment="1" applyBorder="1" applyFont="1" applyNumberFormat="1">
      <alignment horizontal="center" readingOrder="0" vertical="center"/>
    </xf>
    <xf borderId="0" fillId="43" fontId="63" numFmtId="0" xfId="0" applyAlignment="1" applyFont="1">
      <alignment horizontal="center" readingOrder="0" vertical="center"/>
    </xf>
    <xf borderId="37" fillId="28" fontId="63" numFmtId="0" xfId="0" applyAlignment="1" applyBorder="1" applyFont="1">
      <alignment horizontal="center" readingOrder="0" vertical="center"/>
    </xf>
    <xf borderId="27" fillId="28" fontId="63" numFmtId="164" xfId="0" applyAlignment="1" applyBorder="1" applyFont="1" applyNumberFormat="1">
      <alignment horizontal="center" readingOrder="0" vertical="center"/>
    </xf>
    <xf borderId="37" fillId="28" fontId="63" numFmtId="0" xfId="0" applyAlignment="1" applyBorder="1" applyFont="1">
      <alignment horizontal="center" vertical="center"/>
    </xf>
    <xf borderId="37" fillId="46" fontId="63" numFmtId="0" xfId="0" applyAlignment="1" applyBorder="1" applyFont="1">
      <alignment horizontal="center" readingOrder="0" vertical="center"/>
    </xf>
    <xf borderId="37" fillId="47" fontId="63" numFmtId="0" xfId="0" applyAlignment="1" applyBorder="1" applyFont="1">
      <alignment horizontal="center" vertical="center"/>
    </xf>
    <xf borderId="81" fillId="46" fontId="63" numFmtId="0" xfId="0" applyAlignment="1" applyBorder="1" applyFont="1">
      <alignment horizontal="center" readingOrder="0" vertical="center"/>
    </xf>
    <xf borderId="0" fillId="29" fontId="8" numFmtId="0" xfId="0" applyAlignment="1" applyFont="1">
      <alignment horizontal="center" vertical="center"/>
    </xf>
    <xf borderId="37" fillId="47" fontId="63" numFmtId="0" xfId="0" applyAlignment="1" applyBorder="1" applyFont="1">
      <alignment horizontal="center" vertical="center"/>
    </xf>
    <xf borderId="81" fillId="47" fontId="63" numFmtId="0" xfId="0" applyAlignment="1" applyBorder="1" applyFont="1">
      <alignment horizontal="center" readingOrder="0" vertical="center"/>
    </xf>
    <xf borderId="0" fillId="43" fontId="64" numFmtId="0" xfId="0" applyAlignment="1" applyFont="1">
      <alignment horizontal="center" vertical="center"/>
    </xf>
    <xf borderId="30" fillId="28" fontId="64" numFmtId="0" xfId="0" applyAlignment="1" applyBorder="1" applyFont="1">
      <alignment horizontal="center" readingOrder="0" vertical="center"/>
    </xf>
    <xf borderId="30" fillId="28" fontId="63" numFmtId="0" xfId="0" applyAlignment="1" applyBorder="1" applyFont="1">
      <alignment horizontal="center" vertical="center"/>
    </xf>
    <xf borderId="0" fillId="28" fontId="64" numFmtId="0" xfId="0" applyAlignment="1" applyFont="1">
      <alignment horizontal="center" vertical="center"/>
    </xf>
    <xf borderId="0" fillId="42" fontId="68" numFmtId="0" xfId="0" applyAlignment="1" applyFont="1">
      <alignment horizontal="center" readingOrder="0" vertical="center"/>
    </xf>
    <xf borderId="0" fillId="42" fontId="64" numFmtId="0" xfId="0" applyAlignment="1" applyFont="1">
      <alignment horizontal="center" vertical="center"/>
    </xf>
    <xf borderId="10" fillId="48" fontId="69" numFmtId="0" xfId="0" applyAlignment="1" applyBorder="1" applyFill="1" applyFont="1">
      <alignment horizontal="center" readingOrder="0" vertical="center"/>
    </xf>
    <xf borderId="11" fillId="48" fontId="7" numFmtId="0" xfId="0" applyBorder="1" applyFont="1"/>
    <xf borderId="12" fillId="48" fontId="7" numFmtId="0" xfId="0" applyBorder="1" applyFont="1"/>
    <xf borderId="10" fillId="49" fontId="70" numFmtId="0" xfId="0" applyAlignment="1" applyBorder="1" applyFill="1" applyFont="1">
      <alignment horizontal="center" readingOrder="0" vertical="center"/>
    </xf>
    <xf borderId="11" fillId="49" fontId="7" numFmtId="0" xfId="0" applyBorder="1" applyFont="1"/>
    <xf borderId="12" fillId="49" fontId="7" numFmtId="0" xfId="0" applyBorder="1" applyFont="1"/>
    <xf borderId="0" fillId="43" fontId="71" numFmtId="0" xfId="0" applyAlignment="1" applyFont="1">
      <alignment horizontal="center" readingOrder="0" vertical="center"/>
    </xf>
    <xf borderId="27" fillId="50" fontId="63" numFmtId="0" xfId="0" applyAlignment="1" applyBorder="1" applyFill="1" applyFont="1">
      <alignment horizontal="center" readingOrder="0" vertical="center"/>
    </xf>
    <xf borderId="27" fillId="50" fontId="63" numFmtId="164" xfId="0" applyAlignment="1" applyBorder="1" applyFont="1" applyNumberFormat="1">
      <alignment horizontal="center" readingOrder="0" vertical="center"/>
    </xf>
    <xf borderId="27" fillId="51" fontId="63" numFmtId="0" xfId="0" applyAlignment="1" applyBorder="1" applyFill="1" applyFont="1">
      <alignment horizontal="center" vertical="center"/>
    </xf>
    <xf borderId="27" fillId="51" fontId="63" numFmtId="0" xfId="0" applyAlignment="1" applyBorder="1" applyFont="1">
      <alignment horizontal="center" readingOrder="0" vertical="center"/>
    </xf>
    <xf borderId="27" fillId="51" fontId="63" numFmtId="164" xfId="0" applyAlignment="1" applyBorder="1" applyFont="1" applyNumberFormat="1">
      <alignment horizontal="center" readingOrder="0" vertical="center"/>
    </xf>
    <xf borderId="37" fillId="50" fontId="63" numFmtId="0" xfId="0" applyAlignment="1" applyBorder="1" applyFont="1">
      <alignment horizontal="center" readingOrder="0" vertical="center"/>
    </xf>
    <xf borderId="37" fillId="51" fontId="63" numFmtId="0" xfId="0" applyAlignment="1" applyBorder="1" applyFont="1">
      <alignment horizontal="center" vertical="center"/>
    </xf>
    <xf borderId="37" fillId="51" fontId="63" numFmtId="0" xfId="0" applyAlignment="1" applyBorder="1" applyFont="1">
      <alignment horizontal="center" readingOrder="0" vertical="center"/>
    </xf>
    <xf borderId="81" fillId="50" fontId="63" numFmtId="0" xfId="0" applyAlignment="1" applyBorder="1" applyFont="1">
      <alignment horizontal="center" readingOrder="0" vertical="center"/>
    </xf>
    <xf borderId="81" fillId="51" fontId="63" numFmtId="0" xfId="0" applyAlignment="1" applyBorder="1" applyFont="1">
      <alignment horizontal="center" readingOrder="0" vertical="center"/>
    </xf>
    <xf borderId="26" fillId="18" fontId="64" numFmtId="0" xfId="0" applyAlignment="1" applyBorder="1" applyFont="1">
      <alignment horizontal="center" readingOrder="0" vertical="center"/>
    </xf>
    <xf borderId="85" fillId="0" fontId="7" numFmtId="0" xfId="0" applyBorder="1" applyFont="1"/>
    <xf borderId="28" fillId="0" fontId="7" numFmtId="0" xfId="0" applyBorder="1" applyFont="1"/>
    <xf borderId="85" fillId="18" fontId="64" numFmtId="0" xfId="0" applyAlignment="1" applyBorder="1" applyFont="1">
      <alignment horizontal="center" readingOrder="0" vertical="center"/>
    </xf>
    <xf borderId="10" fillId="43" fontId="63" numFmtId="0" xfId="0" applyAlignment="1" applyBorder="1" applyFont="1">
      <alignment horizontal="center" readingOrder="0" vertical="center"/>
    </xf>
    <xf borderId="11" fillId="43" fontId="63" numFmtId="0" xfId="0" applyAlignment="1" applyBorder="1" applyFont="1">
      <alignment horizontal="center" vertical="center"/>
    </xf>
    <xf borderId="10" fillId="43" fontId="63" numFmtId="0" xfId="0" applyAlignment="1" applyBorder="1" applyFont="1">
      <alignment horizontal="center" vertical="center"/>
    </xf>
    <xf borderId="0" fillId="18" fontId="64" numFmtId="0" xfId="0" applyAlignment="1" applyFont="1">
      <alignment horizontal="center" readingOrder="0" vertical="center"/>
    </xf>
    <xf borderId="10" fillId="33" fontId="63" numFmtId="0" xfId="0" applyAlignment="1" applyBorder="1" applyFont="1">
      <alignment horizontal="center" readingOrder="0" vertical="center"/>
    </xf>
    <xf borderId="11" fillId="33" fontId="63" numFmtId="0" xfId="0" applyAlignment="1" applyBorder="1" applyFont="1">
      <alignment horizontal="center" vertical="center"/>
    </xf>
    <xf borderId="0" fillId="29" fontId="8" numFmtId="0" xfId="0" applyFont="1"/>
    <xf borderId="81" fillId="47" fontId="63" numFmtId="0" xfId="0" applyAlignment="1" applyBorder="1" applyFont="1">
      <alignment horizontal="center" vertical="center"/>
    </xf>
    <xf borderId="0" fillId="2" fontId="72" numFmtId="0" xfId="0" applyAlignment="1" applyFont="1">
      <alignment horizontal="right" readingOrder="0" textRotation="0" vertical="top"/>
    </xf>
    <xf borderId="0" fillId="2" fontId="72" numFmtId="165" xfId="0" applyAlignment="1" applyFont="1" applyNumberFormat="1">
      <alignment horizontal="right" readingOrder="0" textRotation="0" vertical="top"/>
    </xf>
    <xf borderId="51" fillId="18" fontId="8" numFmtId="0" xfId="0" applyAlignment="1" applyBorder="1" applyFont="1">
      <alignment vertical="bottom"/>
    </xf>
    <xf borderId="52" fillId="18" fontId="8" numFmtId="0" xfId="0" applyAlignment="1" applyBorder="1" applyFont="1">
      <alignment vertical="bottom"/>
    </xf>
    <xf borderId="2" fillId="0" fontId="30" numFmtId="0" xfId="0" applyAlignment="1" applyBorder="1" applyFont="1">
      <alignment horizontal="center" readingOrder="0" vertical="bottom"/>
    </xf>
    <xf borderId="30" fillId="0" fontId="30" numFmtId="0" xfId="0" applyAlignment="1" applyBorder="1" applyFont="1">
      <alignment horizontal="center" readingOrder="0" vertical="bottom"/>
    </xf>
    <xf borderId="65" fillId="0" fontId="43" numFmtId="0" xfId="0" applyAlignment="1" applyBorder="1" applyFont="1">
      <alignment horizontal="center" vertical="center"/>
    </xf>
    <xf borderId="55" fillId="17" fontId="30" numFmtId="0" xfId="0" applyAlignment="1" applyBorder="1" applyFont="1">
      <alignment readingOrder="0" vertical="bottom"/>
    </xf>
    <xf borderId="84" fillId="2" fontId="72" numFmtId="0" xfId="0" applyAlignment="1" applyBorder="1" applyFont="1">
      <alignment horizontal="right" readingOrder="0" textRotation="0" vertical="top"/>
    </xf>
    <xf borderId="56" fillId="0" fontId="30" numFmtId="0" xfId="0" applyAlignment="1" applyBorder="1" applyFont="1">
      <alignment horizontal="center" readingOrder="0" vertical="bottom"/>
    </xf>
    <xf borderId="56" fillId="0" fontId="8" numFmtId="0" xfId="0" applyAlignment="1" applyBorder="1" applyFont="1">
      <alignment horizontal="center" readingOrder="0" vertical="bottom"/>
    </xf>
    <xf borderId="55" fillId="21" fontId="30" numFmtId="0" xfId="0" applyAlignment="1" applyBorder="1" applyFont="1">
      <alignment vertical="bottom"/>
    </xf>
    <xf borderId="48" fillId="8" fontId="30" numFmtId="0" xfId="0" applyAlignment="1" applyBorder="1" applyFont="1">
      <alignment horizontal="center" readingOrder="0"/>
    </xf>
    <xf borderId="53" fillId="11" fontId="30" numFmtId="0" xfId="0" applyAlignment="1" applyBorder="1" applyFont="1">
      <alignment vertical="bottom"/>
    </xf>
    <xf borderId="0" fillId="2" fontId="73" numFmtId="0" xfId="0" applyAlignment="1" applyFont="1">
      <alignment horizontal="right" readingOrder="0" textRotation="0" vertical="top"/>
    </xf>
    <xf borderId="48" fillId="26" fontId="30" numFmtId="0" xfId="0" applyAlignment="1" applyBorder="1" applyFont="1">
      <alignment horizontal="center" readingOrder="0"/>
    </xf>
    <xf borderId="0" fillId="2" fontId="44" numFmtId="0" xfId="0" applyAlignment="1" applyFont="1">
      <alignment horizontal="center" readingOrder="0" shrinkToFit="0" vertical="bottom" wrapText="1"/>
    </xf>
    <xf borderId="0" fillId="2" fontId="8" numFmtId="0" xfId="0" applyAlignment="1" applyFont="1">
      <alignment readingOrder="0" vertical="bottom"/>
    </xf>
    <xf borderId="39" fillId="2" fontId="37" numFmtId="0" xfId="0" applyAlignment="1" applyBorder="1" applyFont="1">
      <alignment horizontal="center" readingOrder="0" textRotation="90" vertical="center"/>
    </xf>
    <xf borderId="40" fillId="16" fontId="39" numFmtId="0" xfId="0" applyAlignment="1" applyBorder="1" applyFont="1">
      <alignment horizontal="center" vertical="center"/>
    </xf>
    <xf borderId="0" fillId="2" fontId="8" numFmtId="164" xfId="0" applyAlignment="1" applyFont="1" applyNumberFormat="1">
      <alignment vertical="center"/>
    </xf>
    <xf borderId="40" fillId="23" fontId="39" numFmtId="0" xfId="0" applyAlignment="1" applyBorder="1" applyFont="1">
      <alignment horizontal="center" vertical="center"/>
    </xf>
    <xf borderId="0" fillId="2" fontId="74" numFmtId="164" xfId="0" applyAlignment="1" applyFont="1" applyNumberFormat="1">
      <alignment horizontal="center" readingOrder="0" textRotation="90" vertical="center"/>
    </xf>
    <xf borderId="41" fillId="16" fontId="39" numFmtId="164" xfId="0" applyAlignment="1" applyBorder="1" applyFont="1" applyNumberFormat="1">
      <alignment horizontal="center" vertical="bottom"/>
    </xf>
    <xf borderId="40" fillId="16" fontId="39" numFmtId="0" xfId="0" applyAlignment="1" applyBorder="1" applyFont="1">
      <alignment horizontal="center" readingOrder="0" vertical="bottom"/>
    </xf>
    <xf borderId="39" fillId="2" fontId="37" numFmtId="0" xfId="0" applyAlignment="1" applyBorder="1" applyFont="1">
      <alignment horizontal="center" readingOrder="0" textRotation="90" vertical="top"/>
    </xf>
    <xf borderId="76" fillId="16" fontId="39" numFmtId="0" xfId="0" applyAlignment="1" applyBorder="1" applyFont="1">
      <alignment horizontal="center" vertical="bottom"/>
    </xf>
    <xf borderId="86" fillId="0" fontId="7" numFmtId="0" xfId="0" applyBorder="1" applyFont="1"/>
    <xf borderId="60" fillId="0" fontId="7" numFmtId="0" xfId="0" applyBorder="1" applyFont="1"/>
    <xf borderId="42" fillId="16" fontId="75" numFmtId="0" xfId="0" applyAlignment="1" applyBorder="1" applyFont="1">
      <alignment horizontal="center" textRotation="90" vertical="center"/>
    </xf>
    <xf borderId="39" fillId="2" fontId="37" numFmtId="0" xfId="0" applyAlignment="1" applyBorder="1" applyFont="1">
      <alignment horizontal="center" textRotation="90" vertical="center"/>
    </xf>
    <xf borderId="76" fillId="16" fontId="27" numFmtId="0" xfId="0" applyAlignment="1" applyBorder="1" applyFont="1">
      <alignment horizontal="center" vertical="center"/>
    </xf>
    <xf borderId="86" fillId="16" fontId="27" numFmtId="0" xfId="0" applyAlignment="1" applyBorder="1" applyFont="1">
      <alignment horizontal="center" vertical="center"/>
    </xf>
    <xf borderId="60" fillId="16" fontId="27" numFmtId="0" xfId="0" applyAlignment="1" applyBorder="1" applyFont="1">
      <alignment horizontal="center" vertical="center"/>
    </xf>
    <xf borderId="76" fillId="23" fontId="27" numFmtId="0" xfId="0" applyAlignment="1" applyBorder="1" applyFont="1">
      <alignment horizontal="center" vertical="center"/>
    </xf>
    <xf borderId="86" fillId="23" fontId="27" numFmtId="0" xfId="0" applyAlignment="1" applyBorder="1" applyFont="1">
      <alignment horizontal="center" vertical="center"/>
    </xf>
    <xf borderId="60" fillId="23" fontId="27" numFmtId="0" xfId="0" applyAlignment="1" applyBorder="1" applyFont="1">
      <alignment horizontal="center" vertical="center"/>
    </xf>
    <xf borderId="76" fillId="16" fontId="27" numFmtId="0" xfId="0" applyAlignment="1" applyBorder="1" applyFont="1">
      <alignment horizontal="center" readingOrder="0" vertical="bottom"/>
    </xf>
    <xf borderId="86" fillId="16" fontId="27" numFmtId="0" xfId="0" applyAlignment="1" applyBorder="1" applyFont="1">
      <alignment horizontal="center" vertical="bottom"/>
    </xf>
    <xf borderId="86" fillId="16" fontId="27" numFmtId="0" xfId="0" applyAlignment="1" applyBorder="1" applyFont="1">
      <alignment horizontal="center" readingOrder="0" vertical="bottom"/>
    </xf>
    <xf borderId="76" fillId="16" fontId="27" numFmtId="0" xfId="0" applyAlignment="1" applyBorder="1" applyFont="1">
      <alignment horizontal="center" vertical="bottom"/>
    </xf>
    <xf borderId="86" fillId="16" fontId="27" numFmtId="0" xfId="0" applyAlignment="1" applyBorder="1" applyFont="1">
      <alignment horizontal="center" vertical="bottom"/>
    </xf>
    <xf borderId="76" fillId="16" fontId="27" numFmtId="0" xfId="0" applyAlignment="1" applyBorder="1" applyFont="1">
      <alignment horizontal="center" vertical="bottom"/>
    </xf>
    <xf borderId="60" fillId="16" fontId="27" numFmtId="0" xfId="0" applyAlignment="1" applyBorder="1" applyFont="1">
      <alignment horizontal="center" vertical="bottom"/>
    </xf>
    <xf borderId="65" fillId="0" fontId="7" numFmtId="0" xfId="0" applyBorder="1" applyFont="1"/>
    <xf borderId="87" fillId="19" fontId="30" numFmtId="0" xfId="0" applyAlignment="1" applyBorder="1" applyFont="1">
      <alignment horizontal="center" vertical="center"/>
    </xf>
    <xf borderId="27" fillId="18" fontId="63" numFmtId="0" xfId="0" applyAlignment="1" applyBorder="1" applyFont="1">
      <alignment horizontal="center" vertical="center"/>
    </xf>
    <xf borderId="36" fillId="19" fontId="30" numFmtId="164" xfId="0" applyAlignment="1" applyBorder="1" applyFont="1" applyNumberFormat="1">
      <alignment horizontal="center" vertical="center"/>
    </xf>
    <xf borderId="65" fillId="19" fontId="30" numFmtId="164" xfId="0" applyAlignment="1" applyBorder="1" applyFont="1" applyNumberFormat="1">
      <alignment horizontal="center" vertical="center"/>
    </xf>
    <xf borderId="87" fillId="8" fontId="30" numFmtId="0" xfId="0" applyAlignment="1" applyBorder="1" applyFont="1">
      <alignment horizontal="center" vertical="center"/>
    </xf>
    <xf borderId="36" fillId="8" fontId="30" numFmtId="164" xfId="0" applyAlignment="1" applyBorder="1" applyFont="1" applyNumberFormat="1">
      <alignment horizontal="center" vertical="center"/>
    </xf>
    <xf borderId="65" fillId="8" fontId="30" numFmtId="164" xfId="0" applyAlignment="1" applyBorder="1" applyFont="1" applyNumberFormat="1">
      <alignment horizontal="center" vertical="center"/>
    </xf>
    <xf borderId="0" fillId="2" fontId="74" numFmtId="0" xfId="0" applyAlignment="1" applyFont="1">
      <alignment horizontal="center" readingOrder="0" textRotation="90" vertical="center"/>
    </xf>
    <xf borderId="87" fillId="17" fontId="30" numFmtId="0" xfId="0" applyAlignment="1" applyBorder="1" applyFont="1">
      <alignment horizontal="left" readingOrder="0" vertical="bottom"/>
    </xf>
    <xf borderId="36" fillId="19" fontId="30" numFmtId="0" xfId="0" applyAlignment="1" applyBorder="1" applyFont="1">
      <alignment horizontal="center" vertical="bottom"/>
    </xf>
    <xf borderId="0" fillId="19" fontId="30" numFmtId="0" xfId="0" applyAlignment="1" applyFont="1">
      <alignment horizontal="center" readingOrder="0" vertical="bottom"/>
    </xf>
    <xf borderId="87" fillId="17" fontId="30" numFmtId="0" xfId="0" applyAlignment="1" applyBorder="1" applyFont="1">
      <alignment vertical="bottom"/>
    </xf>
    <xf borderId="36" fillId="19" fontId="30" numFmtId="0" xfId="0" applyAlignment="1" applyBorder="1" applyFont="1">
      <alignment horizontal="center" vertical="bottom"/>
    </xf>
    <xf borderId="0" fillId="19" fontId="30" numFmtId="0" xfId="0" applyAlignment="1" applyFont="1">
      <alignment horizontal="center" vertical="bottom"/>
    </xf>
    <xf borderId="87" fillId="52" fontId="30" numFmtId="0" xfId="0" applyAlignment="1" applyBorder="1" applyFill="1" applyFont="1">
      <alignment horizontal="center" vertical="bottom"/>
    </xf>
    <xf borderId="36" fillId="0" fontId="30" numFmtId="0" xfId="0" applyAlignment="1" applyBorder="1" applyFont="1">
      <alignment horizontal="center" readingOrder="0" vertical="bottom"/>
    </xf>
    <xf borderId="37" fillId="18" fontId="63" numFmtId="0" xfId="0" applyAlignment="1" applyBorder="1" applyFont="1">
      <alignment horizontal="center" vertical="center"/>
    </xf>
    <xf borderId="87" fillId="17" fontId="30" numFmtId="0" xfId="0" applyAlignment="1" applyBorder="1" applyFont="1">
      <alignment horizontal="left" vertical="center"/>
    </xf>
    <xf borderId="87" fillId="17" fontId="30" numFmtId="0" xfId="0" applyAlignment="1" applyBorder="1" applyFont="1">
      <alignment vertical="center"/>
    </xf>
    <xf borderId="87" fillId="53" fontId="76" numFmtId="0" xfId="0" applyAlignment="1" applyBorder="1" applyFill="1" applyFont="1">
      <alignment horizontal="center" vertical="bottom"/>
    </xf>
    <xf borderId="0" fillId="2" fontId="77" numFmtId="0" xfId="0" applyAlignment="1" applyFont="1">
      <alignment horizontal="left" readingOrder="0" textRotation="90" vertical="bottom"/>
    </xf>
    <xf borderId="87" fillId="0" fontId="7" numFmtId="0" xfId="0" applyBorder="1" applyFont="1"/>
    <xf borderId="87" fillId="54" fontId="30" numFmtId="0" xfId="0" applyAlignment="1" applyBorder="1" applyFill="1" applyFont="1">
      <alignment horizontal="center" vertical="bottom"/>
    </xf>
    <xf borderId="87" fillId="55" fontId="76" numFmtId="0" xfId="0" applyAlignment="1" applyBorder="1" applyFill="1" applyFont="1">
      <alignment horizontal="center" vertical="bottom"/>
    </xf>
    <xf borderId="88" fillId="0" fontId="7" numFmtId="0" xfId="0" applyBorder="1" applyFont="1"/>
    <xf borderId="31" fillId="0" fontId="30" numFmtId="0" xfId="0" applyAlignment="1" applyBorder="1" applyFont="1">
      <alignment horizontal="center" readingOrder="0" vertical="bottom"/>
    </xf>
    <xf borderId="31" fillId="19" fontId="30" numFmtId="0" xfId="0" applyAlignment="1" applyBorder="1" applyFont="1">
      <alignment horizontal="center" vertical="bottom"/>
    </xf>
    <xf borderId="89" fillId="19" fontId="30" numFmtId="0" xfId="0" applyAlignment="1" applyBorder="1" applyFont="1">
      <alignment horizontal="center" readingOrder="0" vertical="bottom"/>
    </xf>
    <xf borderId="90" fillId="0" fontId="7" numFmtId="0" xfId="0" applyBorder="1" applyFont="1"/>
    <xf borderId="31" fillId="19" fontId="30" numFmtId="0" xfId="0" applyAlignment="1" applyBorder="1" applyFont="1">
      <alignment horizontal="center" vertical="bottom"/>
    </xf>
    <xf borderId="89" fillId="19" fontId="30" numFmtId="0" xfId="0" applyAlignment="1" applyBorder="1" applyFont="1">
      <alignment horizontal="center" vertical="bottom"/>
    </xf>
    <xf borderId="87" fillId="56" fontId="30" numFmtId="0" xfId="0" applyAlignment="1" applyBorder="1" applyFill="1" applyFont="1">
      <alignment horizontal="center" vertical="bottom"/>
    </xf>
    <xf borderId="91" fillId="19" fontId="30" numFmtId="0" xfId="0" applyAlignment="1" applyBorder="1" applyFont="1">
      <alignment horizontal="center" readingOrder="0" vertical="center"/>
    </xf>
    <xf borderId="92" fillId="18" fontId="63" numFmtId="0" xfId="0" applyAlignment="1" applyBorder="1" applyFont="1">
      <alignment horizontal="center" vertical="center"/>
    </xf>
    <xf borderId="93" fillId="19" fontId="30" numFmtId="164" xfId="0" applyAlignment="1" applyBorder="1" applyFont="1" applyNumberFormat="1">
      <alignment horizontal="center" vertical="center"/>
    </xf>
    <xf borderId="83" fillId="19" fontId="30" numFmtId="164" xfId="0" applyAlignment="1" applyBorder="1" applyFont="1" applyNumberFormat="1">
      <alignment horizontal="center" vertical="center"/>
    </xf>
    <xf borderId="91" fillId="8" fontId="30" numFmtId="0" xfId="0" applyAlignment="1" applyBorder="1" applyFont="1">
      <alignment horizontal="center" readingOrder="0" vertical="center"/>
    </xf>
    <xf borderId="93" fillId="8" fontId="30" numFmtId="164" xfId="0" applyAlignment="1" applyBorder="1" applyFont="1" applyNumberFormat="1">
      <alignment horizontal="center" vertical="center"/>
    </xf>
    <xf borderId="83" fillId="8" fontId="30" numFmtId="164" xfId="0" applyAlignment="1" applyBorder="1" applyFont="1" applyNumberFormat="1">
      <alignment horizontal="center" vertical="center"/>
    </xf>
    <xf borderId="48" fillId="17" fontId="30" numFmtId="0" xfId="0" applyAlignment="1" applyBorder="1" applyFont="1">
      <alignment horizontal="center" vertical="center"/>
    </xf>
    <xf borderId="87" fillId="57" fontId="30" numFmtId="0" xfId="0" applyAlignment="1" applyBorder="1" applyFill="1" applyFont="1">
      <alignment horizontal="center" vertical="bottom"/>
    </xf>
    <xf borderId="36" fillId="19" fontId="30" numFmtId="0" xfId="0" applyAlignment="1" applyBorder="1" applyFont="1">
      <alignment horizontal="center" vertical="center"/>
    </xf>
    <xf borderId="0" fillId="2" fontId="78" numFmtId="164" xfId="0" applyAlignment="1" applyFont="1" applyNumberFormat="1">
      <alignment horizontal="center" vertical="center"/>
    </xf>
    <xf borderId="36" fillId="8" fontId="30" numFmtId="0" xfId="0" applyAlignment="1" applyBorder="1" applyFont="1">
      <alignment horizontal="center" vertical="center"/>
    </xf>
    <xf borderId="53" fillId="17" fontId="30" numFmtId="0" xfId="0" applyAlignment="1" applyBorder="1" applyFont="1">
      <alignment horizontal="center" vertical="center"/>
    </xf>
    <xf borderId="89" fillId="0" fontId="7" numFmtId="0" xfId="0" applyBorder="1" applyFont="1"/>
    <xf borderId="2" fillId="28" fontId="30" numFmtId="0" xfId="0" applyAlignment="1" applyBorder="1" applyFont="1">
      <alignment horizontal="center" readingOrder="0" vertical="center"/>
    </xf>
    <xf borderId="89" fillId="17" fontId="30" numFmtId="0" xfId="0" applyAlignment="1" applyBorder="1" applyFont="1">
      <alignment horizontal="center" vertical="center"/>
    </xf>
    <xf borderId="2" fillId="28" fontId="30" numFmtId="0" xfId="0" applyAlignment="1" applyBorder="1" applyFont="1">
      <alignment horizontal="center" vertical="center"/>
    </xf>
    <xf borderId="48" fillId="17" fontId="30" numFmtId="0" xfId="0" applyAlignment="1" applyBorder="1" applyFont="1">
      <alignment vertical="bottom"/>
    </xf>
    <xf borderId="11" fillId="17" fontId="8" numFmtId="0" xfId="0" applyAlignment="1" applyBorder="1" applyFont="1">
      <alignment vertical="bottom"/>
    </xf>
    <xf borderId="11" fillId="17" fontId="30" numFmtId="0" xfId="0" applyAlignment="1" applyBorder="1" applyFont="1">
      <alignment horizontal="center" vertical="bottom"/>
    </xf>
    <xf borderId="11" fillId="17" fontId="30" numFmtId="9" xfId="0" applyAlignment="1" applyBorder="1" applyFont="1" applyNumberFormat="1">
      <alignment horizontal="center" vertical="bottom"/>
    </xf>
    <xf borderId="12" fillId="17" fontId="30" numFmtId="0" xfId="0" applyAlignment="1" applyBorder="1" applyFont="1">
      <alignment horizontal="center" vertical="bottom"/>
    </xf>
    <xf borderId="94" fillId="17" fontId="30" numFmtId="0" xfId="0" applyAlignment="1" applyBorder="1" applyFont="1">
      <alignment horizontal="center" vertical="bottom"/>
    </xf>
    <xf borderId="76" fillId="17" fontId="30" numFmtId="0" xfId="0" applyAlignment="1" applyBorder="1" applyFont="1">
      <alignment horizontal="center" vertical="center"/>
    </xf>
    <xf borderId="76" fillId="11" fontId="30" numFmtId="0" xfId="0" applyAlignment="1" applyBorder="1" applyFont="1">
      <alignment horizontal="center" vertical="center"/>
    </xf>
    <xf borderId="55" fillId="20" fontId="30" numFmtId="0" xfId="0" applyAlignment="1" applyBorder="1" applyFont="1">
      <alignment vertical="bottom"/>
    </xf>
    <xf borderId="93" fillId="0" fontId="7" numFmtId="0" xfId="0" applyBorder="1" applyFont="1"/>
    <xf borderId="56" fillId="18" fontId="30" numFmtId="0" xfId="0" applyAlignment="1" applyBorder="1" applyFont="1">
      <alignment horizontal="center" vertical="bottom"/>
    </xf>
    <xf borderId="84" fillId="18" fontId="30" numFmtId="164" xfId="0" applyAlignment="1" applyBorder="1" applyFont="1" applyNumberFormat="1">
      <alignment horizontal="center" vertical="bottom"/>
    </xf>
    <xf borderId="83" fillId="18" fontId="30" numFmtId="164" xfId="0" applyAlignment="1" applyBorder="1" applyFont="1" applyNumberFormat="1">
      <alignment horizontal="center" vertical="bottom"/>
    </xf>
    <xf borderId="55" fillId="20" fontId="30" numFmtId="0" xfId="0" applyAlignment="1" applyBorder="1" applyFont="1">
      <alignment vertical="bottom"/>
    </xf>
    <xf borderId="95" fillId="20" fontId="30" numFmtId="0" xfId="0" applyAlignment="1" applyBorder="1" applyFont="1">
      <alignment vertical="bottom"/>
    </xf>
    <xf borderId="68" fillId="0" fontId="7" numFmtId="0" xfId="0" applyBorder="1" applyFont="1"/>
    <xf borderId="69" fillId="0" fontId="7" numFmtId="0" xfId="0" applyBorder="1" applyFont="1"/>
    <xf borderId="57" fillId="18" fontId="8" numFmtId="164" xfId="0" applyAlignment="1" applyBorder="1" applyFont="1" applyNumberFormat="1">
      <alignment horizontal="center"/>
    </xf>
    <xf borderId="59" fillId="2" fontId="8" numFmtId="0" xfId="0" applyAlignment="1" applyBorder="1" applyFont="1">
      <alignment vertical="center"/>
    </xf>
    <xf borderId="40" fillId="6" fontId="39" numFmtId="0" xfId="0" applyAlignment="1" applyBorder="1" applyFont="1">
      <alignment horizontal="center" vertical="center"/>
    </xf>
    <xf borderId="40" fillId="24" fontId="39" numFmtId="0" xfId="0" applyAlignment="1" applyBorder="1" applyFont="1">
      <alignment horizontal="center" vertical="center"/>
    </xf>
    <xf borderId="41" fillId="6" fontId="39" numFmtId="164" xfId="0" applyAlignment="1" applyBorder="1" applyFont="1" applyNumberFormat="1">
      <alignment horizontal="center" vertical="bottom"/>
    </xf>
    <xf borderId="40" fillId="6" fontId="79" numFmtId="0" xfId="0" applyAlignment="1" applyBorder="1" applyFont="1">
      <alignment horizontal="center" vertical="bottom"/>
    </xf>
    <xf borderId="40" fillId="6" fontId="39" numFmtId="0" xfId="0" applyAlignment="1" applyBorder="1" applyFont="1">
      <alignment horizontal="center" readingOrder="0" vertical="bottom"/>
    </xf>
    <xf borderId="76" fillId="6" fontId="39" numFmtId="0" xfId="0" applyAlignment="1" applyBorder="1" applyFont="1">
      <alignment horizontal="center" vertical="bottom"/>
    </xf>
    <xf borderId="42" fillId="6" fontId="75" numFmtId="0" xfId="0" applyAlignment="1" applyBorder="1" applyFont="1">
      <alignment horizontal="center" textRotation="90" vertical="center"/>
    </xf>
    <xf borderId="76" fillId="6" fontId="27" numFmtId="0" xfId="0" applyAlignment="1" applyBorder="1" applyFont="1">
      <alignment horizontal="center" vertical="center"/>
    </xf>
    <xf borderId="86" fillId="6" fontId="27" numFmtId="0" xfId="0" applyAlignment="1" applyBorder="1" applyFont="1">
      <alignment horizontal="center" vertical="center"/>
    </xf>
    <xf borderId="60" fillId="6" fontId="27" numFmtId="0" xfId="0" applyAlignment="1" applyBorder="1" applyFont="1">
      <alignment horizontal="center" vertical="center"/>
    </xf>
    <xf borderId="76" fillId="24" fontId="27" numFmtId="0" xfId="0" applyAlignment="1" applyBorder="1" applyFont="1">
      <alignment horizontal="center" vertical="center"/>
    </xf>
    <xf borderId="86" fillId="24" fontId="27" numFmtId="0" xfId="0" applyAlignment="1" applyBorder="1" applyFont="1">
      <alignment horizontal="center" vertical="center"/>
    </xf>
    <xf borderId="60" fillId="24" fontId="27" numFmtId="0" xfId="0" applyAlignment="1" applyBorder="1" applyFont="1">
      <alignment horizontal="center" vertical="center"/>
    </xf>
    <xf borderId="76" fillId="6" fontId="27" numFmtId="0" xfId="0" applyAlignment="1" applyBorder="1" applyFont="1">
      <alignment horizontal="center" readingOrder="0" vertical="bottom"/>
    </xf>
    <xf borderId="77" fillId="6" fontId="27" numFmtId="0" xfId="0" applyAlignment="1" applyBorder="1" applyFont="1">
      <alignment horizontal="center" vertical="bottom"/>
    </xf>
    <xf borderId="86" fillId="6" fontId="27" numFmtId="0" xfId="0" applyAlignment="1" applyBorder="1" applyFont="1">
      <alignment horizontal="center" readingOrder="0" vertical="bottom"/>
    </xf>
    <xf borderId="76" fillId="6" fontId="27" numFmtId="0" xfId="0" applyAlignment="1" applyBorder="1" applyFont="1">
      <alignment horizontal="center" vertical="bottom"/>
    </xf>
    <xf borderId="77" fillId="6" fontId="27" numFmtId="0" xfId="0" applyAlignment="1" applyBorder="1" applyFont="1">
      <alignment horizontal="center" vertical="bottom"/>
    </xf>
    <xf borderId="86" fillId="6" fontId="27" numFmtId="0" xfId="0" applyAlignment="1" applyBorder="1" applyFont="1">
      <alignment horizontal="center" vertical="bottom"/>
    </xf>
    <xf borderId="76" fillId="6" fontId="27" numFmtId="0" xfId="0" applyAlignment="1" applyBorder="1" applyFont="1">
      <alignment horizontal="center" vertical="bottom"/>
    </xf>
    <xf borderId="86" fillId="6" fontId="27" numFmtId="0" xfId="0" applyAlignment="1" applyBorder="1" applyFont="1">
      <alignment horizontal="center" vertical="bottom"/>
    </xf>
    <xf borderId="87" fillId="22" fontId="30" numFmtId="0" xfId="0" applyAlignment="1" applyBorder="1" applyFont="1">
      <alignment horizontal="center" vertical="center"/>
    </xf>
    <xf borderId="36" fillId="22" fontId="30" numFmtId="164" xfId="0" applyAlignment="1" applyBorder="1" applyFont="1" applyNumberFormat="1">
      <alignment horizontal="center" vertical="center"/>
    </xf>
    <xf borderId="65" fillId="22" fontId="30" numFmtId="164" xfId="0" applyAlignment="1" applyBorder="1" applyFont="1" applyNumberFormat="1">
      <alignment horizontal="center" vertical="center"/>
    </xf>
    <xf borderId="87" fillId="26" fontId="30" numFmtId="0" xfId="0" applyAlignment="1" applyBorder="1" applyFont="1">
      <alignment horizontal="center" vertical="center"/>
    </xf>
    <xf borderId="36" fillId="26" fontId="30" numFmtId="164" xfId="0" applyAlignment="1" applyBorder="1" applyFont="1" applyNumberFormat="1">
      <alignment horizontal="center" vertical="center"/>
    </xf>
    <xf borderId="65" fillId="26" fontId="30" numFmtId="164" xfId="0" applyAlignment="1" applyBorder="1" applyFont="1" applyNumberFormat="1">
      <alignment horizontal="center" vertical="center"/>
    </xf>
    <xf borderId="87" fillId="21" fontId="30" numFmtId="0" xfId="0" applyAlignment="1" applyBorder="1" applyFont="1">
      <alignment horizontal="left" readingOrder="0" vertical="bottom"/>
    </xf>
    <xf borderId="36" fillId="22" fontId="30" numFmtId="0" xfId="0" applyAlignment="1" applyBorder="1" applyFont="1">
      <alignment horizontal="center" vertical="bottom"/>
    </xf>
    <xf borderId="0" fillId="22" fontId="30" numFmtId="0" xfId="0" applyAlignment="1" applyFont="1">
      <alignment horizontal="center" readingOrder="0" vertical="bottom"/>
    </xf>
    <xf borderId="87" fillId="21" fontId="30" numFmtId="0" xfId="0" applyAlignment="1" applyBorder="1" applyFont="1">
      <alignment vertical="bottom"/>
    </xf>
    <xf borderId="36" fillId="22" fontId="30" numFmtId="0" xfId="0" applyAlignment="1" applyBorder="1" applyFont="1">
      <alignment horizontal="center" vertical="bottom"/>
    </xf>
    <xf borderId="0" fillId="22" fontId="30" numFmtId="0" xfId="0" applyAlignment="1" applyFont="1">
      <alignment horizontal="center" vertical="bottom"/>
    </xf>
    <xf borderId="87" fillId="21" fontId="30" numFmtId="0" xfId="0" applyAlignment="1" applyBorder="1" applyFont="1">
      <alignment horizontal="left" vertical="center"/>
    </xf>
    <xf borderId="87" fillId="21" fontId="30" numFmtId="0" xfId="0" applyAlignment="1" applyBorder="1" applyFont="1">
      <alignment vertical="center"/>
    </xf>
    <xf borderId="31" fillId="22" fontId="30" numFmtId="0" xfId="0" applyAlignment="1" applyBorder="1" applyFont="1">
      <alignment horizontal="center" vertical="bottom"/>
    </xf>
    <xf borderId="89" fillId="22" fontId="30" numFmtId="0" xfId="0" applyAlignment="1" applyBorder="1" applyFont="1">
      <alignment horizontal="center" readingOrder="0" vertical="bottom"/>
    </xf>
    <xf borderId="29" fillId="2" fontId="8" numFmtId="0" xfId="0" applyAlignment="1" applyBorder="1" applyFont="1">
      <alignment vertical="center"/>
    </xf>
    <xf borderId="31" fillId="22" fontId="30" numFmtId="0" xfId="0" applyAlignment="1" applyBorder="1" applyFont="1">
      <alignment horizontal="center" vertical="bottom"/>
    </xf>
    <xf borderId="89" fillId="22" fontId="30" numFmtId="0" xfId="0" applyAlignment="1" applyBorder="1" applyFont="1">
      <alignment horizontal="center" vertical="bottom"/>
    </xf>
    <xf borderId="91" fillId="22" fontId="30" numFmtId="0" xfId="0" applyAlignment="1" applyBorder="1" applyFont="1">
      <alignment horizontal="center" readingOrder="0" vertical="center"/>
    </xf>
    <xf borderId="93" fillId="22" fontId="30" numFmtId="164" xfId="0" applyAlignment="1" applyBorder="1" applyFont="1" applyNumberFormat="1">
      <alignment horizontal="center" vertical="center"/>
    </xf>
    <xf borderId="83" fillId="22" fontId="30" numFmtId="164" xfId="0" applyAlignment="1" applyBorder="1" applyFont="1" applyNumberFormat="1">
      <alignment horizontal="center" vertical="center"/>
    </xf>
    <xf borderId="91" fillId="26" fontId="30" numFmtId="0" xfId="0" applyAlignment="1" applyBorder="1" applyFont="1">
      <alignment horizontal="center" vertical="center"/>
    </xf>
    <xf borderId="93" fillId="26" fontId="30" numFmtId="164" xfId="0" applyAlignment="1" applyBorder="1" applyFont="1" applyNumberFormat="1">
      <alignment horizontal="center" vertical="center"/>
    </xf>
    <xf borderId="83" fillId="26" fontId="30" numFmtId="164" xfId="0" applyAlignment="1" applyBorder="1" applyFont="1" applyNumberFormat="1">
      <alignment horizontal="center" vertical="center"/>
    </xf>
    <xf borderId="48" fillId="21" fontId="30" numFmtId="0" xfId="0" applyAlignment="1" applyBorder="1" applyFont="1">
      <alignment horizontal="center" vertical="center"/>
    </xf>
    <xf borderId="36" fillId="22" fontId="30" numFmtId="0" xfId="0" applyAlignment="1" applyBorder="1" applyFont="1">
      <alignment horizontal="center" vertical="center"/>
    </xf>
    <xf borderId="36" fillId="26" fontId="30" numFmtId="0" xfId="0" applyAlignment="1" applyBorder="1" applyFont="1">
      <alignment horizontal="center" vertical="center"/>
    </xf>
    <xf borderId="53" fillId="21" fontId="30" numFmtId="0" xfId="0" applyAlignment="1" applyBorder="1" applyFont="1">
      <alignment horizontal="center" vertical="center"/>
    </xf>
    <xf borderId="89" fillId="21" fontId="30" numFmtId="0" xfId="0" applyAlignment="1" applyBorder="1" applyFont="1">
      <alignment horizontal="center" vertical="center"/>
    </xf>
    <xf borderId="2" fillId="28" fontId="30" numFmtId="0" xfId="0" applyAlignment="1" applyBorder="1" applyFont="1">
      <alignment horizontal="center" vertical="center"/>
    </xf>
    <xf borderId="48" fillId="21" fontId="30" numFmtId="0" xfId="0" applyAlignment="1" applyBorder="1" applyFont="1">
      <alignment vertical="bottom"/>
    </xf>
    <xf borderId="11" fillId="21" fontId="8" numFmtId="0" xfId="0" applyAlignment="1" applyBorder="1" applyFont="1">
      <alignment vertical="bottom"/>
    </xf>
    <xf borderId="11" fillId="21" fontId="30" numFmtId="0" xfId="0" applyAlignment="1" applyBorder="1" applyFont="1">
      <alignment horizontal="center" vertical="bottom"/>
    </xf>
    <xf borderId="11" fillId="21" fontId="30" numFmtId="9" xfId="0" applyAlignment="1" applyBorder="1" applyFont="1" applyNumberFormat="1">
      <alignment horizontal="center" vertical="bottom"/>
    </xf>
    <xf borderId="12" fillId="21" fontId="30" numFmtId="0" xfId="0" applyAlignment="1" applyBorder="1" applyFont="1">
      <alignment horizontal="center" vertical="bottom"/>
    </xf>
    <xf borderId="94" fillId="21" fontId="30" numFmtId="0" xfId="0" applyAlignment="1" applyBorder="1" applyFont="1">
      <alignment horizontal="center" vertical="bottom"/>
    </xf>
    <xf borderId="76" fillId="21" fontId="30" numFmtId="0" xfId="0" applyAlignment="1" applyBorder="1" applyFont="1">
      <alignment horizontal="center" vertical="center"/>
    </xf>
    <xf borderId="76" fillId="25" fontId="30" numFmtId="0" xfId="0" applyAlignment="1" applyBorder="1" applyFont="1">
      <alignment horizontal="center" vertical="center"/>
    </xf>
    <xf borderId="39" fillId="2" fontId="80" numFmtId="0" xfId="0" applyAlignment="1" applyBorder="1" applyFont="1">
      <alignment horizontal="center" readingOrder="0" textRotation="90" vertical="center"/>
    </xf>
    <xf borderId="76" fillId="58" fontId="39" numFmtId="0" xfId="0" applyAlignment="1" applyBorder="1" applyFill="1" applyFont="1">
      <alignment horizontal="center" vertical="bottom"/>
    </xf>
    <xf borderId="0" fillId="2" fontId="8" numFmtId="164" xfId="0" applyAlignment="1" applyFont="1" applyNumberFormat="1">
      <alignment vertical="bottom"/>
    </xf>
    <xf borderId="41" fillId="23" fontId="39" numFmtId="164" xfId="0" applyAlignment="1" applyBorder="1" applyFont="1" applyNumberFormat="1">
      <alignment horizontal="center" vertical="bottom"/>
    </xf>
    <xf borderId="40" fillId="23" fontId="39" numFmtId="0" xfId="0" applyAlignment="1" applyBorder="1" applyFont="1">
      <alignment horizontal="center" readingOrder="0" vertical="bottom"/>
    </xf>
    <xf borderId="76" fillId="23" fontId="39" numFmtId="0" xfId="0" applyAlignment="1" applyBorder="1" applyFont="1">
      <alignment horizontal="center" vertical="bottom"/>
    </xf>
    <xf borderId="42" fillId="23" fontId="75" numFmtId="0" xfId="0" applyAlignment="1" applyBorder="1" applyFont="1">
      <alignment horizontal="center" textRotation="90" vertical="center"/>
    </xf>
    <xf borderId="39" fillId="2" fontId="80" numFmtId="0" xfId="0" applyAlignment="1" applyBorder="1" applyFont="1">
      <alignment horizontal="center" textRotation="90" vertical="center"/>
    </xf>
    <xf borderId="96" fillId="18" fontId="30" numFmtId="0" xfId="0" applyAlignment="1" applyBorder="1" applyFont="1">
      <alignment vertical="bottom"/>
    </xf>
    <xf borderId="65" fillId="18" fontId="30" numFmtId="0" xfId="0" applyAlignment="1" applyBorder="1" applyFont="1">
      <alignment horizontal="center" vertical="bottom"/>
    </xf>
    <xf borderId="76" fillId="23" fontId="27" numFmtId="0" xfId="0" applyAlignment="1" applyBorder="1" applyFont="1">
      <alignment horizontal="center" readingOrder="0" vertical="bottom"/>
    </xf>
    <xf borderId="77" fillId="23" fontId="27" numFmtId="0" xfId="0" applyAlignment="1" applyBorder="1" applyFont="1">
      <alignment horizontal="center" vertical="bottom"/>
    </xf>
    <xf borderId="86" fillId="23" fontId="27" numFmtId="0" xfId="0" applyAlignment="1" applyBorder="1" applyFont="1">
      <alignment horizontal="center" readingOrder="0" vertical="bottom"/>
    </xf>
    <xf borderId="76" fillId="23" fontId="27" numFmtId="0" xfId="0" applyAlignment="1" applyBorder="1" applyFont="1">
      <alignment horizontal="center" vertical="bottom"/>
    </xf>
    <xf borderId="77" fillId="23" fontId="27" numFmtId="0" xfId="0" applyAlignment="1" applyBorder="1" applyFont="1">
      <alignment horizontal="center" vertical="bottom"/>
    </xf>
    <xf borderId="86" fillId="23" fontId="27" numFmtId="0" xfId="0" applyAlignment="1" applyBorder="1" applyFont="1">
      <alignment horizontal="center" vertical="bottom"/>
    </xf>
    <xf borderId="76" fillId="23" fontId="27" numFmtId="0" xfId="0" applyAlignment="1" applyBorder="1" applyFont="1">
      <alignment horizontal="center" vertical="bottom"/>
    </xf>
    <xf borderId="86" fillId="23" fontId="27" numFmtId="0" xfId="0" applyAlignment="1" applyBorder="1" applyFont="1">
      <alignment horizontal="center" vertical="bottom"/>
    </xf>
    <xf borderId="97" fillId="17" fontId="30" numFmtId="2" xfId="0" applyAlignment="1" applyBorder="1" applyFont="1" applyNumberFormat="1">
      <alignment horizontal="center" vertical="bottom"/>
    </xf>
    <xf borderId="87" fillId="11" fontId="30" numFmtId="0" xfId="0" applyAlignment="1" applyBorder="1" applyFont="1">
      <alignment horizontal="left" readingOrder="0" vertical="bottom"/>
    </xf>
    <xf borderId="36" fillId="8" fontId="30" numFmtId="0" xfId="0" applyAlignment="1" applyBorder="1" applyFont="1">
      <alignment horizontal="center" vertical="bottom"/>
    </xf>
    <xf borderId="0" fillId="8" fontId="30" numFmtId="0" xfId="0" applyAlignment="1" applyFont="1">
      <alignment horizontal="center" readingOrder="0" vertical="bottom"/>
    </xf>
    <xf borderId="87" fillId="11" fontId="30" numFmtId="0" xfId="0" applyAlignment="1" applyBorder="1" applyFont="1">
      <alignment vertical="bottom"/>
    </xf>
    <xf borderId="36" fillId="8" fontId="30" numFmtId="0" xfId="0" applyAlignment="1" applyBorder="1" applyFont="1">
      <alignment horizontal="center" vertical="bottom"/>
    </xf>
    <xf borderId="0" fillId="8" fontId="30" numFmtId="0" xfId="0" applyAlignment="1" applyFont="1">
      <alignment horizontal="center" vertical="bottom"/>
    </xf>
    <xf borderId="87" fillId="11" fontId="30" numFmtId="0" xfId="0" applyAlignment="1" applyBorder="1" applyFont="1">
      <alignment horizontal="left" vertical="center"/>
    </xf>
    <xf borderId="87" fillId="11" fontId="30" numFmtId="0" xfId="0" applyAlignment="1" applyBorder="1" applyFont="1">
      <alignment vertical="center"/>
    </xf>
    <xf borderId="55" fillId="18" fontId="30" numFmtId="0" xfId="0" applyAlignment="1" applyBorder="1" applyFont="1">
      <alignment vertical="bottom"/>
    </xf>
    <xf borderId="84" fillId="0" fontId="7" numFmtId="0" xfId="0" applyBorder="1" applyFont="1"/>
    <xf borderId="83" fillId="18" fontId="30" numFmtId="1" xfId="0" applyAlignment="1" applyBorder="1" applyFont="1" applyNumberFormat="1">
      <alignment horizontal="center" vertical="bottom"/>
    </xf>
    <xf borderId="31" fillId="8" fontId="30" numFmtId="0" xfId="0" applyAlignment="1" applyBorder="1" applyFont="1">
      <alignment horizontal="center" vertical="bottom"/>
    </xf>
    <xf borderId="89" fillId="8" fontId="30" numFmtId="0" xfId="0" applyAlignment="1" applyBorder="1" applyFont="1">
      <alignment horizontal="center" readingOrder="0" vertical="bottom"/>
    </xf>
    <xf borderId="29" fillId="2" fontId="8" numFmtId="0" xfId="0" applyAlignment="1" applyBorder="1" applyFont="1">
      <alignment vertical="bottom"/>
    </xf>
    <xf borderId="31" fillId="8" fontId="30" numFmtId="0" xfId="0" applyAlignment="1" applyBorder="1" applyFont="1">
      <alignment horizontal="center" vertical="bottom"/>
    </xf>
    <xf borderId="89" fillId="8" fontId="30" numFmtId="0" xfId="0" applyAlignment="1" applyBorder="1" applyFont="1">
      <alignment horizontal="center" vertical="bottom"/>
    </xf>
    <xf borderId="83" fillId="28" fontId="30" numFmtId="1" xfId="0" applyAlignment="1" applyBorder="1" applyFont="1" applyNumberFormat="1">
      <alignment horizontal="center" readingOrder="0" vertical="bottom"/>
    </xf>
    <xf borderId="48" fillId="11" fontId="30" numFmtId="0" xfId="0" applyAlignment="1" applyBorder="1" applyFont="1">
      <alignment horizontal="center" vertical="center"/>
    </xf>
    <xf borderId="0" fillId="2" fontId="8" numFmtId="1" xfId="0" applyAlignment="1" applyFont="1" applyNumberFormat="1">
      <alignment vertical="bottom"/>
    </xf>
    <xf borderId="53" fillId="11" fontId="30" numFmtId="0" xfId="0" applyAlignment="1" applyBorder="1" applyFont="1">
      <alignment horizontal="center" vertical="center"/>
    </xf>
    <xf borderId="89" fillId="11" fontId="30" numFmtId="0" xfId="0" applyAlignment="1" applyBorder="1" applyFont="1">
      <alignment horizontal="center" vertical="center"/>
    </xf>
    <xf borderId="48" fillId="11" fontId="30" numFmtId="0" xfId="0" applyAlignment="1" applyBorder="1" applyFont="1">
      <alignment vertical="bottom"/>
    </xf>
    <xf borderId="11" fillId="11" fontId="8" numFmtId="0" xfId="0" applyAlignment="1" applyBorder="1" applyFont="1">
      <alignment vertical="bottom"/>
    </xf>
    <xf borderId="11" fillId="11" fontId="30" numFmtId="0" xfId="0" applyAlignment="1" applyBorder="1" applyFont="1">
      <alignment horizontal="center" vertical="bottom"/>
    </xf>
    <xf borderId="11" fillId="11" fontId="30" numFmtId="9" xfId="0" applyAlignment="1" applyBorder="1" applyFont="1" applyNumberFormat="1">
      <alignment horizontal="center" vertical="bottom"/>
    </xf>
    <xf borderId="12" fillId="11" fontId="30" numFmtId="0" xfId="0" applyAlignment="1" applyBorder="1" applyFont="1">
      <alignment horizontal="center" vertical="bottom"/>
    </xf>
    <xf borderId="94" fillId="11" fontId="30" numFmtId="0" xfId="0" applyAlignment="1" applyBorder="1" applyFont="1">
      <alignment horizontal="center" vertical="bottom"/>
    </xf>
    <xf borderId="40" fillId="58" fontId="39" numFmtId="0" xfId="0" applyAlignment="1" applyBorder="1" applyFont="1">
      <alignment horizontal="center" vertical="bottom"/>
    </xf>
    <xf borderId="41" fillId="24" fontId="39" numFmtId="164" xfId="0" applyAlignment="1" applyBorder="1" applyFont="1" applyNumberFormat="1">
      <alignment horizontal="center" vertical="bottom"/>
    </xf>
    <xf borderId="40" fillId="24" fontId="39" numFmtId="0" xfId="0" applyAlignment="1" applyBorder="1" applyFont="1">
      <alignment horizontal="center" vertical="bottom"/>
    </xf>
    <xf borderId="76" fillId="24" fontId="39" numFmtId="0" xfId="0" applyAlignment="1" applyBorder="1" applyFont="1">
      <alignment horizontal="center" vertical="bottom"/>
    </xf>
    <xf borderId="42" fillId="24" fontId="75" numFmtId="0" xfId="0" applyAlignment="1" applyBorder="1" applyFont="1">
      <alignment horizontal="center" textRotation="90" vertical="center"/>
    </xf>
    <xf borderId="65" fillId="28" fontId="30" numFmtId="0" xfId="0" applyAlignment="1" applyBorder="1" applyFont="1">
      <alignment horizontal="center" readingOrder="0" vertical="bottom"/>
    </xf>
    <xf borderId="76" fillId="58" fontId="27" numFmtId="0" xfId="0" applyAlignment="1" applyBorder="1" applyFont="1">
      <alignment horizontal="center" vertical="bottom"/>
    </xf>
    <xf borderId="86" fillId="58" fontId="27" numFmtId="0" xfId="0" applyAlignment="1" applyBorder="1" applyFont="1">
      <alignment horizontal="center" vertical="bottom"/>
    </xf>
    <xf borderId="60" fillId="58" fontId="27" numFmtId="0" xfId="0" applyAlignment="1" applyBorder="1" applyFont="1">
      <alignment horizontal="center" vertical="bottom"/>
    </xf>
    <xf borderId="76" fillId="24" fontId="27" numFmtId="0" xfId="0" applyAlignment="1" applyBorder="1" applyFont="1">
      <alignment horizontal="center" readingOrder="0" vertical="bottom"/>
    </xf>
    <xf borderId="77" fillId="24" fontId="27" numFmtId="0" xfId="0" applyAlignment="1" applyBorder="1" applyFont="1">
      <alignment horizontal="center" vertical="bottom"/>
    </xf>
    <xf borderId="86" fillId="24" fontId="27" numFmtId="0" xfId="0" applyAlignment="1" applyBorder="1" applyFont="1">
      <alignment horizontal="center" readingOrder="0" vertical="bottom"/>
    </xf>
    <xf borderId="76" fillId="24" fontId="27" numFmtId="0" xfId="0" applyAlignment="1" applyBorder="1" applyFont="1">
      <alignment horizontal="center" vertical="bottom"/>
    </xf>
    <xf borderId="77" fillId="24" fontId="27" numFmtId="0" xfId="0" applyAlignment="1" applyBorder="1" applyFont="1">
      <alignment horizontal="center" vertical="bottom"/>
    </xf>
    <xf borderId="86" fillId="24" fontId="27" numFmtId="0" xfId="0" applyAlignment="1" applyBorder="1" applyFont="1">
      <alignment horizontal="center" vertical="bottom"/>
    </xf>
    <xf borderId="76" fillId="24" fontId="27" numFmtId="0" xfId="0" applyAlignment="1" applyBorder="1" applyFont="1">
      <alignment horizontal="center" vertical="bottom"/>
    </xf>
    <xf borderId="86" fillId="24" fontId="27" numFmtId="0" xfId="0" applyAlignment="1" applyBorder="1" applyFont="1">
      <alignment horizontal="center" vertical="bottom"/>
    </xf>
    <xf borderId="36" fillId="18" fontId="30" numFmtId="0" xfId="0" applyAlignment="1" applyBorder="1" applyFont="1">
      <alignment horizontal="center" vertical="bottom"/>
    </xf>
    <xf borderId="36" fillId="18" fontId="30" numFmtId="191" xfId="0" applyAlignment="1" applyBorder="1" applyFont="1" applyNumberFormat="1">
      <alignment horizontal="center" vertical="bottom"/>
    </xf>
    <xf borderId="65" fillId="18" fontId="30" numFmtId="1" xfId="0" applyAlignment="1" applyBorder="1" applyFont="1" applyNumberFormat="1">
      <alignment horizontal="center" vertical="bottom"/>
    </xf>
    <xf borderId="87" fillId="25" fontId="30" numFmtId="0" xfId="0" applyAlignment="1" applyBorder="1" applyFont="1">
      <alignment horizontal="left" readingOrder="0" vertical="bottom"/>
    </xf>
    <xf borderId="36" fillId="26" fontId="30" numFmtId="0" xfId="0" applyAlignment="1" applyBorder="1" applyFont="1">
      <alignment horizontal="center" vertical="bottom"/>
    </xf>
    <xf borderId="0" fillId="26" fontId="30" numFmtId="0" xfId="0" applyAlignment="1" applyFont="1">
      <alignment horizontal="center" readingOrder="0" vertical="bottom"/>
    </xf>
    <xf borderId="87" fillId="25" fontId="30" numFmtId="0" xfId="0" applyAlignment="1" applyBorder="1" applyFont="1">
      <alignment vertical="bottom"/>
    </xf>
    <xf borderId="36" fillId="26" fontId="30" numFmtId="0" xfId="0" applyAlignment="1" applyBorder="1" applyFont="1">
      <alignment horizontal="center" vertical="bottom"/>
    </xf>
    <xf borderId="0" fillId="26" fontId="30" numFmtId="0" xfId="0" applyAlignment="1" applyFont="1">
      <alignment horizontal="center" vertical="bottom"/>
    </xf>
    <xf borderId="87" fillId="25" fontId="30" numFmtId="0" xfId="0" applyAlignment="1" applyBorder="1" applyFont="1">
      <alignment horizontal="left" vertical="center"/>
    </xf>
    <xf borderId="87" fillId="25" fontId="30" numFmtId="0" xfId="0" applyAlignment="1" applyBorder="1" applyFont="1">
      <alignment vertical="center"/>
    </xf>
    <xf borderId="83" fillId="28" fontId="30" numFmtId="0" xfId="0" applyAlignment="1" applyBorder="1" applyFont="1">
      <alignment horizontal="center" readingOrder="0" vertical="bottom"/>
    </xf>
    <xf borderId="93" fillId="18" fontId="30" numFmtId="0" xfId="0" applyAlignment="1" applyBorder="1" applyFont="1">
      <alignment horizontal="center" vertical="bottom"/>
    </xf>
    <xf borderId="93" fillId="18" fontId="30" numFmtId="191" xfId="0" applyAlignment="1" applyBorder="1" applyFont="1" applyNumberFormat="1">
      <alignment horizontal="center" vertical="bottom"/>
    </xf>
    <xf borderId="31" fillId="26" fontId="30" numFmtId="0" xfId="0" applyAlignment="1" applyBorder="1" applyFont="1">
      <alignment horizontal="center" vertical="bottom"/>
    </xf>
    <xf borderId="89" fillId="26" fontId="30" numFmtId="0" xfId="0" applyAlignment="1" applyBorder="1" applyFont="1">
      <alignment horizontal="center" readingOrder="0" vertical="bottom"/>
    </xf>
    <xf borderId="31" fillId="26" fontId="30" numFmtId="0" xfId="0" applyAlignment="1" applyBorder="1" applyFont="1">
      <alignment horizontal="center" vertical="bottom"/>
    </xf>
    <xf borderId="89" fillId="26" fontId="30" numFmtId="0" xfId="0" applyAlignment="1" applyBorder="1" applyFont="1">
      <alignment horizontal="center" vertical="bottom"/>
    </xf>
    <xf borderId="48" fillId="25" fontId="30" numFmtId="0" xfId="0" applyAlignment="1" applyBorder="1" applyFont="1">
      <alignment horizontal="center" vertical="center"/>
    </xf>
    <xf borderId="53" fillId="25" fontId="30" numFmtId="0" xfId="0" applyAlignment="1" applyBorder="1" applyFont="1">
      <alignment horizontal="center" vertical="center"/>
    </xf>
    <xf borderId="89" fillId="25" fontId="30" numFmtId="0" xfId="0" applyAlignment="1" applyBorder="1" applyFont="1">
      <alignment horizontal="center" vertical="center"/>
    </xf>
    <xf borderId="48" fillId="25" fontId="30" numFmtId="0" xfId="0" applyAlignment="1" applyBorder="1" applyFont="1">
      <alignment vertical="bottom"/>
    </xf>
    <xf borderId="11" fillId="25" fontId="8" numFmtId="0" xfId="0" applyAlignment="1" applyBorder="1" applyFont="1">
      <alignment vertical="bottom"/>
    </xf>
    <xf borderId="11" fillId="25" fontId="30" numFmtId="0" xfId="0" applyAlignment="1" applyBorder="1" applyFont="1">
      <alignment horizontal="center" vertical="bottom"/>
    </xf>
    <xf borderId="11" fillId="25" fontId="30" numFmtId="9" xfId="0" applyAlignment="1" applyBorder="1" applyFont="1" applyNumberFormat="1">
      <alignment horizontal="center" vertical="bottom"/>
    </xf>
    <xf borderId="12" fillId="25" fontId="30" numFmtId="0" xfId="0" applyAlignment="1" applyBorder="1" applyFont="1">
      <alignment horizontal="center" vertical="bottom"/>
    </xf>
    <xf borderId="94" fillId="25" fontId="30" numFmtId="0" xfId="0" applyAlignment="1" applyBorder="1" applyFont="1">
      <alignment horizontal="center" vertical="bottom"/>
    </xf>
    <xf borderId="55" fillId="20" fontId="30" numFmtId="0" xfId="0" applyAlignment="1" applyBorder="1" applyFont="1">
      <alignment horizontal="left" readingOrder="0" vertical="bottom"/>
    </xf>
    <xf borderId="56" fillId="43" fontId="30" numFmtId="0" xfId="0" applyAlignment="1" applyBorder="1" applyFont="1">
      <alignment horizontal="center" readingOrder="0" vertical="center"/>
    </xf>
    <xf borderId="0" fillId="2" fontId="44" numFmtId="0" xfId="0" applyAlignment="1" applyFont="1">
      <alignment shrinkToFit="0" vertical="bottom" wrapText="1"/>
    </xf>
    <xf borderId="27" fillId="0" fontId="81" numFmtId="0" xfId="0" applyAlignment="1" applyBorder="1" applyFont="1">
      <alignment horizontal="center" readingOrder="0" vertical="center"/>
    </xf>
    <xf borderId="27" fillId="25" fontId="82" numFmtId="10" xfId="0" applyAlignment="1" applyBorder="1" applyFont="1" applyNumberFormat="1">
      <alignment horizontal="center" readingOrder="0" vertical="center"/>
    </xf>
    <xf borderId="98" fillId="0" fontId="30" numFmtId="0" xfId="0" applyAlignment="1" applyBorder="1" applyFont="1">
      <alignment horizontal="center" readingOrder="0" shrinkToFit="0" vertical="bottom" wrapText="1"/>
    </xf>
    <xf borderId="36" fillId="0" fontId="30" numFmtId="0" xfId="0" applyAlignment="1" applyBorder="1" applyFont="1">
      <alignment horizontal="center" readingOrder="0" shrinkToFit="0" vertical="bottom" wrapText="0"/>
    </xf>
    <xf borderId="10" fillId="59" fontId="83" numFmtId="0" xfId="0" applyAlignment="1" applyBorder="1" applyFill="1" applyFont="1">
      <alignment horizontal="center" shrinkToFit="0" vertical="bottom" wrapText="0"/>
    </xf>
    <xf borderId="10" fillId="60" fontId="83" numFmtId="0" xfId="0" applyAlignment="1" applyBorder="1" applyFill="1" applyFont="1">
      <alignment horizontal="center" shrinkToFit="0" vertical="bottom" wrapText="0"/>
    </xf>
    <xf borderId="10" fillId="61" fontId="83" numFmtId="0" xfId="0" applyAlignment="1" applyBorder="1" applyFill="1" applyFont="1">
      <alignment horizontal="center" shrinkToFit="0" vertical="bottom" wrapText="0"/>
    </xf>
    <xf borderId="10" fillId="62" fontId="83" numFmtId="0" xfId="0" applyAlignment="1" applyBorder="1" applyFill="1" applyFont="1">
      <alignment horizontal="center" shrinkToFit="0" vertical="bottom" wrapText="0"/>
    </xf>
    <xf borderId="0" fillId="63" fontId="84" numFmtId="0" xfId="0" applyAlignment="1" applyFill="1" applyFont="1">
      <alignment horizontal="center" readingOrder="0" shrinkToFit="0" vertical="center" wrapText="0"/>
    </xf>
    <xf borderId="0" fillId="2" fontId="85" numFmtId="0" xfId="0" applyAlignment="1" applyFont="1">
      <alignment shrinkToFit="0" vertical="center" wrapText="1"/>
    </xf>
    <xf borderId="99" fillId="0" fontId="7" numFmtId="0" xfId="0" applyBorder="1" applyFont="1"/>
    <xf borderId="0" fillId="0" fontId="30" numFmtId="0" xfId="0" applyAlignment="1" applyFont="1">
      <alignment horizontal="center" readingOrder="0" shrinkToFit="0" vertical="bottom" wrapText="1"/>
    </xf>
    <xf borderId="100" fillId="0" fontId="30" numFmtId="3" xfId="0" applyAlignment="1" applyBorder="1" applyFont="1" applyNumberFormat="1">
      <alignment horizontal="center" readingOrder="0" shrinkToFit="0" vertical="bottom" wrapText="1"/>
    </xf>
    <xf borderId="36" fillId="0" fontId="30" numFmtId="3" xfId="0" applyAlignment="1" applyBorder="1" applyFont="1" applyNumberFormat="1">
      <alignment horizontal="center" readingOrder="0" shrinkToFit="0" vertical="bottom" wrapText="1"/>
    </xf>
    <xf borderId="101" fillId="0" fontId="7" numFmtId="0" xfId="0" applyBorder="1" applyFont="1"/>
    <xf borderId="102" fillId="0" fontId="7" numFmtId="0" xfId="0" applyBorder="1" applyFont="1"/>
    <xf borderId="26" fillId="0" fontId="27" numFmtId="0" xfId="0" applyAlignment="1" applyBorder="1" applyFont="1">
      <alignment horizontal="center" shrinkToFit="0" vertical="bottom" wrapText="0"/>
    </xf>
    <xf borderId="2" fillId="25" fontId="86" numFmtId="0" xfId="0" applyAlignment="1" applyBorder="1" applyFont="1">
      <alignment horizontal="center" readingOrder="0" shrinkToFit="0" vertical="bottom" wrapText="0"/>
    </xf>
    <xf borderId="28" fillId="0" fontId="30" numFmtId="0" xfId="0" applyAlignment="1" applyBorder="1" applyFont="1">
      <alignment horizontal="center" shrinkToFit="0" vertical="bottom" wrapText="0"/>
    </xf>
    <xf borderId="26" fillId="64" fontId="30" numFmtId="1" xfId="0" applyAlignment="1" applyBorder="1" applyFill="1" applyFont="1" applyNumberFormat="1">
      <alignment horizontal="center" shrinkToFit="0" vertical="bottom" wrapText="0"/>
    </xf>
    <xf borderId="28" fillId="64" fontId="30" numFmtId="3" xfId="0" applyAlignment="1" applyBorder="1" applyFont="1" applyNumberFormat="1">
      <alignment horizontal="center" shrinkToFit="0" vertical="bottom" wrapText="0"/>
    </xf>
    <xf borderId="26" fillId="9" fontId="30" numFmtId="1" xfId="0" applyAlignment="1" applyBorder="1" applyFont="1" applyNumberFormat="1">
      <alignment horizontal="center" shrinkToFit="0" vertical="bottom" wrapText="0"/>
    </xf>
    <xf borderId="28" fillId="9" fontId="30" numFmtId="3" xfId="0" applyAlignment="1" applyBorder="1" applyFont="1" applyNumberFormat="1">
      <alignment horizontal="center" vertical="bottom"/>
    </xf>
    <xf borderId="26" fillId="17" fontId="30" numFmtId="1" xfId="0" applyAlignment="1" applyBorder="1" applyFont="1" applyNumberFormat="1">
      <alignment horizontal="center" shrinkToFit="0" vertical="bottom" wrapText="0"/>
    </xf>
    <xf borderId="85" fillId="17" fontId="30" numFmtId="3" xfId="0" applyAlignment="1" applyBorder="1" applyFont="1" applyNumberFormat="1">
      <alignment horizontal="center" shrinkToFit="0" vertical="bottom" wrapText="0"/>
    </xf>
    <xf borderId="26" fillId="21" fontId="30" numFmtId="1" xfId="0" applyAlignment="1" applyBorder="1" applyFont="1" applyNumberFormat="1">
      <alignment horizontal="center" shrinkToFit="0" vertical="bottom" wrapText="0"/>
    </xf>
    <xf borderId="28" fillId="21" fontId="30" numFmtId="3" xfId="0" applyAlignment="1" applyBorder="1" applyFont="1" applyNumberFormat="1">
      <alignment horizontal="center" shrinkToFit="0" vertical="bottom" wrapText="0"/>
    </xf>
    <xf borderId="2" fillId="0" fontId="27" numFmtId="0" xfId="0" applyAlignment="1" applyBorder="1" applyFont="1">
      <alignment horizontal="left" readingOrder="0" shrinkToFit="0" vertical="top" wrapText="0"/>
    </xf>
    <xf borderId="11" fillId="0" fontId="27" numFmtId="0" xfId="0" applyAlignment="1" applyBorder="1" applyFont="1">
      <alignment horizontal="left" readingOrder="0" shrinkToFit="0" vertical="top" wrapText="0"/>
    </xf>
    <xf borderId="12" fillId="0" fontId="27" numFmtId="0" xfId="0" applyAlignment="1" applyBorder="1" applyFont="1">
      <alignment horizontal="left" readingOrder="0" shrinkToFit="0" vertical="top" wrapText="0"/>
    </xf>
    <xf borderId="2" fillId="0" fontId="30" numFmtId="0" xfId="0" applyAlignment="1" applyBorder="1" applyFont="1">
      <alignment horizontal="center" readingOrder="0" shrinkToFit="0" vertical="bottom" wrapText="0"/>
    </xf>
    <xf borderId="36" fillId="0" fontId="30" numFmtId="0" xfId="0" applyAlignment="1" applyBorder="1" applyFont="1">
      <alignment horizontal="center" shrinkToFit="0" vertical="bottom" wrapText="0"/>
    </xf>
    <xf borderId="66" fillId="64" fontId="30" numFmtId="1" xfId="0" applyAlignment="1" applyBorder="1" applyFont="1" applyNumberFormat="1">
      <alignment horizontal="center" shrinkToFit="0" vertical="bottom" wrapText="0"/>
    </xf>
    <xf borderId="36" fillId="64" fontId="30" numFmtId="3" xfId="0" applyAlignment="1" applyBorder="1" applyFont="1" applyNumberFormat="1">
      <alignment horizontal="center" shrinkToFit="0" vertical="bottom" wrapText="0"/>
    </xf>
    <xf borderId="66" fillId="9" fontId="30" numFmtId="1" xfId="0" applyAlignment="1" applyBorder="1" applyFont="1" applyNumberFormat="1">
      <alignment horizontal="center" shrinkToFit="0" vertical="bottom" wrapText="0"/>
    </xf>
    <xf borderId="36" fillId="9" fontId="30" numFmtId="3" xfId="0" applyAlignment="1" applyBorder="1" applyFont="1" applyNumberFormat="1">
      <alignment horizontal="center" vertical="bottom"/>
    </xf>
    <xf borderId="66" fillId="17" fontId="30" numFmtId="1" xfId="0" applyAlignment="1" applyBorder="1" applyFont="1" applyNumberFormat="1">
      <alignment horizontal="center" shrinkToFit="0" vertical="bottom" wrapText="0"/>
    </xf>
    <xf borderId="0" fillId="17" fontId="30" numFmtId="3" xfId="0" applyAlignment="1" applyFont="1" applyNumberFormat="1">
      <alignment horizontal="center" shrinkToFit="0" vertical="bottom" wrapText="0"/>
    </xf>
    <xf borderId="66" fillId="21" fontId="30" numFmtId="1" xfId="0" applyAlignment="1" applyBorder="1" applyFont="1" applyNumberFormat="1">
      <alignment horizontal="center" shrinkToFit="0" vertical="bottom" wrapText="0"/>
    </xf>
    <xf borderId="36" fillId="21" fontId="30" numFmtId="3" xfId="0" applyAlignment="1" applyBorder="1" applyFont="1" applyNumberFormat="1">
      <alignment horizontal="center" shrinkToFit="0" vertical="bottom" wrapText="0"/>
    </xf>
    <xf borderId="10" fillId="0" fontId="60" numFmtId="0" xfId="0" applyAlignment="1" applyBorder="1" applyFont="1">
      <alignment readingOrder="0"/>
    </xf>
    <xf borderId="2" fillId="0" fontId="60" numFmtId="0" xfId="0" applyBorder="1" applyFont="1"/>
    <xf borderId="2" fillId="0" fontId="60" numFmtId="0" xfId="0" applyAlignment="1" applyBorder="1" applyFont="1">
      <alignment readingOrder="0"/>
    </xf>
    <xf borderId="2" fillId="0" fontId="60" numFmtId="164" xfId="0" applyBorder="1" applyFont="1" applyNumberFormat="1"/>
    <xf borderId="37" fillId="0" fontId="27" numFmtId="0" xfId="0" applyAlignment="1" applyBorder="1" applyFont="1">
      <alignment horizontal="left" readingOrder="0" shrinkToFit="0" vertical="top" wrapText="0"/>
    </xf>
    <xf borderId="0" fillId="0" fontId="30" numFmtId="192" xfId="0" applyAlignment="1" applyFont="1" applyNumberFormat="1">
      <alignment shrinkToFit="0" vertical="top" wrapText="0"/>
    </xf>
    <xf borderId="36" fillId="0" fontId="30" numFmtId="192" xfId="0" applyAlignment="1" applyBorder="1" applyFont="1" applyNumberFormat="1">
      <alignment shrinkToFit="0" vertical="top" wrapText="0"/>
    </xf>
    <xf borderId="2" fillId="25" fontId="87" numFmtId="0" xfId="0" applyAlignment="1" applyBorder="1" applyFont="1">
      <alignment horizontal="center" readingOrder="0" shrinkToFit="0" vertical="bottom" wrapText="0"/>
    </xf>
    <xf borderId="36" fillId="34" fontId="88" numFmtId="192" xfId="0" applyAlignment="1" applyBorder="1" applyFont="1" applyNumberFormat="1">
      <alignment shrinkToFit="0" vertical="top" wrapText="0"/>
    </xf>
    <xf borderId="0" fillId="34" fontId="88" numFmtId="192" xfId="0" applyAlignment="1" applyFont="1" applyNumberFormat="1">
      <alignment shrinkToFit="0" vertical="top" wrapText="0"/>
    </xf>
    <xf borderId="2" fillId="25" fontId="86" numFmtId="0" xfId="0" applyAlignment="1" applyBorder="1" applyFont="1">
      <alignment horizontal="center" shrinkToFit="0" vertical="bottom" wrapText="0"/>
    </xf>
    <xf borderId="31" fillId="0" fontId="30" numFmtId="0" xfId="0" applyAlignment="1" applyBorder="1" applyFont="1">
      <alignment horizontal="center" shrinkToFit="0" vertical="bottom" wrapText="0"/>
    </xf>
    <xf borderId="81" fillId="64" fontId="30" numFmtId="1" xfId="0" applyAlignment="1" applyBorder="1" applyFont="1" applyNumberFormat="1">
      <alignment horizontal="center" shrinkToFit="0" vertical="bottom" wrapText="0"/>
    </xf>
    <xf borderId="31" fillId="64" fontId="30" numFmtId="3" xfId="0" applyAlignment="1" applyBorder="1" applyFont="1" applyNumberFormat="1">
      <alignment horizontal="center" shrinkToFit="0" vertical="bottom" wrapText="0"/>
    </xf>
    <xf borderId="81" fillId="9" fontId="30" numFmtId="1" xfId="0" applyAlignment="1" applyBorder="1" applyFont="1" applyNumberFormat="1">
      <alignment horizontal="center" shrinkToFit="0" vertical="bottom" wrapText="0"/>
    </xf>
    <xf borderId="31" fillId="9" fontId="30" numFmtId="3" xfId="0" applyAlignment="1" applyBorder="1" applyFont="1" applyNumberFormat="1">
      <alignment horizontal="center" vertical="bottom"/>
    </xf>
    <xf borderId="81" fillId="17" fontId="30" numFmtId="1" xfId="0" applyAlignment="1" applyBorder="1" applyFont="1" applyNumberFormat="1">
      <alignment horizontal="center" shrinkToFit="0" vertical="bottom" wrapText="0"/>
    </xf>
    <xf borderId="89" fillId="17" fontId="30" numFmtId="3" xfId="0" applyAlignment="1" applyBorder="1" applyFont="1" applyNumberFormat="1">
      <alignment horizontal="center" shrinkToFit="0" vertical="bottom" wrapText="0"/>
    </xf>
    <xf borderId="81" fillId="21" fontId="30" numFmtId="1" xfId="0" applyAlignment="1" applyBorder="1" applyFont="1" applyNumberFormat="1">
      <alignment horizontal="center" shrinkToFit="0" vertical="bottom" wrapText="0"/>
    </xf>
    <xf borderId="31" fillId="21" fontId="30" numFmtId="3" xfId="0" applyAlignment="1" applyBorder="1" applyFont="1" applyNumberFormat="1">
      <alignment horizontal="center" shrinkToFit="0" vertical="bottom" wrapText="0"/>
    </xf>
    <xf borderId="85" fillId="9" fontId="30" numFmtId="1" xfId="0" applyAlignment="1" applyBorder="1" applyFont="1" applyNumberFormat="1">
      <alignment horizontal="center" shrinkToFit="0" vertical="bottom" wrapText="0"/>
    </xf>
    <xf borderId="85" fillId="9" fontId="30" numFmtId="3" xfId="0" applyAlignment="1" applyBorder="1" applyFont="1" applyNumberFormat="1">
      <alignment horizontal="center" vertical="bottom"/>
    </xf>
    <xf borderId="11" fillId="0" fontId="30" numFmtId="0" xfId="0" applyAlignment="1" applyBorder="1" applyFont="1">
      <alignment shrinkToFit="0" vertical="bottom" wrapText="0"/>
    </xf>
    <xf borderId="12" fillId="0" fontId="30" numFmtId="0" xfId="0" applyAlignment="1" applyBorder="1" applyFont="1">
      <alignment shrinkToFit="0" vertical="bottom" wrapText="0"/>
    </xf>
    <xf borderId="0" fillId="9" fontId="30" numFmtId="1" xfId="0" applyAlignment="1" applyFont="1" applyNumberFormat="1">
      <alignment horizontal="center" shrinkToFit="0" vertical="bottom" wrapText="0"/>
    </xf>
    <xf borderId="0" fillId="9" fontId="30" numFmtId="3" xfId="0" applyAlignment="1" applyFont="1" applyNumberFormat="1">
      <alignment horizontal="center" vertical="bottom"/>
    </xf>
    <xf borderId="89" fillId="9" fontId="30" numFmtId="1" xfId="0" applyAlignment="1" applyBorder="1" applyFont="1" applyNumberFormat="1">
      <alignment horizontal="center" shrinkToFit="0" vertical="bottom" wrapText="0"/>
    </xf>
    <xf borderId="89" fillId="9" fontId="30" numFmtId="3" xfId="0" applyAlignment="1" applyBorder="1" applyFont="1" applyNumberFormat="1">
      <alignment horizontal="center" vertical="bottom"/>
    </xf>
    <xf borderId="66" fillId="9" fontId="30" numFmtId="1" xfId="0" applyAlignment="1" applyBorder="1" applyFont="1" applyNumberFormat="1">
      <alignment horizontal="center" readingOrder="0" shrinkToFit="0" vertical="bottom" wrapText="0"/>
    </xf>
    <xf borderId="26" fillId="18" fontId="89" numFmtId="0" xfId="0" applyAlignment="1" applyBorder="1" applyFont="1">
      <alignment readingOrder="0" shrinkToFit="0" vertical="top" wrapText="1"/>
    </xf>
    <xf borderId="85" fillId="64" fontId="30" numFmtId="3" xfId="0" applyAlignment="1" applyBorder="1" applyFont="1" applyNumberFormat="1">
      <alignment horizontal="center" shrinkToFit="0" vertical="bottom" wrapText="0"/>
    </xf>
    <xf borderId="0" fillId="64" fontId="30" numFmtId="3" xfId="0" applyAlignment="1" applyFont="1" applyNumberFormat="1">
      <alignment horizontal="center" shrinkToFit="0" vertical="bottom" wrapText="0"/>
    </xf>
    <xf borderId="2" fillId="0" fontId="30" numFmtId="0" xfId="0" applyAlignment="1" applyBorder="1" applyFont="1">
      <alignment readingOrder="0"/>
    </xf>
    <xf borderId="2" fillId="25" fontId="87" numFmtId="164" xfId="0" applyAlignment="1" applyBorder="1" applyFont="1" applyNumberFormat="1">
      <alignment horizontal="center" readingOrder="0" shrinkToFit="0" vertical="top" wrapText="0"/>
    </xf>
    <xf borderId="89" fillId="64" fontId="30" numFmtId="3" xfId="0" applyAlignment="1" applyBorder="1" applyFont="1" applyNumberFormat="1">
      <alignment horizontal="center" shrinkToFit="0" vertical="bottom" wrapText="0"/>
    </xf>
    <xf borderId="81" fillId="0" fontId="7" numFmtId="0" xfId="0" applyBorder="1" applyFont="1"/>
    <xf borderId="10" fillId="0" fontId="30" numFmtId="0" xfId="0" applyAlignment="1" applyBorder="1" applyFont="1">
      <alignment readingOrder="0" shrinkToFit="0" vertical="top" wrapText="0"/>
    </xf>
    <xf borderId="11" fillId="0" fontId="60" numFmtId="0" xfId="0" applyBorder="1" applyFont="1"/>
    <xf borderId="2" fillId="28" fontId="30" numFmtId="0" xfId="0" applyAlignment="1" applyBorder="1" applyFont="1">
      <alignment readingOrder="0"/>
    </xf>
    <xf borderId="11" fillId="0" fontId="30" numFmtId="0" xfId="0" applyBorder="1" applyFont="1"/>
    <xf borderId="10" fillId="0" fontId="30" numFmtId="0" xfId="0" applyAlignment="1" applyBorder="1" applyFont="1">
      <alignment readingOrder="0"/>
    </xf>
    <xf borderId="2" fillId="0" fontId="30" numFmtId="164" xfId="0" applyAlignment="1" applyBorder="1" applyFont="1" applyNumberFormat="1">
      <alignment readingOrder="0"/>
    </xf>
    <xf borderId="2" fillId="0" fontId="8" numFmtId="0" xfId="0" applyAlignment="1" applyBorder="1" applyFont="1">
      <alignment horizontal="right" vertical="bottom"/>
    </xf>
    <xf borderId="10" fillId="0" fontId="90" numFmtId="0" xfId="0" applyAlignment="1" applyBorder="1" applyFont="1">
      <alignment vertical="bottom"/>
    </xf>
    <xf borderId="0" fillId="2" fontId="44" numFmtId="0" xfId="0" applyAlignment="1" applyFont="1">
      <alignment vertical="bottom"/>
    </xf>
    <xf borderId="0" fillId="2" fontId="34" numFmtId="0" xfId="0" applyAlignment="1" applyFont="1">
      <alignment vertical="bottom"/>
    </xf>
    <xf borderId="67" fillId="3" fontId="54" numFmtId="0" xfId="0" applyAlignment="1" applyBorder="1" applyFont="1">
      <alignment horizontal="center"/>
    </xf>
    <xf borderId="68" fillId="3" fontId="54" numFmtId="0" xfId="0" applyAlignment="1" applyBorder="1" applyFont="1">
      <alignment horizontal="center"/>
    </xf>
    <xf borderId="69" fillId="3" fontId="54" numFmtId="0" xfId="0" applyAlignment="1" applyBorder="1" applyFont="1">
      <alignment horizontal="center"/>
    </xf>
    <xf borderId="67" fillId="3" fontId="54" numFmtId="0" xfId="0" applyAlignment="1" applyBorder="1" applyFont="1">
      <alignment horizontal="center"/>
    </xf>
    <xf borderId="68" fillId="3" fontId="54" numFmtId="0" xfId="0" applyAlignment="1" applyBorder="1" applyFont="1">
      <alignment horizontal="center"/>
    </xf>
    <xf borderId="69" fillId="3" fontId="54" numFmtId="0" xfId="0" applyAlignment="1" applyBorder="1" applyFont="1">
      <alignment horizontal="center"/>
    </xf>
    <xf borderId="70" fillId="27" fontId="43" numFmtId="0" xfId="0" applyBorder="1" applyFont="1"/>
    <xf borderId="71" fillId="27" fontId="11" numFmtId="0" xfId="0" applyAlignment="1" applyBorder="1" applyFont="1">
      <alignment horizontal="center"/>
    </xf>
    <xf borderId="70" fillId="27" fontId="43" numFmtId="0" xfId="0" applyAlignment="1" applyBorder="1" applyFont="1">
      <alignment vertical="bottom"/>
    </xf>
    <xf borderId="71" fillId="27" fontId="11" numFmtId="0" xfId="0" applyAlignment="1" applyBorder="1" applyFont="1">
      <alignment horizontal="center" vertical="bottom"/>
    </xf>
    <xf borderId="70" fillId="27" fontId="43" numFmtId="0" xfId="0" applyAlignment="1" applyBorder="1" applyFont="1">
      <alignment vertical="bottom"/>
    </xf>
    <xf borderId="71" fillId="27" fontId="11" numFmtId="0" xfId="0" applyAlignment="1" applyBorder="1" applyFont="1">
      <alignment horizontal="center" vertical="bottom"/>
    </xf>
    <xf borderId="71" fillId="27" fontId="56" numFmtId="9" xfId="0" applyAlignment="1" applyBorder="1" applyFont="1" applyNumberFormat="1">
      <alignment horizontal="right"/>
    </xf>
    <xf borderId="2" fillId="28" fontId="43" numFmtId="0" xfId="0" applyAlignment="1" applyBorder="1" applyFont="1">
      <alignment shrinkToFit="0" textRotation="0" wrapText="0"/>
    </xf>
    <xf borderId="0" fillId="2" fontId="34" numFmtId="165" xfId="0" applyAlignment="1" applyFont="1" applyNumberFormat="1">
      <alignment vertical="bottom"/>
    </xf>
    <xf borderId="71" fillId="27" fontId="56" numFmtId="9" xfId="0" applyAlignment="1" applyBorder="1" applyFont="1" applyNumberFormat="1">
      <alignment horizontal="right" vertical="bottom"/>
    </xf>
    <xf borderId="2" fillId="28" fontId="43" numFmtId="0" xfId="0" applyAlignment="1" applyBorder="1" applyFont="1">
      <alignment shrinkToFit="0" textRotation="0" wrapText="0"/>
    </xf>
    <xf borderId="70" fillId="27" fontId="43" numFmtId="0" xfId="0" applyBorder="1" applyFont="1"/>
    <xf borderId="103" fillId="3" fontId="39" numFmtId="0" xfId="0" applyAlignment="1" applyBorder="1" applyFont="1">
      <alignment horizontal="center" vertical="bottom"/>
    </xf>
    <xf borderId="104" fillId="0" fontId="7" numFmtId="0" xfId="0" applyBorder="1" applyFont="1"/>
    <xf borderId="105" fillId="0" fontId="7" numFmtId="0" xfId="0" applyBorder="1" applyFont="1"/>
    <xf borderId="103" fillId="3" fontId="39" numFmtId="0" xfId="0" applyAlignment="1" applyBorder="1" applyFont="1">
      <alignment horizontal="center" vertical="bottom"/>
    </xf>
    <xf borderId="30" fillId="27" fontId="58" numFmtId="0" xfId="0" applyAlignment="1" applyBorder="1" applyFont="1">
      <alignment horizontal="center"/>
    </xf>
    <xf borderId="81" fillId="28" fontId="59" numFmtId="0" xfId="0" applyAlignment="1" applyBorder="1" applyFont="1">
      <alignment horizontal="center"/>
    </xf>
    <xf borderId="30" fillId="27" fontId="58" numFmtId="0" xfId="0" applyAlignment="1" applyBorder="1" applyFont="1">
      <alignment horizontal="center" vertical="bottom"/>
    </xf>
    <xf borderId="81" fillId="28" fontId="59" numFmtId="0" xfId="0" applyAlignment="1" applyBorder="1" applyFont="1">
      <alignment horizontal="center" vertical="bottom"/>
    </xf>
    <xf borderId="30" fillId="27" fontId="58" numFmtId="0" xfId="0" applyAlignment="1" applyBorder="1" applyFont="1">
      <alignment horizontal="center" vertical="bottom"/>
    </xf>
    <xf borderId="81" fillId="28" fontId="59" numFmtId="0" xfId="0" applyAlignment="1" applyBorder="1" applyFont="1">
      <alignment horizontal="center" vertical="bottom"/>
    </xf>
    <xf borderId="2" fillId="27" fontId="11" numFmtId="0" xfId="0" applyAlignment="1" applyBorder="1" applyFont="1">
      <alignment horizontal="center"/>
    </xf>
    <xf borderId="81" fillId="28" fontId="34" numFmtId="0" xfId="0" applyBorder="1" applyFont="1"/>
    <xf borderId="2" fillId="27" fontId="11" numFmtId="0" xfId="0" applyAlignment="1" applyBorder="1" applyFont="1">
      <alignment horizontal="center" vertical="bottom"/>
    </xf>
    <xf borderId="81" fillId="28" fontId="34" numFmtId="0" xfId="0" applyAlignment="1" applyBorder="1" applyFont="1">
      <alignment vertical="bottom"/>
    </xf>
    <xf borderId="2" fillId="27" fontId="11" numFmtId="0" xfId="0" applyAlignment="1" applyBorder="1" applyFont="1">
      <alignment horizontal="center" vertical="bottom"/>
    </xf>
    <xf borderId="81" fillId="28" fontId="34" numFmtId="0" xfId="0" applyAlignment="1" applyBorder="1" applyFont="1">
      <alignment vertical="bottom"/>
    </xf>
    <xf borderId="30" fillId="27" fontId="34" numFmtId="0" xfId="0" applyBorder="1" applyFont="1"/>
    <xf borderId="30" fillId="27" fontId="34" numFmtId="0" xfId="0" applyBorder="1" applyFont="1"/>
    <xf borderId="81" fillId="28" fontId="34" numFmtId="0" xfId="0" applyBorder="1" applyFont="1"/>
    <xf borderId="2" fillId="27" fontId="34" numFmtId="0" xfId="0" applyBorder="1" applyFont="1"/>
    <xf borderId="10" fillId="28" fontId="34" numFmtId="0" xfId="0" applyBorder="1" applyFont="1"/>
    <xf borderId="2" fillId="27" fontId="34" numFmtId="0" xfId="0" applyBorder="1" applyFont="1"/>
    <xf borderId="10" fillId="28" fontId="34" numFmtId="0" xfId="0" applyBorder="1" applyFont="1"/>
    <xf borderId="40" fillId="16" fontId="39" numFmtId="0" xfId="0" applyAlignment="1" applyBorder="1" applyFont="1">
      <alignment horizontal="center" vertical="bottom"/>
    </xf>
    <xf borderId="40" fillId="6" fontId="39" numFmtId="0" xfId="0" applyAlignment="1" applyBorder="1" applyFont="1">
      <alignment horizontal="center" vertical="bottom"/>
    </xf>
    <xf borderId="40" fillId="23" fontId="39" numFmtId="0" xfId="0" applyAlignment="1" applyBorder="1" applyFont="1">
      <alignment horizontal="center" vertical="bottom"/>
    </xf>
    <xf borderId="44" fillId="24" fontId="27" numFmtId="0" xfId="0" applyAlignment="1" applyBorder="1" applyFont="1">
      <alignment horizontal="center" vertical="bottom"/>
    </xf>
    <xf borderId="61" fillId="24" fontId="27" numFmtId="0" xfId="0" applyAlignment="1" applyBorder="1" applyFont="1">
      <alignment horizontal="center" vertical="bottom"/>
    </xf>
    <xf borderId="42" fillId="24" fontId="27" numFmtId="0" xfId="0" applyAlignment="1" applyBorder="1" applyFont="1">
      <alignment horizontal="center" vertical="bottom"/>
    </xf>
    <xf borderId="45" fillId="17" fontId="30" numFmtId="0" xfId="0" applyAlignment="1" applyBorder="1" applyFont="1">
      <alignment horizontal="center" vertical="bottom"/>
    </xf>
    <xf borderId="45" fillId="17" fontId="91" numFmtId="0" xfId="0" applyAlignment="1" applyBorder="1" applyFont="1">
      <alignment horizontal="center" vertical="bottom"/>
    </xf>
    <xf borderId="45" fillId="21" fontId="30" numFmtId="0" xfId="0" applyAlignment="1" applyBorder="1" applyFont="1">
      <alignment horizontal="center" vertical="bottom"/>
    </xf>
    <xf borderId="45" fillId="21" fontId="92" numFmtId="0" xfId="0" applyAlignment="1" applyBorder="1" applyFont="1">
      <alignment horizontal="center" vertical="bottom"/>
    </xf>
    <xf borderId="45" fillId="11" fontId="30" numFmtId="0" xfId="0" applyAlignment="1" applyBorder="1" applyFont="1">
      <alignment horizontal="center" vertical="bottom"/>
    </xf>
    <xf borderId="45" fillId="11" fontId="93" numFmtId="0" xfId="0" applyAlignment="1" applyBorder="1" applyFont="1">
      <alignment horizontal="center" vertical="bottom"/>
    </xf>
    <xf borderId="45" fillId="25" fontId="30" numFmtId="0" xfId="0" applyAlignment="1" applyBorder="1" applyFont="1">
      <alignment horizontal="center" vertical="bottom"/>
    </xf>
    <xf borderId="45" fillId="25" fontId="94" numFmtId="0" xfId="0" applyAlignment="1" applyBorder="1" applyFont="1">
      <alignment horizontal="center" vertical="bottom"/>
    </xf>
    <xf borderId="10" fillId="19" fontId="34" numFmtId="0" xfId="0" applyAlignment="1" applyBorder="1" applyFont="1">
      <alignment vertical="bottom"/>
    </xf>
    <xf borderId="10" fillId="22" fontId="34" numFmtId="0" xfId="0" applyAlignment="1" applyBorder="1" applyFont="1">
      <alignment vertical="bottom"/>
    </xf>
    <xf borderId="10" fillId="8" fontId="34" numFmtId="0" xfId="0" applyAlignment="1" applyBorder="1" applyFont="1">
      <alignment vertical="bottom"/>
    </xf>
    <xf borderId="10" fillId="26" fontId="34" numFmtId="0" xfId="0" applyAlignment="1" applyBorder="1" applyFont="1">
      <alignment vertical="bottom"/>
    </xf>
    <xf borderId="53" fillId="17" fontId="8" numFmtId="0" xfId="0" applyAlignment="1" applyBorder="1" applyFont="1">
      <alignment vertical="bottom"/>
    </xf>
    <xf borderId="2" fillId="0" fontId="34" numFmtId="0" xfId="0" applyAlignment="1" applyBorder="1" applyFont="1">
      <alignment vertical="bottom"/>
    </xf>
    <xf borderId="54" fillId="0" fontId="43" numFmtId="0" xfId="0" applyAlignment="1" applyBorder="1" applyFont="1">
      <alignment horizontal="center"/>
    </xf>
    <xf borderId="0" fillId="2" fontId="8" numFmtId="0" xfId="0" applyAlignment="1" applyFont="1">
      <alignment horizontal="right" vertical="bottom"/>
    </xf>
    <xf borderId="25" fillId="2" fontId="34" numFmtId="0" xfId="0" applyAlignment="1" applyBorder="1" applyFont="1">
      <alignment vertical="bottom"/>
    </xf>
    <xf borderId="53" fillId="21" fontId="8" numFmtId="0" xfId="0" applyAlignment="1" applyBorder="1" applyFont="1">
      <alignment vertical="bottom"/>
    </xf>
    <xf borderId="53" fillId="11" fontId="30" numFmtId="0" xfId="0" applyAlignment="1" applyBorder="1" applyFont="1">
      <alignment vertical="bottom"/>
    </xf>
    <xf borderId="53" fillId="25" fontId="8" numFmtId="0" xfId="0" applyAlignment="1" applyBorder="1" applyFont="1">
      <alignment vertical="bottom"/>
    </xf>
    <xf borderId="2" fillId="0" fontId="8" numFmtId="0" xfId="0" applyAlignment="1" applyBorder="1" applyFont="1">
      <alignment vertical="bottom"/>
    </xf>
    <xf borderId="53" fillId="17" fontId="34" numFmtId="0" xfId="0" applyAlignment="1" applyBorder="1" applyFont="1">
      <alignment vertical="bottom"/>
    </xf>
    <xf borderId="54" fillId="0" fontId="34" numFmtId="0" xfId="0" applyBorder="1" applyFont="1"/>
    <xf borderId="53" fillId="21" fontId="34" numFmtId="0" xfId="0" applyAlignment="1" applyBorder="1" applyFont="1">
      <alignment vertical="bottom"/>
    </xf>
    <xf borderId="53" fillId="11" fontId="34" numFmtId="0" xfId="0" applyAlignment="1" applyBorder="1" applyFont="1">
      <alignment vertical="bottom"/>
    </xf>
    <xf borderId="53" fillId="25" fontId="34" numFmtId="0" xfId="0" applyAlignment="1" applyBorder="1" applyFont="1">
      <alignment vertical="bottom"/>
    </xf>
    <xf borderId="2" fillId="0" fontId="34" numFmtId="0" xfId="0" applyAlignment="1" applyBorder="1" applyFont="1">
      <alignment vertical="bottom"/>
    </xf>
    <xf borderId="55" fillId="17" fontId="34" numFmtId="0" xfId="0" applyAlignment="1" applyBorder="1" applyFont="1">
      <alignment vertical="bottom"/>
    </xf>
    <xf borderId="56" fillId="0" fontId="34" numFmtId="0" xfId="0" applyAlignment="1" applyBorder="1" applyFont="1">
      <alignment vertical="bottom"/>
    </xf>
    <xf borderId="57" fillId="0" fontId="34" numFmtId="0" xfId="0" applyBorder="1" applyFont="1"/>
    <xf borderId="55" fillId="21" fontId="34" numFmtId="0" xfId="0" applyAlignment="1" applyBorder="1" applyFont="1">
      <alignment vertical="bottom"/>
    </xf>
    <xf borderId="55" fillId="11" fontId="34" numFmtId="0" xfId="0" applyAlignment="1" applyBorder="1" applyFont="1">
      <alignment vertical="bottom"/>
    </xf>
    <xf borderId="55" fillId="25" fontId="34" numFmtId="0" xfId="0" applyAlignment="1" applyBorder="1" applyFont="1">
      <alignment vertical="bottom"/>
    </xf>
    <xf borderId="56" fillId="0" fontId="34" numFmtId="0" xfId="0" applyAlignment="1" applyBorder="1" applyFont="1">
      <alignment vertical="bottom"/>
    </xf>
    <xf borderId="59" fillId="2" fontId="34" numFmtId="0" xfId="0" applyAlignment="1" applyBorder="1" applyFont="1">
      <alignment vertical="bottom"/>
    </xf>
    <xf borderId="59" fillId="2" fontId="34" numFmtId="0" xfId="0" applyAlignment="1" applyBorder="1" applyFont="1">
      <alignment vertical="bottom"/>
    </xf>
    <xf borderId="58" fillId="2" fontId="34" numFmtId="0" xfId="0" applyAlignment="1" applyBorder="1" applyFont="1">
      <alignment vertical="bottom"/>
    </xf>
    <xf borderId="53" fillId="17" fontId="34" numFmtId="0" xfId="0" applyAlignment="1" applyBorder="1" applyFont="1">
      <alignment vertical="bottom"/>
    </xf>
    <xf borderId="44" fillId="16" fontId="27" numFmtId="0" xfId="0" applyAlignment="1" applyBorder="1" applyFont="1">
      <alignment horizontal="center" vertical="bottom"/>
    </xf>
    <xf borderId="42" fillId="16" fontId="27" numFmtId="0" xfId="0" applyAlignment="1" applyBorder="1" applyFont="1">
      <alignment horizontal="center" vertical="bottom"/>
    </xf>
    <xf borderId="44" fillId="6" fontId="27" numFmtId="0" xfId="0" applyAlignment="1" applyBorder="1" applyFont="1">
      <alignment horizontal="center" vertical="bottom"/>
    </xf>
    <xf borderId="42" fillId="6" fontId="27" numFmtId="0" xfId="0" applyAlignment="1" applyBorder="1" applyFont="1">
      <alignment horizontal="center" vertical="bottom"/>
    </xf>
    <xf borderId="61" fillId="23" fontId="27" numFmtId="0" xfId="0" applyAlignment="1" applyBorder="1" applyFont="1">
      <alignment horizontal="center" vertical="bottom"/>
    </xf>
    <xf borderId="42" fillId="23" fontId="27" numFmtId="0" xfId="0" applyAlignment="1" applyBorder="1" applyFont="1">
      <alignment horizontal="center" vertical="bottom"/>
    </xf>
    <xf borderId="45" fillId="17" fontId="30" numFmtId="0" xfId="0" applyAlignment="1" applyBorder="1" applyFont="1">
      <alignment horizontal="center" vertical="bottom"/>
    </xf>
    <xf borderId="45" fillId="17" fontId="95" numFmtId="0" xfId="0" applyAlignment="1" applyBorder="1" applyFont="1">
      <alignment horizontal="center" vertical="bottom"/>
    </xf>
    <xf borderId="45" fillId="21" fontId="30" numFmtId="0" xfId="0" applyAlignment="1" applyBorder="1" applyFont="1">
      <alignment horizontal="center" vertical="bottom"/>
    </xf>
    <xf borderId="45" fillId="21" fontId="96" numFmtId="0" xfId="0" applyAlignment="1" applyBorder="1" applyFont="1">
      <alignment horizontal="center" vertical="bottom"/>
    </xf>
    <xf borderId="45" fillId="11" fontId="30" numFmtId="0" xfId="0" applyAlignment="1" applyBorder="1" applyFont="1">
      <alignment horizontal="center" vertical="bottom"/>
    </xf>
    <xf borderId="45" fillId="11" fontId="97" numFmtId="0" xfId="0" applyAlignment="1" applyBorder="1" applyFont="1">
      <alignment horizontal="center" vertical="bottom"/>
    </xf>
    <xf borderId="10" fillId="19" fontId="34" numFmtId="0" xfId="0" applyAlignment="1" applyBorder="1" applyFont="1">
      <alignment vertical="bottom"/>
    </xf>
    <xf borderId="10" fillId="22" fontId="34" numFmtId="0" xfId="0" applyAlignment="1" applyBorder="1" applyFont="1">
      <alignment vertical="bottom"/>
    </xf>
    <xf borderId="10" fillId="8" fontId="34" numFmtId="0" xfId="0" applyAlignment="1" applyBorder="1" applyFont="1">
      <alignment vertical="bottom"/>
    </xf>
    <xf borderId="53" fillId="21" fontId="34" numFmtId="0" xfId="0" applyAlignment="1" applyBorder="1" applyFont="1">
      <alignment vertical="bottom"/>
    </xf>
    <xf borderId="53" fillId="11" fontId="34" numFmtId="0" xfId="0" applyAlignment="1" applyBorder="1" applyFont="1">
      <alignment vertical="bottom"/>
    </xf>
    <xf borderId="55" fillId="17" fontId="34" numFmtId="0" xfId="0" applyAlignment="1" applyBorder="1" applyFont="1">
      <alignment vertical="bottom"/>
    </xf>
    <xf borderId="55" fillId="21" fontId="34" numFmtId="0" xfId="0" applyAlignment="1" applyBorder="1" applyFont="1">
      <alignment vertical="bottom"/>
    </xf>
    <xf borderId="55" fillId="11" fontId="34" numFmtId="0" xfId="0" applyAlignment="1" applyBorder="1" applyFont="1">
      <alignment vertical="bottom"/>
    </xf>
    <xf borderId="53" fillId="11" fontId="8" numFmtId="0" xfId="0" applyAlignment="1" applyBorder="1" applyFont="1">
      <alignment vertical="bottom"/>
    </xf>
    <xf borderId="26" fillId="18" fontId="11" numFmtId="0" xfId="0" applyAlignment="1" applyBorder="1" applyFont="1">
      <alignment horizontal="center" vertical="bottom"/>
    </xf>
    <xf borderId="106" fillId="0" fontId="11" numFmtId="0" xfId="0" applyAlignment="1" applyBorder="1" applyFont="1">
      <alignment vertical="bottom"/>
    </xf>
    <xf borderId="28" fillId="16" fontId="98" numFmtId="0" xfId="0" applyAlignment="1" applyBorder="1" applyFont="1">
      <alignment horizontal="center" vertical="bottom"/>
    </xf>
    <xf borderId="27" fillId="6" fontId="98" numFmtId="0" xfId="0" applyAlignment="1" applyBorder="1" applyFont="1">
      <alignment horizontal="center" vertical="bottom"/>
    </xf>
    <xf borderId="27" fillId="23" fontId="98" numFmtId="0" xfId="0" applyAlignment="1" applyBorder="1" applyFont="1">
      <alignment horizontal="center" vertical="bottom"/>
    </xf>
    <xf borderId="27" fillId="24" fontId="98" numFmtId="0" xfId="0" applyAlignment="1" applyBorder="1" applyFont="1">
      <alignment horizontal="center" vertical="bottom"/>
    </xf>
    <xf borderId="81" fillId="18" fontId="11" numFmtId="188" xfId="0" applyAlignment="1" applyBorder="1" applyFont="1" applyNumberFormat="1">
      <alignment horizontal="center" vertical="bottom"/>
    </xf>
    <xf borderId="0" fillId="65" fontId="11" numFmtId="0" xfId="0" applyAlignment="1" applyFill="1" applyFont="1">
      <alignment vertical="bottom"/>
    </xf>
    <xf borderId="37" fillId="17" fontId="99" numFmtId="1" xfId="0" applyAlignment="1" applyBorder="1" applyFont="1" applyNumberFormat="1">
      <alignment horizontal="right" vertical="bottom"/>
    </xf>
    <xf borderId="37" fillId="21" fontId="99" numFmtId="0" xfId="0" applyAlignment="1" applyBorder="1" applyFont="1">
      <alignment horizontal="right" vertical="bottom"/>
    </xf>
    <xf borderId="37" fillId="11" fontId="99" numFmtId="0" xfId="0" applyAlignment="1" applyBorder="1" applyFont="1">
      <alignment horizontal="right" vertical="bottom"/>
    </xf>
    <xf borderId="37" fillId="25" fontId="99" numFmtId="0" xfId="0" applyAlignment="1" applyBorder="1" applyFont="1">
      <alignment horizontal="right" vertical="bottom"/>
    </xf>
    <xf borderId="37" fillId="17" fontId="99" numFmtId="9" xfId="0" applyAlignment="1" applyBorder="1" applyFont="1" applyNumberFormat="1">
      <alignment horizontal="right" vertical="bottom"/>
    </xf>
    <xf borderId="37" fillId="21" fontId="99" numFmtId="9" xfId="0" applyAlignment="1" applyBorder="1" applyFont="1" applyNumberFormat="1">
      <alignment horizontal="right" vertical="bottom"/>
    </xf>
    <xf borderId="37" fillId="11" fontId="99" numFmtId="9" xfId="0" applyAlignment="1" applyBorder="1" applyFont="1" applyNumberFormat="1">
      <alignment horizontal="right" vertical="bottom"/>
    </xf>
    <xf borderId="37" fillId="25" fontId="99" numFmtId="9" xfId="0" applyAlignment="1" applyBorder="1" applyFont="1" applyNumberFormat="1">
      <alignment horizontal="right" vertical="bottom"/>
    </xf>
    <xf borderId="85" fillId="65" fontId="11" numFmtId="0" xfId="0" applyAlignment="1" applyBorder="1" applyFont="1">
      <alignment horizontal="right" vertical="bottom"/>
    </xf>
    <xf borderId="37" fillId="21" fontId="99" numFmtId="1" xfId="0" applyAlignment="1" applyBorder="1" applyFont="1" applyNumberFormat="1">
      <alignment horizontal="right" vertical="bottom"/>
    </xf>
    <xf borderId="37" fillId="11" fontId="99" numFmtId="1" xfId="0" applyAlignment="1" applyBorder="1" applyFont="1" applyNumberFormat="1">
      <alignment horizontal="right" vertical="bottom"/>
    </xf>
    <xf borderId="37" fillId="25" fontId="99" numFmtId="1" xfId="0" applyAlignment="1" applyBorder="1" applyFont="1" applyNumberFormat="1">
      <alignment horizontal="right" vertical="bottom"/>
    </xf>
    <xf borderId="89" fillId="65" fontId="11" numFmtId="0" xfId="0" applyAlignment="1" applyBorder="1" applyFont="1">
      <alignment horizontal="right" vertical="bottom"/>
    </xf>
    <xf borderId="31" fillId="17" fontId="99" numFmtId="1" xfId="0" applyAlignment="1" applyBorder="1" applyFont="1" applyNumberFormat="1">
      <alignment horizontal="right" vertical="bottom"/>
    </xf>
    <xf borderId="30" fillId="21" fontId="99" numFmtId="1" xfId="0" applyAlignment="1" applyBorder="1" applyFont="1" applyNumberFormat="1">
      <alignment horizontal="right" vertical="bottom"/>
    </xf>
    <xf borderId="30" fillId="11" fontId="99" numFmtId="1" xfId="0" applyAlignment="1" applyBorder="1" applyFont="1" applyNumberFormat="1">
      <alignment horizontal="right" vertical="bottom"/>
    </xf>
    <xf borderId="30" fillId="25" fontId="99" numFmtId="1" xfId="0" applyAlignment="1" applyBorder="1" applyFont="1" applyNumberFormat="1">
      <alignment horizontal="right" vertical="bottom"/>
    </xf>
    <xf borderId="0" fillId="65" fontId="11" numFmtId="0" xfId="0" applyAlignment="1" applyFont="1">
      <alignment horizontal="right" vertical="bottom"/>
    </xf>
    <xf borderId="30" fillId="17" fontId="34" numFmtId="1" xfId="0" applyAlignment="1" applyBorder="1" applyFont="1" applyNumberFormat="1">
      <alignment vertical="bottom"/>
    </xf>
    <xf borderId="30" fillId="21" fontId="34" numFmtId="1" xfId="0" applyAlignment="1" applyBorder="1" applyFont="1" applyNumberFormat="1">
      <alignment vertical="bottom"/>
    </xf>
    <xf borderId="30" fillId="11" fontId="34" numFmtId="1" xfId="0" applyAlignment="1" applyBorder="1" applyFont="1" applyNumberFormat="1">
      <alignment vertical="bottom"/>
    </xf>
    <xf borderId="30" fillId="25" fontId="34" numFmtId="1" xfId="0" applyAlignment="1" applyBorder="1" applyFont="1" applyNumberFormat="1">
      <alignment vertical="bottom"/>
    </xf>
    <xf borderId="30" fillId="17" fontId="100" numFmtId="3" xfId="0" applyAlignment="1" applyBorder="1" applyFont="1" applyNumberFormat="1">
      <alignment horizontal="right" vertical="bottom"/>
    </xf>
    <xf borderId="30" fillId="21" fontId="100" numFmtId="3" xfId="0" applyAlignment="1" applyBorder="1" applyFont="1" applyNumberFormat="1">
      <alignment horizontal="right" vertical="bottom"/>
    </xf>
    <xf borderId="30" fillId="11" fontId="100" numFmtId="3" xfId="0" applyAlignment="1" applyBorder="1" applyFont="1" applyNumberFormat="1">
      <alignment horizontal="right" vertical="bottom"/>
    </xf>
    <xf borderId="30" fillId="25" fontId="100" numFmtId="3" xfId="0" applyAlignment="1" applyBorder="1" applyFont="1" applyNumberFormat="1">
      <alignment horizontal="right" vertical="bottom"/>
    </xf>
    <xf borderId="26" fillId="65" fontId="58" numFmtId="0" xfId="0" applyAlignment="1" applyBorder="1" applyFont="1">
      <alignment horizontal="center" vertical="center"/>
    </xf>
    <xf borderId="28" fillId="65" fontId="11" numFmtId="0" xfId="0" applyAlignment="1" applyBorder="1" applyFont="1">
      <alignment vertical="bottom"/>
    </xf>
    <xf borderId="37" fillId="17" fontId="101" numFmtId="1" xfId="0" applyAlignment="1" applyBorder="1" applyFont="1" applyNumberFormat="1">
      <alignment horizontal="right" vertical="bottom"/>
    </xf>
    <xf borderId="37" fillId="21" fontId="101" numFmtId="0" xfId="0" applyAlignment="1" applyBorder="1" applyFont="1">
      <alignment horizontal="right" vertical="bottom"/>
    </xf>
    <xf borderId="37" fillId="11" fontId="101" numFmtId="0" xfId="0" applyAlignment="1" applyBorder="1" applyFont="1">
      <alignment horizontal="right" vertical="bottom"/>
    </xf>
    <xf borderId="37" fillId="25" fontId="101" numFmtId="0" xfId="0" applyAlignment="1" applyBorder="1" applyFont="1">
      <alignment horizontal="right" vertical="bottom"/>
    </xf>
    <xf borderId="36" fillId="65" fontId="11" numFmtId="0" xfId="0" applyAlignment="1" applyBorder="1" applyFont="1">
      <alignment vertical="bottom"/>
    </xf>
    <xf borderId="31" fillId="65" fontId="11" numFmtId="0" xfId="0" applyAlignment="1" applyBorder="1" applyFont="1">
      <alignment vertical="bottom"/>
    </xf>
    <xf borderId="36" fillId="65" fontId="11" numFmtId="0" xfId="0" applyAlignment="1" applyBorder="1" applyFont="1">
      <alignment vertical="bottom"/>
    </xf>
    <xf borderId="0" fillId="66" fontId="44" numFmtId="0" xfId="0" applyAlignment="1" applyFill="1" applyFont="1">
      <alignment horizontal="right" vertical="bottom"/>
    </xf>
    <xf borderId="0" fillId="66" fontId="8" numFmtId="188" xfId="0" applyAlignment="1" applyFont="1" applyNumberFormat="1">
      <alignment readingOrder="0" vertical="bottom"/>
    </xf>
    <xf borderId="0" fillId="2" fontId="34" numFmtId="188" xfId="0" applyAlignment="1" applyFont="1" applyNumberFormat="1">
      <alignment vertical="bottom"/>
    </xf>
    <xf borderId="85" fillId="65" fontId="58" numFmtId="0" xfId="0" applyAlignment="1" applyBorder="1" applyFont="1">
      <alignment horizontal="center" vertical="bottom"/>
    </xf>
    <xf borderId="28" fillId="65" fontId="11" numFmtId="0" xfId="0" applyAlignment="1" applyBorder="1" applyFont="1">
      <alignment vertical="bottom"/>
    </xf>
    <xf borderId="85" fillId="17" fontId="100" numFmtId="188" xfId="0" applyAlignment="1" applyBorder="1" applyFont="1" applyNumberFormat="1">
      <alignment horizontal="right" vertical="bottom"/>
    </xf>
    <xf borderId="27" fillId="21" fontId="11" numFmtId="188" xfId="0" applyAlignment="1" applyBorder="1" applyFont="1" applyNumberFormat="1">
      <alignment horizontal="right" vertical="bottom"/>
    </xf>
    <xf borderId="27" fillId="11" fontId="11" numFmtId="188" xfId="0" applyAlignment="1" applyBorder="1" applyFont="1" applyNumberFormat="1">
      <alignment horizontal="right" vertical="bottom"/>
    </xf>
    <xf borderId="27" fillId="25" fontId="11" numFmtId="188" xfId="0" applyAlignment="1" applyBorder="1" applyFont="1" applyNumberFormat="1">
      <alignment horizontal="right" vertical="bottom"/>
    </xf>
    <xf borderId="31" fillId="65" fontId="11" numFmtId="0" xfId="0" applyAlignment="1" applyBorder="1" applyFont="1">
      <alignment vertical="bottom"/>
    </xf>
    <xf borderId="0" fillId="17" fontId="101" numFmtId="193" xfId="0" applyAlignment="1" applyFont="1" applyNumberFormat="1">
      <alignment horizontal="center" vertical="bottom"/>
    </xf>
    <xf borderId="37" fillId="21" fontId="58" numFmtId="193" xfId="0" applyAlignment="1" applyBorder="1" applyFont="1" applyNumberFormat="1">
      <alignment horizontal="center" vertical="bottom"/>
    </xf>
    <xf borderId="37" fillId="11" fontId="58" numFmtId="193" xfId="0" applyAlignment="1" applyBorder="1" applyFont="1" applyNumberFormat="1">
      <alignment horizontal="center" vertical="bottom"/>
    </xf>
    <xf borderId="37" fillId="25" fontId="58" numFmtId="193" xfId="0" applyAlignment="1" applyBorder="1" applyFont="1" applyNumberFormat="1">
      <alignment horizontal="center" vertical="bottom"/>
    </xf>
    <xf borderId="0" fillId="5" fontId="34" numFmtId="0" xfId="0" applyAlignment="1" applyFont="1">
      <alignment vertical="bottom"/>
    </xf>
    <xf borderId="107" fillId="67" fontId="102" numFmtId="0" xfId="0" applyAlignment="1" applyBorder="1" applyFill="1" applyFont="1">
      <alignment horizontal="left" readingOrder="0" shrinkToFit="0" vertical="bottom" wrapText="1"/>
    </xf>
    <xf borderId="108" fillId="67" fontId="102" numFmtId="0" xfId="0" applyAlignment="1" applyBorder="1" applyFont="1">
      <alignment horizontal="left" readingOrder="0" shrinkToFit="0" vertical="bottom" wrapText="1"/>
    </xf>
    <xf borderId="108" fillId="67" fontId="102" numFmtId="188" xfId="0" applyAlignment="1" applyBorder="1" applyFont="1" applyNumberFormat="1">
      <alignment horizontal="left" readingOrder="0" shrinkToFit="0" vertical="bottom" wrapText="1"/>
    </xf>
    <xf borderId="108" fillId="67" fontId="102" numFmtId="49" xfId="0" applyAlignment="1" applyBorder="1" applyFont="1" applyNumberFormat="1">
      <alignment horizontal="left" readingOrder="0" shrinkToFit="0" vertical="bottom" wrapText="1"/>
    </xf>
    <xf borderId="109" fillId="67" fontId="102" numFmtId="194" xfId="0" applyAlignment="1" applyBorder="1" applyFont="1" applyNumberFormat="1">
      <alignment horizontal="left" readingOrder="0" shrinkToFit="0" vertical="bottom" wrapText="1"/>
    </xf>
    <xf borderId="110" fillId="28" fontId="100" numFmtId="0" xfId="0" applyAlignment="1" applyBorder="1" applyFont="1">
      <alignment horizontal="right" shrinkToFit="0" vertical="bottom" wrapText="0"/>
    </xf>
    <xf borderId="111" fillId="28" fontId="103" numFmtId="0" xfId="0" applyAlignment="1" applyBorder="1" applyFont="1">
      <alignment horizontal="right" shrinkToFit="0" vertical="bottom" wrapText="0"/>
    </xf>
    <xf borderId="111" fillId="28" fontId="104" numFmtId="0" xfId="0" applyAlignment="1" applyBorder="1" applyFont="1">
      <alignment horizontal="right" shrinkToFit="0" vertical="bottom" wrapText="0"/>
    </xf>
    <xf borderId="111" fillId="28" fontId="100" numFmtId="188" xfId="0" applyAlignment="1" applyBorder="1" applyFont="1" applyNumberFormat="1">
      <alignment horizontal="right" shrinkToFit="0" vertical="bottom" wrapText="0"/>
    </xf>
    <xf borderId="111" fillId="28" fontId="105" numFmtId="188" xfId="0" applyAlignment="1" applyBorder="1" applyFont="1" applyNumberFormat="1">
      <alignment horizontal="right" shrinkToFit="0" vertical="center" wrapText="0"/>
    </xf>
    <xf borderId="112" fillId="28" fontId="100" numFmtId="188" xfId="0" applyAlignment="1" applyBorder="1" applyFont="1" applyNumberFormat="1">
      <alignment horizontal="right" shrinkToFit="0" vertical="bottom" wrapText="0"/>
    </xf>
    <xf borderId="113" fillId="68" fontId="100" numFmtId="0" xfId="0" applyAlignment="1" applyBorder="1" applyFill="1" applyFont="1">
      <alignment horizontal="right" shrinkToFit="0" vertical="bottom" wrapText="0"/>
    </xf>
    <xf borderId="114" fillId="68" fontId="103" numFmtId="0" xfId="0" applyAlignment="1" applyBorder="1" applyFont="1">
      <alignment horizontal="right" shrinkToFit="0" vertical="bottom" wrapText="0"/>
    </xf>
    <xf borderId="114" fillId="68" fontId="104" numFmtId="0" xfId="0" applyAlignment="1" applyBorder="1" applyFont="1">
      <alignment horizontal="right" shrinkToFit="0" vertical="bottom" wrapText="0"/>
    </xf>
    <xf borderId="114" fillId="68" fontId="100" numFmtId="188" xfId="0" applyAlignment="1" applyBorder="1" applyFont="1" applyNumberFormat="1">
      <alignment horizontal="right" shrinkToFit="0" vertical="bottom" wrapText="0"/>
    </xf>
    <xf borderId="114" fillId="68" fontId="105" numFmtId="188" xfId="0" applyAlignment="1" applyBorder="1" applyFont="1" applyNumberFormat="1">
      <alignment horizontal="right" shrinkToFit="0" vertical="center" wrapText="0"/>
    </xf>
    <xf borderId="115" fillId="68" fontId="100" numFmtId="188" xfId="0" applyAlignment="1" applyBorder="1" applyFont="1" applyNumberFormat="1">
      <alignment horizontal="right" shrinkToFit="0" vertical="bottom" wrapText="0"/>
    </xf>
    <xf borderId="116" fillId="68" fontId="100" numFmtId="0" xfId="0" applyAlignment="1" applyBorder="1" applyFont="1">
      <alignment horizontal="right" shrinkToFit="0" vertical="bottom" wrapText="0"/>
    </xf>
    <xf borderId="117" fillId="68" fontId="103" numFmtId="0" xfId="0" applyAlignment="1" applyBorder="1" applyFont="1">
      <alignment horizontal="right" shrinkToFit="0" vertical="bottom" wrapText="0"/>
    </xf>
    <xf borderId="117" fillId="68" fontId="104" numFmtId="0" xfId="0" applyAlignment="1" applyBorder="1" applyFont="1">
      <alignment horizontal="right" shrinkToFit="0" vertical="bottom" wrapText="0"/>
    </xf>
    <xf borderId="117" fillId="68" fontId="100" numFmtId="188" xfId="0" applyAlignment="1" applyBorder="1" applyFont="1" applyNumberFormat="1">
      <alignment horizontal="right" shrinkToFit="0" vertical="bottom" wrapText="0"/>
    </xf>
    <xf borderId="117" fillId="68" fontId="105" numFmtId="188" xfId="0" applyAlignment="1" applyBorder="1" applyFont="1" applyNumberFormat="1">
      <alignment horizontal="right" shrinkToFit="0" vertical="center" wrapText="0"/>
    </xf>
    <xf borderId="118" fillId="68" fontId="100" numFmtId="188" xfId="0" applyAlignment="1" applyBorder="1" applyFont="1" applyNumberFormat="1">
      <alignment horizontal="right" shrinkToFit="0" vertical="bottom" wrapText="0"/>
    </xf>
    <xf borderId="0" fillId="0" fontId="34" numFmtId="188" xfId="0" applyAlignment="1" applyFont="1" applyNumberFormat="1">
      <alignment vertical="bottom"/>
    </xf>
    <xf borderId="0" fillId="0" fontId="34" numFmtId="194" xfId="0" applyAlignment="1" applyFont="1" applyNumberFormat="1">
      <alignment vertical="bottom"/>
    </xf>
    <xf borderId="0" fillId="29" fontId="60" numFmtId="0" xfId="0" applyFont="1"/>
    <xf borderId="0" fillId="29" fontId="106" numFmtId="0" xfId="0" applyAlignment="1" applyFont="1">
      <alignment vertical="bottom"/>
    </xf>
    <xf borderId="0" fillId="2" fontId="60" numFmtId="0" xfId="0" applyFont="1"/>
    <xf borderId="25" fillId="2" fontId="106" numFmtId="9" xfId="0" applyAlignment="1" applyBorder="1" applyFont="1" applyNumberFormat="1">
      <alignment vertical="bottom"/>
    </xf>
    <xf borderId="29" fillId="2" fontId="107" numFmtId="9" xfId="0" applyAlignment="1" applyBorder="1" applyFont="1" applyNumberFormat="1">
      <alignment horizontal="center" vertical="center"/>
    </xf>
    <xf borderId="29" fillId="0" fontId="7" numFmtId="0" xfId="0" applyBorder="1" applyFont="1"/>
    <xf borderId="119" fillId="2" fontId="108" numFmtId="0" xfId="0" applyAlignment="1" applyBorder="1" applyFont="1">
      <alignment readingOrder="0" shrinkToFit="0" vertical="center" wrapText="1"/>
    </xf>
    <xf borderId="0" fillId="2" fontId="106" numFmtId="9" xfId="0" applyAlignment="1" applyFont="1" applyNumberFormat="1">
      <alignment vertical="bottom"/>
    </xf>
    <xf borderId="0" fillId="21" fontId="28" numFmtId="1" xfId="0" applyAlignment="1" applyFont="1" applyNumberFormat="1">
      <alignment readingOrder="0" vertical="bottom"/>
    </xf>
    <xf borderId="28" fillId="2" fontId="109" numFmtId="0" xfId="0" applyAlignment="1" applyBorder="1" applyFont="1">
      <alignment horizontal="right" readingOrder="0" textRotation="90" vertical="top"/>
    </xf>
    <xf borderId="120" fillId="18" fontId="110" numFmtId="0" xfId="0" applyAlignment="1" applyBorder="1" applyFont="1">
      <alignment horizontal="center" readingOrder="0" vertical="bottom"/>
    </xf>
    <xf borderId="121" fillId="0" fontId="7" numFmtId="0" xfId="0" applyBorder="1" applyFont="1"/>
    <xf borderId="122" fillId="2" fontId="106" numFmtId="9" xfId="0" applyAlignment="1" applyBorder="1" applyFont="1" applyNumberFormat="1">
      <alignment vertical="bottom"/>
    </xf>
    <xf borderId="79" fillId="69" fontId="28" numFmtId="9" xfId="0" applyAlignment="1" applyBorder="1" applyFill="1" applyFont="1" applyNumberFormat="1">
      <alignment horizontal="center" vertical="bottom"/>
    </xf>
    <xf borderId="76" fillId="24" fontId="28" numFmtId="3" xfId="0" applyAlignment="1" applyBorder="1" applyFont="1" applyNumberFormat="1">
      <alignment horizontal="center" vertical="bottom"/>
    </xf>
    <xf borderId="0" fillId="2" fontId="111" numFmtId="0" xfId="0" applyAlignment="1" applyFont="1">
      <alignment readingOrder="0" textRotation="90" vertical="top"/>
    </xf>
    <xf borderId="123" fillId="70" fontId="28" numFmtId="0" xfId="0" applyAlignment="1" applyBorder="1" applyFill="1" applyFont="1">
      <alignment horizontal="center" vertical="bottom"/>
    </xf>
    <xf borderId="124" fillId="0" fontId="7" numFmtId="0" xfId="0" applyBorder="1" applyFont="1"/>
    <xf borderId="125" fillId="0" fontId="7" numFmtId="0" xfId="0" applyBorder="1" applyFont="1"/>
    <xf borderId="123" fillId="23" fontId="28" numFmtId="0" xfId="0" applyAlignment="1" applyBorder="1" applyFont="1">
      <alignment horizontal="center" vertical="bottom"/>
    </xf>
    <xf borderId="10" fillId="18" fontId="112" numFmtId="0" xfId="0" applyAlignment="1" applyBorder="1" applyFont="1">
      <alignment horizontal="center" readingOrder="0" shrinkToFit="0" wrapText="1"/>
    </xf>
    <xf borderId="0" fillId="25" fontId="28" numFmtId="0" xfId="0" applyAlignment="1" applyFont="1">
      <alignment readingOrder="0" vertical="bottom"/>
    </xf>
    <xf borderId="36" fillId="18" fontId="113" numFmtId="1" xfId="0" applyAlignment="1" applyBorder="1" applyFont="1" applyNumberFormat="1">
      <alignment horizontal="center" vertical="center"/>
    </xf>
    <xf borderId="27" fillId="18" fontId="113" numFmtId="1" xfId="0" applyAlignment="1" applyBorder="1" applyFont="1" applyNumberFormat="1">
      <alignment horizontal="center" vertical="center"/>
    </xf>
    <xf borderId="36" fillId="18" fontId="113" numFmtId="1" xfId="0" applyAlignment="1" applyBorder="1" applyFont="1" applyNumberFormat="1">
      <alignment horizontal="center" shrinkToFit="0" vertical="center" wrapText="1"/>
    </xf>
    <xf borderId="36" fillId="18" fontId="113" numFmtId="1" xfId="0" applyAlignment="1" applyBorder="1" applyFont="1" applyNumberFormat="1">
      <alignment horizontal="center" readingOrder="0" shrinkToFit="0" vertical="center" wrapText="1"/>
    </xf>
    <xf borderId="27" fillId="18" fontId="114" numFmtId="1" xfId="0" applyAlignment="1" applyBorder="1" applyFont="1" applyNumberFormat="1">
      <alignment horizontal="center" shrinkToFit="0" vertical="bottom" wrapText="1"/>
    </xf>
    <xf borderId="126" fillId="71" fontId="28" numFmtId="9" xfId="0" applyAlignment="1" applyBorder="1" applyFill="1" applyFont="1" applyNumberFormat="1">
      <alignment horizontal="center" vertical="bottom"/>
    </xf>
    <xf borderId="53" fillId="25" fontId="115" numFmtId="3" xfId="0" applyAlignment="1" applyBorder="1" applyFont="1" applyNumberFormat="1">
      <alignment readingOrder="0" vertical="bottom"/>
    </xf>
    <xf borderId="62" fillId="28" fontId="116" numFmtId="3" xfId="0" applyAlignment="1" applyBorder="1" applyFont="1" applyNumberFormat="1">
      <alignment horizontal="center" readingOrder="0" vertical="bottom"/>
    </xf>
    <xf borderId="127" fillId="72" fontId="114" numFmtId="0" xfId="0" applyAlignment="1" applyBorder="1" applyFill="1" applyFont="1">
      <alignment horizontal="center" vertical="bottom"/>
    </xf>
    <xf borderId="56" fillId="72" fontId="114" numFmtId="3" xfId="0" applyAlignment="1" applyBorder="1" applyFont="1" applyNumberFormat="1">
      <alignment horizontal="center" vertical="bottom"/>
    </xf>
    <xf borderId="128" fillId="72" fontId="114" numFmtId="0" xfId="0" applyAlignment="1" applyBorder="1" applyFont="1">
      <alignment horizontal="center" vertical="bottom"/>
    </xf>
    <xf borderId="127" fillId="73" fontId="114" numFmtId="0" xfId="0" applyAlignment="1" applyBorder="1" applyFill="1" applyFont="1">
      <alignment horizontal="center" vertical="bottom"/>
    </xf>
    <xf borderId="128" fillId="73" fontId="114" numFmtId="0" xfId="0" applyAlignment="1" applyBorder="1" applyFont="1">
      <alignment horizontal="center" vertical="bottom"/>
    </xf>
    <xf borderId="2" fillId="18" fontId="117" numFmtId="0" xfId="0" applyAlignment="1" applyBorder="1" applyFont="1">
      <alignment horizontal="center" readingOrder="0" shrinkToFit="0" wrapText="0"/>
    </xf>
    <xf borderId="89" fillId="18" fontId="117" numFmtId="0" xfId="0" applyAlignment="1" applyBorder="1" applyFont="1">
      <alignment horizontal="center" readingOrder="0" shrinkToFit="0" wrapText="0"/>
    </xf>
    <xf borderId="2" fillId="18" fontId="113" numFmtId="0" xfId="0" applyAlignment="1" applyBorder="1" applyFont="1">
      <alignment horizontal="center" readingOrder="0" shrinkToFit="0" wrapText="0"/>
    </xf>
    <xf borderId="0" fillId="17" fontId="28" numFmtId="0" xfId="0" applyAlignment="1" applyFont="1">
      <alignment readingOrder="0" vertical="bottom"/>
    </xf>
    <xf borderId="29" fillId="2" fontId="107" numFmtId="9" xfId="0" applyAlignment="1" applyBorder="1" applyFont="1" applyNumberFormat="1">
      <alignment horizontal="right" vertical="bottom"/>
    </xf>
    <xf borderId="30" fillId="0" fontId="114" numFmtId="172" xfId="0" applyAlignment="1" applyBorder="1" applyFont="1" applyNumberFormat="1">
      <alignment horizontal="center" readingOrder="0" shrinkToFit="0" vertical="bottom" wrapText="1"/>
    </xf>
    <xf borderId="79" fillId="69" fontId="28" numFmtId="0" xfId="0" applyAlignment="1" applyBorder="1" applyFont="1">
      <alignment horizontal="center" readingOrder="0" vertical="bottom"/>
    </xf>
    <xf borderId="48" fillId="25" fontId="115" numFmtId="3" xfId="0" applyAlignment="1" applyBorder="1" applyFont="1" applyNumberFormat="1">
      <alignment vertical="bottom"/>
    </xf>
    <xf borderId="62" fillId="28" fontId="118" numFmtId="3" xfId="0" applyAlignment="1" applyBorder="1" applyFont="1" applyNumberFormat="1">
      <alignment horizontal="center" readingOrder="0"/>
    </xf>
    <xf borderId="129" fillId="8" fontId="115" numFmtId="9" xfId="0" applyAlignment="1" applyBorder="1" applyFont="1" applyNumberFormat="1">
      <alignment vertical="bottom"/>
    </xf>
    <xf borderId="130" fillId="28" fontId="115" numFmtId="3" xfId="0" applyAlignment="1" applyBorder="1" applyFont="1" applyNumberFormat="1">
      <alignment horizontal="center" readingOrder="0" vertical="bottom"/>
    </xf>
    <xf borderId="2" fillId="11" fontId="115" numFmtId="3" xfId="0" applyAlignment="1" applyBorder="1" applyFont="1" applyNumberFormat="1">
      <alignment vertical="bottom"/>
    </xf>
    <xf borderId="2" fillId="11" fontId="114" numFmtId="3" xfId="0" applyAlignment="1" applyBorder="1" applyFont="1" applyNumberFormat="1">
      <alignment horizontal="center" readingOrder="0" vertical="bottom"/>
    </xf>
    <xf borderId="94" fillId="11" fontId="114" numFmtId="10" xfId="0" applyAlignment="1" applyBorder="1" applyFont="1" applyNumberFormat="1">
      <alignment horizontal="center" vertical="bottom"/>
    </xf>
    <xf borderId="130" fillId="28" fontId="115" numFmtId="3" xfId="0" applyAlignment="1" applyBorder="1" applyFont="1" applyNumberFormat="1">
      <alignment horizontal="center" vertical="bottom"/>
    </xf>
    <xf borderId="37" fillId="15" fontId="106" numFmtId="3" xfId="0" applyAlignment="1" applyBorder="1" applyFont="1" applyNumberFormat="1">
      <alignment horizontal="center" vertical="bottom"/>
    </xf>
    <xf borderId="0" fillId="8" fontId="106" numFmtId="3" xfId="0" applyAlignment="1" applyFont="1" applyNumberFormat="1">
      <alignment horizontal="center" vertical="bottom"/>
    </xf>
    <xf borderId="37" fillId="74" fontId="106" numFmtId="3" xfId="0" applyAlignment="1" applyBorder="1" applyFill="1" applyFont="1" applyNumberFormat="1">
      <alignment horizontal="center" vertical="bottom"/>
    </xf>
    <xf borderId="37" fillId="15" fontId="106" numFmtId="9" xfId="0" applyAlignment="1" applyBorder="1" applyFont="1" applyNumberFormat="1">
      <alignment horizontal="center" vertical="bottom"/>
    </xf>
    <xf borderId="37" fillId="19" fontId="106" numFmtId="3" xfId="0" applyAlignment="1" applyBorder="1" applyFont="1" applyNumberFormat="1">
      <alignment horizontal="center" vertical="bottom"/>
    </xf>
    <xf borderId="37" fillId="8" fontId="106" numFmtId="3" xfId="0" applyAlignment="1" applyBorder="1" applyFont="1" applyNumberFormat="1">
      <alignment horizontal="center" vertical="bottom"/>
    </xf>
    <xf borderId="37" fillId="15" fontId="106" numFmtId="195" xfId="0" applyAlignment="1" applyBorder="1" applyFont="1" applyNumberFormat="1">
      <alignment horizontal="center" vertical="bottom"/>
    </xf>
    <xf borderId="37" fillId="8" fontId="106" numFmtId="195" xfId="0" applyAlignment="1" applyBorder="1" applyFont="1" applyNumberFormat="1">
      <alignment horizontal="center" vertical="bottom"/>
    </xf>
    <xf borderId="37" fillId="74" fontId="106" numFmtId="195" xfId="0" applyAlignment="1" applyBorder="1" applyFont="1" applyNumberFormat="1">
      <alignment horizontal="center" vertical="bottom"/>
    </xf>
    <xf borderId="0" fillId="15" fontId="106" numFmtId="3" xfId="0" applyAlignment="1" applyFont="1" applyNumberFormat="1">
      <alignment horizontal="center" vertical="bottom"/>
    </xf>
    <xf borderId="0" fillId="74" fontId="106" numFmtId="3" xfId="0" applyAlignment="1" applyFont="1" applyNumberFormat="1">
      <alignment horizontal="center" vertical="bottom"/>
    </xf>
    <xf borderId="0" fillId="74" fontId="28" numFmtId="0" xfId="0" applyAlignment="1" applyFont="1">
      <alignment readingOrder="0" vertical="bottom"/>
    </xf>
    <xf borderId="29" fillId="2" fontId="106" numFmtId="46" xfId="0" applyAlignment="1" applyBorder="1" applyFont="1" applyNumberFormat="1">
      <alignment horizontal="right" vertical="bottom"/>
    </xf>
    <xf borderId="27" fillId="75" fontId="63" numFmtId="1" xfId="0" applyAlignment="1" applyBorder="1" applyFill="1" applyFont="1" applyNumberFormat="1">
      <alignment vertical="bottom"/>
    </xf>
    <xf borderId="27" fillId="21" fontId="63" numFmtId="196" xfId="0" applyAlignment="1" applyBorder="1" applyFont="1" applyNumberFormat="1">
      <alignment horizontal="center" vertical="bottom"/>
    </xf>
    <xf borderId="2" fillId="21" fontId="63" numFmtId="49" xfId="0" applyAlignment="1" applyBorder="1" applyFont="1" applyNumberFormat="1">
      <alignment horizontal="center" vertical="bottom"/>
    </xf>
    <xf borderId="27" fillId="75" fontId="63" numFmtId="197" xfId="0" applyAlignment="1" applyBorder="1" applyFont="1" applyNumberFormat="1">
      <alignment horizontal="center" vertical="bottom"/>
    </xf>
    <xf borderId="27" fillId="21" fontId="63" numFmtId="198" xfId="0" applyAlignment="1" applyBorder="1" applyFont="1" applyNumberFormat="1">
      <alignment horizontal="right" vertical="bottom"/>
    </xf>
    <xf borderId="33" fillId="2" fontId="119" numFmtId="9" xfId="0" applyAlignment="1" applyBorder="1" applyFont="1" applyNumberFormat="1">
      <alignment vertical="bottom"/>
    </xf>
    <xf borderId="106" fillId="71" fontId="28" numFmtId="3" xfId="0" applyAlignment="1" applyBorder="1" applyFont="1" applyNumberFormat="1">
      <alignment horizontal="center" vertical="bottom"/>
    </xf>
    <xf borderId="95" fillId="25" fontId="115" numFmtId="3" xfId="0" applyAlignment="1" applyBorder="1" applyFont="1" applyNumberFormat="1">
      <alignment vertical="bottom"/>
    </xf>
    <xf borderId="131" fillId="28" fontId="120" numFmtId="3" xfId="0" applyAlignment="1" applyBorder="1" applyFont="1" applyNumberFormat="1">
      <alignment horizontal="center" readingOrder="0"/>
    </xf>
    <xf borderId="132" fillId="8" fontId="115" numFmtId="9" xfId="0" applyAlignment="1" applyBorder="1" applyFont="1" applyNumberFormat="1">
      <alignment vertical="bottom"/>
    </xf>
    <xf borderId="127" fillId="28" fontId="115" numFmtId="3" xfId="0" applyAlignment="1" applyBorder="1" applyFont="1" applyNumberFormat="1">
      <alignment horizontal="center" readingOrder="0" vertical="bottom"/>
    </xf>
    <xf borderId="56" fillId="11" fontId="114" numFmtId="3" xfId="0" applyAlignment="1" applyBorder="1" applyFont="1" applyNumberFormat="1">
      <alignment horizontal="center" vertical="bottom"/>
    </xf>
    <xf borderId="56" fillId="11" fontId="114" numFmtId="3" xfId="0" applyAlignment="1" applyBorder="1" applyFont="1" applyNumberFormat="1">
      <alignment horizontal="center" readingOrder="0" vertical="bottom"/>
    </xf>
    <xf borderId="128" fillId="11" fontId="114" numFmtId="49" xfId="0" applyAlignment="1" applyBorder="1" applyFont="1" applyNumberFormat="1">
      <alignment horizontal="center" vertical="bottom"/>
    </xf>
    <xf borderId="95" fillId="11" fontId="114" numFmtId="3" xfId="0" applyAlignment="1" applyBorder="1" applyFont="1" applyNumberFormat="1">
      <alignment horizontal="center" vertical="bottom"/>
    </xf>
    <xf borderId="57" fillId="0" fontId="7" numFmtId="0" xfId="0" applyBorder="1" applyFont="1"/>
    <xf borderId="127" fillId="75" fontId="28" numFmtId="0" xfId="0" applyAlignment="1" applyBorder="1" applyFont="1">
      <alignment vertical="bottom"/>
    </xf>
    <xf borderId="25" fillId="2" fontId="119" numFmtId="9" xfId="0" applyAlignment="1" applyBorder="1" applyFont="1" applyNumberFormat="1">
      <alignment vertical="bottom"/>
    </xf>
    <xf borderId="48" fillId="15" fontId="115" numFmtId="0" xfId="0" applyAlignment="1" applyBorder="1" applyFont="1">
      <alignment readingOrder="0" vertical="bottom"/>
    </xf>
    <xf borderId="130" fillId="0" fontId="115" numFmtId="3" xfId="0" applyAlignment="1" applyBorder="1" applyFont="1" applyNumberFormat="1">
      <alignment horizontal="center" readingOrder="0" vertical="bottom"/>
    </xf>
    <xf borderId="2" fillId="14" fontId="8" numFmtId="3" xfId="0" applyAlignment="1" applyBorder="1" applyFont="1" applyNumberFormat="1">
      <alignment vertical="bottom"/>
    </xf>
    <xf borderId="2" fillId="14" fontId="114" numFmtId="3" xfId="0" applyAlignment="1" applyBorder="1" applyFont="1" applyNumberFormat="1">
      <alignment horizontal="center" readingOrder="0" vertical="bottom"/>
    </xf>
    <xf borderId="94" fillId="14" fontId="114" numFmtId="9" xfId="0" applyAlignment="1" applyBorder="1" applyFont="1" applyNumberFormat="1">
      <alignment horizontal="center" vertical="bottom"/>
    </xf>
    <xf borderId="0" fillId="19" fontId="28" numFmtId="0" xfId="0" applyAlignment="1" applyFont="1">
      <alignment readingOrder="0" vertical="bottom"/>
    </xf>
    <xf borderId="40" fillId="76" fontId="28" numFmtId="0" xfId="0" applyAlignment="1" applyBorder="1" applyFill="1" applyFont="1">
      <alignment horizontal="center" readingOrder="0" vertical="bottom"/>
    </xf>
    <xf borderId="61" fillId="0" fontId="7" numFmtId="0" xfId="0" applyBorder="1" applyFont="1"/>
    <xf borderId="133" fillId="77" fontId="121" numFmtId="9" xfId="0" applyAlignment="1" applyBorder="1" applyFill="1" applyFont="1" applyNumberFormat="1">
      <alignment horizontal="center"/>
    </xf>
    <xf borderId="94" fillId="14" fontId="114" numFmtId="3" xfId="0" applyAlignment="1" applyBorder="1" applyFont="1" applyNumberFormat="1">
      <alignment horizontal="center" vertical="bottom"/>
    </xf>
    <xf borderId="134" fillId="76" fontId="122" numFmtId="0" xfId="0" applyAlignment="1" applyBorder="1" applyFont="1">
      <alignment horizontal="right" readingOrder="0" vertical="bottom"/>
    </xf>
    <xf borderId="135" fillId="0" fontId="7" numFmtId="0" xfId="0" applyBorder="1" applyFont="1"/>
    <xf borderId="136" fillId="76" fontId="123" numFmtId="199" xfId="0" applyAlignment="1" applyBorder="1" applyFont="1" applyNumberFormat="1">
      <alignment horizontal="center" readingOrder="0" vertical="bottom"/>
    </xf>
    <xf borderId="62" fillId="0" fontId="7" numFmtId="0" xfId="0" applyBorder="1" applyFont="1"/>
    <xf borderId="137" fillId="78" fontId="115" numFmtId="0" xfId="0" applyAlignment="1" applyBorder="1" applyFill="1" applyFont="1">
      <alignment readingOrder="0" vertical="bottom"/>
    </xf>
    <xf borderId="138" fillId="0" fontId="115" numFmtId="9" xfId="0" applyAlignment="1" applyBorder="1" applyFont="1" applyNumberFormat="1">
      <alignment horizontal="center" vertical="bottom"/>
    </xf>
    <xf borderId="138" fillId="79" fontId="114" numFmtId="9" xfId="0" applyAlignment="1" applyBorder="1" applyFill="1" applyFont="1" applyNumberFormat="1">
      <alignment horizontal="center" vertical="bottom"/>
    </xf>
    <xf borderId="138" fillId="79" fontId="106" numFmtId="200" xfId="0" applyAlignment="1" applyBorder="1" applyFont="1" applyNumberFormat="1">
      <alignment vertical="bottom"/>
    </xf>
    <xf borderId="139" fillId="77" fontId="124" numFmtId="9" xfId="0" applyAlignment="1" applyBorder="1" applyFont="1" applyNumberFormat="1">
      <alignment horizontal="center"/>
    </xf>
    <xf borderId="95" fillId="15" fontId="115" numFmtId="0" xfId="0" applyAlignment="1" applyBorder="1" applyFont="1">
      <alignment readingOrder="0" vertical="bottom"/>
    </xf>
    <xf borderId="127" fillId="0" fontId="115" numFmtId="3" xfId="0" applyAlignment="1" applyBorder="1" applyFont="1" applyNumberFormat="1">
      <alignment horizontal="center" readingOrder="0" vertical="bottom"/>
    </xf>
    <xf borderId="56" fillId="14" fontId="8" numFmtId="3" xfId="0" applyAlignment="1" applyBorder="1" applyFont="1" applyNumberFormat="1">
      <alignment vertical="bottom"/>
    </xf>
    <xf borderId="56" fillId="14" fontId="114" numFmtId="3" xfId="0" applyAlignment="1" applyBorder="1" applyFont="1" applyNumberFormat="1">
      <alignment horizontal="center" readingOrder="0" vertical="bottom"/>
    </xf>
    <xf borderId="128" fillId="14" fontId="114" numFmtId="9" xfId="0" applyAlignment="1" applyBorder="1" applyFont="1" applyNumberFormat="1">
      <alignment horizontal="center" vertical="bottom"/>
    </xf>
    <xf borderId="140" fillId="78" fontId="115" numFmtId="0" xfId="0" applyAlignment="1" applyBorder="1" applyFont="1">
      <alignment readingOrder="0" vertical="bottom"/>
    </xf>
    <xf borderId="141" fillId="0" fontId="115" numFmtId="9" xfId="0" applyAlignment="1" applyBorder="1" applyFont="1" applyNumberFormat="1">
      <alignment horizontal="center" vertical="bottom"/>
    </xf>
    <xf borderId="141" fillId="79" fontId="114" numFmtId="164" xfId="0" applyAlignment="1" applyBorder="1" applyFont="1" applyNumberFormat="1">
      <alignment horizontal="center" vertical="bottom"/>
    </xf>
    <xf borderId="141" fillId="79" fontId="63" numFmtId="201" xfId="0" applyAlignment="1" applyBorder="1" applyFont="1" applyNumberFormat="1">
      <alignment vertical="bottom"/>
    </xf>
    <xf borderId="142" fillId="77" fontId="124" numFmtId="9" xfId="0" applyAlignment="1" applyBorder="1" applyFont="1" applyNumberFormat="1">
      <alignment horizontal="center"/>
    </xf>
    <xf borderId="143" fillId="74" fontId="115" numFmtId="49" xfId="0" applyAlignment="1" applyBorder="1" applyFont="1" applyNumberFormat="1">
      <alignment readingOrder="0" vertical="bottom"/>
    </xf>
    <xf borderId="46" fillId="28" fontId="115" numFmtId="1" xfId="0" applyAlignment="1" applyBorder="1" applyFont="1" applyNumberFormat="1">
      <alignment horizontal="center" readingOrder="0" vertical="bottom"/>
    </xf>
    <xf borderId="45" fillId="4" fontId="8" numFmtId="1" xfId="0" applyAlignment="1" applyBorder="1" applyFont="1" applyNumberFormat="1">
      <alignment vertical="bottom"/>
    </xf>
    <xf borderId="45" fillId="4" fontId="115" numFmtId="1" xfId="0" applyAlignment="1" applyBorder="1" applyFont="1" applyNumberFormat="1">
      <alignment horizontal="center" vertical="bottom"/>
    </xf>
    <xf borderId="125" fillId="4" fontId="115" numFmtId="164" xfId="0" applyAlignment="1" applyBorder="1" applyFont="1" applyNumberFormat="1">
      <alignment horizontal="center" vertical="bottom"/>
    </xf>
    <xf borderId="76" fillId="3" fontId="28" numFmtId="0" xfId="0" applyAlignment="1" applyBorder="1" applyFont="1">
      <alignment horizontal="center" readingOrder="0" vertical="bottom"/>
    </xf>
    <xf borderId="77" fillId="0" fontId="7" numFmtId="0" xfId="0" applyBorder="1" applyFont="1"/>
    <xf borderId="78" fillId="0" fontId="125" numFmtId="188" xfId="0" applyAlignment="1" applyBorder="1" applyFont="1" applyNumberFormat="1">
      <alignment horizontal="center" vertical="bottom"/>
    </xf>
    <xf borderId="0" fillId="2" fontId="107" numFmtId="9" xfId="0" applyAlignment="1" applyFont="1" applyNumberFormat="1">
      <alignment vertical="bottom"/>
    </xf>
    <xf borderId="144" fillId="0" fontId="125" numFmtId="188" xfId="0" applyAlignment="1" applyBorder="1" applyFont="1" applyNumberFormat="1">
      <alignment horizontal="center" vertical="bottom"/>
    </xf>
    <xf borderId="83" fillId="0" fontId="7" numFmtId="0" xfId="0" applyBorder="1" applyFont="1"/>
    <xf borderId="145" fillId="2" fontId="106" numFmtId="9" xfId="0" applyAlignment="1" applyBorder="1" applyFont="1" applyNumberFormat="1">
      <alignment vertical="bottom"/>
    </xf>
    <xf borderId="146" fillId="27" fontId="115" numFmtId="0" xfId="0" applyAlignment="1" applyBorder="1" applyFont="1">
      <alignment vertical="bottom"/>
    </xf>
    <xf borderId="147" fillId="27" fontId="126" numFmtId="0" xfId="0" applyAlignment="1" applyBorder="1" applyFont="1">
      <alignment horizontal="center" readingOrder="0" vertical="bottom"/>
    </xf>
    <xf borderId="94" fillId="0" fontId="115" numFmtId="9" xfId="0" applyAlignment="1" applyBorder="1" applyFont="1" applyNumberFormat="1">
      <alignment horizontal="center" vertical="bottom"/>
    </xf>
    <xf borderId="129" fillId="0" fontId="115" numFmtId="9" xfId="0" applyAlignment="1" applyBorder="1" applyFont="1" applyNumberFormat="1">
      <alignment horizontal="center" vertical="bottom"/>
    </xf>
    <xf borderId="88" fillId="27" fontId="126" numFmtId="0" xfId="0" applyAlignment="1" applyBorder="1" applyFont="1">
      <alignment horizontal="center" readingOrder="0" vertical="bottom"/>
    </xf>
    <xf borderId="62" fillId="0" fontId="115" numFmtId="10" xfId="0" applyAlignment="1" applyBorder="1" applyFont="1" applyNumberFormat="1">
      <alignment horizontal="center"/>
    </xf>
    <xf borderId="25" fillId="2" fontId="107" numFmtId="9" xfId="0" applyAlignment="1" applyBorder="1" applyFont="1" applyNumberFormat="1">
      <alignment vertical="bottom"/>
    </xf>
    <xf borderId="25" fillId="2" fontId="127" numFmtId="9" xfId="0" applyAlignment="1" applyBorder="1" applyFont="1" applyNumberFormat="1">
      <alignment vertical="bottom"/>
    </xf>
    <xf borderId="148" fillId="2" fontId="128" numFmtId="0" xfId="0" applyAlignment="1" applyBorder="1" applyFont="1">
      <alignment horizontal="center" readingOrder="0" vertical="center"/>
    </xf>
    <xf borderId="149" fillId="0" fontId="7" numFmtId="0" xfId="0" applyBorder="1" applyFont="1"/>
    <xf borderId="150" fillId="2" fontId="129" numFmtId="0" xfId="0" applyAlignment="1" applyBorder="1" applyFont="1">
      <alignment horizontal="left" readingOrder="0" vertical="center"/>
    </xf>
    <xf borderId="151" fillId="2" fontId="130" numFmtId="0" xfId="0" applyAlignment="1" applyBorder="1" applyFont="1">
      <alignment horizontal="right" shrinkToFit="0" vertical="top" wrapText="1"/>
    </xf>
    <xf borderId="152" fillId="2" fontId="1" numFmtId="0" xfId="0" applyAlignment="1" applyBorder="1" applyFont="1">
      <alignment horizontal="right" readingOrder="0" vertical="bottom"/>
    </xf>
    <xf borderId="152" fillId="0" fontId="7" numFmtId="0" xfId="0" applyBorder="1" applyFont="1"/>
    <xf borderId="153" fillId="0" fontId="7" numFmtId="0" xfId="0" applyBorder="1" applyFont="1"/>
    <xf borderId="154" fillId="80" fontId="131" numFmtId="0" xfId="0" applyAlignment="1" applyBorder="1" applyFill="1" applyFont="1">
      <alignment horizontal="center" readingOrder="0" vertical="center"/>
    </xf>
    <xf borderId="155" fillId="0" fontId="7" numFmtId="0" xfId="0" applyBorder="1" applyFont="1"/>
    <xf borderId="156" fillId="0" fontId="7" numFmtId="0" xfId="0" applyBorder="1" applyFont="1"/>
    <xf borderId="157" fillId="80" fontId="132" numFmtId="0" xfId="0" applyAlignment="1" applyBorder="1" applyFont="1">
      <alignment horizontal="left"/>
    </xf>
    <xf borderId="158" fillId="80" fontId="14" numFmtId="0" xfId="0" applyAlignment="1" applyBorder="1" applyFont="1">
      <alignment horizontal="left" readingOrder="0"/>
    </xf>
    <xf borderId="158" fillId="80" fontId="14" numFmtId="0" xfId="0" applyAlignment="1" applyBorder="1" applyFont="1">
      <alignment horizontal="center" readingOrder="0"/>
    </xf>
    <xf borderId="159" fillId="80" fontId="133" numFmtId="3" xfId="0" applyAlignment="1" applyBorder="1" applyFont="1" applyNumberFormat="1">
      <alignment horizontal="center" readingOrder="0" vertical="center"/>
    </xf>
    <xf borderId="159" fillId="80" fontId="134" numFmtId="9" xfId="0" applyAlignment="1" applyBorder="1" applyFont="1" applyNumberFormat="1">
      <alignment horizontal="center" vertical="center"/>
    </xf>
    <xf borderId="160" fillId="80" fontId="135" numFmtId="9" xfId="0" applyAlignment="1" applyBorder="1" applyFont="1" applyNumberFormat="1">
      <alignment horizontal="center" vertical="center"/>
    </xf>
    <xf borderId="161" fillId="80" fontId="136" numFmtId="9" xfId="0" applyAlignment="1" applyBorder="1" applyFont="1" applyNumberFormat="1">
      <alignment horizontal="center" vertical="center"/>
    </xf>
    <xf borderId="162" fillId="80" fontId="14" numFmtId="0" xfId="0" applyAlignment="1" applyBorder="1" applyFont="1">
      <alignment horizontal="left" readingOrder="0" vertical="center"/>
    </xf>
    <xf borderId="163" fillId="80" fontId="137" numFmtId="0" xfId="0" applyAlignment="1" applyBorder="1" applyFont="1">
      <alignment horizontal="left" readingOrder="0" shrinkToFit="0" vertical="center" wrapText="1"/>
    </xf>
    <xf borderId="159" fillId="80" fontId="138" numFmtId="9" xfId="0" applyAlignment="1" applyBorder="1" applyFont="1" applyNumberFormat="1">
      <alignment horizontal="center" vertical="center"/>
    </xf>
    <xf borderId="159" fillId="80" fontId="139" numFmtId="3" xfId="0" applyAlignment="1" applyBorder="1" applyFont="1" applyNumberFormat="1">
      <alignment horizontal="center" readingOrder="0" vertical="center"/>
    </xf>
    <xf borderId="160" fillId="80" fontId="140" numFmtId="3" xfId="0" applyAlignment="1" applyBorder="1" applyFont="1" applyNumberFormat="1">
      <alignment horizontal="center" readingOrder="0" vertical="center"/>
    </xf>
    <xf borderId="161" fillId="80" fontId="141" numFmtId="3" xfId="0" applyAlignment="1" applyBorder="1" applyFont="1" applyNumberFormat="1">
      <alignment horizontal="center" readingOrder="0" vertical="center"/>
    </xf>
    <xf borderId="157" fillId="80" fontId="14" numFmtId="0" xfId="0" applyAlignment="1" applyBorder="1" applyFont="1">
      <alignment horizontal="left" readingOrder="0" vertical="center"/>
    </xf>
    <xf borderId="158" fillId="80" fontId="137" numFmtId="0" xfId="0" applyAlignment="1" applyBorder="1" applyFont="1">
      <alignment horizontal="left" readingOrder="0" shrinkToFit="0" vertical="center" wrapText="1"/>
    </xf>
    <xf borderId="164" fillId="80" fontId="14" numFmtId="0" xfId="0" applyAlignment="1" applyBorder="1" applyFont="1">
      <alignment horizontal="left" readingOrder="0" vertical="center"/>
    </xf>
    <xf borderId="165" fillId="80" fontId="137" numFmtId="0" xfId="0" applyAlignment="1" applyBorder="1" applyFont="1">
      <alignment horizontal="left" readingOrder="0" shrinkToFit="0" vertical="center" wrapText="1"/>
    </xf>
    <xf borderId="159" fillId="80" fontId="133" numFmtId="9" xfId="0" applyAlignment="1" applyBorder="1" applyFont="1" applyNumberFormat="1">
      <alignment horizontal="center" readingOrder="0" vertical="center"/>
    </xf>
    <xf borderId="159" fillId="80" fontId="139" numFmtId="9" xfId="0" applyAlignment="1" applyBorder="1" applyFont="1" applyNumberFormat="1">
      <alignment horizontal="center" readingOrder="0" vertical="center"/>
    </xf>
    <xf borderId="160" fillId="80" fontId="140" numFmtId="9" xfId="0" applyAlignment="1" applyBorder="1" applyFont="1" applyNumberFormat="1">
      <alignment horizontal="center" readingOrder="0" vertical="center"/>
    </xf>
    <xf borderId="161" fillId="80" fontId="141" numFmtId="9" xfId="0" applyAlignment="1" applyBorder="1" applyFont="1" applyNumberFormat="1">
      <alignment horizontal="center" readingOrder="0" vertical="center"/>
    </xf>
    <xf borderId="159" fillId="80" fontId="133" numFmtId="164" xfId="0" applyAlignment="1" applyBorder="1" applyFont="1" applyNumberFormat="1">
      <alignment horizontal="center" readingOrder="0" vertical="center"/>
    </xf>
    <xf borderId="159" fillId="80" fontId="139" numFmtId="164" xfId="0" applyAlignment="1" applyBorder="1" applyFont="1" applyNumberFormat="1">
      <alignment horizontal="center" readingOrder="0" vertical="center"/>
    </xf>
    <xf borderId="160" fillId="80" fontId="140" numFmtId="164" xfId="0" applyAlignment="1" applyBorder="1" applyFont="1" applyNumberFormat="1">
      <alignment horizontal="center" readingOrder="0" vertical="center"/>
    </xf>
    <xf borderId="161" fillId="80" fontId="141" numFmtId="164" xfId="0" applyAlignment="1" applyBorder="1" applyFont="1" applyNumberFormat="1">
      <alignment horizontal="center" readingOrder="0" vertical="center"/>
    </xf>
    <xf borderId="166" fillId="80" fontId="14" numFmtId="0" xfId="0" applyAlignment="1" applyBorder="1" applyFont="1">
      <alignment vertical="center"/>
    </xf>
    <xf borderId="153" fillId="80" fontId="34" numFmtId="0" xfId="0" applyBorder="1" applyFont="1"/>
    <xf borderId="167" fillId="80" fontId="137" numFmtId="0" xfId="0" applyAlignment="1" applyBorder="1" applyFont="1">
      <alignment shrinkToFit="0" vertical="center" wrapText="1"/>
    </xf>
    <xf borderId="167" fillId="80" fontId="133" numFmtId="9" xfId="0" applyAlignment="1" applyBorder="1" applyFont="1" applyNumberFormat="1">
      <alignment horizontal="center" vertical="center"/>
    </xf>
    <xf borderId="167" fillId="80" fontId="139" numFmtId="9" xfId="0" applyAlignment="1" applyBorder="1" applyFont="1" applyNumberFormat="1">
      <alignment horizontal="center" vertical="center"/>
    </xf>
    <xf borderId="168" fillId="80" fontId="140" numFmtId="9" xfId="0" applyAlignment="1" applyBorder="1" applyFont="1" applyNumberFormat="1">
      <alignment horizontal="center" vertical="center"/>
    </xf>
    <xf borderId="169" fillId="80" fontId="141" numFmtId="9" xfId="0" applyAlignment="1" applyBorder="1" applyFont="1" applyNumberFormat="1">
      <alignment horizontal="center" vertical="center"/>
    </xf>
    <xf borderId="166" fillId="80" fontId="14" numFmtId="0" xfId="0" applyAlignment="1" applyBorder="1" applyFont="1">
      <alignment readingOrder="0" vertical="center"/>
    </xf>
    <xf borderId="153" fillId="80" fontId="34" numFmtId="0" xfId="0" applyBorder="1" applyFont="1"/>
    <xf borderId="167" fillId="80" fontId="137" numFmtId="0" xfId="0" applyAlignment="1" applyBorder="1" applyFont="1">
      <alignment readingOrder="0" shrinkToFit="0" vertical="center" wrapText="1"/>
    </xf>
    <xf borderId="167" fillId="80" fontId="133" numFmtId="0" xfId="0" applyAlignment="1" applyBorder="1" applyFont="1">
      <alignment horizontal="center" readingOrder="0" vertical="center"/>
    </xf>
    <xf borderId="167" fillId="80" fontId="139" numFmtId="0" xfId="0" applyAlignment="1" applyBorder="1" applyFont="1">
      <alignment horizontal="center" readingOrder="0" vertical="center"/>
    </xf>
    <xf borderId="168" fillId="80" fontId="140" numFmtId="0" xfId="0" applyAlignment="1" applyBorder="1" applyFont="1">
      <alignment horizontal="center" readingOrder="0" vertical="center"/>
    </xf>
    <xf borderId="169" fillId="80" fontId="141" numFmtId="0" xfId="0" applyAlignment="1" applyBorder="1" applyFont="1">
      <alignment horizontal="center" readingOrder="0" vertical="center"/>
    </xf>
    <xf borderId="165" fillId="80" fontId="142" numFmtId="0" xfId="0" applyAlignment="1" applyBorder="1" applyFont="1">
      <alignment horizontal="left" readingOrder="0" shrinkToFit="0" vertical="center" wrapText="1"/>
    </xf>
    <xf borderId="166" fillId="80" fontId="14" numFmtId="0" xfId="0" applyAlignment="1" applyBorder="1" applyFont="1">
      <alignment horizontal="left" readingOrder="0" vertical="center"/>
    </xf>
    <xf borderId="153" fillId="80" fontId="137" numFmtId="0" xfId="0" applyAlignment="1" applyBorder="1" applyFont="1">
      <alignment horizontal="left" readingOrder="0" shrinkToFit="0" vertical="center" wrapText="1"/>
    </xf>
    <xf borderId="167" fillId="80" fontId="142" numFmtId="0" xfId="0" applyAlignment="1" applyBorder="1" applyFont="1">
      <alignment horizontal="left" readingOrder="0" shrinkToFit="0" vertical="center" wrapText="1"/>
    </xf>
    <xf borderId="167" fillId="80" fontId="137" numFmtId="0" xfId="0" applyAlignment="1" applyBorder="1" applyFont="1">
      <alignment horizontal="left" readingOrder="0" shrinkToFit="0" vertical="center" wrapText="1"/>
    </xf>
    <xf borderId="167" fillId="80" fontId="133" numFmtId="9" xfId="0" applyAlignment="1" applyBorder="1" applyFont="1" applyNumberFormat="1">
      <alignment horizontal="center" readingOrder="0" vertical="center"/>
    </xf>
    <xf borderId="167" fillId="80" fontId="139" numFmtId="9" xfId="0" applyAlignment="1" applyBorder="1" applyFont="1" applyNumberFormat="1">
      <alignment horizontal="center" readingOrder="0" vertical="center"/>
    </xf>
    <xf borderId="168" fillId="80" fontId="140" numFmtId="9" xfId="0" applyAlignment="1" applyBorder="1" applyFont="1" applyNumberFormat="1">
      <alignment horizontal="center" readingOrder="0" vertical="center"/>
    </xf>
    <xf borderId="169" fillId="80" fontId="141" numFmtId="9" xfId="0" applyAlignment="1" applyBorder="1" applyFont="1" applyNumberFormat="1">
      <alignment horizontal="center" readingOrder="0" vertical="center"/>
    </xf>
    <xf borderId="170" fillId="80" fontId="143" numFmtId="0" xfId="0" applyAlignment="1" applyBorder="1" applyFont="1">
      <alignment horizontal="right" readingOrder="0" shrinkToFit="0" vertical="center" wrapText="1"/>
    </xf>
    <xf borderId="170" fillId="0" fontId="7" numFmtId="0" xfId="0" applyBorder="1" applyFont="1"/>
    <xf borderId="165" fillId="0" fontId="7" numFmtId="0" xfId="0" applyBorder="1" applyFont="1"/>
    <xf borderId="148" fillId="2" fontId="144" numFmtId="0" xfId="0" applyAlignment="1" applyBorder="1" applyFont="1">
      <alignment horizontal="left" readingOrder="0" vertical="center"/>
    </xf>
    <xf borderId="150" fillId="0" fontId="7" numFmtId="0" xfId="0" applyBorder="1" applyFont="1"/>
    <xf borderId="148" fillId="2" fontId="145" numFmtId="0" xfId="0" applyAlignment="1" applyBorder="1" applyFont="1">
      <alignment horizontal="right" readingOrder="0" shrinkToFit="0" vertical="top" wrapText="1"/>
    </xf>
    <xf borderId="154" fillId="80" fontId="146" numFmtId="0" xfId="0" applyAlignment="1" applyBorder="1" applyFont="1">
      <alignment horizontal="center" vertical="center"/>
    </xf>
    <xf borderId="171" fillId="80" fontId="132" numFmtId="0" xfId="0" applyAlignment="1" applyBorder="1" applyFont="1">
      <alignment horizontal="left"/>
    </xf>
    <xf borderId="172" fillId="80" fontId="147" numFmtId="0" xfId="0" applyAlignment="1" applyBorder="1" applyFont="1">
      <alignment horizontal="left"/>
    </xf>
    <xf borderId="172" fillId="80" fontId="148" numFmtId="0" xfId="0" applyAlignment="1" applyBorder="1" applyFont="1">
      <alignment horizontal="left"/>
    </xf>
    <xf borderId="172" fillId="80" fontId="138" numFmtId="0" xfId="0" applyAlignment="1" applyBorder="1" applyFont="1">
      <alignment horizontal="left"/>
    </xf>
    <xf borderId="172" fillId="80" fontId="134" numFmtId="202" xfId="0" applyAlignment="1" applyBorder="1" applyFont="1" applyNumberFormat="1">
      <alignment horizontal="left"/>
    </xf>
    <xf borderId="172" fillId="80" fontId="135" numFmtId="202" xfId="0" applyAlignment="1" applyBorder="1" applyFont="1" applyNumberFormat="1">
      <alignment horizontal="left"/>
    </xf>
    <xf borderId="173" fillId="80" fontId="136" numFmtId="202" xfId="0" applyAlignment="1" applyBorder="1" applyFont="1" applyNumberFormat="1">
      <alignment horizontal="left"/>
    </xf>
    <xf borderId="172" fillId="80" fontId="148" numFmtId="202" xfId="0" applyAlignment="1" applyBorder="1" applyFont="1" applyNumberFormat="1">
      <alignment horizontal="left"/>
    </xf>
    <xf borderId="172" fillId="80" fontId="138" numFmtId="202" xfId="0" applyAlignment="1" applyBorder="1" applyFont="1" applyNumberFormat="1">
      <alignment horizontal="left"/>
    </xf>
    <xf borderId="164" fillId="80" fontId="132" numFmtId="0" xfId="0" applyAlignment="1" applyBorder="1" applyFont="1">
      <alignment horizontal="left"/>
    </xf>
    <xf borderId="174" fillId="80" fontId="147" numFmtId="203" xfId="0" applyAlignment="1" applyBorder="1" applyFont="1" applyNumberFormat="1">
      <alignment horizontal="left"/>
    </xf>
    <xf borderId="174" fillId="80" fontId="148" numFmtId="203" xfId="0" applyAlignment="1" applyBorder="1" applyFont="1" applyNumberFormat="1">
      <alignment horizontal="left"/>
    </xf>
    <xf borderId="174" fillId="80" fontId="138" numFmtId="203" xfId="0" applyAlignment="1" applyBorder="1" applyFont="1" applyNumberFormat="1">
      <alignment horizontal="left"/>
    </xf>
    <xf borderId="174" fillId="80" fontId="134" numFmtId="203" xfId="0" applyAlignment="1" applyBorder="1" applyFont="1" applyNumberFormat="1">
      <alignment horizontal="left"/>
    </xf>
    <xf borderId="174" fillId="80" fontId="135" numFmtId="203" xfId="0" applyAlignment="1" applyBorder="1" applyFont="1" applyNumberFormat="1">
      <alignment horizontal="left"/>
    </xf>
    <xf borderId="175" fillId="80" fontId="136" numFmtId="203" xfId="0" applyAlignment="1" applyBorder="1" applyFont="1" applyNumberFormat="1">
      <alignment horizontal="left"/>
    </xf>
    <xf borderId="172" fillId="80" fontId="147" numFmtId="202" xfId="0" applyAlignment="1" applyBorder="1" applyFont="1" applyNumberFormat="1">
      <alignment horizontal="left"/>
    </xf>
    <xf borderId="172" fillId="80" fontId="134" numFmtId="0" xfId="0" applyAlignment="1" applyBorder="1" applyFont="1">
      <alignment horizontal="left"/>
    </xf>
    <xf borderId="172" fillId="80" fontId="135" numFmtId="0" xfId="0" applyAlignment="1" applyBorder="1" applyFont="1">
      <alignment horizontal="left"/>
    </xf>
    <xf borderId="173" fillId="80" fontId="136" numFmtId="0" xfId="0" applyAlignment="1" applyBorder="1" applyFont="1">
      <alignment horizontal="left"/>
    </xf>
    <xf borderId="174" fillId="80" fontId="147" numFmtId="202" xfId="0" applyAlignment="1" applyBorder="1" applyFont="1" applyNumberFormat="1">
      <alignment horizontal="left"/>
    </xf>
    <xf borderId="174" fillId="80" fontId="148" numFmtId="202" xfId="0" applyAlignment="1" applyBorder="1" applyFont="1" applyNumberFormat="1">
      <alignment horizontal="left"/>
    </xf>
    <xf borderId="174" fillId="80" fontId="138" numFmtId="202" xfId="0" applyAlignment="1" applyBorder="1" applyFont="1" applyNumberFormat="1">
      <alignment horizontal="left"/>
    </xf>
    <xf borderId="174" fillId="80" fontId="134" numFmtId="202" xfId="0" applyAlignment="1" applyBorder="1" applyFont="1" applyNumberFormat="1">
      <alignment horizontal="left"/>
    </xf>
    <xf borderId="174" fillId="80" fontId="135" numFmtId="202" xfId="0" applyAlignment="1" applyBorder="1" applyFont="1" applyNumberFormat="1">
      <alignment horizontal="left"/>
    </xf>
    <xf borderId="175" fillId="80" fontId="136" numFmtId="202" xfId="0" applyAlignment="1" applyBorder="1" applyFont="1" applyNumberFormat="1">
      <alignment horizontal="left"/>
    </xf>
    <xf borderId="174" fillId="80" fontId="147" numFmtId="0" xfId="0" applyAlignment="1" applyBorder="1" applyFont="1">
      <alignment horizontal="left"/>
    </xf>
    <xf borderId="174" fillId="80" fontId="148" numFmtId="0" xfId="0" applyAlignment="1" applyBorder="1" applyFont="1">
      <alignment horizontal="left"/>
    </xf>
    <xf borderId="174" fillId="80" fontId="138" numFmtId="0" xfId="0" applyAlignment="1" applyBorder="1" applyFont="1">
      <alignment horizontal="left"/>
    </xf>
    <xf borderId="174" fillId="80" fontId="134" numFmtId="0" xfId="0" applyAlignment="1" applyBorder="1" applyFont="1">
      <alignment horizontal="left"/>
    </xf>
    <xf borderId="174" fillId="80" fontId="135" numFmtId="0" xfId="0" applyAlignment="1" applyBorder="1" applyFont="1">
      <alignment horizontal="left"/>
    </xf>
    <xf borderId="175" fillId="80" fontId="136" numFmtId="0" xfId="0" applyAlignment="1" applyBorder="1" applyFont="1">
      <alignment horizontal="left"/>
    </xf>
    <xf borderId="172" fillId="80" fontId="147" numFmtId="203" xfId="0" applyAlignment="1" applyBorder="1" applyFont="1" applyNumberFormat="1">
      <alignment horizontal="left"/>
    </xf>
    <xf borderId="172" fillId="80" fontId="148" numFmtId="203" xfId="0" applyAlignment="1" applyBorder="1" applyFont="1" applyNumberFormat="1">
      <alignment horizontal="left"/>
    </xf>
    <xf borderId="172" fillId="80" fontId="138" numFmtId="203" xfId="0" applyAlignment="1" applyBorder="1" applyFont="1" applyNumberFormat="1">
      <alignment horizontal="left"/>
    </xf>
    <xf borderId="172" fillId="80" fontId="134" numFmtId="203" xfId="0" applyAlignment="1" applyBorder="1" applyFont="1" applyNumberFormat="1">
      <alignment horizontal="left"/>
    </xf>
    <xf borderId="172" fillId="80" fontId="135" numFmtId="203" xfId="0" applyAlignment="1" applyBorder="1" applyFont="1" applyNumberFormat="1">
      <alignment horizontal="left"/>
    </xf>
    <xf borderId="173" fillId="80" fontId="136" numFmtId="203" xfId="0" applyAlignment="1" applyBorder="1" applyFont="1" applyNumberFormat="1">
      <alignment horizontal="left"/>
    </xf>
    <xf borderId="164" fillId="80" fontId="14" numFmtId="0" xfId="0" applyAlignment="1" applyBorder="1" applyFont="1">
      <alignment horizontal="left" readingOrder="0"/>
    </xf>
    <xf borderId="171" fillId="80" fontId="14" numFmtId="0" xfId="0" applyAlignment="1" applyBorder="1" applyFont="1">
      <alignment horizontal="left" readingOrder="0"/>
    </xf>
    <xf borderId="176" fillId="80" fontId="132" numFmtId="0" xfId="0" applyAlignment="1" applyBorder="1" applyFont="1">
      <alignment horizontal="left"/>
    </xf>
    <xf borderId="151" fillId="80" fontId="147" numFmtId="202" xfId="0" applyAlignment="1" applyBorder="1" applyFont="1" applyNumberFormat="1">
      <alignment horizontal="left"/>
    </xf>
    <xf borderId="151" fillId="80" fontId="148" numFmtId="202" xfId="0" applyAlignment="1" applyBorder="1" applyFont="1" applyNumberFormat="1">
      <alignment horizontal="left"/>
    </xf>
    <xf borderId="151" fillId="80" fontId="138" numFmtId="203" xfId="0" applyAlignment="1" applyBorder="1" applyFont="1" applyNumberFormat="1">
      <alignment horizontal="left"/>
    </xf>
    <xf borderId="151" fillId="80" fontId="134" numFmtId="203" xfId="0" applyAlignment="1" applyBorder="1" applyFont="1" applyNumberFormat="1">
      <alignment horizontal="left"/>
    </xf>
    <xf borderId="151" fillId="80" fontId="135" numFmtId="203" xfId="0" applyAlignment="1" applyBorder="1" applyFont="1" applyNumberFormat="1">
      <alignment horizontal="left"/>
    </xf>
    <xf borderId="177" fillId="80" fontId="136" numFmtId="203" xfId="0" applyAlignment="1" applyBorder="1" applyFont="1" applyNumberFormat="1">
      <alignment horizontal="left"/>
    </xf>
    <xf borderId="0" fillId="2" fontId="1" numFmtId="0" xfId="0" applyAlignment="1" applyFont="1">
      <alignment vertical="bottom"/>
    </xf>
    <xf borderId="176" fillId="80" fontId="14" numFmtId="0" xfId="0" applyAlignment="1" applyBorder="1" applyFont="1">
      <alignment horizontal="left" readingOrder="0" vertical="top"/>
    </xf>
    <xf borderId="151" fillId="80" fontId="147" numFmtId="0" xfId="0" applyAlignment="1" applyBorder="1" applyFont="1">
      <alignment horizontal="left" vertical="top"/>
    </xf>
    <xf borderId="151" fillId="80" fontId="148" numFmtId="0" xfId="0" applyAlignment="1" applyBorder="1" applyFont="1">
      <alignment horizontal="left" vertical="top"/>
    </xf>
    <xf borderId="151" fillId="80" fontId="138" numFmtId="0" xfId="0" applyAlignment="1" applyBorder="1" applyFont="1">
      <alignment horizontal="left" vertical="top"/>
    </xf>
    <xf borderId="151" fillId="80" fontId="134" numFmtId="0" xfId="0" applyAlignment="1" applyBorder="1" applyFont="1">
      <alignment horizontal="left" vertical="top"/>
    </xf>
    <xf borderId="151" fillId="80" fontId="135" numFmtId="0" xfId="0" applyAlignment="1" applyBorder="1" applyFont="1">
      <alignment horizontal="left" vertical="top"/>
    </xf>
    <xf borderId="177" fillId="80" fontId="136" numFmtId="0" xfId="0" applyAlignment="1" applyBorder="1" applyFont="1">
      <alignment horizontal="left" vertical="top"/>
    </xf>
    <xf borderId="172" fillId="80" fontId="148" numFmtId="9" xfId="0" applyAlignment="1" applyBorder="1" applyFont="1" applyNumberFormat="1">
      <alignment horizontal="left"/>
    </xf>
    <xf borderId="172" fillId="80" fontId="138" numFmtId="9" xfId="0" applyAlignment="1" applyBorder="1" applyFont="1" applyNumberFormat="1">
      <alignment horizontal="left"/>
    </xf>
    <xf borderId="172" fillId="80" fontId="134" numFmtId="9" xfId="0" applyAlignment="1" applyBorder="1" applyFont="1" applyNumberFormat="1">
      <alignment horizontal="left"/>
    </xf>
    <xf borderId="172" fillId="80" fontId="135" numFmtId="9" xfId="0" applyAlignment="1" applyBorder="1" applyFont="1" applyNumberFormat="1">
      <alignment horizontal="left"/>
    </xf>
    <xf borderId="173" fillId="80" fontId="136" numFmtId="9" xfId="0" applyAlignment="1" applyBorder="1" applyFont="1" applyNumberFormat="1">
      <alignment horizontal="left"/>
    </xf>
    <xf borderId="172" fillId="80" fontId="147" numFmtId="9" xfId="0" applyAlignment="1" applyBorder="1" applyFont="1" applyNumberFormat="1">
      <alignment horizontal="left"/>
    </xf>
    <xf borderId="175" fillId="80" fontId="136" numFmtId="9" xfId="0" applyAlignment="1" applyBorder="1" applyFont="1" applyNumberFormat="1">
      <alignment horizontal="left"/>
    </xf>
    <xf borderId="174" fillId="80" fontId="148" numFmtId="9" xfId="0" applyAlignment="1" applyBorder="1" applyFont="1" applyNumberFormat="1">
      <alignment horizontal="left"/>
    </xf>
    <xf borderId="174" fillId="80" fontId="138" numFmtId="9" xfId="0" applyAlignment="1" applyBorder="1" applyFont="1" applyNumberFormat="1">
      <alignment horizontal="left"/>
    </xf>
    <xf borderId="174" fillId="80" fontId="134" numFmtId="9" xfId="0" applyAlignment="1" applyBorder="1" applyFont="1" applyNumberFormat="1">
      <alignment horizontal="left"/>
    </xf>
    <xf borderId="174" fillId="80" fontId="135" numFmtId="9" xfId="0" applyAlignment="1" applyBorder="1" applyFont="1" applyNumberFormat="1">
      <alignment horizontal="left"/>
    </xf>
    <xf borderId="176" fillId="80" fontId="132" numFmtId="0" xfId="0" applyAlignment="1" applyBorder="1" applyFont="1">
      <alignment horizontal="left" vertical="top"/>
    </xf>
    <xf borderId="0" fillId="2" fontId="149" numFmtId="0" xfId="0" applyAlignment="1" applyFont="1">
      <alignment horizontal="right" readingOrder="0" vertical="bottom"/>
    </xf>
    <xf borderId="0" fillId="2" fontId="150" numFmtId="9" xfId="0" applyAlignment="1" applyFont="1" applyNumberFormat="1">
      <alignment horizontal="right" readingOrder="0" vertical="bottom"/>
    </xf>
    <xf borderId="0" fillId="2" fontId="150" numFmtId="0" xfId="0" applyAlignment="1" applyFont="1">
      <alignment readingOrder="0" vertical="bottom"/>
    </xf>
    <xf borderId="0" fillId="2" fontId="150" numFmtId="0" xfId="0" applyAlignment="1" applyFont="1">
      <alignment vertical="bottom"/>
    </xf>
    <xf borderId="0" fillId="2" fontId="150" numFmtId="0" xfId="0" applyAlignment="1" applyFont="1">
      <alignment horizontal="right" readingOrder="0" vertical="bottom"/>
    </xf>
    <xf borderId="171" fillId="80" fontId="14" numFmtId="0" xfId="0" applyAlignment="1" applyBorder="1" applyFont="1">
      <alignment horizontal="left"/>
    </xf>
    <xf borderId="178" fillId="80" fontId="132" numFmtId="0" xfId="0" applyAlignment="1" applyBorder="1" applyFont="1">
      <alignment horizontal="left"/>
    </xf>
    <xf quotePrefix="1" borderId="179" fillId="80" fontId="147" numFmtId="9" xfId="0" applyAlignment="1" applyBorder="1" applyFont="1" applyNumberFormat="1">
      <alignment horizontal="left"/>
    </xf>
    <xf borderId="179" fillId="80" fontId="148" numFmtId="9" xfId="0" applyAlignment="1" applyBorder="1" applyFont="1" applyNumberFormat="1">
      <alignment horizontal="left"/>
    </xf>
    <xf borderId="179" fillId="80" fontId="138" numFmtId="9" xfId="0" applyAlignment="1" applyBorder="1" applyFont="1" applyNumberFormat="1">
      <alignment horizontal="left"/>
    </xf>
    <xf quotePrefix="1" borderId="179" fillId="80" fontId="134" numFmtId="9" xfId="0" applyAlignment="1" applyBorder="1" applyFont="1" applyNumberFormat="1">
      <alignment horizontal="left"/>
    </xf>
    <xf quotePrefix="1" borderId="179" fillId="80" fontId="135" numFmtId="9" xfId="0" applyAlignment="1" applyBorder="1" applyFont="1" applyNumberFormat="1">
      <alignment horizontal="left"/>
    </xf>
    <xf quotePrefix="1" borderId="180" fillId="80" fontId="136" numFmtId="9" xfId="0" applyAlignment="1" applyBorder="1" applyFont="1" applyNumberFormat="1">
      <alignment horizontal="left"/>
    </xf>
    <xf borderId="151" fillId="80" fontId="147" numFmtId="203" xfId="0" applyAlignment="1" applyBorder="1" applyFont="1" applyNumberFormat="1">
      <alignment horizontal="left"/>
    </xf>
    <xf borderId="151" fillId="80" fontId="148" numFmtId="203" xfId="0" applyAlignment="1" applyBorder="1" applyFont="1" applyNumberFormat="1">
      <alignment horizontal="left"/>
    </xf>
    <xf borderId="0" fillId="2" fontId="1" numFmtId="0" xfId="0" applyAlignment="1" applyFont="1">
      <alignment horizontal="right" vertical="bottom"/>
    </xf>
    <xf borderId="0" fillId="2" fontId="102" numFmtId="0" xfId="0" applyAlignment="1" applyFont="1">
      <alignment readingOrder="0" vertical="bottom"/>
    </xf>
    <xf borderId="181" fillId="2" fontId="151" numFmtId="0" xfId="0" applyAlignment="1" applyBorder="1" applyFont="1">
      <alignment horizontal="right" vertical="center"/>
    </xf>
    <xf borderId="0" fillId="2" fontId="1" numFmtId="0" xfId="0" applyAlignment="1" applyFont="1">
      <alignment horizontal="left" vertical="bottom"/>
    </xf>
    <xf borderId="0" fillId="2" fontId="1" numFmtId="0" xfId="0" applyAlignment="1" applyFont="1">
      <alignment horizontal="center" vertical="bottom"/>
    </xf>
    <xf borderId="182" fillId="29" fontId="152" numFmtId="49" xfId="0" applyAlignment="1" applyBorder="1" applyFont="1" applyNumberFormat="1">
      <alignment vertical="bottom"/>
    </xf>
    <xf borderId="183" fillId="29" fontId="153" numFmtId="49" xfId="0" applyAlignment="1" applyBorder="1" applyFont="1" applyNumberFormat="1">
      <alignment shrinkToFit="0" vertical="bottom" wrapText="1"/>
    </xf>
    <xf borderId="184" fillId="0" fontId="7" numFmtId="0" xfId="0" applyBorder="1" applyFont="1"/>
    <xf borderId="183" fillId="0" fontId="7" numFmtId="0" xfId="0" applyBorder="1" applyFont="1"/>
    <xf borderId="183" fillId="29" fontId="153" numFmtId="49" xfId="0" applyAlignment="1" applyBorder="1" applyFont="1" applyNumberFormat="1">
      <alignment readingOrder="0" shrinkToFit="0" vertical="bottom" wrapText="1"/>
    </xf>
    <xf borderId="183" fillId="29" fontId="154" numFmtId="49" xfId="0" applyAlignment="1" applyBorder="1" applyFont="1" applyNumberFormat="1">
      <alignment shrinkToFit="0" vertical="bottom" wrapText="1"/>
    </xf>
    <xf borderId="183" fillId="29" fontId="155" numFmtId="49" xfId="0" applyAlignment="1" applyBorder="1" applyFont="1" applyNumberFormat="1">
      <alignment shrinkToFit="0" vertical="bottom" wrapText="1"/>
    </xf>
    <xf borderId="183" fillId="29" fontId="155" numFmtId="49" xfId="0" applyAlignment="1" applyBorder="1" applyFont="1" applyNumberFormat="1">
      <alignment readingOrder="0" shrinkToFit="0" vertical="bottom" wrapText="1"/>
    </xf>
    <xf borderId="183" fillId="29" fontId="156" numFmtId="49" xfId="0" applyAlignment="1" applyBorder="1" applyFont="1" applyNumberFormat="1">
      <alignment shrinkToFit="0" vertical="bottom" wrapText="1"/>
    </xf>
    <xf borderId="183" fillId="29" fontId="157" numFmtId="49" xfId="0" applyAlignment="1" applyBorder="1" applyFont="1" applyNumberFormat="1">
      <alignment shrinkToFit="0" vertical="bottom" wrapText="1"/>
    </xf>
    <xf borderId="183" fillId="29" fontId="157" numFmtId="49" xfId="0" applyAlignment="1" applyBorder="1" applyFont="1" applyNumberFormat="1">
      <alignment readingOrder="0" shrinkToFit="0" vertical="bottom" wrapText="1"/>
    </xf>
    <xf borderId="185" fillId="29" fontId="157" numFmtId="49" xfId="0" applyAlignment="1" applyBorder="1" applyFont="1" applyNumberFormat="1">
      <alignment readingOrder="0" shrinkToFit="0" vertical="bottom" wrapText="1"/>
    </xf>
    <xf borderId="185" fillId="29" fontId="157" numFmtId="49" xfId="0" applyAlignment="1" applyBorder="1" applyFont="1" applyNumberFormat="1">
      <alignment shrinkToFit="0" vertical="bottom" wrapText="1"/>
    </xf>
    <xf borderId="183" fillId="29" fontId="158" numFmtId="49" xfId="0" applyAlignment="1" applyBorder="1" applyFont="1" applyNumberFormat="1">
      <alignment shrinkToFit="0" vertical="bottom" wrapText="1"/>
    </xf>
    <xf borderId="184" fillId="29" fontId="158" numFmtId="49" xfId="0" applyAlignment="1" applyBorder="1" applyFont="1" applyNumberFormat="1">
      <alignment shrinkToFit="0" vertical="bottom" wrapText="1"/>
    </xf>
    <xf borderId="184" fillId="29" fontId="8" numFmtId="49" xfId="0" applyAlignment="1" applyBorder="1" applyFont="1" applyNumberFormat="1">
      <alignment vertical="bottom"/>
    </xf>
    <xf borderId="183" fillId="29" fontId="159" numFmtId="49" xfId="0" applyAlignment="1" applyBorder="1" applyFont="1" applyNumberFormat="1">
      <alignment shrinkToFit="0" vertical="bottom" wrapText="1"/>
    </xf>
    <xf borderId="183" fillId="29" fontId="160" numFmtId="49" xfId="0" applyAlignment="1" applyBorder="1" applyFont="1" applyNumberFormat="1">
      <alignment readingOrder="0" shrinkToFit="0" vertical="bottom" wrapText="1"/>
    </xf>
    <xf borderId="183" fillId="29" fontId="160" numFmtId="49" xfId="0" applyAlignment="1" applyBorder="1" applyFont="1" applyNumberFormat="1">
      <alignment shrinkToFit="0" vertical="bottom" wrapText="1"/>
    </xf>
    <xf borderId="183" fillId="29" fontId="160" numFmtId="0" xfId="0" applyAlignment="1" applyBorder="1" applyFont="1">
      <alignment readingOrder="0" shrinkToFit="0" vertical="bottom" wrapText="1"/>
    </xf>
    <xf borderId="183" fillId="29" fontId="161" numFmtId="49" xfId="0" applyAlignment="1" applyBorder="1" applyFont="1" applyNumberFormat="1">
      <alignment shrinkToFit="0" vertical="bottom" wrapText="1"/>
    </xf>
    <xf borderId="183" fillId="29" fontId="161" numFmtId="2" xfId="0" applyAlignment="1" applyBorder="1" applyFont="1" applyNumberFormat="1">
      <alignment shrinkToFit="0" vertical="bottom" wrapText="1"/>
    </xf>
    <xf borderId="183" fillId="29" fontId="161" numFmtId="49" xfId="0" applyAlignment="1" applyBorder="1" applyFont="1" applyNumberFormat="1">
      <alignment readingOrder="0" shrinkToFit="0" vertical="bottom" wrapText="1"/>
    </xf>
    <xf borderId="0" fillId="29" fontId="162" numFmtId="46" xfId="0" applyAlignment="1" applyFont="1" applyNumberFormat="1">
      <alignment shrinkToFit="0" vertical="bottom" wrapText="1"/>
    </xf>
    <xf borderId="0" fillId="29" fontId="162" numFmtId="49" xfId="0" applyAlignment="1" applyFont="1" applyNumberFormat="1">
      <alignment shrinkToFit="0" vertical="bottom" wrapText="1"/>
    </xf>
    <xf borderId="183" fillId="29" fontId="158" numFmtId="2" xfId="0" applyAlignment="1" applyBorder="1" applyFont="1" applyNumberFormat="1">
      <alignment shrinkToFit="0" vertical="bottom" wrapText="1"/>
    </xf>
    <xf borderId="182" fillId="29" fontId="163" numFmtId="49" xfId="0" applyAlignment="1" applyBorder="1" applyFont="1" applyNumberFormat="1">
      <alignment horizontal="right" vertical="bottom"/>
    </xf>
    <xf borderId="3" fillId="19" fontId="164" numFmtId="49" xfId="0" applyAlignment="1" applyBorder="1" applyFont="1" applyNumberFormat="1">
      <alignment horizontal="center" vertical="bottom"/>
    </xf>
    <xf borderId="186" fillId="19" fontId="164" numFmtId="3" xfId="0" applyAlignment="1" applyBorder="1" applyFont="1" applyNumberFormat="1">
      <alignment horizontal="center" vertical="bottom"/>
    </xf>
    <xf borderId="3" fillId="19" fontId="164" numFmtId="3" xfId="0" applyAlignment="1" applyBorder="1" applyFont="1" applyNumberFormat="1">
      <alignment horizontal="center" vertical="bottom"/>
    </xf>
    <xf borderId="3" fillId="10" fontId="164" numFmtId="49" xfId="0" applyAlignment="1" applyBorder="1" applyFont="1" applyNumberFormat="1">
      <alignment horizontal="center" vertical="bottom"/>
    </xf>
    <xf borderId="186" fillId="10" fontId="164" numFmtId="3" xfId="0" applyAlignment="1" applyBorder="1" applyFont="1" applyNumberFormat="1">
      <alignment horizontal="center" vertical="bottom"/>
    </xf>
    <xf borderId="3" fillId="8" fontId="164" numFmtId="49" xfId="0" applyAlignment="1" applyBorder="1" applyFont="1" applyNumberFormat="1">
      <alignment horizontal="center" vertical="bottom"/>
    </xf>
    <xf borderId="186" fillId="8" fontId="164" numFmtId="3" xfId="0" applyAlignment="1" applyBorder="1" applyFont="1" applyNumberFormat="1">
      <alignment horizontal="center" vertical="bottom"/>
    </xf>
    <xf borderId="3" fillId="22" fontId="164" numFmtId="49" xfId="0" applyAlignment="1" applyBorder="1" applyFont="1" applyNumberFormat="1">
      <alignment horizontal="center" vertical="bottom"/>
    </xf>
    <xf borderId="186" fillId="22" fontId="164" numFmtId="3" xfId="0" applyAlignment="1" applyBorder="1" applyFont="1" applyNumberFormat="1">
      <alignment horizontal="center" vertical="bottom"/>
    </xf>
    <xf borderId="3" fillId="22" fontId="164" numFmtId="3" xfId="0" applyAlignment="1" applyBorder="1" applyFont="1" applyNumberFormat="1">
      <alignment horizontal="center" vertical="bottom"/>
    </xf>
    <xf borderId="3" fillId="81" fontId="164" numFmtId="49" xfId="0" applyAlignment="1" applyBorder="1" applyFill="1" applyFont="1" applyNumberFormat="1">
      <alignment horizontal="center" vertical="bottom"/>
    </xf>
    <xf borderId="186" fillId="81" fontId="164" numFmtId="3" xfId="0" applyAlignment="1" applyBorder="1" applyFont="1" applyNumberFormat="1">
      <alignment horizontal="center" vertical="bottom"/>
    </xf>
    <xf borderId="182" fillId="81" fontId="164" numFmtId="3" xfId="0" applyAlignment="1" applyBorder="1" applyFont="1" applyNumberFormat="1">
      <alignment horizontal="center" vertical="bottom"/>
    </xf>
    <xf borderId="0" fillId="81" fontId="164" numFmtId="49" xfId="0" applyAlignment="1" applyFont="1" applyNumberFormat="1">
      <alignment horizontal="center" vertical="bottom"/>
    </xf>
    <xf borderId="21" fillId="81" fontId="164" numFmtId="49" xfId="0" applyAlignment="1" applyBorder="1" applyFont="1" applyNumberFormat="1">
      <alignment horizontal="center" vertical="bottom"/>
    </xf>
    <xf borderId="0" fillId="81" fontId="164" numFmtId="3" xfId="0" applyAlignment="1" applyFont="1" applyNumberFormat="1">
      <alignment horizontal="center" vertical="bottom"/>
    </xf>
    <xf borderId="3" fillId="26" fontId="164" numFmtId="49" xfId="0" applyAlignment="1" applyBorder="1" applyFont="1" applyNumberFormat="1">
      <alignment horizontal="center" vertical="bottom"/>
    </xf>
    <xf borderId="186" fillId="26" fontId="164" numFmtId="3" xfId="0" applyAlignment="1" applyBorder="1" applyFont="1" applyNumberFormat="1">
      <alignment horizontal="center" vertical="bottom"/>
    </xf>
    <xf borderId="3" fillId="26" fontId="164" numFmtId="3" xfId="0" applyAlignment="1" applyBorder="1" applyFont="1" applyNumberFormat="1">
      <alignment horizontal="center" vertical="bottom"/>
    </xf>
    <xf borderId="3" fillId="82" fontId="164" numFmtId="49" xfId="0" applyAlignment="1" applyBorder="1" applyFill="1" applyFont="1" applyNumberFormat="1">
      <alignment horizontal="center" vertical="bottom"/>
    </xf>
    <xf borderId="186" fillId="82" fontId="164" numFmtId="3" xfId="0" applyAlignment="1" applyBorder="1" applyFont="1" applyNumberFormat="1">
      <alignment horizontal="center" vertical="bottom"/>
    </xf>
    <xf borderId="0" fillId="64" fontId="164" numFmtId="49" xfId="0" applyAlignment="1" applyFont="1" applyNumberFormat="1">
      <alignment horizontal="center" vertical="bottom"/>
    </xf>
    <xf borderId="182" fillId="64" fontId="164" numFmtId="3" xfId="0" applyAlignment="1" applyBorder="1" applyFont="1" applyNumberFormat="1">
      <alignment horizontal="center" vertical="bottom"/>
    </xf>
    <xf borderId="3" fillId="64" fontId="164" numFmtId="49" xfId="0" applyAlignment="1" applyBorder="1" applyFont="1" applyNumberFormat="1">
      <alignment horizontal="center" vertical="bottom"/>
    </xf>
    <xf borderId="186" fillId="64" fontId="164" numFmtId="3" xfId="0" applyAlignment="1" applyBorder="1" applyFont="1" applyNumberFormat="1">
      <alignment horizontal="center" vertical="bottom"/>
    </xf>
    <xf borderId="3" fillId="65" fontId="164" numFmtId="49" xfId="0" applyAlignment="1" applyBorder="1" applyFont="1" applyNumberFormat="1">
      <alignment horizontal="center" vertical="bottom"/>
    </xf>
    <xf borderId="186" fillId="65" fontId="164" numFmtId="3" xfId="0" applyAlignment="1" applyBorder="1" applyFont="1" applyNumberFormat="1">
      <alignment horizontal="center" vertical="bottom"/>
    </xf>
    <xf borderId="3" fillId="15" fontId="164" numFmtId="46" xfId="0" applyAlignment="1" applyBorder="1" applyFont="1" applyNumberFormat="1">
      <alignment horizontal="center" vertical="bottom"/>
    </xf>
    <xf borderId="186" fillId="15" fontId="164" numFmtId="3" xfId="0" applyAlignment="1" applyBorder="1" applyFont="1" applyNumberFormat="1">
      <alignment horizontal="center" vertical="bottom"/>
    </xf>
    <xf borderId="0" fillId="15" fontId="164" numFmtId="49" xfId="0" applyAlignment="1" applyFont="1" applyNumberFormat="1">
      <alignment horizontal="center" vertical="bottom"/>
    </xf>
    <xf borderId="182" fillId="15" fontId="164" numFmtId="3" xfId="0" applyAlignment="1" applyBorder="1" applyFont="1" applyNumberFormat="1">
      <alignment horizontal="center" vertical="bottom"/>
    </xf>
    <xf borderId="3" fillId="15" fontId="164" numFmtId="49" xfId="0" applyAlignment="1" applyBorder="1" applyFont="1" applyNumberFormat="1">
      <alignment horizontal="center" vertical="bottom"/>
    </xf>
    <xf borderId="187" fillId="15" fontId="164" numFmtId="49" xfId="0" applyAlignment="1" applyBorder="1" applyFont="1" applyNumberFormat="1">
      <alignment horizontal="center" vertical="bottom"/>
    </xf>
    <xf borderId="182" fillId="29" fontId="161" numFmtId="0" xfId="0" applyAlignment="1" applyBorder="1" applyFont="1">
      <alignment horizontal="right" vertical="bottom"/>
    </xf>
    <xf borderId="0" fillId="19" fontId="165" numFmtId="46" xfId="0" applyAlignment="1" applyFont="1" applyNumberFormat="1">
      <alignment horizontal="right" vertical="bottom"/>
    </xf>
    <xf borderId="182" fillId="19" fontId="165" numFmtId="3" xfId="0" applyAlignment="1" applyBorder="1" applyFont="1" applyNumberFormat="1">
      <alignment horizontal="right" vertical="bottom"/>
    </xf>
    <xf borderId="0" fillId="19" fontId="165" numFmtId="3" xfId="0" applyAlignment="1" applyFont="1" applyNumberFormat="1">
      <alignment horizontal="right" vertical="bottom"/>
    </xf>
    <xf borderId="182" fillId="19" fontId="166" numFmtId="3" xfId="0" applyAlignment="1" applyBorder="1" applyFont="1" applyNumberFormat="1">
      <alignment horizontal="right" vertical="bottom"/>
    </xf>
    <xf borderId="0" fillId="19" fontId="166" numFmtId="46" xfId="0" applyAlignment="1" applyFont="1" applyNumberFormat="1">
      <alignment horizontal="right" vertical="bottom"/>
    </xf>
    <xf borderId="3" fillId="19" fontId="165" numFmtId="46" xfId="0" applyAlignment="1" applyBorder="1" applyFont="1" applyNumberFormat="1">
      <alignment horizontal="right" vertical="bottom"/>
    </xf>
    <xf borderId="186" fillId="19" fontId="165" numFmtId="3" xfId="0" applyAlignment="1" applyBorder="1" applyFont="1" applyNumberFormat="1">
      <alignment horizontal="right" vertical="bottom"/>
    </xf>
    <xf borderId="0" fillId="19" fontId="165" numFmtId="46" xfId="0" applyAlignment="1" applyFont="1" applyNumberFormat="1">
      <alignment horizontal="right" readingOrder="0" vertical="bottom"/>
    </xf>
    <xf borderId="182" fillId="19" fontId="165" numFmtId="46" xfId="0" applyAlignment="1" applyBorder="1" applyFont="1" applyNumberFormat="1">
      <alignment horizontal="right" vertical="bottom"/>
    </xf>
    <xf borderId="0" fillId="10" fontId="165" numFmtId="46" xfId="0" applyAlignment="1" applyFont="1" applyNumberFormat="1">
      <alignment horizontal="right" vertical="bottom"/>
    </xf>
    <xf borderId="182" fillId="10" fontId="165" numFmtId="3" xfId="0" applyAlignment="1" applyBorder="1" applyFont="1" applyNumberFormat="1">
      <alignment horizontal="right" vertical="bottom"/>
    </xf>
    <xf borderId="0" fillId="8" fontId="165" numFmtId="46" xfId="0" applyAlignment="1" applyFont="1" applyNumberFormat="1">
      <alignment horizontal="right" vertical="bottom"/>
    </xf>
    <xf borderId="182" fillId="8" fontId="165" numFmtId="3" xfId="0" applyAlignment="1" applyBorder="1" applyFont="1" applyNumberFormat="1">
      <alignment horizontal="right" vertical="bottom"/>
    </xf>
    <xf borderId="3" fillId="8" fontId="165" numFmtId="46" xfId="0" applyAlignment="1" applyBorder="1" applyFont="1" applyNumberFormat="1">
      <alignment horizontal="right" vertical="bottom"/>
    </xf>
    <xf borderId="186" fillId="8" fontId="165" numFmtId="3" xfId="0" applyAlignment="1" applyBorder="1" applyFont="1" applyNumberFormat="1">
      <alignment horizontal="right" vertical="bottom"/>
    </xf>
    <xf borderId="0" fillId="8" fontId="165" numFmtId="3" xfId="0" applyAlignment="1" applyFont="1" applyNumberFormat="1">
      <alignment horizontal="right" vertical="bottom"/>
    </xf>
    <xf borderId="0" fillId="22" fontId="165" numFmtId="46" xfId="0" applyAlignment="1" applyFont="1" applyNumberFormat="1">
      <alignment horizontal="right" vertical="bottom"/>
    </xf>
    <xf borderId="182" fillId="22" fontId="165" numFmtId="3" xfId="0" applyAlignment="1" applyBorder="1" applyFont="1" applyNumberFormat="1">
      <alignment horizontal="right" vertical="bottom"/>
    </xf>
    <xf borderId="3" fillId="22" fontId="165" numFmtId="46" xfId="0" applyAlignment="1" applyBorder="1" applyFont="1" applyNumberFormat="1">
      <alignment horizontal="right" vertical="bottom"/>
    </xf>
    <xf borderId="186" fillId="22" fontId="165" numFmtId="3" xfId="0" applyAlignment="1" applyBorder="1" applyFont="1" applyNumberFormat="1">
      <alignment horizontal="right" vertical="bottom"/>
    </xf>
    <xf borderId="0" fillId="81" fontId="165" numFmtId="46" xfId="0" applyAlignment="1" applyFont="1" applyNumberFormat="1">
      <alignment horizontal="right" vertical="bottom"/>
    </xf>
    <xf borderId="182" fillId="81" fontId="165" numFmtId="3" xfId="0" applyAlignment="1" applyBorder="1" applyFont="1" applyNumberFormat="1">
      <alignment horizontal="right" vertical="bottom"/>
    </xf>
    <xf borderId="0" fillId="81" fontId="165" numFmtId="3" xfId="0" applyAlignment="1" applyFont="1" applyNumberFormat="1">
      <alignment horizontal="right" vertical="bottom"/>
    </xf>
    <xf borderId="21" fillId="81" fontId="165" numFmtId="46" xfId="0" applyAlignment="1" applyBorder="1" applyFont="1" applyNumberFormat="1">
      <alignment horizontal="right" vertical="bottom"/>
    </xf>
    <xf borderId="21" fillId="81" fontId="165" numFmtId="204" xfId="0" applyAlignment="1" applyBorder="1" applyFont="1" applyNumberFormat="1">
      <alignment horizontal="right" vertical="bottom"/>
    </xf>
    <xf borderId="0" fillId="81" fontId="165" numFmtId="46" xfId="0" applyAlignment="1" applyFont="1" applyNumberFormat="1">
      <alignment horizontal="right" readingOrder="0" vertical="bottom"/>
    </xf>
    <xf borderId="0" fillId="81" fontId="165" numFmtId="3" xfId="0" applyAlignment="1" applyFont="1" applyNumberFormat="1">
      <alignment horizontal="right" readingOrder="0" vertical="bottom"/>
    </xf>
    <xf borderId="0" fillId="81" fontId="165" numFmtId="21" xfId="0" applyAlignment="1" applyFont="1" applyNumberFormat="1">
      <alignment horizontal="right" readingOrder="0" vertical="bottom"/>
    </xf>
    <xf borderId="0" fillId="26" fontId="165" numFmtId="46" xfId="0" applyAlignment="1" applyFont="1" applyNumberFormat="1">
      <alignment horizontal="right" vertical="bottom"/>
    </xf>
    <xf borderId="182" fillId="26" fontId="165" numFmtId="3" xfId="0" applyAlignment="1" applyBorder="1" applyFont="1" applyNumberFormat="1">
      <alignment horizontal="right" vertical="bottom"/>
    </xf>
    <xf borderId="3" fillId="26" fontId="165" numFmtId="46" xfId="0" applyAlignment="1" applyBorder="1" applyFont="1" applyNumberFormat="1">
      <alignment horizontal="right" vertical="bottom"/>
    </xf>
    <xf borderId="186" fillId="26" fontId="165" numFmtId="3" xfId="0" applyAlignment="1" applyBorder="1" applyFont="1" applyNumberFormat="1">
      <alignment horizontal="right" vertical="bottom"/>
    </xf>
    <xf borderId="3" fillId="26" fontId="165" numFmtId="46" xfId="0" applyAlignment="1" applyBorder="1" applyFont="1" applyNumberFormat="1">
      <alignment horizontal="right" readingOrder="0" vertical="bottom"/>
    </xf>
    <xf borderId="0" fillId="26" fontId="165" numFmtId="204" xfId="0" applyAlignment="1" applyFont="1" applyNumberFormat="1">
      <alignment horizontal="right" vertical="bottom"/>
    </xf>
    <xf borderId="0" fillId="26" fontId="165" numFmtId="3" xfId="0" applyAlignment="1" applyFont="1" applyNumberFormat="1">
      <alignment horizontal="right" vertical="bottom"/>
    </xf>
    <xf borderId="0" fillId="82" fontId="165" numFmtId="46" xfId="0" applyAlignment="1" applyFont="1" applyNumberFormat="1">
      <alignment horizontal="right" vertical="bottom"/>
    </xf>
    <xf borderId="182" fillId="82" fontId="165" numFmtId="3" xfId="0" applyAlignment="1" applyBorder="1" applyFont="1" applyNumberFormat="1">
      <alignment horizontal="right" vertical="bottom"/>
    </xf>
    <xf borderId="0" fillId="82" fontId="165" numFmtId="3" xfId="0" applyAlignment="1" applyFont="1" applyNumberFormat="1">
      <alignment horizontal="right" vertical="bottom"/>
    </xf>
    <xf borderId="185" fillId="64" fontId="165" numFmtId="46" xfId="0" applyAlignment="1" applyBorder="1" applyFont="1" applyNumberFormat="1">
      <alignment horizontal="right" vertical="bottom"/>
    </xf>
    <xf borderId="184" fillId="64" fontId="165" numFmtId="3" xfId="0" applyAlignment="1" applyBorder="1" applyFont="1" applyNumberFormat="1">
      <alignment horizontal="right" vertical="bottom"/>
    </xf>
    <xf borderId="185" fillId="64" fontId="165" numFmtId="204" xfId="0" applyAlignment="1" applyBorder="1" applyFont="1" applyNumberFormat="1">
      <alignment horizontal="right" vertical="bottom"/>
    </xf>
    <xf borderId="3" fillId="65" fontId="165" numFmtId="46" xfId="0" applyAlignment="1" applyBorder="1" applyFont="1" applyNumberFormat="1">
      <alignment horizontal="right" vertical="bottom"/>
    </xf>
    <xf borderId="186" fillId="65" fontId="165" numFmtId="3" xfId="0" applyAlignment="1" applyBorder="1" applyFont="1" applyNumberFormat="1">
      <alignment horizontal="right" vertical="bottom"/>
    </xf>
    <xf borderId="186" fillId="65" fontId="165" numFmtId="46" xfId="0" applyAlignment="1" applyBorder="1" applyFont="1" applyNumberFormat="1">
      <alignment horizontal="right" vertical="bottom"/>
    </xf>
    <xf borderId="0" fillId="15" fontId="165" numFmtId="46" xfId="0" applyAlignment="1" applyFont="1" applyNumberFormat="1">
      <alignment horizontal="right" vertical="bottom"/>
    </xf>
    <xf borderId="0" fillId="15" fontId="165" numFmtId="0" xfId="0" applyAlignment="1" applyFont="1">
      <alignment horizontal="right" vertical="bottom"/>
    </xf>
    <xf borderId="185" fillId="15" fontId="165" numFmtId="46" xfId="0" applyAlignment="1" applyBorder="1" applyFont="1" applyNumberFormat="1">
      <alignment horizontal="right" vertical="bottom"/>
    </xf>
    <xf borderId="184" fillId="15" fontId="165" numFmtId="3" xfId="0" applyAlignment="1" applyBorder="1" applyFont="1" applyNumberFormat="1">
      <alignment horizontal="right" vertical="bottom"/>
    </xf>
    <xf borderId="0" fillId="15" fontId="165" numFmtId="3" xfId="0" applyAlignment="1" applyFont="1" applyNumberFormat="1">
      <alignment horizontal="right" vertical="bottom"/>
    </xf>
    <xf borderId="0" fillId="15" fontId="165" numFmtId="204" xfId="0" applyAlignment="1" applyFont="1" applyNumberFormat="1">
      <alignment horizontal="right" vertical="bottom"/>
    </xf>
    <xf borderId="0" fillId="26" fontId="165" numFmtId="46" xfId="0" applyAlignment="1" applyFont="1" applyNumberFormat="1">
      <alignment horizontal="right" readingOrder="0" vertical="bottom"/>
    </xf>
    <xf borderId="182" fillId="26" fontId="165" numFmtId="11" xfId="0" applyAlignment="1" applyBorder="1" applyFont="1" applyNumberFormat="1">
      <alignment horizontal="right" vertical="bottom"/>
    </xf>
    <xf borderId="0" fillId="29" fontId="152" numFmtId="46" xfId="0" applyAlignment="1" applyFont="1" applyNumberFormat="1">
      <alignment vertical="bottom"/>
    </xf>
    <xf borderId="182" fillId="29" fontId="152" numFmtId="3" xfId="0" applyAlignment="1" applyBorder="1" applyFont="1" applyNumberFormat="1">
      <alignment vertical="bottom"/>
    </xf>
    <xf borderId="0" fillId="29" fontId="152" numFmtId="3" xfId="0" applyAlignment="1" applyFont="1" applyNumberFormat="1">
      <alignment vertical="bottom"/>
    </xf>
    <xf borderId="182" fillId="29" fontId="152" numFmtId="4" xfId="0" applyAlignment="1" applyBorder="1" applyFont="1" applyNumberFormat="1">
      <alignment vertical="bottom"/>
    </xf>
    <xf borderId="21" fillId="64" fontId="165" numFmtId="46" xfId="0" applyAlignment="1" applyBorder="1" applyFont="1" applyNumberFormat="1">
      <alignment horizontal="right" vertical="bottom"/>
    </xf>
    <xf borderId="182" fillId="64" fontId="165" numFmtId="3" xfId="0" applyAlignment="1" applyBorder="1" applyFont="1" applyNumberFormat="1">
      <alignment horizontal="right" vertical="bottom"/>
    </xf>
    <xf borderId="21" fillId="64" fontId="165" numFmtId="204" xfId="0" applyAlignment="1" applyBorder="1" applyFont="1" applyNumberFormat="1">
      <alignment horizontal="right" vertical="bottom"/>
    </xf>
    <xf borderId="21" fillId="15" fontId="165" numFmtId="46" xfId="0" applyAlignment="1" applyBorder="1" applyFont="1" applyNumberFormat="1">
      <alignment horizontal="right" vertical="bottom"/>
    </xf>
    <xf borderId="182" fillId="15" fontId="165" numFmtId="3" xfId="0" applyAlignment="1" applyBorder="1" applyFont="1" applyNumberFormat="1">
      <alignment horizontal="right" vertical="bottom"/>
    </xf>
    <xf borderId="0" fillId="29" fontId="8" numFmtId="3" xfId="0" applyAlignment="1" applyFont="1" applyNumberFormat="1">
      <alignment vertical="bottom"/>
    </xf>
    <xf borderId="0" fillId="15" fontId="8" numFmtId="204" xfId="0" applyAlignment="1" applyFont="1" applyNumberFormat="1">
      <alignment vertical="bottom"/>
    </xf>
    <xf borderId="0" fillId="15" fontId="8" numFmtId="3" xfId="0" applyAlignment="1" applyFont="1" applyNumberFormat="1">
      <alignment vertical="bottom"/>
    </xf>
    <xf borderId="0" fillId="82" fontId="165" numFmtId="204" xfId="0" applyAlignment="1" applyFont="1" applyNumberFormat="1">
      <alignment horizontal="right" vertical="bottom"/>
    </xf>
    <xf borderId="0" fillId="29" fontId="106" numFmtId="3" xfId="0" applyAlignment="1" applyFont="1" applyNumberFormat="1">
      <alignment horizontal="right" vertical="bottom"/>
    </xf>
    <xf borderId="21" fillId="29" fontId="152" numFmtId="3" xfId="0" applyAlignment="1" applyBorder="1" applyFont="1" applyNumberFormat="1">
      <alignment vertical="bottom"/>
    </xf>
    <xf borderId="3" fillId="29" fontId="152" numFmtId="46" xfId="0" applyAlignment="1" applyBorder="1" applyFont="1" applyNumberFormat="1">
      <alignment vertical="bottom"/>
    </xf>
    <xf borderId="186" fillId="29" fontId="152" numFmtId="3" xfId="0" applyAlignment="1" applyBorder="1" applyFont="1" applyNumberFormat="1">
      <alignment vertical="bottom"/>
    </xf>
    <xf borderId="3" fillId="19" fontId="165" numFmtId="3" xfId="0" applyAlignment="1" applyBorder="1" applyFont="1" applyNumberFormat="1">
      <alignment horizontal="right" vertical="bottom"/>
    </xf>
    <xf borderId="186" fillId="19" fontId="166" numFmtId="3" xfId="0" applyAlignment="1" applyBorder="1" applyFont="1" applyNumberFormat="1">
      <alignment horizontal="right" vertical="bottom"/>
    </xf>
    <xf borderId="3" fillId="19" fontId="166" numFmtId="46" xfId="0" applyAlignment="1" applyBorder="1" applyFont="1" applyNumberFormat="1">
      <alignment horizontal="right" vertical="bottom"/>
    </xf>
    <xf borderId="186" fillId="19" fontId="165" numFmtId="46" xfId="0" applyAlignment="1" applyBorder="1" applyFont="1" applyNumberFormat="1">
      <alignment horizontal="right" vertical="bottom"/>
    </xf>
    <xf borderId="3" fillId="10" fontId="165" numFmtId="46" xfId="0" applyAlignment="1" applyBorder="1" applyFont="1" applyNumberFormat="1">
      <alignment horizontal="right" vertical="bottom"/>
    </xf>
    <xf borderId="186" fillId="10" fontId="165" numFmtId="3" xfId="0" applyAlignment="1" applyBorder="1" applyFont="1" applyNumberFormat="1">
      <alignment horizontal="right" vertical="bottom"/>
    </xf>
    <xf borderId="3" fillId="29" fontId="152" numFmtId="3" xfId="0" applyAlignment="1" applyBorder="1" applyFont="1" applyNumberFormat="1">
      <alignment vertical="bottom"/>
    </xf>
    <xf borderId="3" fillId="81" fontId="165" numFmtId="46" xfId="0" applyAlignment="1" applyBorder="1" applyFont="1" applyNumberFormat="1">
      <alignment horizontal="right" vertical="bottom"/>
    </xf>
    <xf borderId="186" fillId="81" fontId="165" numFmtId="3" xfId="0" applyAlignment="1" applyBorder="1" applyFont="1" applyNumberFormat="1">
      <alignment horizontal="right" vertical="bottom"/>
    </xf>
    <xf borderId="186" fillId="29" fontId="152" numFmtId="4" xfId="0" applyAlignment="1" applyBorder="1" applyFont="1" applyNumberFormat="1">
      <alignment vertical="bottom"/>
    </xf>
    <xf borderId="187" fillId="29" fontId="152" numFmtId="3" xfId="0" applyAlignment="1" applyBorder="1" applyFont="1" applyNumberFormat="1">
      <alignment vertical="bottom"/>
    </xf>
    <xf borderId="3" fillId="81" fontId="165" numFmtId="3" xfId="0" applyAlignment="1" applyBorder="1" applyFont="1" applyNumberFormat="1">
      <alignment horizontal="right" vertical="bottom"/>
    </xf>
    <xf borderId="3" fillId="81" fontId="165" numFmtId="46" xfId="0" applyAlignment="1" applyBorder="1" applyFont="1" applyNumberFormat="1">
      <alignment horizontal="right" readingOrder="0" vertical="bottom"/>
    </xf>
    <xf borderId="3" fillId="81" fontId="165" numFmtId="3" xfId="0" applyAlignment="1" applyBorder="1" applyFont="1" applyNumberFormat="1">
      <alignment horizontal="right" readingOrder="0" vertical="bottom"/>
    </xf>
    <xf borderId="3" fillId="29" fontId="8" numFmtId="204" xfId="0" applyAlignment="1" applyBorder="1" applyFont="1" applyNumberFormat="1">
      <alignment vertical="bottom"/>
    </xf>
    <xf borderId="3" fillId="29" fontId="8" numFmtId="3" xfId="0" applyAlignment="1" applyBorder="1" applyFont="1" applyNumberFormat="1">
      <alignment vertical="bottom"/>
    </xf>
    <xf borderId="3" fillId="82" fontId="165" numFmtId="46" xfId="0" applyAlignment="1" applyBorder="1" applyFont="1" applyNumberFormat="1">
      <alignment horizontal="right" vertical="bottom"/>
    </xf>
    <xf borderId="186" fillId="82" fontId="165" numFmtId="3" xfId="0" applyAlignment="1" applyBorder="1" applyFont="1" applyNumberFormat="1">
      <alignment horizontal="right" vertical="bottom"/>
    </xf>
    <xf borderId="3" fillId="82" fontId="165" numFmtId="3" xfId="0" applyAlignment="1" applyBorder="1" applyFont="1" applyNumberFormat="1">
      <alignment horizontal="right" vertical="bottom"/>
    </xf>
    <xf borderId="187" fillId="64" fontId="165" numFmtId="46" xfId="0" applyAlignment="1" applyBorder="1" applyFont="1" applyNumberFormat="1">
      <alignment horizontal="right" vertical="bottom"/>
    </xf>
    <xf borderId="186" fillId="64" fontId="165" numFmtId="3" xfId="0" applyAlignment="1" applyBorder="1" applyFont="1" applyNumberFormat="1">
      <alignment horizontal="right" vertical="bottom"/>
    </xf>
    <xf borderId="187" fillId="64" fontId="165" numFmtId="204" xfId="0" applyAlignment="1" applyBorder="1" applyFont="1" applyNumberFormat="1">
      <alignment horizontal="right" vertical="bottom"/>
    </xf>
    <xf borderId="187" fillId="15" fontId="165" numFmtId="46" xfId="0" applyAlignment="1" applyBorder="1" applyFont="1" applyNumberFormat="1">
      <alignment horizontal="right" vertical="bottom"/>
    </xf>
    <xf borderId="186" fillId="15" fontId="165" numFmtId="3" xfId="0" applyAlignment="1" applyBorder="1" applyFont="1" applyNumberFormat="1">
      <alignment horizontal="right" vertical="bottom"/>
    </xf>
    <xf borderId="186" fillId="26" fontId="165" numFmtId="11" xfId="0" applyAlignment="1" applyBorder="1" applyFont="1" applyNumberFormat="1">
      <alignment horizontal="right" vertical="bottom"/>
    </xf>
    <xf borderId="182" fillId="29" fontId="8" numFmtId="3" xfId="0" applyAlignment="1" applyBorder="1" applyFont="1" applyNumberFormat="1">
      <alignment vertical="bottom"/>
    </xf>
    <xf borderId="0" fillId="29" fontId="8" numFmtId="204" xfId="0" applyAlignment="1" applyFont="1" applyNumberFormat="1">
      <alignment vertical="bottom"/>
    </xf>
    <xf borderId="0" fillId="29" fontId="8" numFmtId="46" xfId="0" applyAlignment="1" applyFont="1" applyNumberFormat="1">
      <alignment vertical="bottom"/>
    </xf>
    <xf borderId="0" fillId="29" fontId="152" numFmtId="0" xfId="0" applyAlignment="1" applyFont="1">
      <alignment readingOrder="0" vertical="bottom"/>
    </xf>
    <xf borderId="186" fillId="29" fontId="8" numFmtId="3" xfId="0" applyAlignment="1" applyBorder="1" applyFont="1" applyNumberFormat="1">
      <alignment vertical="bottom"/>
    </xf>
    <xf borderId="3" fillId="29" fontId="8" numFmtId="46" xfId="0" applyAlignment="1" applyBorder="1" applyFont="1" applyNumberFormat="1">
      <alignment vertical="bottom"/>
    </xf>
    <xf borderId="0" fillId="15" fontId="167" numFmtId="46" xfId="0" applyAlignment="1" applyFont="1" applyNumberFormat="1">
      <alignment horizontal="right" vertical="bottom"/>
    </xf>
    <xf borderId="0" fillId="15" fontId="167" numFmtId="3" xfId="0" applyAlignment="1" applyFont="1" applyNumberFormat="1">
      <alignment horizontal="right" vertical="bottom"/>
    </xf>
    <xf borderId="182" fillId="29" fontId="152" numFmtId="46" xfId="0" applyAlignment="1" applyBorder="1" applyFont="1" applyNumberFormat="1">
      <alignment vertical="bottom"/>
    </xf>
    <xf borderId="186" fillId="29" fontId="152" numFmtId="46" xfId="0" applyAlignment="1" applyBorder="1" applyFont="1" applyNumberFormat="1">
      <alignment vertical="bottom"/>
    </xf>
    <xf borderId="0" fillId="29" fontId="152" numFmtId="4" xfId="0" applyAlignment="1" applyFont="1" applyNumberFormat="1">
      <alignment vertical="bottom"/>
    </xf>
    <xf borderId="21" fillId="29" fontId="152" numFmtId="46" xfId="0" applyAlignment="1" applyBorder="1" applyFont="1" applyNumberFormat="1">
      <alignment vertical="bottom"/>
    </xf>
    <xf borderId="21" fillId="29" fontId="8" numFmtId="3" xfId="0" applyAlignment="1" applyBorder="1" applyFont="1" applyNumberFormat="1">
      <alignment vertical="bottom"/>
    </xf>
    <xf borderId="187" fillId="29" fontId="152" numFmtId="46" xfId="0" applyAlignment="1" applyBorder="1" applyFont="1" applyNumberFormat="1">
      <alignment vertical="bottom"/>
    </xf>
    <xf borderId="187" fillId="29" fontId="8" numFmtId="3" xfId="0" applyAlignment="1" applyBorder="1" applyFont="1" applyNumberFormat="1">
      <alignment vertical="bottom"/>
    </xf>
    <xf borderId="0" fillId="29" fontId="161" numFmtId="0" xfId="0" applyAlignment="1" applyFont="1">
      <alignment horizontal="right" vertical="bottom"/>
    </xf>
    <xf borderId="0" fillId="19" fontId="165" numFmtId="4" xfId="0" applyAlignment="1" applyFont="1" applyNumberFormat="1">
      <alignment horizontal="right" vertical="bottom"/>
    </xf>
    <xf borderId="0" fillId="19" fontId="8" numFmtId="4" xfId="0" applyAlignment="1" applyFont="1" applyNumberFormat="1">
      <alignment vertical="bottom"/>
    </xf>
    <xf borderId="0" fillId="19" fontId="8" numFmtId="46" xfId="0" applyAlignment="1" applyFont="1" applyNumberFormat="1">
      <alignment vertical="bottom"/>
    </xf>
  </cellXfs>
  <cellStyles count="1">
    <cellStyle xfId="0" name="Normal" builtinId="0"/>
  </cellStyles>
  <dxfs count="45">
    <dxf>
      <font>
        <color rgb="FF000000"/>
      </font>
      <fill>
        <patternFill patternType="solid">
          <fgColor rgb="FFF6B26B"/>
          <bgColor rgb="FFF6B26B"/>
        </patternFill>
      </fill>
      <border/>
    </dxf>
    <dxf>
      <font/>
      <fill>
        <patternFill patternType="solid">
          <fgColor rgb="FF62A743"/>
          <bgColor rgb="FF62A743"/>
        </patternFill>
      </fill>
      <border/>
    </dxf>
    <dxf>
      <font/>
      <fill>
        <patternFill patternType="solid">
          <fgColor rgb="FFFFD966"/>
          <bgColor rgb="FFFFD966"/>
        </patternFill>
      </fill>
      <border/>
    </dxf>
    <dxf>
      <font>
        <color rgb="FF000000"/>
      </font>
      <fill>
        <patternFill patternType="solid">
          <fgColor rgb="FFCC4125"/>
          <bgColor rgb="FFCC4125"/>
        </patternFill>
      </fill>
      <border/>
    </dxf>
    <dxf>
      <font>
        <u/>
        <color rgb="FF000000"/>
      </font>
      <fill>
        <patternFill patternType="none"/>
      </fill>
      <border/>
    </dxf>
    <dxf>
      <font>
        <b/>
        <u/>
        <color rgb="FF000000"/>
      </font>
      <fill>
        <patternFill patternType="none"/>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E06666"/>
          <bgColor rgb="FFE06666"/>
        </patternFill>
      </fill>
      <border/>
    </dxf>
    <dxf>
      <font/>
      <fill>
        <patternFill patternType="solid">
          <fgColor rgb="FFD9D9D9"/>
          <bgColor rgb="FFD9D9D9"/>
        </patternFill>
      </fill>
      <border/>
    </dxf>
    <dxf>
      <font/>
      <fill>
        <patternFill patternType="solid">
          <fgColor rgb="FFB4A7D6"/>
          <bgColor rgb="FFB4A7D6"/>
        </patternFill>
      </fill>
      <border/>
    </dxf>
    <dxf>
      <font/>
      <fill>
        <patternFill patternType="solid">
          <fgColor rgb="FFFFE599"/>
          <bgColor rgb="FFFFE599"/>
        </patternFill>
      </fill>
      <border/>
    </dxf>
    <dxf>
      <font/>
      <fill>
        <patternFill patternType="solid">
          <fgColor rgb="FFEA9999"/>
          <bgColor rgb="FFEA9999"/>
        </patternFill>
      </fill>
      <border/>
    </dxf>
    <dxf>
      <font/>
      <fill>
        <patternFill patternType="solid">
          <fgColor rgb="FFB7E1CD"/>
          <bgColor rgb="FFB7E1CD"/>
        </patternFill>
      </fill>
      <border/>
    </dxf>
    <dxf>
      <font/>
      <fill>
        <patternFill patternType="solid">
          <fgColor rgb="FF000000"/>
          <bgColor rgb="FF000000"/>
        </patternFill>
      </fill>
      <border/>
    </dxf>
    <dxf>
      <font>
        <b/>
        <u/>
      </font>
      <fill>
        <patternFill patternType="none"/>
      </fill>
      <border/>
    </dxf>
    <dxf>
      <font/>
      <fill>
        <patternFill patternType="solid">
          <fgColor rgb="FF00FFFF"/>
          <bgColor rgb="FF00FFFF"/>
        </patternFill>
      </fill>
      <border/>
    </dxf>
    <dxf>
      <font/>
      <fill>
        <patternFill patternType="solid">
          <fgColor rgb="FFE8F0FE"/>
          <bgColor rgb="FFE8F0FE"/>
        </patternFill>
      </fill>
      <border/>
    </dxf>
    <dxf>
      <font/>
      <fill>
        <patternFill patternType="solid">
          <fgColor rgb="FF26FF00"/>
          <bgColor rgb="FF26FF00"/>
        </patternFill>
      </fill>
      <border/>
    </dxf>
    <dxf>
      <font/>
      <fill>
        <patternFill patternType="solid">
          <fgColor rgb="FF76F65F"/>
          <bgColor rgb="FF76F65F"/>
        </patternFill>
      </fill>
      <border/>
    </dxf>
    <dxf>
      <font/>
      <fill>
        <patternFill patternType="solid">
          <fgColor rgb="FF94FF80"/>
          <bgColor rgb="FF94FF80"/>
        </patternFill>
      </fill>
      <border/>
    </dxf>
    <dxf>
      <font/>
      <fill>
        <patternFill patternType="solid">
          <fgColor rgb="FFB5FEA8"/>
          <bgColor rgb="FFB5FEA8"/>
        </patternFill>
      </fill>
      <border/>
    </dxf>
    <dxf>
      <font/>
      <fill>
        <patternFill patternType="solid">
          <fgColor rgb="FFC7F7B1"/>
          <bgColor rgb="FFC7F7B1"/>
        </patternFill>
      </fill>
      <border/>
    </dxf>
    <dxf>
      <font/>
      <fill>
        <patternFill patternType="solid">
          <fgColor rgb="FFE6FFE1"/>
          <bgColor rgb="FFE6FFE1"/>
        </patternFill>
      </fill>
      <border/>
    </dxf>
    <dxf>
      <font/>
      <fill>
        <patternFill patternType="solid">
          <fgColor rgb="FF34A853"/>
          <bgColor rgb="FF34A853"/>
        </patternFill>
      </fill>
      <border/>
    </dxf>
    <dxf>
      <font/>
      <fill>
        <patternFill patternType="solid">
          <fgColor rgb="FFEA4335"/>
          <bgColor rgb="FFEA4335"/>
        </patternFill>
      </fill>
      <border/>
    </dxf>
    <dxf>
      <font>
        <b/>
      </font>
      <fill>
        <patternFill patternType="solid">
          <fgColor rgb="FFB3E6D5"/>
          <bgColor rgb="FFB3E6D5"/>
        </patternFill>
      </fill>
      <border/>
    </dxf>
    <dxf>
      <font>
        <color rgb="FFFFFFFF"/>
      </font>
      <fill>
        <patternFill patternType="solid">
          <fgColor rgb="FF5A3286"/>
          <bgColor rgb="FF5A3286"/>
        </patternFill>
      </fill>
      <border/>
    </dxf>
    <dxf>
      <font>
        <color rgb="FF000000"/>
      </font>
      <fill>
        <patternFill patternType="solid">
          <fgColor rgb="FFFFE5A0"/>
          <bgColor rgb="FFFFE5A0"/>
        </patternFill>
      </fill>
      <border/>
    </dxf>
    <dxf>
      <font>
        <color rgb="FFFFFFFF"/>
      </font>
      <fill>
        <patternFill patternType="solid">
          <fgColor rgb="FFB10202"/>
          <bgColor rgb="FFB10202"/>
        </patternFill>
      </fill>
      <border/>
    </dxf>
    <dxf>
      <font>
        <color rgb="FF000000"/>
      </font>
      <fill>
        <patternFill patternType="solid">
          <fgColor rgb="FFD4EDBC"/>
          <bgColor rgb="FFD4EDBC"/>
        </patternFill>
      </fill>
      <border/>
    </dxf>
    <dxf>
      <font/>
      <fill>
        <patternFill patternType="solid">
          <fgColor rgb="FFB6D7A8"/>
          <bgColor rgb="FFB6D7A8"/>
        </patternFill>
      </fill>
      <border/>
    </dxf>
    <dxf>
      <font/>
      <fill>
        <patternFill patternType="solid">
          <fgColor rgb="FFA4C2F4"/>
          <bgColor rgb="FFA4C2F4"/>
        </patternFill>
      </fill>
      <border/>
    </dxf>
    <dxf>
      <font/>
      <fill>
        <patternFill patternType="solid">
          <fgColor rgb="FFCFE2F3"/>
          <bgColor rgb="FFCFE2F3"/>
        </patternFill>
      </fill>
      <border/>
    </dxf>
    <dxf>
      <font/>
      <fill>
        <patternFill patternType="solid">
          <fgColor rgb="FFBF9000"/>
          <bgColor rgb="FFBF9000"/>
        </patternFill>
      </fill>
      <border/>
    </dxf>
    <dxf>
      <font/>
      <fill>
        <patternFill patternType="solid">
          <fgColor rgb="FFF4CCCC"/>
          <bgColor rgb="FFF4CCCC"/>
        </patternFill>
      </fill>
      <border/>
    </dxf>
    <dxf>
      <font/>
      <fill>
        <patternFill patternType="solid">
          <fgColor rgb="FF23272A"/>
          <bgColor rgb="FF23272A"/>
        </patternFill>
      </fill>
      <border/>
    </dxf>
    <dxf>
      <font>
        <color rgb="FF78F961"/>
      </font>
      <fill>
        <patternFill patternType="none"/>
      </fill>
      <border/>
    </dxf>
    <dxf>
      <font>
        <color rgb="FFFD5858"/>
      </font>
      <fill>
        <patternFill patternType="none"/>
      </fill>
      <border/>
    </dxf>
    <dxf>
      <font>
        <color rgb="FFF6A030"/>
      </font>
      <fill>
        <patternFill patternType="none"/>
      </fill>
      <border/>
    </dxf>
    <dxf>
      <font>
        <color rgb="FFF557F9"/>
      </font>
      <fill>
        <patternFill patternType="none"/>
      </fill>
      <border/>
    </dxf>
    <dxf>
      <font>
        <color rgb="FF6DD9F2"/>
      </font>
      <fill>
        <patternFill patternType="none"/>
      </fill>
      <border/>
    </dxf>
  </dxfs>
  <tableStyles count="6">
    <tableStyle count="4" pivot="0" name="DVT_Modules-style">
      <tableStyleElement dxfId="7" type="headerRow"/>
      <tableStyleElement dxfId="8" type="firstRowStripe"/>
      <tableStyleElement dxfId="9" type="secondRowStripe"/>
      <tableStyleElement dxfId="10" size="0" type="wholeTable"/>
    </tableStyle>
    <tableStyle count="2" pivot="0" name="Tracker-style">
      <tableStyleElement dxfId="20" type="firstRowStripe"/>
      <tableStyleElement dxfId="8" type="secondRowStripe"/>
    </tableStyle>
    <tableStyle count="2" pivot="0" name="Tracker-style 2">
      <tableStyleElement dxfId="20" type="firstRowStripe"/>
      <tableStyleElement dxfId="8" type="secondRowStripe"/>
    </tableStyle>
    <tableStyle count="2" pivot="0" name="Tracker-style 3">
      <tableStyleElement dxfId="20" type="firstRowStripe"/>
      <tableStyleElement dxfId="8" type="secondRowStripe"/>
    </tableStyle>
    <tableStyle count="2" pivot="0" name="Tracker-style 4">
      <tableStyleElement dxfId="20" type="firstRowStripe"/>
      <tableStyleElement dxfId="8" type="secondRowStripe"/>
    </tableStyle>
    <tableStyle count="4" pivot="0" name="Optimal Assist levels-style">
      <tableStyleElement dxfId="7" type="headerRow"/>
      <tableStyleElement dxfId="8" type="firstRowStripe"/>
      <tableStyleElement dxfId="9" type="secondRowStripe"/>
      <tableStyleElement dxfId="10"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6.xml.rels><?xml version="1.0" encoding="UTF-8" standalone="yes"?><Relationships xmlns="http://schemas.openxmlformats.org/package/2006/relationships"><Relationship Id="rId20" Type="http://schemas.openxmlformats.org/officeDocument/2006/relationships/image" Target="../media/image12.png"/><Relationship Id="rId11" Type="http://schemas.openxmlformats.org/officeDocument/2006/relationships/image" Target="../media/image15.png"/><Relationship Id="rId22" Type="http://schemas.openxmlformats.org/officeDocument/2006/relationships/image" Target="../media/image26.png"/><Relationship Id="rId10" Type="http://schemas.openxmlformats.org/officeDocument/2006/relationships/image" Target="../media/image10.png"/><Relationship Id="rId21" Type="http://schemas.openxmlformats.org/officeDocument/2006/relationships/image" Target="../media/image20.png"/><Relationship Id="rId13" Type="http://schemas.openxmlformats.org/officeDocument/2006/relationships/image" Target="../media/image13.png"/><Relationship Id="rId24" Type="http://schemas.openxmlformats.org/officeDocument/2006/relationships/image" Target="../media/image25.png"/><Relationship Id="rId12" Type="http://schemas.openxmlformats.org/officeDocument/2006/relationships/image" Target="../media/image18.png"/><Relationship Id="rId23" Type="http://schemas.openxmlformats.org/officeDocument/2006/relationships/image" Target="../media/image24.png"/><Relationship Id="rId1" Type="http://schemas.openxmlformats.org/officeDocument/2006/relationships/image" Target="../media/image11.png"/><Relationship Id="rId2" Type="http://schemas.openxmlformats.org/officeDocument/2006/relationships/image" Target="../media/image5.png"/><Relationship Id="rId3" Type="http://schemas.openxmlformats.org/officeDocument/2006/relationships/image" Target="../media/image27.png"/><Relationship Id="rId4" Type="http://schemas.openxmlformats.org/officeDocument/2006/relationships/image" Target="../media/image19.png"/><Relationship Id="rId9" Type="http://schemas.openxmlformats.org/officeDocument/2006/relationships/image" Target="../media/image28.png"/><Relationship Id="rId15" Type="http://schemas.openxmlformats.org/officeDocument/2006/relationships/image" Target="../media/image22.png"/><Relationship Id="rId14" Type="http://schemas.openxmlformats.org/officeDocument/2006/relationships/image" Target="../media/image14.png"/><Relationship Id="rId17" Type="http://schemas.openxmlformats.org/officeDocument/2006/relationships/image" Target="../media/image16.png"/><Relationship Id="rId16" Type="http://schemas.openxmlformats.org/officeDocument/2006/relationships/image" Target="../media/image21.png"/><Relationship Id="rId5" Type="http://schemas.openxmlformats.org/officeDocument/2006/relationships/image" Target="../media/image7.png"/><Relationship Id="rId19" Type="http://schemas.openxmlformats.org/officeDocument/2006/relationships/image" Target="../media/image6.png"/><Relationship Id="rId6" Type="http://schemas.openxmlformats.org/officeDocument/2006/relationships/image" Target="../media/image9.png"/><Relationship Id="rId18" Type="http://schemas.openxmlformats.org/officeDocument/2006/relationships/image" Target="../media/image17.png"/><Relationship Id="rId7" Type="http://schemas.openxmlformats.org/officeDocument/2006/relationships/image" Target="../media/image23.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9</xdr:row>
      <xdr:rowOff>0</xdr:rowOff>
    </xdr:from>
    <xdr:ext cx="6858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11</xdr:row>
      <xdr:rowOff>0</xdr:rowOff>
    </xdr:from>
    <xdr:ext cx="15716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14</xdr:row>
      <xdr:rowOff>0</xdr:rowOff>
    </xdr:from>
    <xdr:ext cx="400050" cy="2000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504825</xdr:colOff>
      <xdr:row>2</xdr:row>
      <xdr:rowOff>238125</xdr:rowOff>
    </xdr:from>
    <xdr:ext cx="11001375" cy="82486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5</xdr:row>
      <xdr:rowOff>0</xdr:rowOff>
    </xdr:from>
    <xdr:ext cx="542925" cy="561975"/>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5</xdr:row>
      <xdr:rowOff>0</xdr:rowOff>
    </xdr:from>
    <xdr:ext cx="609600" cy="56197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552450" cy="561975"/>
    <xdr:pic>
      <xdr:nvPicPr>
        <xdr:cNvPr id="0" name="image27.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6</xdr:row>
      <xdr:rowOff>0</xdr:rowOff>
    </xdr:from>
    <xdr:ext cx="609600" cy="561975"/>
    <xdr:pic>
      <xdr:nvPicPr>
        <xdr:cNvPr id="0" name="image19.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7</xdr:row>
      <xdr:rowOff>0</xdr:rowOff>
    </xdr:from>
    <xdr:ext cx="552450" cy="561975"/>
    <xdr:pic>
      <xdr:nvPicPr>
        <xdr:cNvPr id="0" name="image7.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7</xdr:row>
      <xdr:rowOff>0</xdr:rowOff>
    </xdr:from>
    <xdr:ext cx="619125" cy="552450"/>
    <xdr:pic>
      <xdr:nvPicPr>
        <xdr:cNvPr id="0" name="image9.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8</xdr:row>
      <xdr:rowOff>0</xdr:rowOff>
    </xdr:from>
    <xdr:ext cx="552450" cy="561975"/>
    <xdr:pic>
      <xdr:nvPicPr>
        <xdr:cNvPr id="0" name="image23.png"/>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0</xdr:colOff>
      <xdr:row>8</xdr:row>
      <xdr:rowOff>0</xdr:rowOff>
    </xdr:from>
    <xdr:ext cx="619125" cy="552450"/>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9</xdr:row>
      <xdr:rowOff>0</xdr:rowOff>
    </xdr:from>
    <xdr:ext cx="571500" cy="561975"/>
    <xdr:pic>
      <xdr:nvPicPr>
        <xdr:cNvPr id="0" name="image28.png"/>
        <xdr:cNvPicPr preferRelativeResize="0"/>
      </xdr:nvPicPr>
      <xdr:blipFill>
        <a:blip cstate="print" r:embed="rId9"/>
        <a:stretch>
          <a:fillRect/>
        </a:stretch>
      </xdr:blipFill>
      <xdr:spPr>
        <a:prstGeom prst="rect">
          <a:avLst/>
        </a:prstGeom>
        <a:noFill/>
      </xdr:spPr>
    </xdr:pic>
    <xdr:clientData fLocksWithSheet="0"/>
  </xdr:oneCellAnchor>
  <xdr:oneCellAnchor>
    <xdr:from>
      <xdr:col>10</xdr:col>
      <xdr:colOff>0</xdr:colOff>
      <xdr:row>9</xdr:row>
      <xdr:rowOff>0</xdr:rowOff>
    </xdr:from>
    <xdr:ext cx="619125" cy="542925"/>
    <xdr:pic>
      <xdr:nvPicPr>
        <xdr:cNvPr id="0" name="image10.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10</xdr:row>
      <xdr:rowOff>0</xdr:rowOff>
    </xdr:from>
    <xdr:ext cx="561975" cy="561975"/>
    <xdr:pic>
      <xdr:nvPicPr>
        <xdr:cNvPr id="0" name="image15.png"/>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0</xdr:colOff>
      <xdr:row>10</xdr:row>
      <xdr:rowOff>0</xdr:rowOff>
    </xdr:from>
    <xdr:ext cx="619125" cy="523875"/>
    <xdr:pic>
      <xdr:nvPicPr>
        <xdr:cNvPr id="0" name="image18.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14</xdr:row>
      <xdr:rowOff>0</xdr:rowOff>
    </xdr:from>
    <xdr:ext cx="571500" cy="561975"/>
    <xdr:pic>
      <xdr:nvPicPr>
        <xdr:cNvPr id="0" name="image13.png"/>
        <xdr:cNvPicPr preferRelativeResize="0"/>
      </xdr:nvPicPr>
      <xdr:blipFill>
        <a:blip cstate="print" r:embed="rId13"/>
        <a:stretch>
          <a:fillRect/>
        </a:stretch>
      </xdr:blipFill>
      <xdr:spPr>
        <a:prstGeom prst="rect">
          <a:avLst/>
        </a:prstGeom>
        <a:noFill/>
      </xdr:spPr>
    </xdr:pic>
    <xdr:clientData fLocksWithSheet="0"/>
  </xdr:oneCellAnchor>
  <xdr:oneCellAnchor>
    <xdr:from>
      <xdr:col>10</xdr:col>
      <xdr:colOff>0</xdr:colOff>
      <xdr:row>14</xdr:row>
      <xdr:rowOff>0</xdr:rowOff>
    </xdr:from>
    <xdr:ext cx="552450" cy="561975"/>
    <xdr:pic>
      <xdr:nvPicPr>
        <xdr:cNvPr id="0" name="image14.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15</xdr:row>
      <xdr:rowOff>0</xdr:rowOff>
    </xdr:from>
    <xdr:ext cx="571500" cy="561975"/>
    <xdr:pic>
      <xdr:nvPicPr>
        <xdr:cNvPr id="0" name="image22.png"/>
        <xdr:cNvPicPr preferRelativeResize="0"/>
      </xdr:nvPicPr>
      <xdr:blipFill>
        <a:blip cstate="print" r:embed="rId15"/>
        <a:stretch>
          <a:fillRect/>
        </a:stretch>
      </xdr:blipFill>
      <xdr:spPr>
        <a:prstGeom prst="rect">
          <a:avLst/>
        </a:prstGeom>
        <a:noFill/>
      </xdr:spPr>
    </xdr:pic>
    <xdr:clientData fLocksWithSheet="0"/>
  </xdr:oneCellAnchor>
  <xdr:oneCellAnchor>
    <xdr:from>
      <xdr:col>10</xdr:col>
      <xdr:colOff>0</xdr:colOff>
      <xdr:row>15</xdr:row>
      <xdr:rowOff>0</xdr:rowOff>
    </xdr:from>
    <xdr:ext cx="552450" cy="552450"/>
    <xdr:pic>
      <xdr:nvPicPr>
        <xdr:cNvPr id="0" name="image21.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16</xdr:row>
      <xdr:rowOff>0</xdr:rowOff>
    </xdr:from>
    <xdr:ext cx="561975" cy="561975"/>
    <xdr:pic>
      <xdr:nvPicPr>
        <xdr:cNvPr id="0" name="image16.png"/>
        <xdr:cNvPicPr preferRelativeResize="0"/>
      </xdr:nvPicPr>
      <xdr:blipFill>
        <a:blip cstate="print" r:embed="rId17"/>
        <a:stretch>
          <a:fillRect/>
        </a:stretch>
      </xdr:blipFill>
      <xdr:spPr>
        <a:prstGeom prst="rect">
          <a:avLst/>
        </a:prstGeom>
        <a:noFill/>
      </xdr:spPr>
    </xdr:pic>
    <xdr:clientData fLocksWithSheet="0"/>
  </xdr:oneCellAnchor>
  <xdr:oneCellAnchor>
    <xdr:from>
      <xdr:col>10</xdr:col>
      <xdr:colOff>0</xdr:colOff>
      <xdr:row>16</xdr:row>
      <xdr:rowOff>0</xdr:rowOff>
    </xdr:from>
    <xdr:ext cx="561975" cy="552450"/>
    <xdr:pic>
      <xdr:nvPicPr>
        <xdr:cNvPr id="0" name="image17.pn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17</xdr:row>
      <xdr:rowOff>0</xdr:rowOff>
    </xdr:from>
    <xdr:ext cx="561975" cy="561975"/>
    <xdr:pic>
      <xdr:nvPicPr>
        <xdr:cNvPr id="0" name="image6.png"/>
        <xdr:cNvPicPr preferRelativeResize="0"/>
      </xdr:nvPicPr>
      <xdr:blipFill>
        <a:blip cstate="print" r:embed="rId19"/>
        <a:stretch>
          <a:fillRect/>
        </a:stretch>
      </xdr:blipFill>
      <xdr:spPr>
        <a:prstGeom prst="rect">
          <a:avLst/>
        </a:prstGeom>
        <a:noFill/>
      </xdr:spPr>
    </xdr:pic>
    <xdr:clientData fLocksWithSheet="0"/>
  </xdr:oneCellAnchor>
  <xdr:oneCellAnchor>
    <xdr:from>
      <xdr:col>10</xdr:col>
      <xdr:colOff>0</xdr:colOff>
      <xdr:row>17</xdr:row>
      <xdr:rowOff>0</xdr:rowOff>
    </xdr:from>
    <xdr:ext cx="552450" cy="552450"/>
    <xdr:pic>
      <xdr:nvPicPr>
        <xdr:cNvPr id="0" name="image12.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18</xdr:row>
      <xdr:rowOff>0</xdr:rowOff>
    </xdr:from>
    <xdr:ext cx="552450" cy="561975"/>
    <xdr:pic>
      <xdr:nvPicPr>
        <xdr:cNvPr id="0" name="image20.png"/>
        <xdr:cNvPicPr preferRelativeResize="0"/>
      </xdr:nvPicPr>
      <xdr:blipFill>
        <a:blip cstate="print" r:embed="rId21"/>
        <a:stretch>
          <a:fillRect/>
        </a:stretch>
      </xdr:blipFill>
      <xdr:spPr>
        <a:prstGeom prst="rect">
          <a:avLst/>
        </a:prstGeom>
        <a:noFill/>
      </xdr:spPr>
    </xdr:pic>
    <xdr:clientData fLocksWithSheet="0"/>
  </xdr:oneCellAnchor>
  <xdr:oneCellAnchor>
    <xdr:from>
      <xdr:col>10</xdr:col>
      <xdr:colOff>0</xdr:colOff>
      <xdr:row>18</xdr:row>
      <xdr:rowOff>0</xdr:rowOff>
    </xdr:from>
    <xdr:ext cx="571500" cy="552450"/>
    <xdr:pic>
      <xdr:nvPicPr>
        <xdr:cNvPr id="0" name="image26.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19</xdr:row>
      <xdr:rowOff>0</xdr:rowOff>
    </xdr:from>
    <xdr:ext cx="561975" cy="561975"/>
    <xdr:pic>
      <xdr:nvPicPr>
        <xdr:cNvPr id="0" name="image24.png"/>
        <xdr:cNvPicPr preferRelativeResize="0"/>
      </xdr:nvPicPr>
      <xdr:blipFill>
        <a:blip cstate="print" r:embed="rId23"/>
        <a:stretch>
          <a:fillRect/>
        </a:stretch>
      </xdr:blipFill>
      <xdr:spPr>
        <a:prstGeom prst="rect">
          <a:avLst/>
        </a:prstGeom>
        <a:noFill/>
      </xdr:spPr>
    </xdr:pic>
    <xdr:clientData fLocksWithSheet="0"/>
  </xdr:oneCellAnchor>
  <xdr:oneCellAnchor>
    <xdr:from>
      <xdr:col>10</xdr:col>
      <xdr:colOff>0</xdr:colOff>
      <xdr:row>19</xdr:row>
      <xdr:rowOff>0</xdr:rowOff>
    </xdr:from>
    <xdr:ext cx="552450" cy="561975"/>
    <xdr:pic>
      <xdr:nvPicPr>
        <xdr:cNvPr id="0" name="image25.png"/>
        <xdr:cNvPicPr preferRelativeResize="0"/>
      </xdr:nvPicPr>
      <xdr:blipFill>
        <a:blip cstate="print" r:embed="rId24"/>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1:F17" displayName="MOD_BASE_STAT_TABLE" name="MOD_BASE_STAT_TABLE" id="1">
  <tableColumns count="5">
    <tableColumn name="RARITY" id="1"/>
    <tableColumn name="Cannon" id="2"/>
    <tableColumn name="Armor" id="3"/>
    <tableColumn name="Generator" id="4"/>
    <tableColumn name="Core" id="5"/>
  </tableColumns>
  <tableStyleInfo name="DVT_Modules-style" showColumnStripes="0" showFirstColumn="1" showLastColumn="1" showRowStripes="1"/>
</table>
</file>

<file path=xl/tables/table2.xml><?xml version="1.0" encoding="utf-8"?>
<table xmlns="http://schemas.openxmlformats.org/spreadsheetml/2006/main" headerRowCount="0" ref="C5:C9" displayName="Table_1" name="Table_1" id="2">
  <tableColumns count="1">
    <tableColumn name="Column1" id="1"/>
  </tableColumns>
  <tableStyleInfo name="Tracker-style" showColumnStripes="0" showFirstColumn="1" showLastColumn="1" showRowStripes="1"/>
</table>
</file>

<file path=xl/tables/table3.xml><?xml version="1.0" encoding="utf-8"?>
<table xmlns="http://schemas.openxmlformats.org/spreadsheetml/2006/main" headerRowCount="0" ref="I5:I9" displayName="Table_2" name="Table_2" id="3">
  <tableColumns count="1">
    <tableColumn name="Column1" id="1"/>
  </tableColumns>
  <tableStyleInfo name="Tracker-style 2" showColumnStripes="0" showFirstColumn="1" showLastColumn="1" showRowStripes="1"/>
</table>
</file>

<file path=xl/tables/table4.xml><?xml version="1.0" encoding="utf-8"?>
<table xmlns="http://schemas.openxmlformats.org/spreadsheetml/2006/main" headerRowCount="0" ref="C16:C20" displayName="Table_3" name="Table_3" id="4">
  <tableColumns count="1">
    <tableColumn name="Column1" id="1"/>
  </tableColumns>
  <tableStyleInfo name="Tracker-style 3" showColumnStripes="0" showFirstColumn="1" showLastColumn="1" showRowStripes="1"/>
</table>
</file>

<file path=xl/tables/table5.xml><?xml version="1.0" encoding="utf-8"?>
<table xmlns="http://schemas.openxmlformats.org/spreadsheetml/2006/main" headerRowCount="0" ref="I16:I20" displayName="Table_4" name="Table_4" id="5">
  <tableColumns count="1">
    <tableColumn name="Column1" id="1"/>
  </tableColumns>
  <tableStyleInfo name="Tracker-style 4" showColumnStripes="0" showFirstColumn="1" showLastColumn="1" showRowStripes="1"/>
</table>
</file>

<file path=xl/tables/table6.xml><?xml version="1.0" encoding="utf-8"?>
<table xmlns="http://schemas.openxmlformats.org/spreadsheetml/2006/main" ref="B27:Q327" displayName="optimizer" name="optimizer" id="6">
  <tableColumns count="16">
    <tableColumn name="Level" id="1"/>
    <tableColumn name="Shard cost" id="2"/>
    <tableColumn name="Discounted cost" id="3"/>
    <tableColumn name="Total discounted cost" id="4"/>
    <tableColumn name="cannonPrimary" id="5"/>
    <tableColumn name="armorPrimary" id="6"/>
    <tableColumn name="generatorPrimary" id="7"/>
    <tableColumn name="corePrimary" id="8"/>
    <tableColumn name="cannonAssist" id="9"/>
    <tableColumn name="armorAssist" id="10"/>
    <tableColumn name="generatorAssist" id="11"/>
    <tableColumn name="coreAssist" id="12"/>
    <tableColumn name="cannonCombined" id="13"/>
    <tableColumn name="armorCombined" id="14"/>
    <tableColumn name="generatorCombined" id="15"/>
    <tableColumn name="coreCombined" id="16"/>
  </tableColumns>
  <tableStyleInfo name="Optimal Assist level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r8p3rO6RD7KEepG_8HmQNQlVRl89Ot_Mkao3QwcF7sA/edit?gid=0" TargetMode="External"/><Relationship Id="rId3" Type="http://schemas.openxmlformats.org/officeDocument/2006/relationships/hyperlink" Target="https://docs.google.com/spreadsheets/d/1eCPPuQOE3Pyh8HhnApEMK3RFIutkUjWd61ppVImwWk8/edit?gid=234968364"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0" Type="http://schemas.openxmlformats.org/officeDocument/2006/relationships/drawing" Target="../drawings/drawing5.xml"/><Relationship Id="rId1" Type="http://schemas.openxmlformats.org/officeDocument/2006/relationships/hyperlink" Target="https://docs.google.com/spreadsheets/d/1jojOg_XIJCzm1LCYWu2F4KCtErjUIdKuFL1PiKzA0OE/edit" TargetMode="External"/><Relationship Id="rId2" Type="http://schemas.openxmlformats.org/officeDocument/2006/relationships/hyperlink" Target="https://docs.google.com/spreadsheets/d/1huHJMcyg1uRJEeRYqAgWzMc5TodPPplVZEFhwBiIeEs/edit" TargetMode="External"/><Relationship Id="rId3" Type="http://schemas.openxmlformats.org/officeDocument/2006/relationships/hyperlink" Target="https://docs.google.com/spreadsheets/d/1VTRhVyt28cxrjCRcgVkQr2R_u4g9irfJTHy1cfftlIE/edit" TargetMode="External"/><Relationship Id="rId4" Type="http://schemas.openxmlformats.org/officeDocument/2006/relationships/hyperlink" Target="https://docs.google.com/spreadsheets/d/1HMQwNLTvcw7aXmjjL7cXmZSdjAF_62ehWpwDIdjqEGs/edit" TargetMode="External"/><Relationship Id="rId9" Type="http://schemas.openxmlformats.org/officeDocument/2006/relationships/hyperlink" Target="https://docs.google.com/spreadsheets/d/1J4UPKzR9MLY_zzM7u7SzmyclgTEYX_PUvBcua4EbsSU/edit" TargetMode="External"/><Relationship Id="rId5" Type="http://schemas.openxmlformats.org/officeDocument/2006/relationships/hyperlink" Target="https://docs.google.com/spreadsheets/d/1Dll0IofJTWYkzhzhRWx1aA-_xtO3i_1iD65nAP6R_Ec/edit" TargetMode="External"/><Relationship Id="rId6" Type="http://schemas.openxmlformats.org/officeDocument/2006/relationships/hyperlink" Target="https://docs.google.com/spreadsheets/d/1H3PYvtIH7kId6WswEeMmrx7u5_g1GlkNPJtJhkASrbs/edit" TargetMode="External"/><Relationship Id="rId7" Type="http://schemas.openxmlformats.org/officeDocument/2006/relationships/hyperlink" Target="https://docs.google.com/spreadsheets/d/19KliigQhAeXztRPa9cSGZ7n9Q-REp4dyqMNI9d-UB0k/edit" TargetMode="External"/><Relationship Id="rId8" Type="http://schemas.openxmlformats.org/officeDocument/2006/relationships/hyperlink" Target="https://docs.google.com/spreadsheets/d/1rOoSY6TK918myJ6Mn6zO4rmUaFbPu6qJnGI17kc9DzQ/edit"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 Id="rId5"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8.xml"/><Relationship Id="rId3"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1" Type="http://schemas.openxmlformats.org/officeDocument/2006/relationships/table" Target="../tables/table5.xml"/><Relationship Id="rId10" Type="http://schemas.openxmlformats.org/officeDocument/2006/relationships/table" Target="../tables/table4.xml"/><Relationship Id="rId1" Type="http://schemas.openxmlformats.org/officeDocument/2006/relationships/comments" Target="../comments5.xml"/><Relationship Id="rId2" Type="http://schemas.openxmlformats.org/officeDocument/2006/relationships/drawing" Target="../drawings/drawing11.xml"/><Relationship Id="rId3" Type="http://schemas.openxmlformats.org/officeDocument/2006/relationships/vmlDrawing" Target="../drawings/vmlDrawing5.vml"/><Relationship Id="rId9" Type="http://schemas.openxmlformats.org/officeDocument/2006/relationships/table" Target="../tables/table3.xml"/><Relationship Id="rId8"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spreadsheets/d/1n-_W1Pr87UnJYsLRiLNFVEypxG89oZEythWb2doXZ9M/edit?gid=709300081"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4.xml"/><Relationship Id="rId3" Type="http://schemas.openxmlformats.org/officeDocument/2006/relationships/vmlDrawing" Target="../drawings/vmlDrawing6.vml"/><Relationship Id="rId5"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5.xml"/><Relationship Id="rId3"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1" Type="http://schemas.openxmlformats.org/officeDocument/2006/relationships/hyperlink" Target="https://the-tower-idle-tower-defense.fandom.com/wiki/Modules"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4.43" defaultRowHeight="15.75"/>
  <cols>
    <col customWidth="1" min="1" max="1" width="3.71"/>
    <col customWidth="1" min="2" max="2" width="7.14"/>
    <col customWidth="1" min="3" max="3" width="11.57"/>
    <col customWidth="1" min="4" max="5" width="19.29"/>
    <col customWidth="1" min="6" max="6" width="3.71"/>
    <col customWidth="1" min="7" max="7" width="27.71"/>
    <col customWidth="1" min="8" max="8" width="23.0"/>
    <col customWidth="1" min="9" max="9" width="22.14"/>
    <col customWidth="1" min="10" max="10" width="23.0"/>
    <col customWidth="1" min="11" max="11" width="3.71"/>
    <col customWidth="1" min="12" max="12" width="42.86"/>
  </cols>
  <sheetData>
    <row r="1">
      <c r="A1" s="1"/>
      <c r="B1" s="1"/>
      <c r="C1" s="1"/>
      <c r="D1" s="1"/>
      <c r="E1" s="1"/>
      <c r="F1" s="1"/>
      <c r="G1" s="1"/>
      <c r="H1" s="1"/>
      <c r="I1" s="1"/>
      <c r="J1" s="1"/>
      <c r="K1" s="1"/>
      <c r="L1" s="1"/>
    </row>
    <row r="2" ht="33.0" customHeight="1">
      <c r="A2" s="1"/>
      <c r="B2" s="2" t="s">
        <v>0</v>
      </c>
      <c r="K2" s="1"/>
      <c r="L2" s="1"/>
    </row>
    <row r="3" ht="14.25" customHeight="1">
      <c r="A3" s="1"/>
      <c r="B3" s="1"/>
      <c r="C3" s="1"/>
      <c r="D3" s="1"/>
      <c r="E3" s="1"/>
      <c r="F3" s="1"/>
      <c r="G3" s="1"/>
      <c r="H3" s="1"/>
      <c r="I3" s="1"/>
      <c r="J3" s="1"/>
      <c r="K3" s="1"/>
      <c r="L3" s="1"/>
    </row>
    <row r="4">
      <c r="A4" s="1"/>
      <c r="B4" s="3" t="str">
        <f>HYPERLINK("https://docs.google.com/spreadsheets/d/1KCxnSAvhstAbFdBSYSO_3bKUPtCFX42Eb7Z13agPU9s/copy", "Modules Initial Link")</f>
        <v>Modules Initial Link</v>
      </c>
      <c r="F4" s="1"/>
      <c r="G4" s="4" t="s">
        <v>1</v>
      </c>
      <c r="H4" s="5" t="s">
        <v>2</v>
      </c>
      <c r="I4" s="4" t="s">
        <v>3</v>
      </c>
      <c r="J4" s="4" t="s">
        <v>4</v>
      </c>
      <c r="K4" s="1"/>
      <c r="L4" s="1"/>
    </row>
    <row r="5">
      <c r="A5" s="1"/>
      <c r="F5" s="1"/>
      <c r="K5" s="1"/>
      <c r="L5" s="1"/>
    </row>
    <row r="6">
      <c r="A6" s="1"/>
      <c r="B6" s="1"/>
      <c r="C6" s="1"/>
      <c r="D6" s="1"/>
      <c r="E6" s="1"/>
      <c r="F6" s="1"/>
      <c r="G6" s="6" t="s">
        <v>5</v>
      </c>
      <c r="H6" s="7" t="s">
        <v>6</v>
      </c>
      <c r="I6" s="7" t="s">
        <v>6</v>
      </c>
      <c r="J6" s="8" t="s">
        <v>7</v>
      </c>
      <c r="K6" s="1"/>
      <c r="L6" s="1"/>
    </row>
    <row r="7">
      <c r="A7" s="1"/>
      <c r="B7" s="9" t="s">
        <v>8</v>
      </c>
      <c r="C7" s="10"/>
      <c r="D7" s="10"/>
      <c r="E7" s="10"/>
      <c r="F7" s="1"/>
      <c r="G7" s="6" t="s">
        <v>9</v>
      </c>
      <c r="H7" s="7" t="s">
        <v>6</v>
      </c>
      <c r="I7" s="7" t="s">
        <v>6</v>
      </c>
      <c r="J7" s="7" t="s">
        <v>10</v>
      </c>
      <c r="K7" s="1"/>
      <c r="L7" s="1"/>
    </row>
    <row r="8">
      <c r="A8" s="1"/>
      <c r="B8" s="1" t="str">
        <f>IFERROR(__xludf.DUMMYFUNCTION("IMPORTRANGE(""1KCxnSAvhstAbFdBSYSO_3bKUPtCFX42Eb7Z13agPU9s"", ""'Home Page'!B12:C13"")"),"v5.13")</f>
        <v>v5.13</v>
      </c>
      <c r="C8" s="1" t="str">
        <f>IFERROR(__xludf.DUMMYFUNCTION("""COMPUTED_VALUE"""),"feat: Shattered epic tracker (@ghostofthecommentsection)")</f>
        <v>feat: Shattered epic tracker (@ghostofthecommentsection)</v>
      </c>
      <c r="D8" s="11"/>
      <c r="E8" s="11"/>
      <c r="F8" s="1"/>
      <c r="G8" s="6" t="s">
        <v>11</v>
      </c>
      <c r="H8" s="12" t="s">
        <v>12</v>
      </c>
      <c r="I8" s="12" t="s">
        <v>13</v>
      </c>
      <c r="J8" s="7"/>
      <c r="K8" s="1"/>
      <c r="L8" s="1"/>
    </row>
    <row r="9">
      <c r="A9" s="1"/>
      <c r="B9" s="13" t="str">
        <f>IFERROR(__xludf.DUMMYFUNCTION("""COMPUTED_VALUE"""),"v5.12.1")</f>
        <v>v5.12.1</v>
      </c>
      <c r="C9" s="13" t="str">
        <f>IFERROR(__xludf.DUMMYFUNCTION("""COMPUTED_VALUE"""),"feat: Enhanced OAL button")</f>
        <v>feat: Enhanced OAL button</v>
      </c>
      <c r="D9" s="14"/>
      <c r="E9" s="14"/>
      <c r="F9" s="1"/>
      <c r="G9" s="6" t="s">
        <v>14</v>
      </c>
      <c r="H9" s="12" t="s">
        <v>13</v>
      </c>
      <c r="I9" s="7" t="s">
        <v>6</v>
      </c>
      <c r="J9" s="7" t="s">
        <v>12</v>
      </c>
      <c r="K9" s="1"/>
      <c r="L9" s="1"/>
    </row>
    <row r="10">
      <c r="A10" s="1"/>
      <c r="B10" s="1"/>
      <c r="C10" s="1"/>
      <c r="D10" s="1"/>
      <c r="E10" s="1"/>
      <c r="F10" s="1"/>
      <c r="G10" s="15" t="s">
        <v>15</v>
      </c>
      <c r="H10" s="16" t="s">
        <v>16</v>
      </c>
      <c r="I10" s="12" t="s">
        <v>12</v>
      </c>
      <c r="J10" s="7" t="s">
        <v>17</v>
      </c>
      <c r="K10" s="1"/>
      <c r="L10" s="1"/>
    </row>
    <row r="11">
      <c r="A11" s="1"/>
      <c r="B11" s="17" t="s">
        <v>18</v>
      </c>
      <c r="C11" s="10"/>
      <c r="D11" s="10"/>
      <c r="E11" s="10"/>
      <c r="F11" s="1"/>
      <c r="G11" s="18" t="s">
        <v>19</v>
      </c>
      <c r="H11" s="7" t="s">
        <v>20</v>
      </c>
      <c r="I11" s="7"/>
      <c r="J11" s="19"/>
      <c r="K11" s="1"/>
      <c r="L11" s="1"/>
    </row>
    <row r="12">
      <c r="A12" s="1"/>
      <c r="B12" s="20" t="s">
        <v>21</v>
      </c>
      <c r="C12" s="20" t="s">
        <v>22</v>
      </c>
      <c r="D12" s="20"/>
      <c r="E12" s="1"/>
      <c r="F12" s="1"/>
      <c r="G12" s="18" t="s">
        <v>23</v>
      </c>
      <c r="H12" s="7" t="s">
        <v>24</v>
      </c>
      <c r="I12" s="7" t="s">
        <v>24</v>
      </c>
      <c r="J12" s="7" t="s">
        <v>25</v>
      </c>
      <c r="K12" s="1"/>
      <c r="L12" s="1"/>
    </row>
    <row r="13">
      <c r="A13" s="1"/>
      <c r="B13" s="20" t="s">
        <v>26</v>
      </c>
      <c r="C13" s="20" t="s">
        <v>27</v>
      </c>
      <c r="D13" s="20"/>
      <c r="E13" s="1"/>
      <c r="F13" s="1"/>
      <c r="G13" s="18" t="s">
        <v>28</v>
      </c>
      <c r="H13" s="7" t="s">
        <v>29</v>
      </c>
      <c r="I13" s="7"/>
      <c r="J13" s="19"/>
      <c r="K13" s="1"/>
      <c r="L13" s="1"/>
    </row>
    <row r="14">
      <c r="A14" s="1"/>
      <c r="B14" s="20" t="s">
        <v>30</v>
      </c>
      <c r="C14" s="20" t="s">
        <v>31</v>
      </c>
      <c r="D14" s="20"/>
      <c r="E14" s="1"/>
      <c r="F14" s="1"/>
      <c r="G14" s="21" t="s">
        <v>32</v>
      </c>
      <c r="H14" s="7" t="s">
        <v>33</v>
      </c>
      <c r="I14" s="7"/>
      <c r="J14" s="19"/>
      <c r="K14" s="1"/>
      <c r="L14" s="1"/>
    </row>
    <row r="15">
      <c r="A15" s="1"/>
      <c r="B15" s="20" t="s">
        <v>34</v>
      </c>
      <c r="C15" s="20" t="s">
        <v>35</v>
      </c>
      <c r="D15" s="20"/>
      <c r="E15" s="1"/>
      <c r="F15" s="1"/>
      <c r="G15" s="21" t="s">
        <v>36</v>
      </c>
      <c r="H15" s="7" t="s">
        <v>37</v>
      </c>
      <c r="I15" s="7" t="s">
        <v>6</v>
      </c>
      <c r="J15" s="19"/>
      <c r="K15" s="1"/>
      <c r="L15" s="1"/>
    </row>
    <row r="16">
      <c r="A16" s="1"/>
      <c r="B16" s="20" t="s">
        <v>38</v>
      </c>
      <c r="C16" s="20" t="s">
        <v>39</v>
      </c>
      <c r="D16" s="20"/>
      <c r="E16" s="1"/>
      <c r="F16" s="1"/>
      <c r="G16" s="1"/>
      <c r="H16" s="1"/>
      <c r="I16" s="1"/>
      <c r="J16" s="1"/>
      <c r="K16" s="1"/>
      <c r="L16" s="1"/>
    </row>
    <row r="17">
      <c r="A17" s="1"/>
      <c r="B17" s="20" t="s">
        <v>40</v>
      </c>
      <c r="C17" s="20" t="s">
        <v>41</v>
      </c>
      <c r="D17" s="20"/>
      <c r="E17" s="1"/>
      <c r="F17" s="1"/>
      <c r="G17" s="22" t="s">
        <v>42</v>
      </c>
      <c r="H17" s="10"/>
      <c r="I17" s="10"/>
      <c r="J17" s="10"/>
      <c r="K17" s="1"/>
      <c r="L17" s="1"/>
    </row>
    <row r="18">
      <c r="A18" s="1"/>
      <c r="B18" s="20" t="s">
        <v>43</v>
      </c>
      <c r="C18" s="20" t="s">
        <v>44</v>
      </c>
      <c r="D18" s="20"/>
      <c r="E18" s="1"/>
      <c r="F18" s="1"/>
      <c r="G18" s="11"/>
      <c r="H18" s="11"/>
      <c r="I18" s="11"/>
      <c r="J18" s="11"/>
      <c r="K18" s="1"/>
      <c r="L18" s="1"/>
    </row>
    <row r="19">
      <c r="A19" s="1"/>
      <c r="B19" s="20" t="s">
        <v>45</v>
      </c>
      <c r="C19" s="20" t="s">
        <v>46</v>
      </c>
      <c r="D19" s="20"/>
      <c r="E19" s="1"/>
      <c r="F19" s="1"/>
      <c r="G19" s="23" t="s">
        <v>47</v>
      </c>
      <c r="H19" s="24" t="s">
        <v>48</v>
      </c>
      <c r="I19" s="25" t="s">
        <v>49</v>
      </c>
      <c r="J19" s="26" t="s">
        <v>50</v>
      </c>
      <c r="K19" s="1"/>
      <c r="L19" s="1"/>
    </row>
    <row r="20">
      <c r="A20" s="1"/>
      <c r="B20" s="20" t="s">
        <v>51</v>
      </c>
      <c r="C20" s="20" t="s">
        <v>52</v>
      </c>
      <c r="D20" s="20"/>
      <c r="E20" s="1"/>
      <c r="F20" s="1"/>
      <c r="G20" s="1"/>
      <c r="H20" s="27"/>
      <c r="I20" s="1"/>
      <c r="J20" s="1"/>
      <c r="K20" s="1"/>
      <c r="L20" s="1"/>
    </row>
    <row r="21">
      <c r="A21" s="1"/>
      <c r="B21" s="20" t="s">
        <v>53</v>
      </c>
      <c r="C21" s="20" t="s">
        <v>54</v>
      </c>
      <c r="D21" s="20"/>
      <c r="E21" s="1"/>
      <c r="F21" s="1"/>
      <c r="G21" s="5" t="s">
        <v>55</v>
      </c>
      <c r="K21" s="1"/>
      <c r="L21" s="1"/>
    </row>
    <row r="22">
      <c r="A22" s="1"/>
      <c r="B22" s="20" t="s">
        <v>56</v>
      </c>
      <c r="C22" s="20" t="s">
        <v>57</v>
      </c>
      <c r="D22" s="20"/>
      <c r="E22" s="1"/>
      <c r="F22" s="1"/>
      <c r="G22" s="15" t="str">
        <f>HYPERLINK(IF('_IDS'!AB1="✅",'_IDS'!AF1, "https://docs.google.com/spreadsheets/d/1wVLlvWfmcjHRkAnQJzAQu_YZo_eW1FXMVTfYYQnF7Xc")&amp;"#gid=2001828042", "RPC Mastery")</f>
        <v>RPC Mastery</v>
      </c>
      <c r="H22" s="28" t="s">
        <v>58</v>
      </c>
      <c r="I22" s="29"/>
      <c r="J22" s="30"/>
      <c r="K22" s="1"/>
      <c r="L22" s="1"/>
    </row>
    <row r="23">
      <c r="A23" s="1"/>
      <c r="B23" s="20" t="s">
        <v>59</v>
      </c>
      <c r="C23" s="20" t="s">
        <v>60</v>
      </c>
      <c r="D23" s="20"/>
      <c r="E23" s="1"/>
      <c r="F23" s="1"/>
      <c r="G23" s="1"/>
      <c r="H23" s="27"/>
      <c r="I23" s="1"/>
      <c r="J23" s="1"/>
      <c r="K23" s="1"/>
      <c r="L23" s="1"/>
    </row>
    <row r="24">
      <c r="A24" s="1"/>
      <c r="B24" s="20" t="s">
        <v>61</v>
      </c>
      <c r="C24" s="20" t="s">
        <v>62</v>
      </c>
      <c r="D24" s="1"/>
      <c r="E24" s="1"/>
      <c r="F24" s="1"/>
      <c r="G24" s="1"/>
      <c r="H24" s="27"/>
      <c r="I24" s="1"/>
      <c r="J24" s="1"/>
      <c r="K24" s="1"/>
      <c r="L24" s="1"/>
    </row>
    <row r="25">
      <c r="A25" s="1"/>
      <c r="B25" s="20" t="s">
        <v>63</v>
      </c>
      <c r="C25" s="20" t="s">
        <v>64</v>
      </c>
      <c r="D25" s="1"/>
      <c r="E25" s="1"/>
      <c r="F25" s="1"/>
      <c r="G25" s="1"/>
      <c r="H25" s="1"/>
      <c r="I25" s="1"/>
      <c r="J25" s="1"/>
      <c r="K25" s="1"/>
      <c r="L25" s="1"/>
    </row>
    <row r="26">
      <c r="A26" s="1"/>
      <c r="B26" s="20" t="s">
        <v>65</v>
      </c>
      <c r="C26" s="20" t="s">
        <v>66</v>
      </c>
      <c r="D26" s="1"/>
      <c r="E26" s="1"/>
      <c r="F26" s="1"/>
      <c r="G26" s="31" t="s">
        <v>67</v>
      </c>
      <c r="H26" s="32"/>
      <c r="I26" s="33"/>
      <c r="J26" s="1"/>
      <c r="K26" s="1"/>
      <c r="L26" s="1"/>
    </row>
    <row r="27">
      <c r="A27" s="1"/>
      <c r="B27" s="20" t="s">
        <v>68</v>
      </c>
      <c r="C27" s="20" t="s">
        <v>69</v>
      </c>
      <c r="D27" s="1"/>
      <c r="E27" s="1"/>
      <c r="F27" s="1"/>
      <c r="G27" s="34"/>
      <c r="I27" s="35"/>
      <c r="J27" s="1"/>
      <c r="K27" s="1"/>
      <c r="L27" s="1"/>
    </row>
    <row r="28">
      <c r="A28" s="1"/>
      <c r="B28" s="20" t="s">
        <v>70</v>
      </c>
      <c r="C28" s="20" t="s">
        <v>71</v>
      </c>
      <c r="D28" s="1"/>
      <c r="E28" s="1"/>
      <c r="F28" s="1"/>
      <c r="G28" s="34"/>
      <c r="I28" s="35"/>
      <c r="J28" s="1"/>
      <c r="K28" s="1"/>
      <c r="L28" s="1"/>
    </row>
    <row r="29">
      <c r="A29" s="1"/>
      <c r="B29" s="20" t="s">
        <v>72</v>
      </c>
      <c r="C29" s="20" t="s">
        <v>73</v>
      </c>
      <c r="D29" s="1"/>
      <c r="E29" s="1"/>
      <c r="F29" s="1"/>
      <c r="G29" s="34"/>
      <c r="I29" s="35"/>
      <c r="J29" s="1"/>
      <c r="K29" s="1"/>
      <c r="L29" s="1"/>
    </row>
    <row r="30">
      <c r="A30" s="1"/>
      <c r="B30" s="20" t="s">
        <v>74</v>
      </c>
      <c r="C30" s="20" t="s">
        <v>75</v>
      </c>
      <c r="D30" s="1"/>
      <c r="E30" s="1"/>
      <c r="F30" s="1"/>
      <c r="G30" s="36"/>
      <c r="H30" s="37"/>
      <c r="I30" s="38"/>
      <c r="J30" s="1"/>
      <c r="K30" s="1"/>
      <c r="L30" s="1"/>
    </row>
    <row r="31">
      <c r="A31" s="1"/>
      <c r="B31" s="20" t="s">
        <v>76</v>
      </c>
      <c r="C31" s="20" t="s">
        <v>77</v>
      </c>
      <c r="D31" s="1"/>
      <c r="E31" s="1"/>
      <c r="F31" s="1"/>
      <c r="G31" s="39" t="s">
        <v>78</v>
      </c>
      <c r="J31" s="1"/>
      <c r="K31" s="1"/>
      <c r="L31" s="1"/>
    </row>
    <row r="32">
      <c r="A32" s="1"/>
      <c r="B32" s="20" t="s">
        <v>79</v>
      </c>
      <c r="C32" s="20" t="s">
        <v>80</v>
      </c>
      <c r="D32" s="1"/>
      <c r="E32" s="1"/>
      <c r="F32" s="1"/>
      <c r="G32" s="1"/>
      <c r="H32" s="1"/>
      <c r="I32" s="1"/>
      <c r="J32" s="1"/>
      <c r="K32" s="1"/>
      <c r="L32" s="1"/>
    </row>
    <row r="33">
      <c r="A33" s="1"/>
      <c r="B33" s="20" t="s">
        <v>81</v>
      </c>
      <c r="C33" s="20" t="s">
        <v>82</v>
      </c>
      <c r="D33" s="1"/>
      <c r="E33" s="1"/>
      <c r="F33" s="1"/>
      <c r="G33" s="40" t="str">
        <f>IFERROR(__xludf.DUMMYFUNCTION("IMPORTRANGE(""1eCPPuQOE3Pyh8HhnApEMK3RFIutkUjWd61ppVImwWk8"", ""_Giveaway_summary!A1:A2"")"),"⚠️ 1 Giveaway(s) running - 22 Mar")</f>
        <v>⚠️ 1 Giveaway(s) running - 22 Mar</v>
      </c>
      <c r="H33" s="10"/>
      <c r="I33" s="10"/>
      <c r="J33" s="1"/>
      <c r="K33" s="1"/>
      <c r="L33" s="1"/>
    </row>
    <row r="34">
      <c r="A34" s="1"/>
      <c r="B34" s="20" t="s">
        <v>83</v>
      </c>
      <c r="C34" s="20" t="s">
        <v>84</v>
      </c>
      <c r="D34" s="1"/>
      <c r="E34" s="1"/>
      <c r="F34" s="1"/>
      <c r="G34" s="41" t="str">
        <f>IFERROR(__xludf.DUMMYFUNCTION("""COMPUTED_VALUE"""),"Giveaway Details")</f>
        <v>Giveaway Details</v>
      </c>
      <c r="J34" s="1"/>
      <c r="K34" s="1"/>
      <c r="L34" s="1"/>
    </row>
    <row r="35">
      <c r="A35" s="1"/>
      <c r="B35" s="20" t="s">
        <v>85</v>
      </c>
      <c r="C35" s="20" t="s">
        <v>86</v>
      </c>
      <c r="D35" s="1"/>
      <c r="E35" s="1"/>
      <c r="F35" s="1"/>
      <c r="G35" s="1"/>
      <c r="H35" s="1"/>
      <c r="I35" s="1"/>
      <c r="J35" s="1"/>
      <c r="K35" s="1"/>
      <c r="L35" s="1"/>
    </row>
    <row r="36">
      <c r="A36" s="1"/>
      <c r="B36" s="20" t="s">
        <v>87</v>
      </c>
      <c r="C36" s="20" t="s">
        <v>88</v>
      </c>
      <c r="D36" s="1"/>
      <c r="E36" s="1"/>
      <c r="F36" s="1"/>
      <c r="G36" s="1"/>
      <c r="H36" s="1"/>
      <c r="I36" s="1"/>
      <c r="J36" s="1"/>
      <c r="K36" s="1"/>
      <c r="L36" s="1"/>
    </row>
    <row r="37">
      <c r="A37" s="1"/>
      <c r="B37" s="20" t="s">
        <v>89</v>
      </c>
      <c r="C37" s="20" t="s">
        <v>90</v>
      </c>
      <c r="D37" s="1"/>
      <c r="E37" s="1"/>
      <c r="F37" s="1"/>
      <c r="G37" s="1"/>
      <c r="H37" s="1"/>
      <c r="I37" s="1"/>
      <c r="J37" s="1"/>
      <c r="K37" s="1"/>
      <c r="L37" s="1"/>
    </row>
    <row r="38">
      <c r="A38" s="1"/>
      <c r="B38" s="20" t="s">
        <v>91</v>
      </c>
      <c r="C38" s="20" t="s">
        <v>92</v>
      </c>
      <c r="D38" s="1"/>
      <c r="E38" s="1"/>
      <c r="F38" s="1"/>
      <c r="G38" s="1"/>
      <c r="H38" s="1"/>
      <c r="I38" s="1"/>
      <c r="J38" s="1"/>
      <c r="K38" s="1"/>
      <c r="L38" s="1"/>
    </row>
    <row r="39">
      <c r="A39" s="1"/>
      <c r="B39" s="20" t="s">
        <v>93</v>
      </c>
      <c r="C39" s="20" t="s">
        <v>94</v>
      </c>
      <c r="D39" s="1"/>
      <c r="E39" s="1"/>
      <c r="F39" s="1"/>
      <c r="G39" s="1"/>
      <c r="H39" s="1"/>
      <c r="I39" s="1"/>
      <c r="J39" s="1"/>
      <c r="K39" s="1"/>
      <c r="L39" s="1"/>
    </row>
    <row r="40">
      <c r="A40" s="1"/>
      <c r="B40" s="20" t="s">
        <v>95</v>
      </c>
      <c r="C40" s="20" t="s">
        <v>96</v>
      </c>
      <c r="D40" s="1"/>
      <c r="E40" s="1"/>
      <c r="F40" s="1"/>
      <c r="G40" s="1"/>
      <c r="H40" s="1"/>
      <c r="I40" s="1"/>
      <c r="J40" s="1"/>
      <c r="K40" s="1"/>
      <c r="L40" s="1"/>
    </row>
    <row r="41">
      <c r="A41" s="1"/>
      <c r="B41" s="20" t="s">
        <v>97</v>
      </c>
      <c r="C41" s="20" t="s">
        <v>98</v>
      </c>
      <c r="D41" s="1"/>
      <c r="E41" s="1"/>
      <c r="F41" s="1"/>
      <c r="G41" s="1"/>
      <c r="H41" s="1"/>
      <c r="I41" s="1"/>
      <c r="J41" s="1"/>
      <c r="K41" s="1"/>
      <c r="L41" s="1"/>
    </row>
    <row r="42">
      <c r="A42" s="1"/>
      <c r="B42" s="20" t="s">
        <v>99</v>
      </c>
      <c r="C42" s="20" t="s">
        <v>100</v>
      </c>
      <c r="D42" s="1"/>
      <c r="E42" s="1"/>
      <c r="F42" s="1"/>
      <c r="G42" s="1"/>
      <c r="H42" s="1"/>
      <c r="I42" s="1"/>
      <c r="J42" s="1"/>
      <c r="K42" s="1"/>
      <c r="L42" s="1"/>
    </row>
    <row r="43">
      <c r="A43" s="1"/>
      <c r="B43" s="20" t="s">
        <v>101</v>
      </c>
      <c r="C43" s="20" t="s">
        <v>102</v>
      </c>
      <c r="D43" s="1"/>
      <c r="E43" s="1"/>
      <c r="F43" s="1"/>
      <c r="G43" s="1"/>
      <c r="H43" s="1"/>
      <c r="I43" s="1"/>
      <c r="J43" s="1"/>
      <c r="K43" s="1"/>
      <c r="L43" s="1"/>
    </row>
    <row r="44">
      <c r="A44" s="1"/>
      <c r="B44" s="20" t="s">
        <v>103</v>
      </c>
      <c r="C44" s="20" t="s">
        <v>104</v>
      </c>
      <c r="D44" s="1"/>
      <c r="E44" s="1"/>
      <c r="F44" s="1"/>
      <c r="G44" s="1"/>
      <c r="H44" s="1"/>
      <c r="I44" s="1"/>
      <c r="J44" s="1"/>
      <c r="K44" s="1"/>
      <c r="L44" s="1"/>
    </row>
    <row r="45">
      <c r="A45" s="1"/>
      <c r="B45" s="20" t="s">
        <v>105</v>
      </c>
      <c r="C45" s="20" t="s">
        <v>106</v>
      </c>
      <c r="D45" s="1"/>
      <c r="E45" s="1"/>
      <c r="F45" s="1"/>
      <c r="G45" s="1"/>
      <c r="H45" s="1"/>
      <c r="I45" s="1"/>
      <c r="J45" s="1"/>
      <c r="K45" s="1"/>
      <c r="L45" s="1"/>
    </row>
    <row r="46">
      <c r="A46" s="1"/>
      <c r="B46" s="20" t="s">
        <v>107</v>
      </c>
      <c r="C46" s="20" t="s">
        <v>108</v>
      </c>
      <c r="D46" s="1"/>
      <c r="E46" s="1"/>
      <c r="F46" s="1"/>
      <c r="G46" s="1"/>
      <c r="H46" s="1"/>
      <c r="I46" s="1"/>
      <c r="J46" s="1"/>
      <c r="K46" s="1"/>
      <c r="L46" s="1"/>
    </row>
    <row r="47">
      <c r="A47" s="1"/>
      <c r="B47" s="20" t="s">
        <v>109</v>
      </c>
      <c r="C47" s="20" t="s">
        <v>110</v>
      </c>
      <c r="D47" s="1"/>
      <c r="E47" s="1"/>
      <c r="F47" s="1"/>
      <c r="G47" s="1"/>
      <c r="H47" s="1"/>
      <c r="I47" s="1"/>
      <c r="J47" s="1"/>
      <c r="K47" s="1"/>
      <c r="L47" s="1"/>
    </row>
    <row r="48">
      <c r="A48" s="1"/>
      <c r="B48" s="20" t="s">
        <v>111</v>
      </c>
      <c r="C48" s="20" t="s">
        <v>112</v>
      </c>
      <c r="D48" s="1"/>
      <c r="E48" s="1"/>
      <c r="F48" s="1"/>
      <c r="G48" s="1"/>
      <c r="H48" s="1"/>
      <c r="I48" s="1"/>
      <c r="J48" s="1"/>
      <c r="K48" s="1"/>
      <c r="L48" s="1"/>
    </row>
    <row r="49">
      <c r="A49" s="1"/>
      <c r="B49" s="20" t="s">
        <v>113</v>
      </c>
      <c r="C49" s="20" t="s">
        <v>114</v>
      </c>
      <c r="D49" s="1"/>
      <c r="E49" s="1"/>
      <c r="F49" s="1"/>
      <c r="G49" s="1"/>
      <c r="H49" s="1"/>
      <c r="I49" s="1"/>
      <c r="J49" s="1"/>
      <c r="K49" s="1"/>
      <c r="L49" s="1"/>
    </row>
    <row r="50">
      <c r="A50" s="1"/>
      <c r="B50" s="20" t="s">
        <v>115</v>
      </c>
      <c r="C50" s="20" t="s">
        <v>116</v>
      </c>
      <c r="D50" s="1"/>
      <c r="E50" s="1"/>
      <c r="F50" s="1"/>
      <c r="G50" s="1"/>
      <c r="H50" s="1"/>
      <c r="I50" s="1"/>
      <c r="J50" s="1"/>
      <c r="K50" s="1"/>
      <c r="L50" s="1"/>
    </row>
    <row r="51">
      <c r="A51" s="1"/>
      <c r="B51" s="20" t="s">
        <v>117</v>
      </c>
      <c r="C51" s="20" t="s">
        <v>118</v>
      </c>
      <c r="D51" s="1"/>
      <c r="E51" s="1"/>
      <c r="F51" s="1"/>
      <c r="G51" s="1"/>
      <c r="H51" s="1"/>
      <c r="I51" s="1"/>
      <c r="J51" s="1"/>
      <c r="K51" s="1"/>
      <c r="L51" s="1"/>
    </row>
    <row r="52">
      <c r="A52" s="1"/>
      <c r="B52" s="20" t="s">
        <v>119</v>
      </c>
      <c r="C52" s="20" t="s">
        <v>120</v>
      </c>
      <c r="D52" s="1"/>
      <c r="E52" s="1"/>
      <c r="F52" s="1"/>
      <c r="G52" s="1"/>
      <c r="H52" s="1"/>
      <c r="I52" s="1"/>
      <c r="J52" s="1"/>
      <c r="K52" s="1"/>
      <c r="L52" s="1"/>
    </row>
    <row r="53" ht="57.0" customHeight="1">
      <c r="A53" s="1"/>
      <c r="B53" s="20"/>
      <c r="C53" s="20"/>
      <c r="D53" s="1"/>
      <c r="E53" s="1"/>
      <c r="F53" s="1"/>
      <c r="G53" s="1"/>
      <c r="H53" s="1"/>
      <c r="I53" s="1"/>
      <c r="J53" s="1"/>
      <c r="K53" s="1"/>
      <c r="L53" s="1"/>
    </row>
  </sheetData>
  <mergeCells count="15">
    <mergeCell ref="J4:J5"/>
    <mergeCell ref="G17:J17"/>
    <mergeCell ref="G21:J21"/>
    <mergeCell ref="H22:J22"/>
    <mergeCell ref="G26:I30"/>
    <mergeCell ref="G31:I31"/>
    <mergeCell ref="G33:I33"/>
    <mergeCell ref="G34:I34"/>
    <mergeCell ref="B2:J2"/>
    <mergeCell ref="B4:E5"/>
    <mergeCell ref="G4:G5"/>
    <mergeCell ref="H4:H5"/>
    <mergeCell ref="I4:I5"/>
    <mergeCell ref="B7:E7"/>
    <mergeCell ref="B11:E11"/>
  </mergeCells>
  <hyperlinks>
    <hyperlink display="IDS" location="IDS!A1" ref="G6"/>
    <hyperlink display="Master Sheet" location="'Master Sheet'!A1" ref="G7"/>
    <hyperlink display="Inventory" location="Inventory!A1" ref="G8"/>
    <hyperlink display="Presets" location="Presets!A1" ref="G9"/>
    <hyperlink display="Tracker" location="Tracker!A1" ref="G10"/>
    <hyperlink display="Reroll Calculator V3" location="'Reroll Calculator v3'!A1" ref="G11"/>
    <hyperlink display="Optimal Assist levels" location="'Optimal Assist levels'!A1" ref="G12"/>
    <hyperlink display="Shard Path" location="'Shard Path'!A1" ref="G13"/>
    <hyperlink display="Overview" location="Overview!A1" ref="G14"/>
    <hyperlink display="Substats" location="Substats!A1" ref="G15"/>
    <hyperlink r:id="rId2" location="gid=0" ref="G31"/>
    <hyperlink r:id="rId3" location="gid=234968364" ref="G34"/>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75" outlineLevelCol="1"/>
  <cols>
    <col customWidth="1" min="1" max="1" width="3.57"/>
    <col customWidth="1" min="2" max="2" width="25.0"/>
    <col customWidth="1" min="3" max="3" width="49.57"/>
    <col customWidth="1" hidden="1" min="4" max="4" width="18.14"/>
    <col collapsed="1" customWidth="1" min="5" max="5" width="24.29"/>
    <col customWidth="1" hidden="1" min="6" max="6" width="5.71" outlineLevel="1"/>
    <col customWidth="1" min="7" max="8" width="3.43"/>
    <col customWidth="1" min="9" max="9" width="64.43"/>
    <col customWidth="1" min="10" max="10" width="3.43"/>
  </cols>
  <sheetData>
    <row r="1">
      <c r="A1" s="42"/>
      <c r="B1" s="42"/>
      <c r="C1" s="42"/>
      <c r="D1" s="42"/>
      <c r="E1" s="42"/>
      <c r="F1" s="43"/>
      <c r="G1" s="42"/>
      <c r="H1" s="42"/>
      <c r="I1" s="42"/>
      <c r="J1" s="42"/>
    </row>
    <row r="2" ht="30.75" customHeight="1">
      <c r="A2" s="42"/>
      <c r="B2" s="44" t="s">
        <v>121</v>
      </c>
      <c r="F2" s="43"/>
      <c r="G2" s="42"/>
      <c r="H2" s="45"/>
      <c r="I2" s="46" t="s">
        <v>122</v>
      </c>
      <c r="J2" s="42"/>
    </row>
    <row r="3">
      <c r="A3" s="42"/>
      <c r="B3" s="42"/>
      <c r="C3" s="42"/>
      <c r="D3" s="42"/>
      <c r="E3" s="42"/>
      <c r="F3" s="43"/>
      <c r="G3" s="42"/>
      <c r="H3" s="45"/>
    </row>
    <row r="4">
      <c r="A4" s="42"/>
      <c r="B4" s="47" t="s">
        <v>123</v>
      </c>
      <c r="C4" s="48" t="s">
        <v>124</v>
      </c>
      <c r="D4" s="49"/>
      <c r="E4" s="50"/>
      <c r="F4" s="11"/>
      <c r="G4" s="42"/>
      <c r="H4" s="45"/>
      <c r="J4" s="42"/>
    </row>
    <row r="5">
      <c r="A5" s="42"/>
      <c r="B5" s="42"/>
      <c r="C5" s="42"/>
      <c r="D5" s="42"/>
      <c r="E5" s="42"/>
      <c r="F5" s="11"/>
      <c r="G5" s="42"/>
      <c r="H5" s="45"/>
      <c r="I5" s="14"/>
      <c r="J5" s="42"/>
    </row>
    <row r="6">
      <c r="A6" s="51"/>
      <c r="B6" s="52" t="s">
        <v>125</v>
      </c>
      <c r="C6" s="53" t="s">
        <v>126</v>
      </c>
      <c r="D6" s="54" t="str">
        <f>IFERROR(__xludf.DUMMYFUNCTION("IFERROR(C6.url, IFS(LEFT(C6,8)=""https://"", C6, LEN(C6)=44, ""https://docs.google.com/spreadsheets/d/"" &amp; C6 &amp; ""/edit"", TRUE, C6))"),"https://docs.google.com/spreadsheets/d/1HOIkxWbbciTIAzVruaahEGADlM8rS0-w86uBXj4PwNQ/edit")</f>
        <v>https://docs.google.com/spreadsheets/d/1HOIkxWbbciTIAzVruaahEGADlM8rS0-w86uBXj4PwNQ/edit</v>
      </c>
      <c r="E6" s="55" t="str">
        <f>IFERROR(__xludf.DUMMYFUNCTION("IF(D6&lt;&gt;"""", IF(IMPORTRANGE(D6,""EXPORT!A1"") = F6, ""✅"", ""Wrong ID or Version""), """")"),"✅")</f>
        <v>✅</v>
      </c>
      <c r="F6" s="56" t="s">
        <v>127</v>
      </c>
      <c r="G6" s="57"/>
      <c r="H6" s="45"/>
      <c r="I6" s="42"/>
      <c r="J6" s="42"/>
    </row>
    <row r="7">
      <c r="A7" s="42"/>
      <c r="B7" s="58" t="str">
        <f>HYPERLINK("https://docs.google.com/spreadsheets/d/1osjoqKmMwtOWs7Up3e21-3ofN1RHOjsgKV6y3dc6rgE/copy", "1️⃣ Copy Me")</f>
        <v>1️⃣ Copy Me</v>
      </c>
      <c r="C7" s="59" t="str">
        <f>IFS(
  ISERROR(E6), "3️⃣ Click on #REF! and then AUTHORISE ↗",
  E6="", "2️⃣ Please input your IDS Master's ID here ⤴️",
  E6="✅", HYPERLINK(D6, "Go to my IDS Master Sheet"),
  TRUE, "")</f>
        <v>Go to my IDS Master Sheet</v>
      </c>
      <c r="D7" s="60"/>
      <c r="E7" s="61" t="s">
        <v>128</v>
      </c>
      <c r="F7" s="62"/>
      <c r="G7" s="20"/>
      <c r="H7" s="63"/>
      <c r="I7" s="64" t="s">
        <v>129</v>
      </c>
      <c r="J7" s="20"/>
    </row>
    <row r="8">
      <c r="A8" s="42"/>
      <c r="B8" s="65"/>
      <c r="C8" s="65"/>
      <c r="D8" s="65"/>
      <c r="E8" s="65"/>
      <c r="F8" s="43"/>
      <c r="G8" s="16"/>
      <c r="H8" s="66"/>
      <c r="I8" s="67" t="s">
        <v>130</v>
      </c>
      <c r="J8" s="16"/>
    </row>
    <row r="9">
      <c r="A9" s="42"/>
      <c r="B9" s="68" t="s">
        <v>131</v>
      </c>
      <c r="C9" s="10"/>
      <c r="D9" s="10"/>
      <c r="E9" s="10"/>
      <c r="F9" s="43"/>
      <c r="H9" s="66"/>
      <c r="J9" s="16"/>
    </row>
    <row r="10">
      <c r="A10" s="42"/>
      <c r="B10" s="69" t="s">
        <v>132</v>
      </c>
      <c r="D10" s="67"/>
      <c r="E10" s="70"/>
      <c r="F10" s="43"/>
      <c r="G10" s="16"/>
      <c r="H10" s="66"/>
      <c r="J10" s="16"/>
    </row>
    <row r="11">
      <c r="A11" s="42"/>
      <c r="D11" s="67"/>
      <c r="F11" s="43"/>
      <c r="H11" s="66"/>
      <c r="J11" s="16"/>
    </row>
    <row r="12">
      <c r="A12" s="42"/>
      <c r="D12" s="67"/>
      <c r="E12" s="70"/>
      <c r="F12" s="43"/>
      <c r="G12" s="42"/>
      <c r="H12" s="45"/>
      <c r="J12" s="42"/>
    </row>
    <row r="13">
      <c r="A13" s="42"/>
      <c r="D13" s="67"/>
      <c r="F13" s="43"/>
      <c r="G13" s="16"/>
      <c r="H13" s="66"/>
      <c r="J13" s="16"/>
    </row>
    <row r="14">
      <c r="A14" s="42"/>
      <c r="D14" s="67"/>
      <c r="F14" s="43"/>
      <c r="H14" s="66"/>
      <c r="J14" s="16"/>
    </row>
    <row r="15">
      <c r="A15" s="42"/>
      <c r="D15" s="67"/>
      <c r="E15" s="71"/>
      <c r="F15" s="43"/>
      <c r="G15" s="42"/>
      <c r="H15" s="45"/>
      <c r="J15" s="42"/>
    </row>
    <row r="16">
      <c r="A16" s="42"/>
      <c r="D16" s="67"/>
      <c r="F16" s="43"/>
      <c r="G16" s="42"/>
      <c r="H16" s="45"/>
      <c r="I16" s="42"/>
      <c r="J16" s="42"/>
    </row>
    <row r="17">
      <c r="A17" s="42"/>
      <c r="D17" s="67"/>
      <c r="F17" s="43"/>
      <c r="G17" s="42"/>
      <c r="H17" s="45"/>
      <c r="I17" s="42"/>
      <c r="J17" s="42"/>
    </row>
    <row r="18">
      <c r="A18" s="42"/>
      <c r="D18" s="67"/>
      <c r="F18" s="43"/>
      <c r="G18" s="42"/>
      <c r="H18" s="45"/>
      <c r="I18" s="42"/>
      <c r="J18" s="42"/>
    </row>
    <row r="19">
      <c r="A19" s="42"/>
      <c r="B19" s="72" t="s">
        <v>133</v>
      </c>
      <c r="F19" s="43"/>
      <c r="G19" s="42"/>
      <c r="H19" s="45"/>
      <c r="I19" s="42"/>
      <c r="J19" s="42"/>
    </row>
    <row r="20">
      <c r="A20" s="42"/>
      <c r="F20" s="43"/>
      <c r="G20" s="42"/>
      <c r="H20" s="45"/>
      <c r="I20" s="42"/>
      <c r="J20" s="42"/>
    </row>
    <row r="21">
      <c r="A21" s="42"/>
      <c r="F21" s="43"/>
      <c r="G21" s="42"/>
      <c r="H21" s="45"/>
      <c r="I21" s="42"/>
      <c r="J21" s="42"/>
    </row>
    <row r="22">
      <c r="A22" s="42"/>
      <c r="B22" s="67"/>
      <c r="C22" s="67"/>
      <c r="D22" s="67"/>
      <c r="E22" s="67"/>
      <c r="F22" s="43"/>
      <c r="G22" s="42"/>
      <c r="H22" s="42"/>
      <c r="I22" s="42"/>
      <c r="J22" s="42"/>
    </row>
  </sheetData>
  <mergeCells count="13">
    <mergeCell ref="G8:G9"/>
    <mergeCell ref="G10:G11"/>
    <mergeCell ref="E12:E14"/>
    <mergeCell ref="G13:G14"/>
    <mergeCell ref="E15:E18"/>
    <mergeCell ref="B19:E21"/>
    <mergeCell ref="B2:E2"/>
    <mergeCell ref="I2:I4"/>
    <mergeCell ref="J2:J3"/>
    <mergeCell ref="I8:I15"/>
    <mergeCell ref="B9:E9"/>
    <mergeCell ref="B10:C18"/>
    <mergeCell ref="E10:E11"/>
  </mergeCells>
  <dataValidations>
    <dataValidation type="custom" allowBlank="1" showDropDown="1" showInputMessage="1" showErrorMessage="1" prompt="Value should start with http or be 44 characters long." sqref="C6">
      <formula1>OR(IFERROR(ISURL(C6.url), FALSE), ISURL(C6), LEN(C6)=44)</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outlineLevelCol="1"/>
  <cols>
    <col customWidth="1" min="1" max="1" width="4.29"/>
    <col customWidth="1" min="2" max="2" width="31.14"/>
    <col customWidth="1" min="3" max="3" width="5.57"/>
    <col customWidth="1" min="4" max="4" width="5.0"/>
    <col customWidth="1" min="5" max="5" width="4.29"/>
    <col customWidth="1" min="6" max="6" width="23.57" outlineLevel="1"/>
    <col customWidth="1" min="7" max="7" width="9.29" outlineLevel="1"/>
    <col customWidth="1" min="8" max="8" width="4.29"/>
    <col customWidth="1" min="9" max="9" width="150.0"/>
  </cols>
  <sheetData>
    <row r="1">
      <c r="A1" s="73"/>
      <c r="B1" s="74" t="str">
        <f>IF('_IDS'!C1="✅", HYPERLINK('_IDS'!B1, "Go to my Laboratory Sheet"), "Labs")</f>
        <v>Go to my Laboratory Sheet</v>
      </c>
      <c r="C1" s="75" t="s">
        <v>134</v>
      </c>
      <c r="D1" s="75" t="s">
        <v>135</v>
      </c>
      <c r="E1" s="73"/>
      <c r="F1" s="74" t="str">
        <f>IF('_IDS'!AO1="✅", HYPERLINK('_IDS'!AN1, "Go to my Relic Sheet"), "Relic")</f>
        <v>Go to my Relic Sheet</v>
      </c>
      <c r="G1" s="76" t="s">
        <v>136</v>
      </c>
      <c r="H1" s="11"/>
      <c r="I1" s="11"/>
    </row>
    <row r="2">
      <c r="A2" s="77" t="s">
        <v>137</v>
      </c>
      <c r="B2" s="78" t="s">
        <v>138</v>
      </c>
      <c r="C2" s="79">
        <f t="shared" ref="C2:C19" si="1">IDS_LAB_LEVEL(B2)</f>
        <v>68</v>
      </c>
      <c r="D2" s="80">
        <v>99.0</v>
      </c>
      <c r="E2" s="81" t="s">
        <v>139</v>
      </c>
      <c r="F2" s="82" t="s">
        <v>140</v>
      </c>
      <c r="G2" s="83">
        <f>IDS_RELIC_STAT(F2)</f>
        <v>0.395</v>
      </c>
      <c r="H2" s="84"/>
      <c r="I2" s="84"/>
    </row>
    <row r="3">
      <c r="A3" s="85"/>
      <c r="B3" s="86" t="s">
        <v>141</v>
      </c>
      <c r="C3" s="79">
        <f t="shared" si="1"/>
        <v>91</v>
      </c>
      <c r="D3" s="80">
        <v>99.0</v>
      </c>
      <c r="E3" s="85"/>
      <c r="F3" s="87"/>
      <c r="G3" s="87"/>
      <c r="H3" s="84"/>
      <c r="I3" s="84"/>
    </row>
    <row r="4">
      <c r="A4" s="85"/>
      <c r="B4" s="88" t="s">
        <v>142</v>
      </c>
      <c r="C4" s="89">
        <f t="shared" si="1"/>
        <v>1</v>
      </c>
      <c r="D4" s="90">
        <f>COUNTA(OFFSET(DVT_Laboratory!$B$3, 0, MATCH(A2,DVT_Laboratory!$B$1:I$1, 0)-1, 100, 1))</f>
        <v>1</v>
      </c>
      <c r="E4" s="85"/>
      <c r="F4" s="91" t="str">
        <f>IF('_IDS'!AF1="✅", HYPERLINK('_IDS'!AE1, "Go to my Vault Sheet"), "Vault Upgrade")</f>
        <v>Vault Upgrade</v>
      </c>
      <c r="G4" s="91" t="s">
        <v>136</v>
      </c>
      <c r="H4" s="84"/>
      <c r="I4" s="84"/>
    </row>
    <row r="5">
      <c r="A5" s="85"/>
      <c r="B5" s="88" t="s">
        <v>143</v>
      </c>
      <c r="C5" s="89">
        <f t="shared" si="1"/>
        <v>20</v>
      </c>
      <c r="D5" s="92">
        <v>20.0</v>
      </c>
      <c r="E5" s="85"/>
      <c r="F5" s="93" t="s">
        <v>144</v>
      </c>
      <c r="G5" s="83">
        <f>IDS_VAULT_STAT(F5)</f>
        <v>0</v>
      </c>
      <c r="H5" s="84"/>
      <c r="I5" s="84"/>
    </row>
    <row r="6">
      <c r="A6" s="85"/>
      <c r="B6" s="94" t="s">
        <v>145</v>
      </c>
      <c r="C6" s="95">
        <f t="shared" si="1"/>
        <v>3</v>
      </c>
      <c r="D6" s="96">
        <v>9.0</v>
      </c>
      <c r="E6" s="85"/>
      <c r="F6" s="87"/>
      <c r="G6" s="87"/>
      <c r="H6" s="84"/>
      <c r="I6" s="84"/>
    </row>
    <row r="7">
      <c r="A7" s="85"/>
      <c r="B7" s="97" t="s">
        <v>146</v>
      </c>
      <c r="C7" s="98">
        <f t="shared" si="1"/>
        <v>10</v>
      </c>
      <c r="D7" s="99">
        <v>10.0</v>
      </c>
      <c r="E7" s="85"/>
      <c r="F7" s="87"/>
      <c r="G7" s="87"/>
      <c r="H7" s="84"/>
      <c r="I7" s="84"/>
    </row>
    <row r="8">
      <c r="A8" s="85"/>
      <c r="B8" s="97" t="s">
        <v>147</v>
      </c>
      <c r="C8" s="98">
        <f t="shared" si="1"/>
        <v>50</v>
      </c>
      <c r="D8" s="99">
        <v>50.0</v>
      </c>
      <c r="E8" s="85"/>
      <c r="F8" s="87"/>
      <c r="G8" s="87"/>
      <c r="H8" s="84"/>
      <c r="I8" s="84"/>
    </row>
    <row r="9">
      <c r="A9" s="85"/>
      <c r="B9" s="100" t="s">
        <v>148</v>
      </c>
      <c r="C9" s="98">
        <f t="shared" si="1"/>
        <v>30</v>
      </c>
      <c r="D9" s="99">
        <v>30.0</v>
      </c>
      <c r="E9" s="85"/>
      <c r="F9" s="87"/>
      <c r="G9" s="87"/>
      <c r="H9" s="84"/>
      <c r="I9" s="84"/>
    </row>
    <row r="10">
      <c r="A10" s="85"/>
      <c r="B10" s="101" t="s">
        <v>149</v>
      </c>
      <c r="C10" s="98">
        <f t="shared" si="1"/>
        <v>10</v>
      </c>
      <c r="D10" s="99">
        <v>10.0</v>
      </c>
      <c r="E10" s="85"/>
      <c r="F10" s="87"/>
      <c r="G10" s="87"/>
      <c r="H10" s="84"/>
      <c r="I10" s="84"/>
    </row>
    <row r="11">
      <c r="A11" s="85"/>
      <c r="B11" s="97" t="s">
        <v>150</v>
      </c>
      <c r="C11" s="98">
        <f t="shared" si="1"/>
        <v>5</v>
      </c>
      <c r="D11" s="99">
        <v>5.0</v>
      </c>
      <c r="E11" s="85"/>
      <c r="F11" s="87"/>
      <c r="G11" s="87"/>
      <c r="H11" s="84"/>
      <c r="I11" s="84"/>
    </row>
    <row r="12">
      <c r="A12" s="85"/>
      <c r="B12" s="101" t="s">
        <v>151</v>
      </c>
      <c r="C12" s="98">
        <f t="shared" si="1"/>
        <v>0</v>
      </c>
      <c r="D12" s="102">
        <v>4.0</v>
      </c>
      <c r="E12" s="85"/>
      <c r="F12" s="87"/>
      <c r="G12" s="87"/>
      <c r="H12" s="84"/>
      <c r="I12" s="84"/>
    </row>
    <row r="13">
      <c r="A13" s="85"/>
      <c r="B13" s="101" t="s">
        <v>152</v>
      </c>
      <c r="C13" s="98">
        <f t="shared" si="1"/>
        <v>2</v>
      </c>
      <c r="D13" s="102">
        <v>4.0</v>
      </c>
      <c r="E13" s="85"/>
      <c r="F13" s="87"/>
      <c r="G13" s="87"/>
      <c r="H13" s="84"/>
      <c r="I13" s="84"/>
    </row>
    <row r="14">
      <c r="A14" s="103"/>
      <c r="B14" s="101" t="s">
        <v>153</v>
      </c>
      <c r="C14" s="98">
        <f t="shared" si="1"/>
        <v>1</v>
      </c>
      <c r="D14" s="102">
        <v>3.0</v>
      </c>
      <c r="E14" s="103"/>
      <c r="F14" s="87"/>
      <c r="G14" s="87"/>
      <c r="H14" s="84"/>
      <c r="I14" s="84"/>
    </row>
    <row r="15">
      <c r="A15" s="104"/>
      <c r="B15" s="101" t="s">
        <v>154</v>
      </c>
      <c r="C15" s="98">
        <f t="shared" si="1"/>
        <v>4</v>
      </c>
      <c r="D15" s="102">
        <v>7.0</v>
      </c>
      <c r="E15" s="105"/>
      <c r="F15" s="11"/>
      <c r="G15" s="11"/>
      <c r="H15" s="84"/>
      <c r="I15" s="84"/>
    </row>
    <row r="16">
      <c r="A16" s="104"/>
      <c r="B16" s="106" t="s">
        <v>155</v>
      </c>
      <c r="C16" s="107">
        <f t="shared" si="1"/>
        <v>0</v>
      </c>
      <c r="D16" s="108">
        <v>30.0</v>
      </c>
      <c r="E16" s="105"/>
      <c r="F16" s="11"/>
      <c r="G16" s="11"/>
      <c r="H16" s="84"/>
      <c r="I16" s="84"/>
    </row>
    <row r="17">
      <c r="A17" s="104"/>
      <c r="B17" s="106" t="s">
        <v>156</v>
      </c>
      <c r="C17" s="107">
        <f t="shared" si="1"/>
        <v>0</v>
      </c>
      <c r="D17" s="108">
        <v>30.0</v>
      </c>
      <c r="E17" s="105"/>
      <c r="F17" s="11"/>
      <c r="G17" s="11"/>
      <c r="H17" s="84"/>
      <c r="I17" s="84"/>
    </row>
    <row r="18">
      <c r="A18" s="104"/>
      <c r="B18" s="106" t="s">
        <v>157</v>
      </c>
      <c r="C18" s="107">
        <f t="shared" si="1"/>
        <v>0</v>
      </c>
      <c r="D18" s="108">
        <v>30.0</v>
      </c>
      <c r="E18" s="105"/>
      <c r="F18" s="11"/>
      <c r="G18" s="11"/>
      <c r="H18" s="84"/>
      <c r="I18" s="84"/>
    </row>
    <row r="19">
      <c r="A19" s="104"/>
      <c r="B19" s="106" t="s">
        <v>158</v>
      </c>
      <c r="C19" s="107">
        <f t="shared" si="1"/>
        <v>0</v>
      </c>
      <c r="D19" s="108">
        <v>30.0</v>
      </c>
      <c r="E19" s="105"/>
      <c r="F19" s="11"/>
      <c r="G19" s="11"/>
      <c r="H19" s="84"/>
      <c r="I19" s="84"/>
    </row>
    <row r="20">
      <c r="A20" s="11"/>
      <c r="B20" s="11"/>
      <c r="C20" s="11"/>
      <c r="D20" s="11"/>
      <c r="E20" s="11"/>
      <c r="F20" s="11"/>
      <c r="G20" s="11"/>
      <c r="H20" s="84"/>
      <c r="I20" s="84"/>
    </row>
    <row r="21" ht="351.75" customHeight="1">
      <c r="A21" s="11"/>
      <c r="B21" s="11"/>
      <c r="C21" s="11"/>
      <c r="D21" s="11"/>
      <c r="E21" s="11"/>
      <c r="F21" s="11"/>
      <c r="G21" s="11"/>
      <c r="H21" s="84"/>
      <c r="I21" s="84"/>
    </row>
  </sheetData>
  <mergeCells count="2">
    <mergeCell ref="A2:A14"/>
    <mergeCell ref="E2:E14"/>
  </mergeCells>
  <conditionalFormatting sqref="B2:B3">
    <cfRule type="expression" dxfId="0" priority="1">
      <formula>EQ(C2,D2)</formula>
    </cfRule>
  </conditionalFormatting>
  <conditionalFormatting sqref="B6">
    <cfRule type="expression" dxfId="1" priority="2">
      <formula>EQ(C6,D6)</formula>
    </cfRule>
  </conditionalFormatting>
  <conditionalFormatting sqref="B4:B5">
    <cfRule type="expression" dxfId="2" priority="3">
      <formula>EQ(C4,D4)</formula>
    </cfRule>
  </conditionalFormatting>
  <conditionalFormatting sqref="B5:B15">
    <cfRule type="expression" dxfId="3" priority="4">
      <formula>EQ(C5,D5)</formula>
    </cfRule>
  </conditionalFormatting>
  <conditionalFormatting sqref="B15">
    <cfRule type="expression" dxfId="1" priority="5">
      <formula>EQ(C15,D15)</formula>
    </cfRule>
  </conditionalFormatting>
  <conditionalFormatting sqref="C2:C19 G2 G5">
    <cfRule type="expression" dxfId="4" priority="6">
      <formula>NOT(ISFORMULA(C2))</formula>
    </cfRule>
  </conditionalFormatting>
  <dataValidations>
    <dataValidation type="decimal" allowBlank="1" showDropDown="1" showInputMessage="1" prompt="Saisissez un nombre compris entre 0 et =D2" sqref="C2:C19">
      <formula1>0.0</formula1>
      <formula2>D2</formula2>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2.0" topLeftCell="C1" activePane="topRight" state="frozen"/>
      <selection activeCell="D2" sqref="D2" pane="topRight"/>
    </sheetView>
  </sheetViews>
  <sheetFormatPr customHeight="1" defaultColWidth="14.43" defaultRowHeight="15.75" outlineLevelCol="1"/>
  <cols>
    <col customWidth="1" min="1" max="1" width="10.43"/>
    <col customWidth="1" min="2" max="2" width="3.57"/>
    <col customWidth="1" min="3" max="3" width="4.71"/>
    <col customWidth="1" min="4" max="4" width="12.57"/>
    <col customWidth="1" min="5" max="5" width="4.71"/>
    <col customWidth="1" min="6" max="6" width="27.71" outlineLevel="1"/>
    <col customWidth="1" min="7" max="7" width="17.43" outlineLevel="1"/>
    <col customWidth="1" min="8" max="8" width="12.0" outlineLevel="1"/>
    <col customWidth="1" hidden="1" min="9" max="9" width="7.29" outlineLevel="1"/>
    <col customWidth="1" min="10" max="10" width="4.86" outlineLevel="1"/>
    <col customWidth="1" min="11" max="11" width="27.71" outlineLevel="1"/>
    <col customWidth="1" min="12" max="12" width="17.43" outlineLevel="1"/>
    <col customWidth="1" min="13" max="13" width="12.0" outlineLevel="1"/>
    <col customWidth="1" hidden="1" min="14" max="14" width="7.29" outlineLevel="1"/>
    <col customWidth="1" min="15" max="15" width="4.86" outlineLevel="1"/>
    <col customWidth="1" min="16" max="16" width="27.71" outlineLevel="1"/>
    <col customWidth="1" min="17" max="17" width="17.43" outlineLevel="1"/>
    <col customWidth="1" min="18" max="18" width="12.0" outlineLevel="1"/>
    <col customWidth="1" hidden="1" min="19" max="19" width="7.29" outlineLevel="1"/>
    <col customWidth="1" min="20" max="20" width="4.86" outlineLevel="1"/>
    <col customWidth="1" min="21" max="21" width="27.71" outlineLevel="1"/>
    <col customWidth="1" min="22" max="22" width="17.43" outlineLevel="1"/>
    <col customWidth="1" min="23" max="23" width="12.14" outlineLevel="1"/>
    <col customWidth="1" hidden="1" min="24" max="24" width="7.29" outlineLevel="1"/>
    <col customWidth="1" min="25" max="25" width="4.86" outlineLevel="1"/>
    <col customWidth="1" min="26" max="26" width="27.71" outlineLevel="1"/>
    <col customWidth="1" min="27" max="27" width="17.43" outlineLevel="1"/>
    <col customWidth="1" min="28" max="28" width="11.86" outlineLevel="1"/>
    <col customWidth="1" hidden="1" min="29" max="29" width="7.29" outlineLevel="1"/>
    <col customWidth="1" min="30" max="30" width="4.86" outlineLevel="1"/>
    <col customWidth="1" min="31" max="31" width="27.71" outlineLevel="1"/>
    <col customWidth="1" min="32" max="32" width="17.43" outlineLevel="1"/>
    <col customWidth="1" min="33" max="33" width="11.86" outlineLevel="1"/>
    <col customWidth="1" hidden="1" min="34" max="34" width="7.29" outlineLevel="1"/>
    <col customWidth="1" min="35" max="35" width="4.86" outlineLevel="1"/>
    <col customWidth="1" min="36" max="36" width="27.71" outlineLevel="1"/>
    <col customWidth="1" min="37" max="37" width="17.43" outlineLevel="1"/>
    <col customWidth="1" min="38" max="38" width="12.57" outlineLevel="1"/>
    <col customWidth="1" hidden="1" min="39" max="39" width="7.29" outlineLevel="1"/>
    <col customWidth="1" min="40" max="40" width="7.29" outlineLevel="1"/>
    <col customWidth="1" min="41" max="41" width="27.71" outlineLevel="1"/>
    <col customWidth="1" min="42" max="42" width="17.43" outlineLevel="1"/>
    <col customWidth="1" min="43" max="43" width="12.57" outlineLevel="1"/>
    <col customWidth="1" hidden="1" min="44" max="44" width="7.29" outlineLevel="1"/>
    <col customWidth="1" min="45" max="45" width="4.86" outlineLevel="1"/>
  </cols>
  <sheetData>
    <row r="1" ht="49.5" customHeight="1">
      <c r="A1" s="109"/>
      <c r="B1" s="109"/>
      <c r="C1" s="11"/>
      <c r="D1" s="110"/>
      <c r="E1" s="11"/>
      <c r="F1" s="111" t="s">
        <v>159</v>
      </c>
      <c r="G1" s="112"/>
      <c r="H1" s="112"/>
      <c r="I1" s="112"/>
      <c r="J1" s="112"/>
      <c r="K1" s="112"/>
      <c r="L1" s="112"/>
      <c r="M1" s="112"/>
      <c r="N1" s="111"/>
      <c r="O1" s="111"/>
      <c r="P1" s="111"/>
      <c r="Q1" s="111"/>
      <c r="R1" s="111"/>
      <c r="S1" s="111"/>
      <c r="T1" s="111"/>
      <c r="U1" s="111"/>
      <c r="V1" s="111"/>
      <c r="W1" s="111"/>
      <c r="X1" s="111"/>
      <c r="Y1" s="111"/>
      <c r="Z1" s="111"/>
      <c r="AA1" s="111"/>
      <c r="AB1" s="111"/>
      <c r="AC1" s="111"/>
      <c r="AD1" s="111"/>
      <c r="AE1" s="111"/>
      <c r="AF1" s="111"/>
      <c r="AG1" s="111"/>
      <c r="AH1" s="111"/>
      <c r="AI1" s="111"/>
      <c r="AJ1" s="111"/>
      <c r="AK1" s="111"/>
      <c r="AL1" s="111"/>
      <c r="AM1" s="14"/>
      <c r="AN1" s="14"/>
      <c r="AO1" s="111"/>
      <c r="AP1" s="111"/>
      <c r="AQ1" s="111"/>
      <c r="AR1" s="14"/>
      <c r="AS1" s="14"/>
    </row>
    <row r="2">
      <c r="A2" s="109"/>
      <c r="B2" s="109"/>
      <c r="C2" s="11"/>
      <c r="D2" s="110"/>
      <c r="E2" s="11"/>
      <c r="F2" s="11"/>
      <c r="G2" s="11"/>
      <c r="H2" s="11"/>
      <c r="I2" s="11"/>
      <c r="J2" s="11"/>
      <c r="K2" s="11"/>
      <c r="L2" s="113"/>
      <c r="M2" s="113"/>
      <c r="N2" s="14"/>
      <c r="O2" s="14"/>
      <c r="P2" s="113"/>
      <c r="Q2" s="113"/>
      <c r="R2" s="113"/>
      <c r="S2" s="14"/>
      <c r="T2" s="14"/>
      <c r="U2" s="14"/>
      <c r="V2" s="14"/>
      <c r="W2" s="14"/>
      <c r="X2" s="14"/>
      <c r="Y2" s="14"/>
      <c r="Z2" s="14"/>
      <c r="AA2" s="14"/>
      <c r="AB2" s="114"/>
      <c r="AC2" s="14"/>
      <c r="AD2" s="14"/>
      <c r="AE2" s="14"/>
      <c r="AF2" s="14"/>
      <c r="AG2" s="114"/>
      <c r="AH2" s="14"/>
      <c r="AI2" s="14"/>
      <c r="AJ2" s="14"/>
      <c r="AK2" s="14"/>
      <c r="AL2" s="14"/>
      <c r="AM2" s="14"/>
      <c r="AN2" s="14"/>
      <c r="AO2" s="14"/>
      <c r="AP2" s="14"/>
      <c r="AQ2" s="14"/>
      <c r="AR2" s="14"/>
      <c r="AS2" s="14"/>
    </row>
    <row r="3">
      <c r="A3" s="115" t="s">
        <v>160</v>
      </c>
      <c r="B3" s="116"/>
      <c r="C3" s="117"/>
      <c r="D3" s="118"/>
      <c r="E3" s="117"/>
      <c r="F3" s="119" t="s">
        <v>161</v>
      </c>
      <c r="G3" s="120"/>
      <c r="H3" s="121"/>
      <c r="I3" s="11"/>
      <c r="J3" s="11"/>
      <c r="K3" s="119" t="s">
        <v>162</v>
      </c>
      <c r="L3" s="120"/>
      <c r="M3" s="121"/>
      <c r="N3" s="11"/>
      <c r="O3" s="11"/>
      <c r="P3" s="119" t="s">
        <v>163</v>
      </c>
      <c r="Q3" s="120"/>
      <c r="R3" s="121"/>
      <c r="S3" s="11"/>
      <c r="T3" s="11"/>
      <c r="U3" s="119" t="s">
        <v>164</v>
      </c>
      <c r="V3" s="120"/>
      <c r="W3" s="121"/>
      <c r="X3" s="11"/>
      <c r="Y3" s="11"/>
      <c r="Z3" s="119" t="s">
        <v>165</v>
      </c>
      <c r="AA3" s="120"/>
      <c r="AB3" s="121"/>
      <c r="AC3" s="11"/>
      <c r="AD3" s="11"/>
      <c r="AE3" s="122" t="s">
        <v>166</v>
      </c>
      <c r="AF3" s="120"/>
      <c r="AG3" s="121"/>
      <c r="AH3" s="11"/>
      <c r="AI3" s="11"/>
      <c r="AJ3" s="122" t="s">
        <v>167</v>
      </c>
      <c r="AK3" s="120"/>
      <c r="AL3" s="121"/>
      <c r="AM3" s="11"/>
      <c r="AN3" s="11"/>
      <c r="AO3" s="122" t="s">
        <v>168</v>
      </c>
      <c r="AP3" s="120"/>
      <c r="AQ3" s="121"/>
      <c r="AR3" s="11"/>
      <c r="AS3" s="11"/>
    </row>
    <row r="4">
      <c r="B4" s="116"/>
      <c r="C4" s="117"/>
      <c r="D4" s="123" t="s">
        <v>169</v>
      </c>
      <c r="F4" s="124" t="s">
        <v>170</v>
      </c>
      <c r="G4" s="125" t="s">
        <v>134</v>
      </c>
      <c r="H4" s="126" t="s">
        <v>171</v>
      </c>
      <c r="I4" s="11"/>
      <c r="J4" s="11"/>
      <c r="K4" s="124" t="s">
        <v>170</v>
      </c>
      <c r="L4" s="125" t="s">
        <v>134</v>
      </c>
      <c r="M4" s="126" t="s">
        <v>171</v>
      </c>
      <c r="N4" s="11"/>
      <c r="O4" s="11"/>
      <c r="P4" s="124" t="s">
        <v>170</v>
      </c>
      <c r="Q4" s="125" t="s">
        <v>134</v>
      </c>
      <c r="R4" s="126" t="s">
        <v>171</v>
      </c>
      <c r="S4" s="11"/>
      <c r="T4" s="11"/>
      <c r="U4" s="124" t="s">
        <v>170</v>
      </c>
      <c r="V4" s="125" t="s">
        <v>134</v>
      </c>
      <c r="W4" s="126" t="s">
        <v>171</v>
      </c>
      <c r="X4" s="11"/>
      <c r="Y4" s="11"/>
      <c r="Z4" s="124" t="s">
        <v>170</v>
      </c>
      <c r="AA4" s="125" t="s">
        <v>134</v>
      </c>
      <c r="AB4" s="126" t="s">
        <v>171</v>
      </c>
      <c r="AC4" s="11"/>
      <c r="AD4" s="11"/>
      <c r="AE4" s="124" t="s">
        <v>170</v>
      </c>
      <c r="AF4" s="125" t="s">
        <v>134</v>
      </c>
      <c r="AG4" s="126" t="s">
        <v>171</v>
      </c>
      <c r="AH4" s="11"/>
      <c r="AI4" s="11"/>
      <c r="AJ4" s="124" t="s">
        <v>170</v>
      </c>
      <c r="AK4" s="125" t="s">
        <v>134</v>
      </c>
      <c r="AL4" s="126" t="s">
        <v>171</v>
      </c>
      <c r="AM4" s="11"/>
      <c r="AN4" s="11"/>
      <c r="AO4" s="124" t="s">
        <v>170</v>
      </c>
      <c r="AP4" s="125" t="s">
        <v>134</v>
      </c>
      <c r="AQ4" s="126" t="s">
        <v>171</v>
      </c>
      <c r="AR4" s="11"/>
      <c r="AS4" s="11"/>
    </row>
    <row r="5">
      <c r="B5" s="127" t="s">
        <v>172</v>
      </c>
      <c r="C5" s="117"/>
      <c r="D5" s="128">
        <v>164.0</v>
      </c>
      <c r="F5" s="129" t="s">
        <v>173</v>
      </c>
      <c r="G5" s="130">
        <f>CAP_MOD_LEVEL($D5,F5)</f>
        <v>160</v>
      </c>
      <c r="H5" s="131">
        <f>IF(F5="None",1,MODSTAT_CANNON(F5,G5))</f>
        <v>8.19</v>
      </c>
      <c r="I5" s="11"/>
      <c r="J5" s="11"/>
      <c r="K5" s="129" t="s">
        <v>174</v>
      </c>
      <c r="L5" s="130">
        <f>CAP_MOD_LEVEL($D5,K5)</f>
        <v>164</v>
      </c>
      <c r="M5" s="131">
        <f>IF(K5="None",1,MODSTAT_CANNON(K5,L5))</f>
        <v>9.04</v>
      </c>
      <c r="N5" s="11"/>
      <c r="O5" s="11"/>
      <c r="P5" s="129" t="s">
        <v>173</v>
      </c>
      <c r="Q5" s="130">
        <f>CAP_MOD_LEVEL($D5,P5)</f>
        <v>160</v>
      </c>
      <c r="R5" s="131">
        <f>IF(P5="None",1,MODSTAT_CANNON(P5,Q5))</f>
        <v>8.19</v>
      </c>
      <c r="S5" s="11"/>
      <c r="T5" s="11"/>
      <c r="U5" s="129" t="s">
        <v>174</v>
      </c>
      <c r="V5" s="130">
        <f>CAP_MOD_LEVEL($D5,U5)</f>
        <v>164</v>
      </c>
      <c r="W5" s="131">
        <f>IF(U5="None",1,MODSTAT_CANNON(U5,V5))</f>
        <v>9.04</v>
      </c>
      <c r="X5" s="11"/>
      <c r="Y5" s="11"/>
      <c r="Z5" s="129" t="s">
        <v>175</v>
      </c>
      <c r="AA5" s="130">
        <f>CAP_MOD_LEVEL($D5,Z5)</f>
        <v>100</v>
      </c>
      <c r="AB5" s="131">
        <f>IF(Z5="None",1,MODSTAT_CANNON(Z5,AA5))</f>
        <v>2.27</v>
      </c>
      <c r="AC5" s="11"/>
      <c r="AD5" s="11"/>
      <c r="AE5" s="129" t="s">
        <v>174</v>
      </c>
      <c r="AF5" s="130">
        <f>CAP_MOD_LEVEL($D5,AE5)</f>
        <v>164</v>
      </c>
      <c r="AG5" s="131">
        <f>IF(AE5="None",1,MODSTAT_CANNON(AE5,AF5))</f>
        <v>9.04</v>
      </c>
      <c r="AH5" s="11"/>
      <c r="AI5" s="11"/>
      <c r="AJ5" s="132" t="s">
        <v>176</v>
      </c>
      <c r="AK5" s="133">
        <f>CAP_MOD_LEVEL($D5,AJ5)</f>
        <v>60</v>
      </c>
      <c r="AL5" s="134">
        <f>IF(AJ5="None",1,MODSTAT_CANNON(AJ5,AK5))</f>
        <v>1.37</v>
      </c>
      <c r="AM5" s="11"/>
      <c r="AN5" s="11"/>
      <c r="AO5" s="132" t="s">
        <v>177</v>
      </c>
      <c r="AP5" s="133">
        <f>CAP_MOD_LEVEL($D5,AO5)</f>
        <v>20</v>
      </c>
      <c r="AQ5" s="134">
        <f>IF(AO5="None",1,MODSTAT_CANNON(AO5,AP5))</f>
        <v>1.05</v>
      </c>
      <c r="AR5" s="11"/>
      <c r="AS5" s="11"/>
    </row>
    <row r="6">
      <c r="B6" s="85"/>
      <c r="C6" s="117"/>
      <c r="D6" s="118"/>
      <c r="F6" s="135"/>
      <c r="G6" s="29"/>
      <c r="H6" s="136"/>
      <c r="I6" s="11"/>
      <c r="J6" s="11"/>
      <c r="K6" s="135"/>
      <c r="L6" s="29"/>
      <c r="M6" s="136"/>
      <c r="N6" s="11"/>
      <c r="O6" s="11"/>
      <c r="P6" s="135"/>
      <c r="Q6" s="29"/>
      <c r="R6" s="136"/>
      <c r="S6" s="11"/>
      <c r="T6" s="11"/>
      <c r="U6" s="135"/>
      <c r="V6" s="29"/>
      <c r="W6" s="136"/>
      <c r="X6" s="11"/>
      <c r="Y6" s="11"/>
      <c r="Z6" s="135"/>
      <c r="AA6" s="29"/>
      <c r="AB6" s="136"/>
      <c r="AC6" s="11"/>
      <c r="AD6" s="11"/>
      <c r="AE6" s="135"/>
      <c r="AF6" s="29"/>
      <c r="AG6" s="136"/>
      <c r="AH6" s="11"/>
      <c r="AI6" s="11"/>
      <c r="AJ6" s="137"/>
      <c r="AK6" s="138"/>
      <c r="AL6" s="139"/>
      <c r="AM6" s="11"/>
      <c r="AN6" s="11"/>
      <c r="AO6" s="137"/>
      <c r="AP6" s="138"/>
      <c r="AQ6" s="139"/>
      <c r="AR6" s="11"/>
      <c r="AS6" s="11"/>
    </row>
    <row r="7">
      <c r="B7" s="85"/>
      <c r="C7" s="117"/>
      <c r="D7" s="123" t="s">
        <v>178</v>
      </c>
      <c r="F7" s="140"/>
      <c r="G7" s="141"/>
      <c r="H7" s="142" t="str">
        <f t="shared" ref="H7:H14" si="1">MOD_SUBSTAT_LOOKUP(F7,G7,1)</f>
        <v/>
      </c>
      <c r="I7" s="143" t="str">
        <f t="shared" ref="I7:I14" si="2">IF(ISBLANK(F7), "", MOD_SUBSTAT_LOOKUP(F7,G7,0))</f>
        <v/>
      </c>
      <c r="J7" s="11"/>
      <c r="K7" s="140" t="s">
        <v>179</v>
      </c>
      <c r="L7" s="141" t="s">
        <v>180</v>
      </c>
      <c r="M7" s="142" t="str">
        <f t="shared" ref="M7:M14" si="3">MOD_SUBSTAT_LOOKUP(K7,L7,1)</f>
        <v>+3</v>
      </c>
      <c r="N7" s="143">
        <f t="shared" ref="N7:N14" si="4">IF(ISBLANK(K7), "", MOD_SUBSTAT_LOOKUP(K7,L7,0))</f>
        <v>3</v>
      </c>
      <c r="O7" s="11"/>
      <c r="P7" s="140" t="s">
        <v>181</v>
      </c>
      <c r="Q7" s="141" t="s">
        <v>180</v>
      </c>
      <c r="R7" s="142" t="str">
        <f t="shared" ref="R7:R14" si="5">MOD_SUBSTAT_LOOKUP(P7,Q7,1)</f>
        <v>+10%</v>
      </c>
      <c r="S7" s="143">
        <f t="shared" ref="S7:S14" si="6">IF(ISBLANK(P7), "", MOD_SUBSTAT_LOOKUP(P7,Q7,0))</f>
        <v>0.1</v>
      </c>
      <c r="T7" s="11"/>
      <c r="U7" s="144"/>
      <c r="V7" s="141"/>
      <c r="W7" s="142" t="str">
        <f t="shared" ref="W7:W14" si="7">MOD_SUBSTAT_LOOKUP(U7,V7,1)</f>
        <v/>
      </c>
      <c r="X7" s="143" t="str">
        <f t="shared" ref="X7:X14" si="8">IF(ISBLANK(U7), "", MOD_SUBSTAT_LOOKUP(U7,V7,0))</f>
        <v/>
      </c>
      <c r="Y7" s="11"/>
      <c r="Z7" s="144"/>
      <c r="AA7" s="141"/>
      <c r="AB7" s="142" t="str">
        <f t="shared" ref="AB7:AB14" si="9">MOD_SUBSTAT_LOOKUP(Z7,AA7,1)</f>
        <v/>
      </c>
      <c r="AC7" s="143" t="str">
        <f t="shared" ref="AC7:AC14" si="10">IF(ISBLANK(Z7), "", MOD_SUBSTAT_LOOKUP(Z7,AA7,0))</f>
        <v/>
      </c>
      <c r="AD7" s="11"/>
      <c r="AE7" s="140" t="s">
        <v>182</v>
      </c>
      <c r="AF7" s="141" t="s">
        <v>180</v>
      </c>
      <c r="AG7" s="142" t="str">
        <f t="shared" ref="AG7:AG14" si="11">MOD_SUBSTAT_LOOKUP(AE7,AF7,1)</f>
        <v>+9%</v>
      </c>
      <c r="AH7" s="143">
        <f t="shared" ref="AH7:AH14" si="12">IF(ISBLANK(AE7), "", MOD_SUBSTAT_LOOKUP(AE7,AF7,0))</f>
        <v>0.09</v>
      </c>
      <c r="AI7" s="11"/>
      <c r="AJ7" s="145"/>
      <c r="AK7" s="141"/>
      <c r="AL7" s="142" t="str">
        <f t="shared" ref="AL7:AL14" si="13">MOD_SUBSTAT_LOOKUP(AJ7,AK7,1)</f>
        <v/>
      </c>
      <c r="AM7" s="143" t="str">
        <f t="shared" ref="AM7:AM14" si="14">IF(ISBLANK(AJ7), "", MOD_SUBSTAT_LOOKUP(AJ7,AK7,0))</f>
        <v/>
      </c>
      <c r="AN7" s="146"/>
      <c r="AO7" s="145"/>
      <c r="AP7" s="141"/>
      <c r="AQ7" s="142" t="str">
        <f t="shared" ref="AQ7:AQ14" si="15">MOD_SUBSTAT_LOOKUP(AO7,AP7,1)</f>
        <v/>
      </c>
      <c r="AR7" s="143" t="str">
        <f t="shared" ref="AR7:AR14" si="16">IF(ISBLANK(AO7), "", MOD_SUBSTAT_LOOKUP(AO7,AP7,0))</f>
        <v/>
      </c>
      <c r="AS7" s="11"/>
    </row>
    <row r="8">
      <c r="B8" s="85"/>
      <c r="C8" s="117"/>
      <c r="D8" s="128">
        <v>0.0</v>
      </c>
      <c r="F8" s="140"/>
      <c r="G8" s="141"/>
      <c r="H8" s="142" t="str">
        <f t="shared" si="1"/>
        <v/>
      </c>
      <c r="I8" s="143" t="str">
        <f t="shared" si="2"/>
        <v/>
      </c>
      <c r="J8" s="11"/>
      <c r="K8" s="140" t="s">
        <v>183</v>
      </c>
      <c r="L8" s="141" t="s">
        <v>180</v>
      </c>
      <c r="M8" s="142" t="str">
        <f t="shared" si="3"/>
        <v>+3</v>
      </c>
      <c r="N8" s="143">
        <f t="shared" si="4"/>
        <v>3</v>
      </c>
      <c r="O8" s="11"/>
      <c r="P8" s="140" t="s">
        <v>182</v>
      </c>
      <c r="Q8" s="141" t="s">
        <v>180</v>
      </c>
      <c r="R8" s="142" t="str">
        <f t="shared" si="5"/>
        <v>+9%</v>
      </c>
      <c r="S8" s="143">
        <f t="shared" si="6"/>
        <v>0.09</v>
      </c>
      <c r="T8" s="11"/>
      <c r="U8" s="144"/>
      <c r="V8" s="141"/>
      <c r="W8" s="142" t="str">
        <f t="shared" si="7"/>
        <v/>
      </c>
      <c r="X8" s="143" t="str">
        <f t="shared" si="8"/>
        <v/>
      </c>
      <c r="Y8" s="11"/>
      <c r="Z8" s="144"/>
      <c r="AA8" s="141"/>
      <c r="AB8" s="142" t="str">
        <f t="shared" si="9"/>
        <v/>
      </c>
      <c r="AC8" s="143" t="str">
        <f t="shared" si="10"/>
        <v/>
      </c>
      <c r="AD8" s="11"/>
      <c r="AE8" s="140" t="s">
        <v>179</v>
      </c>
      <c r="AF8" s="141" t="s">
        <v>180</v>
      </c>
      <c r="AG8" s="142" t="str">
        <f t="shared" si="11"/>
        <v>+3</v>
      </c>
      <c r="AH8" s="143">
        <f t="shared" si="12"/>
        <v>3</v>
      </c>
      <c r="AI8" s="11"/>
      <c r="AJ8" s="145"/>
      <c r="AK8" s="141"/>
      <c r="AL8" s="142" t="str">
        <f t="shared" si="13"/>
        <v/>
      </c>
      <c r="AM8" s="143" t="str">
        <f t="shared" si="14"/>
        <v/>
      </c>
      <c r="AN8" s="146"/>
      <c r="AO8" s="147"/>
      <c r="AP8" s="141"/>
      <c r="AQ8" s="142" t="str">
        <f t="shared" si="15"/>
        <v/>
      </c>
      <c r="AR8" s="143" t="str">
        <f t="shared" si="16"/>
        <v/>
      </c>
      <c r="AS8" s="11"/>
    </row>
    <row r="9">
      <c r="B9" s="85"/>
      <c r="C9" s="117"/>
      <c r="D9" s="118"/>
      <c r="F9" s="140"/>
      <c r="G9" s="148"/>
      <c r="H9" s="142" t="str">
        <f t="shared" si="1"/>
        <v/>
      </c>
      <c r="I9" s="143" t="str">
        <f t="shared" si="2"/>
        <v/>
      </c>
      <c r="J9" s="11"/>
      <c r="K9" s="140" t="s">
        <v>184</v>
      </c>
      <c r="L9" s="148" t="s">
        <v>180</v>
      </c>
      <c r="M9" s="142" t="str">
        <f t="shared" si="3"/>
        <v>+12x</v>
      </c>
      <c r="N9" s="143">
        <f t="shared" si="4"/>
        <v>12</v>
      </c>
      <c r="O9" s="11"/>
      <c r="P9" s="140" t="s">
        <v>185</v>
      </c>
      <c r="Q9" s="148" t="s">
        <v>180</v>
      </c>
      <c r="R9" s="142" t="str">
        <f t="shared" si="5"/>
        <v>+3</v>
      </c>
      <c r="S9" s="143">
        <f t="shared" si="6"/>
        <v>3</v>
      </c>
      <c r="T9" s="11"/>
      <c r="U9" s="144"/>
      <c r="V9" s="148"/>
      <c r="W9" s="142" t="str">
        <f t="shared" si="7"/>
        <v/>
      </c>
      <c r="X9" s="143" t="str">
        <f t="shared" si="8"/>
        <v/>
      </c>
      <c r="Y9" s="11"/>
      <c r="Z9" s="140"/>
      <c r="AA9" s="148"/>
      <c r="AB9" s="142" t="str">
        <f t="shared" si="9"/>
        <v/>
      </c>
      <c r="AC9" s="143" t="str">
        <f t="shared" si="10"/>
        <v/>
      </c>
      <c r="AD9" s="11"/>
      <c r="AE9" s="140" t="s">
        <v>183</v>
      </c>
      <c r="AF9" s="148" t="s">
        <v>174</v>
      </c>
      <c r="AG9" s="142" t="str">
        <f t="shared" si="11"/>
        <v>+4</v>
      </c>
      <c r="AH9" s="143">
        <f t="shared" si="12"/>
        <v>4</v>
      </c>
      <c r="AI9" s="11"/>
      <c r="AJ9" s="145"/>
      <c r="AK9" s="148"/>
      <c r="AL9" s="142" t="str">
        <f t="shared" si="13"/>
        <v/>
      </c>
      <c r="AM9" s="143" t="str">
        <f t="shared" si="14"/>
        <v/>
      </c>
      <c r="AN9" s="146"/>
      <c r="AO9" s="147"/>
      <c r="AP9" s="148"/>
      <c r="AQ9" s="142" t="str">
        <f t="shared" si="15"/>
        <v/>
      </c>
      <c r="AR9" s="143" t="str">
        <f t="shared" si="16"/>
        <v/>
      </c>
      <c r="AS9" s="11"/>
    </row>
    <row r="10">
      <c r="B10" s="85"/>
      <c r="C10" s="117"/>
      <c r="D10" s="118"/>
      <c r="F10" s="140"/>
      <c r="G10" s="149"/>
      <c r="H10" s="142" t="str">
        <f t="shared" si="1"/>
        <v/>
      </c>
      <c r="I10" s="143" t="str">
        <f t="shared" si="2"/>
        <v/>
      </c>
      <c r="J10" s="11"/>
      <c r="K10" s="140" t="s">
        <v>182</v>
      </c>
      <c r="L10" s="149" t="s">
        <v>180</v>
      </c>
      <c r="M10" s="142" t="str">
        <f t="shared" si="3"/>
        <v>+9%</v>
      </c>
      <c r="N10" s="143">
        <f t="shared" si="4"/>
        <v>0.09</v>
      </c>
      <c r="O10" s="11"/>
      <c r="P10" s="140" t="s">
        <v>183</v>
      </c>
      <c r="Q10" s="149" t="s">
        <v>180</v>
      </c>
      <c r="R10" s="142" t="str">
        <f t="shared" si="5"/>
        <v>+3</v>
      </c>
      <c r="S10" s="143">
        <f t="shared" si="6"/>
        <v>3</v>
      </c>
      <c r="T10" s="11"/>
      <c r="U10" s="144"/>
      <c r="V10" s="149"/>
      <c r="W10" s="142" t="str">
        <f t="shared" si="7"/>
        <v/>
      </c>
      <c r="X10" s="143" t="str">
        <f t="shared" si="8"/>
        <v/>
      </c>
      <c r="Y10" s="11"/>
      <c r="Z10" s="144"/>
      <c r="AA10" s="149"/>
      <c r="AB10" s="142" t="str">
        <f t="shared" si="9"/>
        <v/>
      </c>
      <c r="AC10" s="143" t="str">
        <f t="shared" si="10"/>
        <v/>
      </c>
      <c r="AD10" s="11"/>
      <c r="AE10" s="140" t="s">
        <v>184</v>
      </c>
      <c r="AF10" s="149" t="s">
        <v>174</v>
      </c>
      <c r="AG10" s="142" t="str">
        <f t="shared" si="11"/>
        <v>+15x</v>
      </c>
      <c r="AH10" s="143">
        <f t="shared" si="12"/>
        <v>15</v>
      </c>
      <c r="AI10" s="11"/>
      <c r="AJ10" s="145"/>
      <c r="AK10" s="149"/>
      <c r="AL10" s="142" t="str">
        <f t="shared" si="13"/>
        <v/>
      </c>
      <c r="AM10" s="143" t="str">
        <f t="shared" si="14"/>
        <v/>
      </c>
      <c r="AN10" s="146"/>
      <c r="AO10" s="145"/>
      <c r="AP10" s="149"/>
      <c r="AQ10" s="142" t="str">
        <f t="shared" si="15"/>
        <v/>
      </c>
      <c r="AR10" s="143" t="str">
        <f t="shared" si="16"/>
        <v/>
      </c>
      <c r="AS10" s="11"/>
    </row>
    <row r="11">
      <c r="B11" s="150"/>
      <c r="C11" s="117"/>
      <c r="D11" s="118"/>
      <c r="F11" s="151"/>
      <c r="G11" s="149"/>
      <c r="H11" s="142" t="str">
        <f t="shared" si="1"/>
        <v/>
      </c>
      <c r="I11" s="143" t="str">
        <f t="shared" si="2"/>
        <v/>
      </c>
      <c r="J11" s="11"/>
      <c r="K11" s="152"/>
      <c r="L11" s="149"/>
      <c r="M11" s="142" t="str">
        <f t="shared" si="3"/>
        <v/>
      </c>
      <c r="N11" s="143" t="str">
        <f t="shared" si="4"/>
        <v/>
      </c>
      <c r="O11" s="11"/>
      <c r="P11" s="152"/>
      <c r="Q11" s="149"/>
      <c r="R11" s="142" t="str">
        <f t="shared" si="5"/>
        <v/>
      </c>
      <c r="S11" s="143" t="str">
        <f t="shared" si="6"/>
        <v/>
      </c>
      <c r="T11" s="11"/>
      <c r="U11" s="152"/>
      <c r="V11" s="149"/>
      <c r="W11" s="142" t="str">
        <f t="shared" si="7"/>
        <v/>
      </c>
      <c r="X11" s="143" t="str">
        <f t="shared" si="8"/>
        <v/>
      </c>
      <c r="Y11" s="11"/>
      <c r="Z11" s="152"/>
      <c r="AA11" s="149"/>
      <c r="AB11" s="142" t="str">
        <f t="shared" si="9"/>
        <v/>
      </c>
      <c r="AC11" s="143" t="str">
        <f t="shared" si="10"/>
        <v/>
      </c>
      <c r="AD11" s="11"/>
      <c r="AE11" s="151" t="s">
        <v>186</v>
      </c>
      <c r="AF11" s="149" t="s">
        <v>180</v>
      </c>
      <c r="AG11" s="142" t="str">
        <f t="shared" si="11"/>
        <v>+5x</v>
      </c>
      <c r="AH11" s="143">
        <f t="shared" si="12"/>
        <v>5</v>
      </c>
      <c r="AI11" s="11"/>
      <c r="AJ11" s="145"/>
      <c r="AK11" s="149"/>
      <c r="AL11" s="142" t="str">
        <f t="shared" si="13"/>
        <v/>
      </c>
      <c r="AM11" s="143" t="str">
        <f t="shared" si="14"/>
        <v/>
      </c>
      <c r="AN11" s="146"/>
      <c r="AO11" s="145"/>
      <c r="AP11" s="149"/>
      <c r="AQ11" s="142" t="str">
        <f t="shared" si="15"/>
        <v/>
      </c>
      <c r="AR11" s="143" t="str">
        <f t="shared" si="16"/>
        <v/>
      </c>
      <c r="AS11" s="11"/>
    </row>
    <row r="12">
      <c r="B12" s="116"/>
      <c r="C12" s="117"/>
      <c r="D12" s="118"/>
      <c r="F12" s="151"/>
      <c r="G12" s="149"/>
      <c r="H12" s="142" t="str">
        <f t="shared" si="1"/>
        <v/>
      </c>
      <c r="I12" s="143" t="str">
        <f t="shared" si="2"/>
        <v/>
      </c>
      <c r="J12" s="11"/>
      <c r="K12" s="152"/>
      <c r="L12" s="149"/>
      <c r="M12" s="142" t="str">
        <f t="shared" si="3"/>
        <v/>
      </c>
      <c r="N12" s="143" t="str">
        <f t="shared" si="4"/>
        <v/>
      </c>
      <c r="O12" s="11"/>
      <c r="P12" s="152"/>
      <c r="Q12" s="149"/>
      <c r="R12" s="142" t="str">
        <f t="shared" si="5"/>
        <v/>
      </c>
      <c r="S12" s="143" t="str">
        <f t="shared" si="6"/>
        <v/>
      </c>
      <c r="T12" s="11"/>
      <c r="U12" s="152"/>
      <c r="V12" s="149"/>
      <c r="W12" s="142" t="str">
        <f t="shared" si="7"/>
        <v/>
      </c>
      <c r="X12" s="143" t="str">
        <f t="shared" si="8"/>
        <v/>
      </c>
      <c r="Y12" s="11"/>
      <c r="Z12" s="152"/>
      <c r="AA12" s="149"/>
      <c r="AB12" s="142" t="str">
        <f t="shared" si="9"/>
        <v/>
      </c>
      <c r="AC12" s="143" t="str">
        <f t="shared" si="10"/>
        <v/>
      </c>
      <c r="AD12" s="11"/>
      <c r="AE12" s="152"/>
      <c r="AF12" s="149"/>
      <c r="AG12" s="142" t="str">
        <f t="shared" si="11"/>
        <v/>
      </c>
      <c r="AH12" s="143" t="str">
        <f t="shared" si="12"/>
        <v/>
      </c>
      <c r="AI12" s="11"/>
      <c r="AJ12" s="145"/>
      <c r="AK12" s="149"/>
      <c r="AL12" s="142" t="str">
        <f t="shared" si="13"/>
        <v/>
      </c>
      <c r="AM12" s="143" t="str">
        <f t="shared" si="14"/>
        <v/>
      </c>
      <c r="AN12" s="146"/>
      <c r="AO12" s="145"/>
      <c r="AP12" s="149"/>
      <c r="AQ12" s="142" t="str">
        <f t="shared" si="15"/>
        <v/>
      </c>
      <c r="AR12" s="143" t="str">
        <f t="shared" si="16"/>
        <v/>
      </c>
      <c r="AS12" s="11"/>
    </row>
    <row r="13">
      <c r="B13" s="116"/>
      <c r="C13" s="117"/>
      <c r="D13" s="118"/>
      <c r="F13" s="152"/>
      <c r="G13" s="149"/>
      <c r="H13" s="142" t="str">
        <f t="shared" si="1"/>
        <v/>
      </c>
      <c r="I13" s="143" t="str">
        <f t="shared" si="2"/>
        <v/>
      </c>
      <c r="J13" s="11"/>
      <c r="K13" s="152"/>
      <c r="L13" s="149"/>
      <c r="M13" s="142" t="str">
        <f t="shared" si="3"/>
        <v/>
      </c>
      <c r="N13" s="143" t="str">
        <f t="shared" si="4"/>
        <v/>
      </c>
      <c r="O13" s="11"/>
      <c r="P13" s="152"/>
      <c r="Q13" s="149"/>
      <c r="R13" s="142" t="str">
        <f t="shared" si="5"/>
        <v/>
      </c>
      <c r="S13" s="143" t="str">
        <f t="shared" si="6"/>
        <v/>
      </c>
      <c r="T13" s="11"/>
      <c r="U13" s="152"/>
      <c r="V13" s="149"/>
      <c r="W13" s="142" t="str">
        <f t="shared" si="7"/>
        <v/>
      </c>
      <c r="X13" s="143" t="str">
        <f t="shared" si="8"/>
        <v/>
      </c>
      <c r="Y13" s="11"/>
      <c r="Z13" s="152"/>
      <c r="AA13" s="149"/>
      <c r="AB13" s="142" t="str">
        <f t="shared" si="9"/>
        <v/>
      </c>
      <c r="AC13" s="143" t="str">
        <f t="shared" si="10"/>
        <v/>
      </c>
      <c r="AD13" s="11"/>
      <c r="AE13" s="152"/>
      <c r="AF13" s="149"/>
      <c r="AG13" s="142" t="str">
        <f t="shared" si="11"/>
        <v/>
      </c>
      <c r="AH13" s="143" t="str">
        <f t="shared" si="12"/>
        <v/>
      </c>
      <c r="AI13" s="11"/>
      <c r="AJ13" s="145"/>
      <c r="AK13" s="149"/>
      <c r="AL13" s="142" t="str">
        <f t="shared" si="13"/>
        <v/>
      </c>
      <c r="AM13" s="143" t="str">
        <f t="shared" si="14"/>
        <v/>
      </c>
      <c r="AN13" s="146"/>
      <c r="AO13" s="145"/>
      <c r="AP13" s="149"/>
      <c r="AQ13" s="142" t="str">
        <f t="shared" si="15"/>
        <v/>
      </c>
      <c r="AR13" s="143" t="str">
        <f t="shared" si="16"/>
        <v/>
      </c>
      <c r="AS13" s="11"/>
    </row>
    <row r="14">
      <c r="A14" s="138"/>
      <c r="B14" s="116"/>
      <c r="C14" s="117"/>
      <c r="D14" s="118"/>
      <c r="F14" s="153"/>
      <c r="G14" s="154"/>
      <c r="H14" s="155" t="str">
        <f t="shared" si="1"/>
        <v/>
      </c>
      <c r="I14" s="143" t="str">
        <f t="shared" si="2"/>
        <v/>
      </c>
      <c r="J14" s="11"/>
      <c r="K14" s="153"/>
      <c r="L14" s="154"/>
      <c r="M14" s="155" t="str">
        <f t="shared" si="3"/>
        <v/>
      </c>
      <c r="N14" s="143" t="str">
        <f t="shared" si="4"/>
        <v/>
      </c>
      <c r="O14" s="11"/>
      <c r="P14" s="153"/>
      <c r="Q14" s="154"/>
      <c r="R14" s="155" t="str">
        <f t="shared" si="5"/>
        <v/>
      </c>
      <c r="S14" s="143" t="str">
        <f t="shared" si="6"/>
        <v/>
      </c>
      <c r="T14" s="11"/>
      <c r="U14" s="153"/>
      <c r="V14" s="154"/>
      <c r="W14" s="155" t="str">
        <f t="shared" si="7"/>
        <v/>
      </c>
      <c r="X14" s="143" t="str">
        <f t="shared" si="8"/>
        <v/>
      </c>
      <c r="Y14" s="11"/>
      <c r="Z14" s="153"/>
      <c r="AA14" s="154"/>
      <c r="AB14" s="155" t="str">
        <f t="shared" si="9"/>
        <v/>
      </c>
      <c r="AC14" s="143" t="str">
        <f t="shared" si="10"/>
        <v/>
      </c>
      <c r="AD14" s="11"/>
      <c r="AE14" s="153"/>
      <c r="AF14" s="154"/>
      <c r="AG14" s="155" t="str">
        <f t="shared" si="11"/>
        <v/>
      </c>
      <c r="AH14" s="143" t="str">
        <f t="shared" si="12"/>
        <v/>
      </c>
      <c r="AI14" s="11"/>
      <c r="AJ14" s="156"/>
      <c r="AK14" s="154"/>
      <c r="AL14" s="155" t="str">
        <f t="shared" si="13"/>
        <v/>
      </c>
      <c r="AM14" s="143" t="str">
        <f t="shared" si="14"/>
        <v/>
      </c>
      <c r="AN14" s="146"/>
      <c r="AO14" s="156"/>
      <c r="AP14" s="154"/>
      <c r="AQ14" s="155" t="str">
        <f t="shared" si="15"/>
        <v/>
      </c>
      <c r="AR14" s="143" t="str">
        <f t="shared" si="16"/>
        <v/>
      </c>
      <c r="AS14" s="11"/>
    </row>
    <row r="15">
      <c r="A15" s="157"/>
      <c r="B15" s="158"/>
      <c r="C15" s="117"/>
      <c r="D15" s="118"/>
      <c r="F15" s="159"/>
      <c r="G15" s="159"/>
      <c r="H15" s="159"/>
      <c r="I15" s="160"/>
      <c r="J15" s="160"/>
      <c r="K15" s="159"/>
      <c r="L15" s="159"/>
      <c r="M15" s="159"/>
      <c r="N15" s="160"/>
      <c r="O15" s="11"/>
      <c r="P15" s="159"/>
      <c r="Q15" s="159"/>
      <c r="R15" s="159"/>
      <c r="S15" s="160"/>
      <c r="T15" s="11"/>
      <c r="U15" s="159"/>
      <c r="V15" s="159"/>
      <c r="W15" s="159"/>
      <c r="X15" s="160"/>
      <c r="Y15" s="11"/>
      <c r="Z15" s="159"/>
      <c r="AA15" s="159"/>
      <c r="AB15" s="159"/>
      <c r="AC15" s="160"/>
      <c r="AD15" s="11"/>
      <c r="AE15" s="159"/>
      <c r="AF15" s="159"/>
      <c r="AG15" s="159"/>
      <c r="AH15" s="160"/>
      <c r="AI15" s="11"/>
      <c r="AJ15" s="159"/>
      <c r="AK15" s="159"/>
      <c r="AL15" s="159"/>
      <c r="AM15" s="160"/>
      <c r="AN15" s="11"/>
      <c r="AO15" s="159"/>
      <c r="AP15" s="159"/>
      <c r="AQ15" s="159"/>
      <c r="AR15" s="160"/>
      <c r="AS15" s="11"/>
    </row>
    <row r="16">
      <c r="A16" s="115" t="s">
        <v>187</v>
      </c>
      <c r="B16" s="116"/>
      <c r="C16" s="117"/>
      <c r="D16" s="118"/>
      <c r="F16" s="161" t="s">
        <v>188</v>
      </c>
      <c r="G16" s="120"/>
      <c r="H16" s="121"/>
      <c r="I16" s="11"/>
      <c r="J16" s="11"/>
      <c r="K16" s="161" t="s">
        <v>189</v>
      </c>
      <c r="L16" s="120"/>
      <c r="M16" s="121"/>
      <c r="N16" s="11"/>
      <c r="O16" s="11"/>
      <c r="P16" s="161" t="s">
        <v>190</v>
      </c>
      <c r="Q16" s="120"/>
      <c r="R16" s="121"/>
      <c r="S16" s="11"/>
      <c r="T16" s="11"/>
      <c r="U16" s="161" t="s">
        <v>191</v>
      </c>
      <c r="V16" s="120"/>
      <c r="W16" s="121"/>
      <c r="X16" s="11"/>
      <c r="Y16" s="11"/>
      <c r="Z16" s="161" t="s">
        <v>192</v>
      </c>
      <c r="AA16" s="120"/>
      <c r="AB16" s="121"/>
      <c r="AC16" s="11"/>
      <c r="AD16" s="11"/>
      <c r="AE16" s="162" t="s">
        <v>193</v>
      </c>
      <c r="AF16" s="120"/>
      <c r="AG16" s="121"/>
      <c r="AH16" s="11"/>
      <c r="AI16" s="11"/>
      <c r="AJ16" s="163" t="s">
        <v>167</v>
      </c>
      <c r="AK16" s="120"/>
      <c r="AL16" s="121"/>
      <c r="AM16" s="11"/>
      <c r="AN16" s="11"/>
      <c r="AO16" s="163" t="s">
        <v>168</v>
      </c>
      <c r="AP16" s="120"/>
      <c r="AQ16" s="121"/>
      <c r="AR16" s="11"/>
      <c r="AS16" s="11"/>
    </row>
    <row r="17">
      <c r="B17" s="116"/>
      <c r="C17" s="117"/>
      <c r="D17" s="164" t="s">
        <v>169</v>
      </c>
      <c r="F17" s="165" t="s">
        <v>170</v>
      </c>
      <c r="G17" s="166" t="s">
        <v>134</v>
      </c>
      <c r="H17" s="167" t="s">
        <v>171</v>
      </c>
      <c r="I17" s="11"/>
      <c r="J17" s="11"/>
      <c r="K17" s="165" t="s">
        <v>170</v>
      </c>
      <c r="L17" s="166" t="s">
        <v>134</v>
      </c>
      <c r="M17" s="167" t="s">
        <v>171</v>
      </c>
      <c r="N17" s="11"/>
      <c r="O17" s="11"/>
      <c r="P17" s="165" t="s">
        <v>170</v>
      </c>
      <c r="Q17" s="166" t="s">
        <v>134</v>
      </c>
      <c r="R17" s="167" t="s">
        <v>171</v>
      </c>
      <c r="S17" s="11"/>
      <c r="T17" s="11"/>
      <c r="U17" s="165" t="s">
        <v>170</v>
      </c>
      <c r="V17" s="166" t="s">
        <v>134</v>
      </c>
      <c r="W17" s="167" t="s">
        <v>171</v>
      </c>
      <c r="X17" s="11"/>
      <c r="Y17" s="11"/>
      <c r="Z17" s="165" t="s">
        <v>170</v>
      </c>
      <c r="AA17" s="166" t="s">
        <v>134</v>
      </c>
      <c r="AB17" s="167" t="s">
        <v>171</v>
      </c>
      <c r="AC17" s="11"/>
      <c r="AD17" s="11"/>
      <c r="AE17" s="165" t="s">
        <v>170</v>
      </c>
      <c r="AF17" s="166" t="s">
        <v>134</v>
      </c>
      <c r="AG17" s="167" t="s">
        <v>171</v>
      </c>
      <c r="AH17" s="11"/>
      <c r="AI17" s="11"/>
      <c r="AJ17" s="165" t="s">
        <v>170</v>
      </c>
      <c r="AK17" s="166" t="s">
        <v>134</v>
      </c>
      <c r="AL17" s="168" t="s">
        <v>171</v>
      </c>
      <c r="AM17" s="11"/>
      <c r="AN17" s="11"/>
      <c r="AO17" s="165" t="s">
        <v>170</v>
      </c>
      <c r="AP17" s="166" t="s">
        <v>134</v>
      </c>
      <c r="AQ17" s="168" t="s">
        <v>171</v>
      </c>
      <c r="AR17" s="11"/>
      <c r="AS17" s="11"/>
    </row>
    <row r="18">
      <c r="B18" s="169" t="s">
        <v>194</v>
      </c>
      <c r="C18" s="117"/>
      <c r="D18" s="170">
        <v>163.0</v>
      </c>
      <c r="F18" s="171" t="s">
        <v>173</v>
      </c>
      <c r="G18" s="172">
        <f>CAP_MOD_LEVEL($D18,F18)</f>
        <v>160</v>
      </c>
      <c r="H18" s="173">
        <f>IF(F18="None",1,MODSTAT_ARMOR(F18,G18))</f>
        <v>8.19</v>
      </c>
      <c r="I18" s="11"/>
      <c r="J18" s="11"/>
      <c r="K18" s="171" t="s">
        <v>175</v>
      </c>
      <c r="L18" s="172">
        <f>CAP_MOD_LEVEL($D18,K18)</f>
        <v>100</v>
      </c>
      <c r="M18" s="173">
        <f>IF(K18="None",1,MODSTAT_ARMOR(K18,L18))</f>
        <v>2.27</v>
      </c>
      <c r="N18" s="11"/>
      <c r="O18" s="11"/>
      <c r="P18" s="171" t="s">
        <v>195</v>
      </c>
      <c r="Q18" s="172">
        <f>CAP_MOD_LEVEL($D18,P18)</f>
        <v>163</v>
      </c>
      <c r="R18" s="173">
        <f>IF(P18="None",1,MODSTAT_ARMOR(P18,Q18))</f>
        <v>9.467</v>
      </c>
      <c r="S18" s="11"/>
      <c r="T18" s="11"/>
      <c r="U18" s="171" t="s">
        <v>173</v>
      </c>
      <c r="V18" s="172">
        <f>CAP_MOD_LEVEL($D18,U18)</f>
        <v>160</v>
      </c>
      <c r="W18" s="173">
        <f>IF(U18="None",1,MODSTAT_ARMOR(U18,V18))</f>
        <v>8.19</v>
      </c>
      <c r="X18" s="11"/>
      <c r="Y18" s="11"/>
      <c r="Z18" s="171" t="s">
        <v>174</v>
      </c>
      <c r="AA18" s="172">
        <f>CAP_MOD_LEVEL($D18,Z18)</f>
        <v>163</v>
      </c>
      <c r="AB18" s="173">
        <f>IF(Z18="None",1,MODSTAT_ARMOR(Z18,AA18))</f>
        <v>8.84</v>
      </c>
      <c r="AC18" s="11"/>
      <c r="AD18" s="11"/>
      <c r="AE18" s="171" t="s">
        <v>196</v>
      </c>
      <c r="AF18" s="172">
        <f>CAP_MOD_LEVEL($D18,AE18)</f>
        <v>163</v>
      </c>
      <c r="AG18" s="173">
        <f>IF(AE18="None",1,MODSTAT_ARMOR(AE18,AF18))</f>
        <v>9.154</v>
      </c>
      <c r="AH18" s="11"/>
      <c r="AI18" s="11"/>
      <c r="AJ18" s="132" t="s">
        <v>176</v>
      </c>
      <c r="AK18" s="133">
        <f>CAP_MOD_LEVEL($D18,AJ18)</f>
        <v>60</v>
      </c>
      <c r="AL18" s="134">
        <f>IF(AJ18="None",1,MODSTAT_ARMOR(AJ18,AK18))</f>
        <v>1.37</v>
      </c>
      <c r="AM18" s="11"/>
      <c r="AN18" s="11"/>
      <c r="AO18" s="132" t="s">
        <v>177</v>
      </c>
      <c r="AP18" s="133">
        <f>CAP_MOD_LEVEL($D18,AO18)</f>
        <v>20</v>
      </c>
      <c r="AQ18" s="134">
        <f>IF(AO18="None",1,MODSTAT_ARMOR(AO18,AP18))</f>
        <v>1.05</v>
      </c>
      <c r="AR18" s="11"/>
      <c r="AS18" s="11"/>
    </row>
    <row r="19">
      <c r="B19" s="85"/>
      <c r="C19" s="117"/>
      <c r="D19" s="118"/>
      <c r="F19" s="174"/>
      <c r="G19" s="29"/>
      <c r="H19" s="136"/>
      <c r="I19" s="11"/>
      <c r="J19" s="11"/>
      <c r="K19" s="174"/>
      <c r="L19" s="29"/>
      <c r="M19" s="136"/>
      <c r="N19" s="11"/>
      <c r="O19" s="11"/>
      <c r="P19" s="174"/>
      <c r="Q19" s="29"/>
      <c r="R19" s="136"/>
      <c r="S19" s="11"/>
      <c r="T19" s="11"/>
      <c r="U19" s="174"/>
      <c r="V19" s="29"/>
      <c r="W19" s="136"/>
      <c r="X19" s="11"/>
      <c r="Y19" s="11"/>
      <c r="Z19" s="174"/>
      <c r="AA19" s="29"/>
      <c r="AB19" s="136"/>
      <c r="AC19" s="11"/>
      <c r="AD19" s="11"/>
      <c r="AE19" s="174"/>
      <c r="AF19" s="29"/>
      <c r="AG19" s="136"/>
      <c r="AH19" s="11"/>
      <c r="AI19" s="11"/>
      <c r="AJ19" s="137"/>
      <c r="AK19" s="138"/>
      <c r="AL19" s="139"/>
      <c r="AM19" s="11"/>
      <c r="AN19" s="11"/>
      <c r="AO19" s="137"/>
      <c r="AP19" s="138"/>
      <c r="AQ19" s="139"/>
      <c r="AR19" s="11"/>
      <c r="AS19" s="11"/>
    </row>
    <row r="20">
      <c r="B20" s="85"/>
      <c r="C20" s="117"/>
      <c r="D20" s="164" t="s">
        <v>178</v>
      </c>
      <c r="F20" s="175" t="s">
        <v>197</v>
      </c>
      <c r="G20" s="141" t="s">
        <v>175</v>
      </c>
      <c r="H20" s="142" t="str">
        <f t="shared" ref="H20:H27" si="17">MOD_SUBSTAT_LOOKUP(F20,G20,1)</f>
        <v>+1.5</v>
      </c>
      <c r="I20" s="143">
        <f t="shared" ref="I20:I27" si="18">IF(ISBLANK(F20), "", MOD_SUBSTAT_LOOKUP(F20,G20,0))</f>
        <v>1.5</v>
      </c>
      <c r="J20" s="11"/>
      <c r="K20" s="176"/>
      <c r="L20" s="141"/>
      <c r="M20" s="142" t="str">
        <f t="shared" ref="M20:M27" si="19">MOD_SUBSTAT_LOOKUP(K20,L20,1)</f>
        <v/>
      </c>
      <c r="N20" s="143" t="str">
        <f t="shared" ref="N20:N27" si="20">IF(ISBLANK(K20), "", MOD_SUBSTAT_LOOKUP(K20,L20,0))</f>
        <v/>
      </c>
      <c r="O20" s="11"/>
      <c r="P20" s="176"/>
      <c r="Q20" s="141"/>
      <c r="R20" s="142" t="str">
        <f t="shared" ref="R20:R27" si="21">MOD_SUBSTAT_LOOKUP(P20,Q20,1)</f>
        <v/>
      </c>
      <c r="S20" s="143" t="str">
        <f t="shared" ref="S20:S27" si="22">IF(ISBLANK(P20), "", MOD_SUBSTAT_LOOKUP(P20,Q20,0))</f>
        <v/>
      </c>
      <c r="T20" s="11"/>
      <c r="U20" s="175" t="s">
        <v>198</v>
      </c>
      <c r="V20" s="141" t="s">
        <v>175</v>
      </c>
      <c r="W20" s="142" t="str">
        <f t="shared" ref="W20:W27" si="23">MOD_SUBSTAT_LOOKUP(U20,V20,1)</f>
        <v>+5%</v>
      </c>
      <c r="X20" s="143">
        <f t="shared" ref="X20:X27" si="24">IF(ISBLANK(U20), "", MOD_SUBSTAT_LOOKUP(U20,V20,0))</f>
        <v>0.05</v>
      </c>
      <c r="Y20" s="11"/>
      <c r="Z20" s="175" t="s">
        <v>199</v>
      </c>
      <c r="AA20" s="141" t="s">
        <v>174</v>
      </c>
      <c r="AB20" s="142" t="str">
        <f t="shared" ref="AB20:AB27" si="25">MOD_SUBSTAT_LOOKUP(Z20,AA20,1)</f>
        <v>+400%</v>
      </c>
      <c r="AC20" s="143">
        <f t="shared" ref="AC20:AC27" si="26">IF(ISBLANK(Z20), "", MOD_SUBSTAT_LOOKUP(Z20,AA20,0))</f>
        <v>4</v>
      </c>
      <c r="AD20" s="11"/>
      <c r="AE20" s="175" t="s">
        <v>198</v>
      </c>
      <c r="AF20" s="141" t="s">
        <v>174</v>
      </c>
      <c r="AG20" s="142" t="str">
        <f t="shared" ref="AG20:AG27" si="27">MOD_SUBSTAT_LOOKUP(AE20,AF20,1)</f>
        <v>+8%</v>
      </c>
      <c r="AH20" s="143">
        <f t="shared" ref="AH20:AH27" si="28">IF(ISBLANK(AE20), "", MOD_SUBSTAT_LOOKUP(AE20,AF20,0))</f>
        <v>0.08</v>
      </c>
      <c r="AI20" s="11"/>
      <c r="AJ20" s="145"/>
      <c r="AK20" s="141"/>
      <c r="AL20" s="142" t="str">
        <f t="shared" ref="AL20:AL27" si="29">MOD_SUBSTAT_LOOKUP(AJ20,AK20,1)</f>
        <v/>
      </c>
      <c r="AM20" s="143" t="str">
        <f t="shared" ref="AM20:AM27" si="30">IF(ISBLANK(AJ20), "", MOD_SUBSTAT_LOOKUP(AJ20,AK20,0))</f>
        <v/>
      </c>
      <c r="AN20" s="146"/>
      <c r="AO20" s="145"/>
      <c r="AP20" s="141"/>
      <c r="AQ20" s="142" t="str">
        <f t="shared" ref="AQ20:AQ27" si="31">MOD_SUBSTAT_LOOKUP(AO20,AP20,1)</f>
        <v/>
      </c>
      <c r="AR20" s="143" t="str">
        <f t="shared" ref="AR20:AR27" si="32">IF(ISBLANK(AO20), "", MOD_SUBSTAT_LOOKUP(AO20,AP20,0))</f>
        <v/>
      </c>
      <c r="AS20" s="11"/>
    </row>
    <row r="21">
      <c r="B21" s="85"/>
      <c r="C21" s="117"/>
      <c r="D21" s="170">
        <v>41.0</v>
      </c>
      <c r="F21" s="175" t="s">
        <v>200</v>
      </c>
      <c r="G21" s="141" t="s">
        <v>175</v>
      </c>
      <c r="H21" s="142" t="str">
        <f t="shared" si="17"/>
        <v>+0.3</v>
      </c>
      <c r="I21" s="143">
        <f t="shared" si="18"/>
        <v>0.3</v>
      </c>
      <c r="J21" s="11"/>
      <c r="K21" s="176"/>
      <c r="L21" s="141"/>
      <c r="M21" s="142" t="str">
        <f t="shared" si="19"/>
        <v/>
      </c>
      <c r="N21" s="143" t="str">
        <f t="shared" si="20"/>
        <v/>
      </c>
      <c r="O21" s="11"/>
      <c r="P21" s="176"/>
      <c r="Q21" s="141"/>
      <c r="R21" s="142" t="str">
        <f t="shared" si="21"/>
        <v/>
      </c>
      <c r="S21" s="143" t="str">
        <f t="shared" si="22"/>
        <v/>
      </c>
      <c r="T21" s="11"/>
      <c r="U21" s="175" t="s">
        <v>201</v>
      </c>
      <c r="V21" s="141" t="s">
        <v>175</v>
      </c>
      <c r="W21" s="142" t="str">
        <f t="shared" si="23"/>
        <v>+40%</v>
      </c>
      <c r="X21" s="143">
        <f t="shared" si="24"/>
        <v>0.4</v>
      </c>
      <c r="Y21" s="11"/>
      <c r="Z21" s="175" t="s">
        <v>202</v>
      </c>
      <c r="AA21" s="141" t="s">
        <v>180</v>
      </c>
      <c r="AB21" s="142" t="str">
        <f t="shared" si="25"/>
        <v>+0.9</v>
      </c>
      <c r="AC21" s="143">
        <f t="shared" si="26"/>
        <v>0.9</v>
      </c>
      <c r="AD21" s="11"/>
      <c r="AE21" s="175" t="s">
        <v>199</v>
      </c>
      <c r="AF21" s="141" t="s">
        <v>174</v>
      </c>
      <c r="AG21" s="142" t="str">
        <f t="shared" si="27"/>
        <v>+400%</v>
      </c>
      <c r="AH21" s="143">
        <f t="shared" si="28"/>
        <v>4</v>
      </c>
      <c r="AI21" s="11"/>
      <c r="AJ21" s="145"/>
      <c r="AK21" s="141"/>
      <c r="AL21" s="142" t="str">
        <f t="shared" si="29"/>
        <v/>
      </c>
      <c r="AM21" s="143" t="str">
        <f t="shared" si="30"/>
        <v/>
      </c>
      <c r="AN21" s="146"/>
      <c r="AO21" s="145"/>
      <c r="AP21" s="141"/>
      <c r="AQ21" s="142" t="str">
        <f t="shared" si="31"/>
        <v/>
      </c>
      <c r="AR21" s="143" t="str">
        <f t="shared" si="32"/>
        <v/>
      </c>
      <c r="AS21" s="11"/>
    </row>
    <row r="22">
      <c r="B22" s="85"/>
      <c r="C22" s="117"/>
      <c r="D22" s="118"/>
      <c r="F22" s="175" t="s">
        <v>203</v>
      </c>
      <c r="G22" s="148" t="s">
        <v>175</v>
      </c>
      <c r="H22" s="142" t="str">
        <f t="shared" si="17"/>
        <v>+1.5%</v>
      </c>
      <c r="I22" s="143">
        <f t="shared" si="18"/>
        <v>0.015</v>
      </c>
      <c r="J22" s="11"/>
      <c r="K22" s="176"/>
      <c r="L22" s="148"/>
      <c r="M22" s="142" t="str">
        <f t="shared" si="19"/>
        <v/>
      </c>
      <c r="N22" s="143" t="str">
        <f t="shared" si="20"/>
        <v/>
      </c>
      <c r="O22" s="11"/>
      <c r="P22" s="176"/>
      <c r="Q22" s="148"/>
      <c r="R22" s="142" t="str">
        <f t="shared" si="21"/>
        <v/>
      </c>
      <c r="S22" s="143" t="str">
        <f t="shared" si="22"/>
        <v/>
      </c>
      <c r="T22" s="11"/>
      <c r="U22" s="175" t="s">
        <v>199</v>
      </c>
      <c r="V22" s="148" t="s">
        <v>175</v>
      </c>
      <c r="W22" s="142" t="str">
        <f t="shared" si="23"/>
        <v>+100%</v>
      </c>
      <c r="X22" s="87">
        <f t="shared" si="24"/>
        <v>1</v>
      </c>
      <c r="Y22" s="11"/>
      <c r="Z22" s="175" t="s">
        <v>198</v>
      </c>
      <c r="AA22" s="148" t="s">
        <v>174</v>
      </c>
      <c r="AB22" s="142" t="str">
        <f t="shared" si="25"/>
        <v>+8%</v>
      </c>
      <c r="AC22" s="143">
        <f t="shared" si="26"/>
        <v>0.08</v>
      </c>
      <c r="AD22" s="11"/>
      <c r="AE22" s="175" t="s">
        <v>201</v>
      </c>
      <c r="AF22" s="148" t="s">
        <v>174</v>
      </c>
      <c r="AG22" s="142" t="str">
        <f t="shared" si="27"/>
        <v>+120%</v>
      </c>
      <c r="AH22" s="143">
        <f t="shared" si="28"/>
        <v>1.2</v>
      </c>
      <c r="AI22" s="11"/>
      <c r="AJ22" s="145"/>
      <c r="AK22" s="148"/>
      <c r="AL22" s="142" t="str">
        <f t="shared" si="29"/>
        <v/>
      </c>
      <c r="AM22" s="143" t="str">
        <f t="shared" si="30"/>
        <v/>
      </c>
      <c r="AN22" s="146"/>
      <c r="AO22" s="145"/>
      <c r="AP22" s="148"/>
      <c r="AQ22" s="142" t="str">
        <f t="shared" si="31"/>
        <v/>
      </c>
      <c r="AR22" s="143" t="str">
        <f t="shared" si="32"/>
        <v/>
      </c>
      <c r="AS22" s="11"/>
    </row>
    <row r="23">
      <c r="B23" s="85"/>
      <c r="C23" s="117"/>
      <c r="D23" s="118"/>
      <c r="F23" s="176"/>
      <c r="G23" s="149"/>
      <c r="H23" s="142" t="str">
        <f t="shared" si="17"/>
        <v/>
      </c>
      <c r="I23" s="143" t="str">
        <f t="shared" si="18"/>
        <v/>
      </c>
      <c r="J23" s="11"/>
      <c r="K23" s="176"/>
      <c r="L23" s="149"/>
      <c r="M23" s="142" t="str">
        <f t="shared" si="19"/>
        <v/>
      </c>
      <c r="N23" s="143" t="str">
        <f t="shared" si="20"/>
        <v/>
      </c>
      <c r="O23" s="11"/>
      <c r="P23" s="176"/>
      <c r="Q23" s="149"/>
      <c r="R23" s="142" t="str">
        <f t="shared" si="21"/>
        <v/>
      </c>
      <c r="S23" s="143" t="str">
        <f t="shared" si="22"/>
        <v/>
      </c>
      <c r="T23" s="11"/>
      <c r="U23" s="176"/>
      <c r="V23" s="149"/>
      <c r="W23" s="142" t="str">
        <f t="shared" si="23"/>
        <v/>
      </c>
      <c r="X23" s="87" t="str">
        <f t="shared" si="24"/>
        <v/>
      </c>
      <c r="Y23" s="11"/>
      <c r="Z23" s="175" t="s">
        <v>201</v>
      </c>
      <c r="AA23" s="149" t="s">
        <v>174</v>
      </c>
      <c r="AB23" s="142" t="str">
        <f t="shared" si="25"/>
        <v>+120%</v>
      </c>
      <c r="AC23" s="143">
        <f t="shared" si="26"/>
        <v>1.2</v>
      </c>
      <c r="AD23" s="11"/>
      <c r="AE23" s="175" t="s">
        <v>204</v>
      </c>
      <c r="AF23" s="149" t="s">
        <v>174</v>
      </c>
      <c r="AG23" s="142" t="str">
        <f t="shared" si="27"/>
        <v>+10%</v>
      </c>
      <c r="AH23" s="143">
        <f t="shared" si="28"/>
        <v>0.1</v>
      </c>
      <c r="AI23" s="11"/>
      <c r="AJ23" s="145"/>
      <c r="AK23" s="149"/>
      <c r="AL23" s="142" t="str">
        <f t="shared" si="29"/>
        <v/>
      </c>
      <c r="AM23" s="143" t="str">
        <f t="shared" si="30"/>
        <v/>
      </c>
      <c r="AN23" s="146"/>
      <c r="AO23" s="145"/>
      <c r="AP23" s="149"/>
      <c r="AQ23" s="142" t="str">
        <f t="shared" si="31"/>
        <v/>
      </c>
      <c r="AR23" s="143" t="str">
        <f t="shared" si="32"/>
        <v/>
      </c>
      <c r="AS23" s="11"/>
    </row>
    <row r="24">
      <c r="B24" s="150"/>
      <c r="C24" s="117"/>
      <c r="D24" s="118"/>
      <c r="F24" s="177"/>
      <c r="G24" s="149"/>
      <c r="H24" s="142" t="str">
        <f t="shared" si="17"/>
        <v/>
      </c>
      <c r="I24" s="143" t="str">
        <f t="shared" si="18"/>
        <v/>
      </c>
      <c r="J24" s="11"/>
      <c r="K24" s="177"/>
      <c r="L24" s="149"/>
      <c r="M24" s="142" t="str">
        <f t="shared" si="19"/>
        <v/>
      </c>
      <c r="N24" s="143" t="str">
        <f t="shared" si="20"/>
        <v/>
      </c>
      <c r="O24" s="11"/>
      <c r="P24" s="177"/>
      <c r="Q24" s="149"/>
      <c r="R24" s="142" t="str">
        <f t="shared" si="21"/>
        <v/>
      </c>
      <c r="S24" s="143" t="str">
        <f t="shared" si="22"/>
        <v/>
      </c>
      <c r="T24" s="11"/>
      <c r="U24" s="177"/>
      <c r="V24" s="149"/>
      <c r="W24" s="142" t="str">
        <f t="shared" si="23"/>
        <v/>
      </c>
      <c r="X24" s="87" t="str">
        <f t="shared" si="24"/>
        <v/>
      </c>
      <c r="Y24" s="11"/>
      <c r="Z24" s="178" t="s">
        <v>204</v>
      </c>
      <c r="AA24" s="149" t="s">
        <v>174</v>
      </c>
      <c r="AB24" s="142" t="str">
        <f t="shared" si="25"/>
        <v>+10%</v>
      </c>
      <c r="AC24" s="143">
        <f t="shared" si="26"/>
        <v>0.1</v>
      </c>
      <c r="AD24" s="11"/>
      <c r="AE24" s="177"/>
      <c r="AF24" s="149"/>
      <c r="AG24" s="142" t="str">
        <f t="shared" si="27"/>
        <v/>
      </c>
      <c r="AH24" s="143" t="str">
        <f t="shared" si="28"/>
        <v/>
      </c>
      <c r="AI24" s="11"/>
      <c r="AJ24" s="145"/>
      <c r="AK24" s="149"/>
      <c r="AL24" s="142" t="str">
        <f t="shared" si="29"/>
        <v/>
      </c>
      <c r="AM24" s="143" t="str">
        <f t="shared" si="30"/>
        <v/>
      </c>
      <c r="AN24" s="146"/>
      <c r="AO24" s="145"/>
      <c r="AP24" s="149"/>
      <c r="AQ24" s="142" t="str">
        <f t="shared" si="31"/>
        <v/>
      </c>
      <c r="AR24" s="143" t="str">
        <f t="shared" si="32"/>
        <v/>
      </c>
      <c r="AS24" s="11"/>
    </row>
    <row r="25">
      <c r="B25" s="116"/>
      <c r="C25" s="117"/>
      <c r="D25" s="118"/>
      <c r="F25" s="177"/>
      <c r="G25" s="149"/>
      <c r="H25" s="142" t="str">
        <f t="shared" si="17"/>
        <v/>
      </c>
      <c r="I25" s="143" t="str">
        <f t="shared" si="18"/>
        <v/>
      </c>
      <c r="J25" s="11"/>
      <c r="K25" s="177"/>
      <c r="L25" s="149"/>
      <c r="M25" s="142" t="str">
        <f t="shared" si="19"/>
        <v/>
      </c>
      <c r="N25" s="143" t="str">
        <f t="shared" si="20"/>
        <v/>
      </c>
      <c r="O25" s="11"/>
      <c r="P25" s="177"/>
      <c r="Q25" s="149"/>
      <c r="R25" s="142" t="str">
        <f t="shared" si="21"/>
        <v/>
      </c>
      <c r="S25" s="143" t="str">
        <f t="shared" si="22"/>
        <v/>
      </c>
      <c r="T25" s="11"/>
      <c r="U25" s="177"/>
      <c r="V25" s="149"/>
      <c r="W25" s="142" t="str">
        <f t="shared" si="23"/>
        <v/>
      </c>
      <c r="X25" s="87" t="str">
        <f t="shared" si="24"/>
        <v/>
      </c>
      <c r="Y25" s="11"/>
      <c r="Z25" s="178" t="s">
        <v>197</v>
      </c>
      <c r="AA25" s="149" t="s">
        <v>176</v>
      </c>
      <c r="AB25" s="142" t="str">
        <f t="shared" si="25"/>
        <v>+1</v>
      </c>
      <c r="AC25" s="143">
        <f t="shared" si="26"/>
        <v>1</v>
      </c>
      <c r="AD25" s="11"/>
      <c r="AE25" s="177"/>
      <c r="AF25" s="149"/>
      <c r="AG25" s="142" t="str">
        <f t="shared" si="27"/>
        <v/>
      </c>
      <c r="AH25" s="143" t="str">
        <f t="shared" si="28"/>
        <v/>
      </c>
      <c r="AI25" s="11"/>
      <c r="AJ25" s="145"/>
      <c r="AK25" s="149"/>
      <c r="AL25" s="142" t="str">
        <f t="shared" si="29"/>
        <v/>
      </c>
      <c r="AM25" s="143" t="str">
        <f t="shared" si="30"/>
        <v/>
      </c>
      <c r="AN25" s="146"/>
      <c r="AO25" s="145"/>
      <c r="AP25" s="149"/>
      <c r="AQ25" s="142" t="str">
        <f t="shared" si="31"/>
        <v/>
      </c>
      <c r="AR25" s="143" t="str">
        <f t="shared" si="32"/>
        <v/>
      </c>
      <c r="AS25" s="11"/>
    </row>
    <row r="26">
      <c r="B26" s="116"/>
      <c r="C26" s="117"/>
      <c r="D26" s="118"/>
      <c r="F26" s="177"/>
      <c r="G26" s="149"/>
      <c r="H26" s="142" t="str">
        <f t="shared" si="17"/>
        <v/>
      </c>
      <c r="I26" s="143" t="str">
        <f t="shared" si="18"/>
        <v/>
      </c>
      <c r="J26" s="11"/>
      <c r="K26" s="177"/>
      <c r="L26" s="149"/>
      <c r="M26" s="142" t="str">
        <f t="shared" si="19"/>
        <v/>
      </c>
      <c r="N26" s="143" t="str">
        <f t="shared" si="20"/>
        <v/>
      </c>
      <c r="O26" s="11"/>
      <c r="P26" s="177"/>
      <c r="Q26" s="149"/>
      <c r="R26" s="142" t="str">
        <f t="shared" si="21"/>
        <v/>
      </c>
      <c r="S26" s="143" t="str">
        <f t="shared" si="22"/>
        <v/>
      </c>
      <c r="T26" s="11"/>
      <c r="U26" s="177"/>
      <c r="V26" s="149"/>
      <c r="W26" s="142" t="str">
        <f t="shared" si="23"/>
        <v/>
      </c>
      <c r="X26" s="87" t="str">
        <f t="shared" si="24"/>
        <v/>
      </c>
      <c r="Y26" s="11"/>
      <c r="Z26" s="177"/>
      <c r="AA26" s="149"/>
      <c r="AB26" s="142" t="str">
        <f t="shared" si="25"/>
        <v/>
      </c>
      <c r="AC26" s="143" t="str">
        <f t="shared" si="26"/>
        <v/>
      </c>
      <c r="AD26" s="11"/>
      <c r="AE26" s="177"/>
      <c r="AF26" s="149"/>
      <c r="AG26" s="142" t="str">
        <f t="shared" si="27"/>
        <v/>
      </c>
      <c r="AH26" s="143" t="str">
        <f t="shared" si="28"/>
        <v/>
      </c>
      <c r="AI26" s="11"/>
      <c r="AJ26" s="145"/>
      <c r="AK26" s="149"/>
      <c r="AL26" s="142" t="str">
        <f t="shared" si="29"/>
        <v/>
      </c>
      <c r="AM26" s="143" t="str">
        <f t="shared" si="30"/>
        <v/>
      </c>
      <c r="AN26" s="146"/>
      <c r="AO26" s="145"/>
      <c r="AP26" s="149"/>
      <c r="AQ26" s="142" t="str">
        <f t="shared" si="31"/>
        <v/>
      </c>
      <c r="AR26" s="143" t="str">
        <f t="shared" si="32"/>
        <v/>
      </c>
      <c r="AS26" s="11"/>
    </row>
    <row r="27">
      <c r="A27" s="138"/>
      <c r="B27" s="116"/>
      <c r="C27" s="117"/>
      <c r="D27" s="118"/>
      <c r="F27" s="179"/>
      <c r="G27" s="154"/>
      <c r="H27" s="155" t="str">
        <f t="shared" si="17"/>
        <v/>
      </c>
      <c r="I27" s="143" t="str">
        <f t="shared" si="18"/>
        <v/>
      </c>
      <c r="J27" s="11"/>
      <c r="K27" s="179"/>
      <c r="L27" s="154"/>
      <c r="M27" s="155" t="str">
        <f t="shared" si="19"/>
        <v/>
      </c>
      <c r="N27" s="143" t="str">
        <f t="shared" si="20"/>
        <v/>
      </c>
      <c r="O27" s="11"/>
      <c r="P27" s="179"/>
      <c r="Q27" s="154"/>
      <c r="R27" s="155" t="str">
        <f t="shared" si="21"/>
        <v/>
      </c>
      <c r="S27" s="143" t="str">
        <f t="shared" si="22"/>
        <v/>
      </c>
      <c r="T27" s="11"/>
      <c r="U27" s="179"/>
      <c r="V27" s="154"/>
      <c r="W27" s="155" t="str">
        <f t="shared" si="23"/>
        <v/>
      </c>
      <c r="X27" s="87" t="str">
        <f t="shared" si="24"/>
        <v/>
      </c>
      <c r="Y27" s="11"/>
      <c r="Z27" s="179"/>
      <c r="AA27" s="154"/>
      <c r="AB27" s="155" t="str">
        <f t="shared" si="25"/>
        <v/>
      </c>
      <c r="AC27" s="143" t="str">
        <f t="shared" si="26"/>
        <v/>
      </c>
      <c r="AD27" s="11"/>
      <c r="AE27" s="179"/>
      <c r="AF27" s="154"/>
      <c r="AG27" s="155" t="str">
        <f t="shared" si="27"/>
        <v/>
      </c>
      <c r="AH27" s="143" t="str">
        <f t="shared" si="28"/>
        <v/>
      </c>
      <c r="AI27" s="11"/>
      <c r="AJ27" s="156"/>
      <c r="AK27" s="154"/>
      <c r="AL27" s="155" t="str">
        <f t="shared" si="29"/>
        <v/>
      </c>
      <c r="AM27" s="143" t="str">
        <f t="shared" si="30"/>
        <v/>
      </c>
      <c r="AN27" s="146"/>
      <c r="AO27" s="156"/>
      <c r="AP27" s="154"/>
      <c r="AQ27" s="155" t="str">
        <f t="shared" si="31"/>
        <v/>
      </c>
      <c r="AR27" s="143" t="str">
        <f t="shared" si="32"/>
        <v/>
      </c>
      <c r="AS27" s="11"/>
    </row>
    <row r="28">
      <c r="A28" s="157"/>
      <c r="B28" s="158"/>
      <c r="C28" s="117"/>
      <c r="D28" s="118"/>
      <c r="F28" s="159"/>
      <c r="G28" s="159"/>
      <c r="H28" s="159"/>
      <c r="I28" s="160"/>
      <c r="J28" s="160"/>
      <c r="K28" s="159"/>
      <c r="L28" s="159"/>
      <c r="M28" s="159"/>
      <c r="N28" s="160"/>
      <c r="O28" s="11"/>
      <c r="P28" s="11"/>
      <c r="Q28" s="11"/>
      <c r="R28" s="11"/>
      <c r="S28" s="160"/>
      <c r="T28" s="11"/>
      <c r="U28" s="159"/>
      <c r="V28" s="159"/>
      <c r="W28" s="159"/>
      <c r="X28" s="160"/>
      <c r="Y28" s="11"/>
      <c r="Z28" s="11"/>
      <c r="AA28" s="11"/>
      <c r="AB28" s="11"/>
      <c r="AC28" s="160"/>
      <c r="AD28" s="11"/>
      <c r="AE28" s="11"/>
      <c r="AF28" s="11"/>
      <c r="AG28" s="11"/>
      <c r="AH28" s="160"/>
      <c r="AI28" s="11"/>
      <c r="AJ28" s="11"/>
      <c r="AK28" s="11"/>
      <c r="AL28" s="11"/>
      <c r="AM28" s="160"/>
      <c r="AN28" s="11"/>
      <c r="AO28" s="11"/>
      <c r="AP28" s="11"/>
      <c r="AQ28" s="11"/>
      <c r="AR28" s="160"/>
      <c r="AS28" s="11"/>
    </row>
    <row r="29">
      <c r="A29" s="115" t="s">
        <v>205</v>
      </c>
      <c r="B29" s="116"/>
      <c r="C29" s="117"/>
      <c r="D29" s="118"/>
      <c r="F29" s="180" t="s">
        <v>206</v>
      </c>
      <c r="G29" s="120"/>
      <c r="H29" s="121"/>
      <c r="I29" s="11"/>
      <c r="J29" s="11"/>
      <c r="K29" s="180" t="s">
        <v>207</v>
      </c>
      <c r="L29" s="120"/>
      <c r="M29" s="121"/>
      <c r="N29" s="11"/>
      <c r="O29" s="11"/>
      <c r="P29" s="180" t="s">
        <v>208</v>
      </c>
      <c r="Q29" s="120"/>
      <c r="R29" s="121"/>
      <c r="S29" s="11"/>
      <c r="T29" s="11"/>
      <c r="U29" s="180" t="s">
        <v>209</v>
      </c>
      <c r="V29" s="120"/>
      <c r="W29" s="121"/>
      <c r="X29" s="11"/>
      <c r="Y29" s="11"/>
      <c r="Z29" s="180" t="s">
        <v>210</v>
      </c>
      <c r="AA29" s="120"/>
      <c r="AB29" s="121"/>
      <c r="AC29" s="11"/>
      <c r="AD29" s="11"/>
      <c r="AE29" s="181" t="s">
        <v>211</v>
      </c>
      <c r="AF29" s="120"/>
      <c r="AG29" s="121"/>
      <c r="AH29" s="11"/>
      <c r="AI29" s="11"/>
      <c r="AJ29" s="182" t="s">
        <v>167</v>
      </c>
      <c r="AK29" s="120"/>
      <c r="AL29" s="121"/>
      <c r="AM29" s="11"/>
      <c r="AN29" s="11"/>
      <c r="AO29" s="182" t="s">
        <v>168</v>
      </c>
      <c r="AP29" s="120"/>
      <c r="AQ29" s="121"/>
      <c r="AR29" s="11"/>
      <c r="AS29" s="11"/>
    </row>
    <row r="30">
      <c r="B30" s="116"/>
      <c r="C30" s="117"/>
      <c r="D30" s="183" t="s">
        <v>169</v>
      </c>
      <c r="F30" s="184" t="s">
        <v>170</v>
      </c>
      <c r="G30" s="185" t="s">
        <v>134</v>
      </c>
      <c r="H30" s="186" t="s">
        <v>171</v>
      </c>
      <c r="I30" s="11"/>
      <c r="J30" s="11"/>
      <c r="K30" s="184" t="s">
        <v>170</v>
      </c>
      <c r="L30" s="185" t="s">
        <v>134</v>
      </c>
      <c r="M30" s="186" t="s">
        <v>171</v>
      </c>
      <c r="N30" s="11"/>
      <c r="O30" s="11"/>
      <c r="P30" s="184" t="s">
        <v>170</v>
      </c>
      <c r="Q30" s="185" t="s">
        <v>134</v>
      </c>
      <c r="R30" s="186" t="s">
        <v>171</v>
      </c>
      <c r="S30" s="11"/>
      <c r="T30" s="11"/>
      <c r="U30" s="184" t="s">
        <v>170</v>
      </c>
      <c r="V30" s="185" t="s">
        <v>134</v>
      </c>
      <c r="W30" s="186" t="s">
        <v>171</v>
      </c>
      <c r="X30" s="11"/>
      <c r="Y30" s="11"/>
      <c r="Z30" s="184" t="s">
        <v>170</v>
      </c>
      <c r="AA30" s="185" t="s">
        <v>134</v>
      </c>
      <c r="AB30" s="186" t="s">
        <v>171</v>
      </c>
      <c r="AC30" s="11"/>
      <c r="AD30" s="11"/>
      <c r="AE30" s="184" t="s">
        <v>170</v>
      </c>
      <c r="AF30" s="185" t="s">
        <v>134</v>
      </c>
      <c r="AG30" s="186" t="s">
        <v>171</v>
      </c>
      <c r="AH30" s="11"/>
      <c r="AI30" s="11"/>
      <c r="AJ30" s="184" t="s">
        <v>170</v>
      </c>
      <c r="AK30" s="185" t="s">
        <v>134</v>
      </c>
      <c r="AL30" s="187" t="s">
        <v>171</v>
      </c>
      <c r="AM30" s="11"/>
      <c r="AN30" s="11"/>
      <c r="AO30" s="184" t="s">
        <v>170</v>
      </c>
      <c r="AP30" s="185" t="s">
        <v>134</v>
      </c>
      <c r="AQ30" s="187" t="s">
        <v>171</v>
      </c>
      <c r="AR30" s="11"/>
      <c r="AS30" s="11"/>
    </row>
    <row r="31">
      <c r="B31" s="188" t="s">
        <v>212</v>
      </c>
      <c r="C31" s="117"/>
      <c r="D31" s="189">
        <v>161.0</v>
      </c>
      <c r="F31" s="190" t="s">
        <v>175</v>
      </c>
      <c r="G31" s="191">
        <f>CAP_MOD_LEVEL($D31,F31)</f>
        <v>100</v>
      </c>
      <c r="H31" s="192">
        <f>IF(F31="None",1,MODSTAT_GENERATOR(F31,G31))</f>
        <v>1.275</v>
      </c>
      <c r="I31" s="11"/>
      <c r="J31" s="11"/>
      <c r="K31" s="190" t="s">
        <v>173</v>
      </c>
      <c r="L31" s="191">
        <f>CAP_MOD_LEVEL($D31,K31)</f>
        <v>160</v>
      </c>
      <c r="M31" s="192">
        <f>IF(K31="None",1,MODSTAT_GENERATOR(K31,L31))</f>
        <v>1.665</v>
      </c>
      <c r="N31" s="11"/>
      <c r="O31" s="11"/>
      <c r="P31" s="190" t="s">
        <v>174</v>
      </c>
      <c r="Q31" s="191">
        <f>CAP_MOD_LEVEL($D31,P31)</f>
        <v>161</v>
      </c>
      <c r="R31" s="192">
        <f>IF(P31="None",1,MODSTAT_GENERATOR(P31,Q31))</f>
        <v>1.68</v>
      </c>
      <c r="S31" s="11"/>
      <c r="T31" s="11"/>
      <c r="U31" s="190" t="s">
        <v>196</v>
      </c>
      <c r="V31" s="191">
        <f>CAP_MOD_LEVEL($D31,U31)</f>
        <v>161</v>
      </c>
      <c r="W31" s="192">
        <f>IF(U31="None",1,MODSTAT_GENERATOR(U31,V31))</f>
        <v>1.707</v>
      </c>
      <c r="X31" s="11"/>
      <c r="Y31" s="11"/>
      <c r="Z31" s="190" t="s">
        <v>173</v>
      </c>
      <c r="AA31" s="191">
        <f>CAP_MOD_LEVEL($D31,Z31)</f>
        <v>160</v>
      </c>
      <c r="AB31" s="192">
        <f>IF(Z31="None",1,MODSTAT_GENERATOR(Z31,AA31))</f>
        <v>1.665</v>
      </c>
      <c r="AC31" s="11"/>
      <c r="AD31" s="11"/>
      <c r="AE31" s="190" t="s">
        <v>173</v>
      </c>
      <c r="AF31" s="191">
        <f>CAP_MOD_LEVEL($D31,AE31)</f>
        <v>160</v>
      </c>
      <c r="AG31" s="192">
        <f>IF(AE31="None",1,MODSTAT_GENERATOR(AE31,AF31))</f>
        <v>1.665</v>
      </c>
      <c r="AH31" s="11"/>
      <c r="AI31" s="11"/>
      <c r="AJ31" s="132" t="s">
        <v>175</v>
      </c>
      <c r="AK31" s="133">
        <f>CAP_MOD_LEVEL($D31,AJ31)</f>
        <v>100</v>
      </c>
      <c r="AL31" s="193">
        <f>IF(AJ31="None",1,MODSTAT_GENERATOR(AJ31,AK31))</f>
        <v>1.275</v>
      </c>
      <c r="AM31" s="11"/>
      <c r="AN31" s="11"/>
      <c r="AO31" s="132" t="s">
        <v>177</v>
      </c>
      <c r="AP31" s="133">
        <f>CAP_MOD_LEVEL($D31,AO31)</f>
        <v>20</v>
      </c>
      <c r="AQ31" s="193">
        <f>IF(AO31="None",1,MODSTAT_GENERATOR(AO31,AP31))</f>
        <v>1.03</v>
      </c>
      <c r="AR31" s="11"/>
      <c r="AS31" s="11"/>
    </row>
    <row r="32">
      <c r="B32" s="85"/>
      <c r="C32" s="117"/>
      <c r="D32" s="118"/>
      <c r="F32" s="194"/>
      <c r="G32" s="29"/>
      <c r="H32" s="136"/>
      <c r="I32" s="11"/>
      <c r="J32" s="11"/>
      <c r="K32" s="194"/>
      <c r="L32" s="29"/>
      <c r="M32" s="136"/>
      <c r="N32" s="11"/>
      <c r="O32" s="11"/>
      <c r="P32" s="194"/>
      <c r="Q32" s="29"/>
      <c r="R32" s="136"/>
      <c r="S32" s="11"/>
      <c r="T32" s="11"/>
      <c r="U32" s="194"/>
      <c r="V32" s="29"/>
      <c r="W32" s="136"/>
      <c r="X32" s="11"/>
      <c r="Y32" s="11"/>
      <c r="Z32" s="194"/>
      <c r="AA32" s="29"/>
      <c r="AB32" s="136"/>
      <c r="AC32" s="11"/>
      <c r="AD32" s="11"/>
      <c r="AE32" s="194"/>
      <c r="AF32" s="29"/>
      <c r="AG32" s="136"/>
      <c r="AH32" s="11"/>
      <c r="AI32" s="11"/>
      <c r="AJ32" s="137"/>
      <c r="AK32" s="138"/>
      <c r="AL32" s="139"/>
      <c r="AM32" s="11"/>
      <c r="AN32" s="11"/>
      <c r="AO32" s="137"/>
      <c r="AP32" s="138"/>
      <c r="AQ32" s="139"/>
      <c r="AR32" s="11"/>
      <c r="AS32" s="11"/>
    </row>
    <row r="33">
      <c r="B33" s="85"/>
      <c r="C33" s="117"/>
      <c r="D33" s="183" t="s">
        <v>178</v>
      </c>
      <c r="F33" s="195" t="s">
        <v>213</v>
      </c>
      <c r="G33" s="141" t="s">
        <v>175</v>
      </c>
      <c r="H33" s="142" t="str">
        <f t="shared" ref="H33:H40" si="33">MOD_SUBSTAT_LOOKUP(F33,G33,1)</f>
        <v>+0.4x</v>
      </c>
      <c r="I33" s="143">
        <f t="shared" ref="I33:I40" si="34">IF(ISBLANK(F33), "", MOD_SUBSTAT_LOOKUP(F33,G33,0))</f>
        <v>0.4</v>
      </c>
      <c r="J33" s="11"/>
      <c r="K33" s="195" t="s">
        <v>214</v>
      </c>
      <c r="L33" s="141" t="s">
        <v>175</v>
      </c>
      <c r="M33" s="142" t="str">
        <f t="shared" ref="M33:M40" si="35">MOD_SUBSTAT_LOOKUP(K33,L33,1)</f>
        <v>+8%</v>
      </c>
      <c r="N33" s="143">
        <f t="shared" ref="N33:N40" si="36">IF(ISBLANK(K33), "", MOD_SUBSTAT_LOOKUP(K33,L33,0))</f>
        <v>0.08</v>
      </c>
      <c r="O33" s="11"/>
      <c r="P33" s="195" t="s">
        <v>215</v>
      </c>
      <c r="Q33" s="141" t="s">
        <v>180</v>
      </c>
      <c r="R33" s="142" t="str">
        <f t="shared" ref="R33:R40" si="37">MOD_SUBSTAT_LOOKUP(P33,Q33,1)</f>
        <v>+10%</v>
      </c>
      <c r="S33" s="143">
        <f t="shared" ref="S33:S40" si="38">IF(ISBLANK(P33), "", MOD_SUBSTAT_LOOKUP(P33,Q33,0))</f>
        <v>0.1</v>
      </c>
      <c r="T33" s="11"/>
      <c r="U33" s="195" t="s">
        <v>215</v>
      </c>
      <c r="V33" s="141" t="s">
        <v>174</v>
      </c>
      <c r="W33" s="142" t="str">
        <f t="shared" ref="W33:W40" si="39">MOD_SUBSTAT_LOOKUP(U33,V33,1)</f>
        <v>+12%</v>
      </c>
      <c r="X33" s="143">
        <f t="shared" ref="X33:X40" si="40">IF(ISBLANK(U33), "", MOD_SUBSTAT_LOOKUP(U33,V33,0))</f>
        <v>0.12</v>
      </c>
      <c r="Y33" s="11"/>
      <c r="Z33" s="195" t="s">
        <v>216</v>
      </c>
      <c r="AA33" s="141" t="s">
        <v>180</v>
      </c>
      <c r="AB33" s="142" t="str">
        <f t="shared" ref="AB33:AB40" si="41">MOD_SUBSTAT_LOOKUP(Z33,AA33,1)</f>
        <v>+6%</v>
      </c>
      <c r="AC33" s="143">
        <f t="shared" ref="AC33:AC40" si="42">IF(ISBLANK(Z33), "", MOD_SUBSTAT_LOOKUP(Z33,AA33,0))</f>
        <v>0.06</v>
      </c>
      <c r="AD33" s="11"/>
      <c r="AE33" s="195" t="s">
        <v>217</v>
      </c>
      <c r="AF33" s="141" t="s">
        <v>180</v>
      </c>
      <c r="AG33" s="142" t="str">
        <f t="shared" ref="AG33:AG40" si="43">MOD_SUBSTAT_LOOKUP(AE33,AF33,1)</f>
        <v>+6%</v>
      </c>
      <c r="AH33" s="143">
        <f t="shared" ref="AH33:AH40" si="44">IF(ISBLANK(AE33), "", MOD_SUBSTAT_LOOKUP(AE33,AF33,0))</f>
        <v>0.06</v>
      </c>
      <c r="AI33" s="11"/>
      <c r="AJ33" s="147" t="s">
        <v>216</v>
      </c>
      <c r="AK33" s="141" t="s">
        <v>175</v>
      </c>
      <c r="AL33" s="142" t="str">
        <f t="shared" ref="AL33:AL40" si="45">MOD_SUBSTAT_LOOKUP(AJ33,AK33,1)</f>
        <v>+4%</v>
      </c>
      <c r="AM33" s="143">
        <f t="shared" ref="AM33:AM40" si="46">IF(ISBLANK(AJ33), "", MOD_SUBSTAT_LOOKUP(AJ33,AK33,0))</f>
        <v>0.04</v>
      </c>
      <c r="AN33" s="146"/>
      <c r="AO33" s="145"/>
      <c r="AP33" s="141"/>
      <c r="AQ33" s="142" t="str">
        <f t="shared" ref="AQ33:AQ40" si="47">MOD_SUBSTAT_LOOKUP(AO33,AP33,1)</f>
        <v/>
      </c>
      <c r="AR33" s="143" t="str">
        <f t="shared" ref="AR33:AR40" si="48">IF(ISBLANK(AO33), "", MOD_SUBSTAT_LOOKUP(AO33,AP33,0))</f>
        <v/>
      </c>
      <c r="AS33" s="11"/>
    </row>
    <row r="34">
      <c r="B34" s="85"/>
      <c r="C34" s="117"/>
      <c r="D34" s="189">
        <v>97.0</v>
      </c>
      <c r="F34" s="195" t="s">
        <v>216</v>
      </c>
      <c r="G34" s="141" t="s">
        <v>175</v>
      </c>
      <c r="H34" s="142" t="str">
        <f t="shared" si="33"/>
        <v>+4%</v>
      </c>
      <c r="I34" s="143">
        <f t="shared" si="34"/>
        <v>0.04</v>
      </c>
      <c r="J34" s="11"/>
      <c r="K34" s="195" t="s">
        <v>216</v>
      </c>
      <c r="L34" s="141" t="s">
        <v>175</v>
      </c>
      <c r="M34" s="142" t="str">
        <f t="shared" si="35"/>
        <v>+4%</v>
      </c>
      <c r="N34" s="143">
        <f t="shared" si="36"/>
        <v>0.04</v>
      </c>
      <c r="O34" s="11"/>
      <c r="P34" s="195" t="s">
        <v>213</v>
      </c>
      <c r="Q34" s="141" t="s">
        <v>180</v>
      </c>
      <c r="R34" s="142" t="str">
        <f t="shared" si="37"/>
        <v>+0.5x</v>
      </c>
      <c r="S34" s="143">
        <f t="shared" si="38"/>
        <v>0.5</v>
      </c>
      <c r="T34" s="11"/>
      <c r="U34" s="195" t="s">
        <v>216</v>
      </c>
      <c r="V34" s="141" t="s">
        <v>174</v>
      </c>
      <c r="W34" s="142" t="str">
        <f t="shared" si="39"/>
        <v>+8%</v>
      </c>
      <c r="X34" s="143">
        <f t="shared" si="40"/>
        <v>0.08</v>
      </c>
      <c r="Y34" s="11"/>
      <c r="Z34" s="195" t="s">
        <v>217</v>
      </c>
      <c r="AA34" s="141" t="s">
        <v>180</v>
      </c>
      <c r="AB34" s="142" t="str">
        <f t="shared" si="41"/>
        <v>+6%</v>
      </c>
      <c r="AC34" s="143">
        <f t="shared" si="42"/>
        <v>0.06</v>
      </c>
      <c r="AD34" s="11"/>
      <c r="AE34" s="195" t="s">
        <v>216</v>
      </c>
      <c r="AF34" s="141" t="s">
        <v>180</v>
      </c>
      <c r="AG34" s="142" t="str">
        <f t="shared" si="43"/>
        <v>+6%</v>
      </c>
      <c r="AH34" s="143">
        <f t="shared" si="44"/>
        <v>0.06</v>
      </c>
      <c r="AI34" s="11"/>
      <c r="AJ34" s="147" t="s">
        <v>213</v>
      </c>
      <c r="AK34" s="141" t="s">
        <v>176</v>
      </c>
      <c r="AL34" s="142" t="str">
        <f t="shared" si="45"/>
        <v>+0.3x</v>
      </c>
      <c r="AM34" s="143">
        <f t="shared" si="46"/>
        <v>0.3</v>
      </c>
      <c r="AN34" s="146"/>
      <c r="AO34" s="145"/>
      <c r="AP34" s="141"/>
      <c r="AQ34" s="142" t="str">
        <f t="shared" si="47"/>
        <v/>
      </c>
      <c r="AR34" s="143" t="str">
        <f t="shared" si="48"/>
        <v/>
      </c>
      <c r="AS34" s="11"/>
    </row>
    <row r="35">
      <c r="B35" s="85"/>
      <c r="C35" s="117"/>
      <c r="D35" s="118"/>
      <c r="F35" s="196" t="s">
        <v>215</v>
      </c>
      <c r="G35" s="148" t="s">
        <v>175</v>
      </c>
      <c r="H35" s="142" t="str">
        <f t="shared" si="33"/>
        <v>+8%</v>
      </c>
      <c r="I35" s="143">
        <f t="shared" si="34"/>
        <v>0.08</v>
      </c>
      <c r="J35" s="11"/>
      <c r="K35" s="196" t="s">
        <v>215</v>
      </c>
      <c r="L35" s="148" t="s">
        <v>175</v>
      </c>
      <c r="M35" s="142" t="str">
        <f t="shared" si="35"/>
        <v>+8%</v>
      </c>
      <c r="N35" s="143">
        <f t="shared" si="36"/>
        <v>0.08</v>
      </c>
      <c r="O35" s="11"/>
      <c r="P35" s="196" t="s">
        <v>217</v>
      </c>
      <c r="Q35" s="148" t="s">
        <v>180</v>
      </c>
      <c r="R35" s="142" t="str">
        <f t="shared" si="37"/>
        <v>+6%</v>
      </c>
      <c r="S35" s="143">
        <f t="shared" si="38"/>
        <v>0.06</v>
      </c>
      <c r="T35" s="11"/>
      <c r="U35" s="196" t="s">
        <v>213</v>
      </c>
      <c r="V35" s="148" t="s">
        <v>174</v>
      </c>
      <c r="W35" s="142" t="str">
        <f t="shared" si="39"/>
        <v>+0.6x</v>
      </c>
      <c r="X35" s="87">
        <f t="shared" si="40"/>
        <v>0.6</v>
      </c>
      <c r="Y35" s="11"/>
      <c r="Z35" s="196" t="s">
        <v>215</v>
      </c>
      <c r="AA35" s="148" t="s">
        <v>180</v>
      </c>
      <c r="AB35" s="142" t="str">
        <f t="shared" si="41"/>
        <v>+10%</v>
      </c>
      <c r="AC35" s="143">
        <f t="shared" si="42"/>
        <v>0.1</v>
      </c>
      <c r="AD35" s="11"/>
      <c r="AE35" s="196" t="s">
        <v>215</v>
      </c>
      <c r="AF35" s="148" t="s">
        <v>175</v>
      </c>
      <c r="AG35" s="142" t="str">
        <f t="shared" si="43"/>
        <v>+8%</v>
      </c>
      <c r="AH35" s="143">
        <f t="shared" si="44"/>
        <v>0.08</v>
      </c>
      <c r="AI35" s="11"/>
      <c r="AJ35" s="147" t="s">
        <v>215</v>
      </c>
      <c r="AK35" s="148" t="s">
        <v>175</v>
      </c>
      <c r="AL35" s="142" t="str">
        <f t="shared" si="45"/>
        <v>+8%</v>
      </c>
      <c r="AM35" s="143">
        <f t="shared" si="46"/>
        <v>0.08</v>
      </c>
      <c r="AN35" s="146"/>
      <c r="AO35" s="145"/>
      <c r="AP35" s="148"/>
      <c r="AQ35" s="142" t="str">
        <f t="shared" si="47"/>
        <v/>
      </c>
      <c r="AR35" s="143" t="str">
        <f t="shared" si="48"/>
        <v/>
      </c>
      <c r="AS35" s="11"/>
    </row>
    <row r="36">
      <c r="B36" s="85"/>
      <c r="C36" s="117"/>
      <c r="D36" s="118"/>
      <c r="F36" s="197"/>
      <c r="G36" s="149"/>
      <c r="H36" s="142" t="str">
        <f t="shared" si="33"/>
        <v/>
      </c>
      <c r="I36" s="143" t="str">
        <f t="shared" si="34"/>
        <v/>
      </c>
      <c r="J36" s="11"/>
      <c r="K36" s="197"/>
      <c r="L36" s="149"/>
      <c r="M36" s="142" t="str">
        <f t="shared" si="35"/>
        <v/>
      </c>
      <c r="N36" s="143" t="str">
        <f t="shared" si="36"/>
        <v/>
      </c>
      <c r="O36" s="11"/>
      <c r="P36" s="196" t="s">
        <v>216</v>
      </c>
      <c r="Q36" s="149" t="s">
        <v>174</v>
      </c>
      <c r="R36" s="142" t="str">
        <f t="shared" si="37"/>
        <v>+8%</v>
      </c>
      <c r="S36" s="143">
        <f t="shared" si="38"/>
        <v>0.08</v>
      </c>
      <c r="T36" s="11"/>
      <c r="U36" s="196" t="s">
        <v>217</v>
      </c>
      <c r="V36" s="149" t="s">
        <v>174</v>
      </c>
      <c r="W36" s="142" t="str">
        <f t="shared" si="39"/>
        <v>+8%</v>
      </c>
      <c r="X36" s="87">
        <f t="shared" si="40"/>
        <v>0.08</v>
      </c>
      <c r="Y36" s="11"/>
      <c r="Z36" s="196" t="s">
        <v>218</v>
      </c>
      <c r="AA36" s="149" t="s">
        <v>176</v>
      </c>
      <c r="AB36" s="142" t="str">
        <f t="shared" si="41"/>
        <v>+6%</v>
      </c>
      <c r="AC36" s="143">
        <f t="shared" si="42"/>
        <v>0.06</v>
      </c>
      <c r="AD36" s="11"/>
      <c r="AE36" s="196" t="s">
        <v>214</v>
      </c>
      <c r="AF36" s="149" t="s">
        <v>180</v>
      </c>
      <c r="AG36" s="142" t="str">
        <f t="shared" si="43"/>
        <v>+11%</v>
      </c>
      <c r="AH36" s="143">
        <f t="shared" si="44"/>
        <v>0.11</v>
      </c>
      <c r="AI36" s="11"/>
      <c r="AJ36" s="147" t="s">
        <v>219</v>
      </c>
      <c r="AK36" s="149" t="s">
        <v>175</v>
      </c>
      <c r="AL36" s="142" t="str">
        <f t="shared" si="45"/>
        <v>+8%</v>
      </c>
      <c r="AM36" s="143">
        <f t="shared" si="46"/>
        <v>0.08</v>
      </c>
      <c r="AN36" s="146"/>
      <c r="AO36" s="145"/>
      <c r="AP36" s="149"/>
      <c r="AQ36" s="142" t="str">
        <f t="shared" si="47"/>
        <v/>
      </c>
      <c r="AR36" s="143" t="str">
        <f t="shared" si="48"/>
        <v/>
      </c>
      <c r="AS36" s="11"/>
    </row>
    <row r="37">
      <c r="B37" s="150"/>
      <c r="C37" s="117"/>
      <c r="D37" s="118"/>
      <c r="F37" s="197"/>
      <c r="G37" s="149"/>
      <c r="H37" s="142" t="str">
        <f t="shared" si="33"/>
        <v/>
      </c>
      <c r="I37" s="143" t="str">
        <f t="shared" si="34"/>
        <v/>
      </c>
      <c r="J37" s="11"/>
      <c r="K37" s="197"/>
      <c r="L37" s="149"/>
      <c r="M37" s="142" t="str">
        <f t="shared" si="35"/>
        <v/>
      </c>
      <c r="N37" s="143" t="str">
        <f t="shared" si="36"/>
        <v/>
      </c>
      <c r="O37" s="11"/>
      <c r="P37" s="196" t="s">
        <v>214</v>
      </c>
      <c r="Q37" s="149" t="s">
        <v>180</v>
      </c>
      <c r="R37" s="142" t="str">
        <f t="shared" si="37"/>
        <v>+11%</v>
      </c>
      <c r="S37" s="143">
        <f t="shared" si="38"/>
        <v>0.11</v>
      </c>
      <c r="T37" s="11"/>
      <c r="U37" s="196" t="s">
        <v>214</v>
      </c>
      <c r="V37" s="149" t="s">
        <v>176</v>
      </c>
      <c r="W37" s="142" t="str">
        <f t="shared" si="39"/>
        <v>+5%</v>
      </c>
      <c r="X37" s="87">
        <f t="shared" si="40"/>
        <v>0.05</v>
      </c>
      <c r="Y37" s="11"/>
      <c r="Z37" s="196" t="s">
        <v>214</v>
      </c>
      <c r="AA37" s="149" t="s">
        <v>180</v>
      </c>
      <c r="AB37" s="142" t="str">
        <f t="shared" si="41"/>
        <v>+11%</v>
      </c>
      <c r="AC37" s="143">
        <f t="shared" si="42"/>
        <v>0.11</v>
      </c>
      <c r="AD37" s="11"/>
      <c r="AE37" s="197"/>
      <c r="AF37" s="149"/>
      <c r="AG37" s="142" t="str">
        <f t="shared" si="43"/>
        <v/>
      </c>
      <c r="AH37" s="143" t="str">
        <f t="shared" si="44"/>
        <v/>
      </c>
      <c r="AI37" s="11"/>
      <c r="AJ37" s="145"/>
      <c r="AK37" s="149"/>
      <c r="AL37" s="142" t="str">
        <f t="shared" si="45"/>
        <v/>
      </c>
      <c r="AM37" s="143" t="str">
        <f t="shared" si="46"/>
        <v/>
      </c>
      <c r="AN37" s="146"/>
      <c r="AO37" s="145"/>
      <c r="AP37" s="149"/>
      <c r="AQ37" s="142" t="str">
        <f t="shared" si="47"/>
        <v/>
      </c>
      <c r="AR37" s="143" t="str">
        <f t="shared" si="48"/>
        <v/>
      </c>
      <c r="AS37" s="11"/>
    </row>
    <row r="38">
      <c r="B38" s="116"/>
      <c r="C38" s="117"/>
      <c r="D38" s="118"/>
      <c r="F38" s="197"/>
      <c r="G38" s="149"/>
      <c r="H38" s="142" t="str">
        <f t="shared" si="33"/>
        <v/>
      </c>
      <c r="I38" s="143" t="str">
        <f t="shared" si="34"/>
        <v/>
      </c>
      <c r="J38" s="11"/>
      <c r="K38" s="197"/>
      <c r="L38" s="149"/>
      <c r="M38" s="142" t="str">
        <f t="shared" si="35"/>
        <v/>
      </c>
      <c r="N38" s="143" t="str">
        <f t="shared" si="36"/>
        <v/>
      </c>
      <c r="O38" s="11"/>
      <c r="P38" s="197"/>
      <c r="Q38" s="149"/>
      <c r="R38" s="142" t="str">
        <f t="shared" si="37"/>
        <v/>
      </c>
      <c r="S38" s="143" t="str">
        <f t="shared" si="38"/>
        <v/>
      </c>
      <c r="T38" s="11"/>
      <c r="U38" s="197"/>
      <c r="V38" s="149"/>
      <c r="W38" s="142" t="str">
        <f t="shared" si="39"/>
        <v/>
      </c>
      <c r="X38" s="87" t="str">
        <f t="shared" si="40"/>
        <v/>
      </c>
      <c r="Y38" s="11"/>
      <c r="Z38" s="197"/>
      <c r="AA38" s="149"/>
      <c r="AB38" s="142" t="str">
        <f t="shared" si="41"/>
        <v/>
      </c>
      <c r="AC38" s="143" t="str">
        <f t="shared" si="42"/>
        <v/>
      </c>
      <c r="AD38" s="11"/>
      <c r="AE38" s="197"/>
      <c r="AF38" s="149"/>
      <c r="AG38" s="142" t="str">
        <f t="shared" si="43"/>
        <v/>
      </c>
      <c r="AH38" s="143" t="str">
        <f t="shared" si="44"/>
        <v/>
      </c>
      <c r="AI38" s="11"/>
      <c r="AJ38" s="145"/>
      <c r="AK38" s="149"/>
      <c r="AL38" s="142" t="str">
        <f t="shared" si="45"/>
        <v/>
      </c>
      <c r="AM38" s="143" t="str">
        <f t="shared" si="46"/>
        <v/>
      </c>
      <c r="AN38" s="146"/>
      <c r="AO38" s="145"/>
      <c r="AP38" s="149"/>
      <c r="AQ38" s="142" t="str">
        <f t="shared" si="47"/>
        <v/>
      </c>
      <c r="AR38" s="143" t="str">
        <f t="shared" si="48"/>
        <v/>
      </c>
      <c r="AS38" s="11"/>
    </row>
    <row r="39">
      <c r="B39" s="116"/>
      <c r="C39" s="117"/>
      <c r="D39" s="118"/>
      <c r="F39" s="197"/>
      <c r="G39" s="149"/>
      <c r="H39" s="142" t="str">
        <f t="shared" si="33"/>
        <v/>
      </c>
      <c r="I39" s="143" t="str">
        <f t="shared" si="34"/>
        <v/>
      </c>
      <c r="J39" s="11"/>
      <c r="K39" s="197"/>
      <c r="L39" s="149"/>
      <c r="M39" s="142" t="str">
        <f t="shared" si="35"/>
        <v/>
      </c>
      <c r="N39" s="143" t="str">
        <f t="shared" si="36"/>
        <v/>
      </c>
      <c r="O39" s="11"/>
      <c r="P39" s="197"/>
      <c r="Q39" s="149"/>
      <c r="R39" s="142" t="str">
        <f t="shared" si="37"/>
        <v/>
      </c>
      <c r="S39" s="143" t="str">
        <f t="shared" si="38"/>
        <v/>
      </c>
      <c r="T39" s="11"/>
      <c r="U39" s="197"/>
      <c r="V39" s="149"/>
      <c r="W39" s="142" t="str">
        <f t="shared" si="39"/>
        <v/>
      </c>
      <c r="X39" s="87" t="str">
        <f t="shared" si="40"/>
        <v/>
      </c>
      <c r="Y39" s="11"/>
      <c r="Z39" s="197"/>
      <c r="AA39" s="149"/>
      <c r="AB39" s="142" t="str">
        <f t="shared" si="41"/>
        <v/>
      </c>
      <c r="AC39" s="143" t="str">
        <f t="shared" si="42"/>
        <v/>
      </c>
      <c r="AD39" s="11"/>
      <c r="AE39" s="197"/>
      <c r="AF39" s="149"/>
      <c r="AG39" s="142" t="str">
        <f t="shared" si="43"/>
        <v/>
      </c>
      <c r="AH39" s="143" t="str">
        <f t="shared" si="44"/>
        <v/>
      </c>
      <c r="AI39" s="11"/>
      <c r="AJ39" s="145"/>
      <c r="AK39" s="149"/>
      <c r="AL39" s="142" t="str">
        <f t="shared" si="45"/>
        <v/>
      </c>
      <c r="AM39" s="143" t="str">
        <f t="shared" si="46"/>
        <v/>
      </c>
      <c r="AN39" s="146"/>
      <c r="AO39" s="145"/>
      <c r="AP39" s="149"/>
      <c r="AQ39" s="142" t="str">
        <f t="shared" si="47"/>
        <v/>
      </c>
      <c r="AR39" s="143" t="str">
        <f t="shared" si="48"/>
        <v/>
      </c>
      <c r="AS39" s="11"/>
    </row>
    <row r="40">
      <c r="A40" s="138"/>
      <c r="B40" s="116"/>
      <c r="C40" s="117"/>
      <c r="D40" s="118"/>
      <c r="F40" s="198"/>
      <c r="G40" s="154"/>
      <c r="H40" s="155" t="str">
        <f t="shared" si="33"/>
        <v/>
      </c>
      <c r="I40" s="143" t="str">
        <f t="shared" si="34"/>
        <v/>
      </c>
      <c r="J40" s="11"/>
      <c r="K40" s="198"/>
      <c r="L40" s="154"/>
      <c r="M40" s="155" t="str">
        <f t="shared" si="35"/>
        <v/>
      </c>
      <c r="N40" s="143" t="str">
        <f t="shared" si="36"/>
        <v/>
      </c>
      <c r="O40" s="11"/>
      <c r="P40" s="198"/>
      <c r="Q40" s="154"/>
      <c r="R40" s="155" t="str">
        <f t="shared" si="37"/>
        <v/>
      </c>
      <c r="S40" s="143" t="str">
        <f t="shared" si="38"/>
        <v/>
      </c>
      <c r="T40" s="11"/>
      <c r="U40" s="198"/>
      <c r="V40" s="154"/>
      <c r="W40" s="155" t="str">
        <f t="shared" si="39"/>
        <v/>
      </c>
      <c r="X40" s="87" t="str">
        <f t="shared" si="40"/>
        <v/>
      </c>
      <c r="Y40" s="11"/>
      <c r="Z40" s="198"/>
      <c r="AA40" s="154"/>
      <c r="AB40" s="155" t="str">
        <f t="shared" si="41"/>
        <v/>
      </c>
      <c r="AC40" s="143" t="str">
        <f t="shared" si="42"/>
        <v/>
      </c>
      <c r="AD40" s="11"/>
      <c r="AE40" s="198"/>
      <c r="AF40" s="154"/>
      <c r="AG40" s="155" t="str">
        <f t="shared" si="43"/>
        <v/>
      </c>
      <c r="AH40" s="143" t="str">
        <f t="shared" si="44"/>
        <v/>
      </c>
      <c r="AI40" s="11"/>
      <c r="AJ40" s="156"/>
      <c r="AK40" s="154"/>
      <c r="AL40" s="155" t="str">
        <f t="shared" si="45"/>
        <v/>
      </c>
      <c r="AM40" s="143" t="str">
        <f t="shared" si="46"/>
        <v/>
      </c>
      <c r="AN40" s="146"/>
      <c r="AO40" s="156"/>
      <c r="AP40" s="154"/>
      <c r="AQ40" s="155" t="str">
        <f t="shared" si="47"/>
        <v/>
      </c>
      <c r="AR40" s="143" t="str">
        <f t="shared" si="48"/>
        <v/>
      </c>
      <c r="AS40" s="11"/>
    </row>
    <row r="41">
      <c r="A41" s="157"/>
      <c r="B41" s="158"/>
      <c r="C41" s="117"/>
      <c r="D41" s="118"/>
      <c r="F41" s="159"/>
      <c r="G41" s="159"/>
      <c r="H41" s="159"/>
      <c r="I41" s="160"/>
      <c r="J41" s="160"/>
      <c r="K41" s="159"/>
      <c r="L41" s="159"/>
      <c r="M41" s="159"/>
      <c r="N41" s="160"/>
      <c r="O41" s="11"/>
      <c r="P41" s="11"/>
      <c r="Q41" s="11"/>
      <c r="R41" s="11"/>
      <c r="S41" s="160"/>
      <c r="T41" s="11"/>
      <c r="U41" s="159"/>
      <c r="V41" s="159"/>
      <c r="W41" s="159"/>
      <c r="X41" s="160"/>
      <c r="Y41" s="11"/>
      <c r="Z41" s="11"/>
      <c r="AA41" s="11"/>
      <c r="AB41" s="11"/>
      <c r="AC41" s="160"/>
      <c r="AD41" s="11"/>
      <c r="AE41" s="11"/>
      <c r="AF41" s="11"/>
      <c r="AG41" s="11"/>
      <c r="AH41" s="160"/>
      <c r="AI41" s="11"/>
      <c r="AJ41" s="11"/>
      <c r="AK41" s="11"/>
      <c r="AL41" s="11"/>
      <c r="AM41" s="160"/>
      <c r="AN41" s="11"/>
      <c r="AO41" s="11"/>
      <c r="AP41" s="11"/>
      <c r="AQ41" s="11"/>
      <c r="AR41" s="160"/>
      <c r="AS41" s="11"/>
    </row>
    <row r="42">
      <c r="A42" s="115" t="s">
        <v>220</v>
      </c>
      <c r="B42" s="116"/>
      <c r="C42" s="117"/>
      <c r="D42" s="118"/>
      <c r="F42" s="199" t="s">
        <v>221</v>
      </c>
      <c r="G42" s="120"/>
      <c r="H42" s="121"/>
      <c r="I42" s="11"/>
      <c r="J42" s="11"/>
      <c r="K42" s="199" t="s">
        <v>222</v>
      </c>
      <c r="L42" s="120"/>
      <c r="M42" s="121"/>
      <c r="N42" s="11"/>
      <c r="O42" s="11"/>
      <c r="P42" s="199" t="s">
        <v>223</v>
      </c>
      <c r="Q42" s="120"/>
      <c r="R42" s="121"/>
      <c r="S42" s="11"/>
      <c r="T42" s="11"/>
      <c r="U42" s="199" t="s">
        <v>224</v>
      </c>
      <c r="V42" s="120"/>
      <c r="W42" s="121"/>
      <c r="X42" s="11"/>
      <c r="Y42" s="11"/>
      <c r="Z42" s="199" t="s">
        <v>225</v>
      </c>
      <c r="AA42" s="120"/>
      <c r="AB42" s="121"/>
      <c r="AC42" s="11"/>
      <c r="AD42" s="11"/>
      <c r="AE42" s="200" t="s">
        <v>226</v>
      </c>
      <c r="AF42" s="120"/>
      <c r="AG42" s="121"/>
      <c r="AH42" s="11"/>
      <c r="AI42" s="11"/>
      <c r="AJ42" s="201" t="s">
        <v>167</v>
      </c>
      <c r="AK42" s="120"/>
      <c r="AL42" s="121"/>
      <c r="AM42" s="11"/>
      <c r="AN42" s="11"/>
      <c r="AO42" s="201" t="s">
        <v>168</v>
      </c>
      <c r="AP42" s="120"/>
      <c r="AQ42" s="121"/>
      <c r="AR42" s="11"/>
      <c r="AS42" s="11"/>
    </row>
    <row r="43">
      <c r="B43" s="116"/>
      <c r="C43" s="117"/>
      <c r="D43" s="202" t="s">
        <v>169</v>
      </c>
      <c r="F43" s="203" t="s">
        <v>170</v>
      </c>
      <c r="G43" s="204" t="s">
        <v>134</v>
      </c>
      <c r="H43" s="205" t="s">
        <v>171</v>
      </c>
      <c r="I43" s="11"/>
      <c r="J43" s="11"/>
      <c r="K43" s="203" t="s">
        <v>170</v>
      </c>
      <c r="L43" s="204" t="s">
        <v>134</v>
      </c>
      <c r="M43" s="205" t="s">
        <v>171</v>
      </c>
      <c r="N43" s="11"/>
      <c r="O43" s="11"/>
      <c r="P43" s="203" t="s">
        <v>170</v>
      </c>
      <c r="Q43" s="204" t="s">
        <v>134</v>
      </c>
      <c r="R43" s="205" t="s">
        <v>171</v>
      </c>
      <c r="S43" s="11"/>
      <c r="T43" s="11"/>
      <c r="U43" s="203" t="s">
        <v>170</v>
      </c>
      <c r="V43" s="204" t="s">
        <v>134</v>
      </c>
      <c r="W43" s="205" t="s">
        <v>171</v>
      </c>
      <c r="X43" s="11"/>
      <c r="Y43" s="11"/>
      <c r="Z43" s="203" t="s">
        <v>170</v>
      </c>
      <c r="AA43" s="204" t="s">
        <v>134</v>
      </c>
      <c r="AB43" s="205" t="s">
        <v>171</v>
      </c>
      <c r="AC43" s="11"/>
      <c r="AD43" s="11"/>
      <c r="AE43" s="203" t="s">
        <v>170</v>
      </c>
      <c r="AF43" s="204" t="s">
        <v>134</v>
      </c>
      <c r="AG43" s="205" t="s">
        <v>171</v>
      </c>
      <c r="AH43" s="11"/>
      <c r="AI43" s="11"/>
      <c r="AJ43" s="203" t="s">
        <v>170</v>
      </c>
      <c r="AK43" s="204" t="s">
        <v>134</v>
      </c>
      <c r="AL43" s="206" t="s">
        <v>171</v>
      </c>
      <c r="AM43" s="11"/>
      <c r="AN43" s="11"/>
      <c r="AO43" s="203" t="s">
        <v>170</v>
      </c>
      <c r="AP43" s="204" t="s">
        <v>134</v>
      </c>
      <c r="AQ43" s="206" t="s">
        <v>171</v>
      </c>
      <c r="AR43" s="11"/>
      <c r="AS43" s="11"/>
    </row>
    <row r="44">
      <c r="B44" s="207" t="s">
        <v>227</v>
      </c>
      <c r="C44" s="117"/>
      <c r="D44" s="208">
        <v>159.0</v>
      </c>
      <c r="F44" s="209" t="s">
        <v>195</v>
      </c>
      <c r="G44" s="210">
        <f>CAP_MOD_LEVEL($D44,F44)</f>
        <v>159</v>
      </c>
      <c r="H44" s="211">
        <f>IF(F44="None",1,MODSTAT_CORE(F44,G44))</f>
        <v>11.692</v>
      </c>
      <c r="I44" s="11"/>
      <c r="J44" s="11"/>
      <c r="K44" s="209" t="s">
        <v>174</v>
      </c>
      <c r="L44" s="210">
        <f>CAP_MOD_LEVEL($D44,K44)</f>
        <v>159</v>
      </c>
      <c r="M44" s="211">
        <f>IF(K44="None",1,MODSTAT_CORE(K44,L44))</f>
        <v>10.9</v>
      </c>
      <c r="N44" s="11"/>
      <c r="O44" s="11"/>
      <c r="P44" s="209" t="s">
        <v>228</v>
      </c>
      <c r="Q44" s="210">
        <f>CAP_MOD_LEVEL($D44,P44)</f>
        <v>159</v>
      </c>
      <c r="R44" s="211">
        <f>IF(P44="None",1,MODSTAT_CORE(P44,Q44))</f>
        <v>12.88</v>
      </c>
      <c r="S44" s="11"/>
      <c r="T44" s="11"/>
      <c r="U44" s="209" t="s">
        <v>174</v>
      </c>
      <c r="V44" s="210">
        <f>CAP_MOD_LEVEL($D44,U44)</f>
        <v>159</v>
      </c>
      <c r="W44" s="211">
        <f>IF(U44="None",1,MODSTAT_CORE(U44,V44))</f>
        <v>10.9</v>
      </c>
      <c r="X44" s="11"/>
      <c r="Y44" s="11"/>
      <c r="Z44" s="209" t="s">
        <v>174</v>
      </c>
      <c r="AA44" s="210">
        <f>CAP_MOD_LEVEL($D44,Z44)</f>
        <v>159</v>
      </c>
      <c r="AB44" s="211">
        <f>IF(Z44="None",1,MODSTAT_CORE(Z44,AA44))</f>
        <v>10.9</v>
      </c>
      <c r="AC44" s="11"/>
      <c r="AD44" s="11"/>
      <c r="AE44" s="209" t="s">
        <v>195</v>
      </c>
      <c r="AF44" s="210">
        <f>CAP_MOD_LEVEL($D44,AE44)</f>
        <v>159</v>
      </c>
      <c r="AG44" s="211">
        <f>IF(AE44="None",1,MODSTAT_CORE(AE44,AF44))</f>
        <v>11.692</v>
      </c>
      <c r="AH44" s="11"/>
      <c r="AI44" s="11"/>
      <c r="AJ44" s="132" t="s">
        <v>176</v>
      </c>
      <c r="AK44" s="133">
        <f>CAP_MOD_LEVEL($D44,AJ44)</f>
        <v>60</v>
      </c>
      <c r="AL44" s="193">
        <f>IF(AJ44="None",1,MODSTAT_CORE(AJ44,AK44))</f>
        <v>2.17</v>
      </c>
      <c r="AM44" s="11"/>
      <c r="AN44" s="11"/>
      <c r="AO44" s="132" t="s">
        <v>177</v>
      </c>
      <c r="AP44" s="133">
        <f>CAP_MOD_LEVEL($D44,AO44)</f>
        <v>20</v>
      </c>
      <c r="AQ44" s="193">
        <f>IF(AO44="None",1,MODSTAT_CORE(AO44,AP44))</f>
        <v>1.23</v>
      </c>
      <c r="AR44" s="11"/>
      <c r="AS44" s="11"/>
    </row>
    <row r="45">
      <c r="B45" s="85"/>
      <c r="C45" s="117"/>
      <c r="D45" s="118"/>
      <c r="F45" s="212"/>
      <c r="G45" s="29"/>
      <c r="H45" s="136"/>
      <c r="I45" s="11"/>
      <c r="J45" s="11"/>
      <c r="K45" s="212"/>
      <c r="L45" s="29"/>
      <c r="M45" s="136"/>
      <c r="N45" s="11"/>
      <c r="O45" s="11"/>
      <c r="P45" s="212"/>
      <c r="Q45" s="29"/>
      <c r="R45" s="136"/>
      <c r="S45" s="11"/>
      <c r="T45" s="11"/>
      <c r="U45" s="212"/>
      <c r="V45" s="29"/>
      <c r="W45" s="136"/>
      <c r="X45" s="11"/>
      <c r="Y45" s="11"/>
      <c r="Z45" s="212"/>
      <c r="AA45" s="29"/>
      <c r="AB45" s="136"/>
      <c r="AC45" s="11"/>
      <c r="AD45" s="11"/>
      <c r="AE45" s="212"/>
      <c r="AF45" s="29"/>
      <c r="AG45" s="136"/>
      <c r="AH45" s="11"/>
      <c r="AI45" s="11"/>
      <c r="AJ45" s="137"/>
      <c r="AK45" s="138"/>
      <c r="AL45" s="139"/>
      <c r="AM45" s="11"/>
      <c r="AN45" s="11"/>
      <c r="AO45" s="137"/>
      <c r="AP45" s="138"/>
      <c r="AQ45" s="139"/>
      <c r="AR45" s="11"/>
      <c r="AS45" s="11"/>
    </row>
    <row r="46">
      <c r="B46" s="85"/>
      <c r="C46" s="117"/>
      <c r="D46" s="202" t="s">
        <v>178</v>
      </c>
      <c r="F46" s="213" t="s">
        <v>229</v>
      </c>
      <c r="G46" s="141" t="s">
        <v>175</v>
      </c>
      <c r="H46" s="142" t="str">
        <f t="shared" ref="H46:H53" si="49">MOD_SUBSTAT_LOOKUP(F46,G46,1)</f>
        <v>+1</v>
      </c>
      <c r="I46" s="143">
        <f t="shared" ref="I46:I53" si="50">IF(ISBLANK(F46), "", MOD_SUBSTAT_LOOKUP(F46,G46,0))</f>
        <v>1</v>
      </c>
      <c r="J46" s="11"/>
      <c r="K46" s="213" t="s">
        <v>230</v>
      </c>
      <c r="L46" s="141" t="s">
        <v>180</v>
      </c>
      <c r="M46" s="142" t="str">
        <f t="shared" ref="M46:M53" si="51">MOD_SUBSTAT_LOOKUP(K46,L46,1)</f>
        <v>+12%</v>
      </c>
      <c r="N46" s="143">
        <f t="shared" ref="N46:N53" si="52">IF(ISBLANK(K46), "", MOD_SUBSTAT_LOOKUP(K46,L46,0))</f>
        <v>0.12</v>
      </c>
      <c r="O46" s="11"/>
      <c r="P46" s="214"/>
      <c r="Q46" s="141"/>
      <c r="R46" s="142" t="str">
        <f t="shared" ref="R46:R53" si="53">MOD_SUBSTAT_LOOKUP(P46,Q46,1)</f>
        <v/>
      </c>
      <c r="S46" s="143" t="str">
        <f t="shared" ref="S46:S53" si="54">IF(ISBLANK(P46), "", MOD_SUBSTAT_LOOKUP(P46,Q46,0))</f>
        <v/>
      </c>
      <c r="T46" s="11"/>
      <c r="U46" s="213" t="s">
        <v>231</v>
      </c>
      <c r="V46" s="141" t="s">
        <v>180</v>
      </c>
      <c r="W46" s="142" t="str">
        <f t="shared" ref="W46:W53" si="55">MOD_SUBSTAT_LOOKUP(U46,V46,1)</f>
        <v>+7s</v>
      </c>
      <c r="X46" s="143">
        <f t="shared" ref="X46:X53" si="56">IF(ISBLANK(U46), "", MOD_SUBSTAT_LOOKUP(U46,V46,0))</f>
        <v>7</v>
      </c>
      <c r="Y46" s="11"/>
      <c r="Z46" s="214"/>
      <c r="AA46" s="141"/>
      <c r="AB46" s="142" t="str">
        <f t="shared" ref="AB46:AB53" si="57">MOD_SUBSTAT_LOOKUP(Z46,AA46,1)</f>
        <v/>
      </c>
      <c r="AC46" s="143" t="str">
        <f t="shared" ref="AC46:AC53" si="58">IF(ISBLANK(Z46), "", MOD_SUBSTAT_LOOKUP(Z46,AA46,0))</f>
        <v/>
      </c>
      <c r="AD46" s="11"/>
      <c r="AE46" s="213" t="s">
        <v>232</v>
      </c>
      <c r="AF46" s="141" t="s">
        <v>174</v>
      </c>
      <c r="AG46" s="142" t="str">
        <f t="shared" ref="AG46:AG53" si="59">MOD_SUBSTAT_LOOKUP(AE46,AF46,1)</f>
        <v>+4s</v>
      </c>
      <c r="AH46" s="143">
        <f t="shared" ref="AH46:AH53" si="60">IF(ISBLANK(AE46), "", MOD_SUBSTAT_LOOKUP(AE46,AF46,0))</f>
        <v>4</v>
      </c>
      <c r="AI46" s="11"/>
      <c r="AJ46" s="145"/>
      <c r="AK46" s="141"/>
      <c r="AL46" s="142" t="str">
        <f t="shared" ref="AL46:AL53" si="61">MOD_SUBSTAT_LOOKUP(AJ46,AK46,1)</f>
        <v/>
      </c>
      <c r="AM46" s="143" t="str">
        <f t="shared" ref="AM46:AM53" si="62">IF(ISBLANK(AJ46), "", MOD_SUBSTAT_LOOKUP(AJ46,AK46,0))</f>
        <v/>
      </c>
      <c r="AN46" s="146"/>
      <c r="AO46" s="145"/>
      <c r="AP46" s="141"/>
      <c r="AQ46" s="142" t="str">
        <f t="shared" ref="AQ46:AQ53" si="63">MOD_SUBSTAT_LOOKUP(AO46,AP46,1)</f>
        <v/>
      </c>
      <c r="AR46" s="143" t="str">
        <f t="shared" ref="AR46:AR53" si="64">IF(ISBLANK(AO46), "", MOD_SUBSTAT_LOOKUP(AO46,AP46,0))</f>
        <v/>
      </c>
      <c r="AS46" s="11"/>
    </row>
    <row r="47">
      <c r="B47" s="85"/>
      <c r="C47" s="117"/>
      <c r="D47" s="208">
        <v>101.0</v>
      </c>
      <c r="F47" s="213" t="s">
        <v>233</v>
      </c>
      <c r="G47" s="141" t="s">
        <v>175</v>
      </c>
      <c r="H47" s="142" t="str">
        <f t="shared" si="49"/>
        <v>+2x</v>
      </c>
      <c r="I47" s="143">
        <f t="shared" si="50"/>
        <v>2</v>
      </c>
      <c r="J47" s="11"/>
      <c r="K47" s="213" t="s">
        <v>234</v>
      </c>
      <c r="L47" s="141" t="s">
        <v>180</v>
      </c>
      <c r="M47" s="142" t="str">
        <f t="shared" si="51"/>
        <v>+11°</v>
      </c>
      <c r="N47" s="143">
        <f t="shared" si="52"/>
        <v>11</v>
      </c>
      <c r="O47" s="11"/>
      <c r="P47" s="214"/>
      <c r="Q47" s="141"/>
      <c r="R47" s="142" t="str">
        <f t="shared" si="53"/>
        <v/>
      </c>
      <c r="S47" s="143" t="str">
        <f t="shared" si="54"/>
        <v/>
      </c>
      <c r="T47" s="11"/>
      <c r="U47" s="213" t="s">
        <v>235</v>
      </c>
      <c r="V47" s="141" t="s">
        <v>180</v>
      </c>
      <c r="W47" s="142" t="str">
        <f t="shared" si="55"/>
        <v>+15x</v>
      </c>
      <c r="X47" s="143">
        <f t="shared" si="56"/>
        <v>15</v>
      </c>
      <c r="Y47" s="11"/>
      <c r="Z47" s="214"/>
      <c r="AA47" s="141"/>
      <c r="AB47" s="142" t="str">
        <f t="shared" si="57"/>
        <v/>
      </c>
      <c r="AC47" s="143" t="str">
        <f t="shared" si="58"/>
        <v/>
      </c>
      <c r="AD47" s="11"/>
      <c r="AE47" s="213" t="s">
        <v>236</v>
      </c>
      <c r="AF47" s="141" t="s">
        <v>174</v>
      </c>
      <c r="AG47" s="142" t="str">
        <f t="shared" si="59"/>
        <v>-4s</v>
      </c>
      <c r="AH47" s="143">
        <f t="shared" si="60"/>
        <v>-4</v>
      </c>
      <c r="AI47" s="11"/>
      <c r="AJ47" s="145"/>
      <c r="AK47" s="141"/>
      <c r="AL47" s="142" t="str">
        <f t="shared" si="61"/>
        <v/>
      </c>
      <c r="AM47" s="143" t="str">
        <f t="shared" si="62"/>
        <v/>
      </c>
      <c r="AN47" s="146"/>
      <c r="AO47" s="145"/>
      <c r="AP47" s="141"/>
      <c r="AQ47" s="142" t="str">
        <f t="shared" si="63"/>
        <v/>
      </c>
      <c r="AR47" s="143" t="str">
        <f t="shared" si="64"/>
        <v/>
      </c>
      <c r="AS47" s="11"/>
    </row>
    <row r="48">
      <c r="B48" s="85"/>
      <c r="C48" s="117"/>
      <c r="D48" s="118"/>
      <c r="F48" s="213" t="s">
        <v>237</v>
      </c>
      <c r="G48" s="148" t="s">
        <v>175</v>
      </c>
      <c r="H48" s="142" t="str">
        <f t="shared" si="49"/>
        <v>+8.00m</v>
      </c>
      <c r="I48" s="143">
        <f t="shared" si="50"/>
        <v>8</v>
      </c>
      <c r="J48" s="11"/>
      <c r="K48" s="213" t="s">
        <v>235</v>
      </c>
      <c r="L48" s="148" t="s">
        <v>180</v>
      </c>
      <c r="M48" s="142" t="str">
        <f t="shared" si="51"/>
        <v>+15x</v>
      </c>
      <c r="N48" s="143">
        <f t="shared" si="52"/>
        <v>15</v>
      </c>
      <c r="O48" s="11"/>
      <c r="P48" s="214"/>
      <c r="Q48" s="148"/>
      <c r="R48" s="142" t="str">
        <f t="shared" si="53"/>
        <v/>
      </c>
      <c r="S48" s="143" t="str">
        <f t="shared" si="54"/>
        <v/>
      </c>
      <c r="T48" s="11"/>
      <c r="U48" s="213" t="s">
        <v>234</v>
      </c>
      <c r="V48" s="148" t="s">
        <v>176</v>
      </c>
      <c r="W48" s="142" t="str">
        <f t="shared" si="55"/>
        <v>+3°</v>
      </c>
      <c r="X48" s="143">
        <f t="shared" si="56"/>
        <v>3</v>
      </c>
      <c r="Y48" s="11"/>
      <c r="Z48" s="214"/>
      <c r="AA48" s="148"/>
      <c r="AB48" s="142" t="str">
        <f t="shared" si="57"/>
        <v/>
      </c>
      <c r="AC48" s="143" t="str">
        <f t="shared" si="58"/>
        <v/>
      </c>
      <c r="AD48" s="11"/>
      <c r="AE48" s="213" t="s">
        <v>229</v>
      </c>
      <c r="AF48" s="148" t="s">
        <v>180</v>
      </c>
      <c r="AG48" s="142" t="str">
        <f t="shared" si="59"/>
        <v>+2</v>
      </c>
      <c r="AH48" s="143">
        <f t="shared" si="60"/>
        <v>2</v>
      </c>
      <c r="AI48" s="11"/>
      <c r="AJ48" s="145"/>
      <c r="AK48" s="148"/>
      <c r="AL48" s="142" t="str">
        <f t="shared" si="61"/>
        <v/>
      </c>
      <c r="AM48" s="143" t="str">
        <f t="shared" si="62"/>
        <v/>
      </c>
      <c r="AN48" s="146"/>
      <c r="AO48" s="145"/>
      <c r="AP48" s="148"/>
      <c r="AQ48" s="142" t="str">
        <f t="shared" si="63"/>
        <v/>
      </c>
      <c r="AR48" s="143" t="str">
        <f t="shared" si="64"/>
        <v/>
      </c>
      <c r="AS48" s="11"/>
    </row>
    <row r="49">
      <c r="B49" s="85"/>
      <c r="C49" s="117"/>
      <c r="D49" s="118"/>
      <c r="F49" s="213" t="s">
        <v>234</v>
      </c>
      <c r="G49" s="149"/>
      <c r="H49" s="142" t="str">
        <f t="shared" si="49"/>
        <v/>
      </c>
      <c r="I49" s="143" t="str">
        <f t="shared" si="50"/>
        <v/>
      </c>
      <c r="J49" s="11"/>
      <c r="K49" s="213" t="s">
        <v>238</v>
      </c>
      <c r="L49" s="149" t="s">
        <v>180</v>
      </c>
      <c r="M49" s="142" t="str">
        <f t="shared" si="51"/>
        <v>+3</v>
      </c>
      <c r="N49" s="143">
        <f t="shared" si="52"/>
        <v>3</v>
      </c>
      <c r="O49" s="11"/>
      <c r="P49" s="214"/>
      <c r="Q49" s="149"/>
      <c r="R49" s="142" t="str">
        <f t="shared" si="53"/>
        <v/>
      </c>
      <c r="S49" s="143" t="str">
        <f t="shared" si="54"/>
        <v/>
      </c>
      <c r="T49" s="11"/>
      <c r="U49" s="213" t="s">
        <v>230</v>
      </c>
      <c r="V49" s="149" t="s">
        <v>239</v>
      </c>
      <c r="W49" s="142" t="str">
        <f t="shared" si="55"/>
        <v>+4%</v>
      </c>
      <c r="X49" s="87">
        <f t="shared" si="56"/>
        <v>0.04</v>
      </c>
      <c r="Y49" s="11"/>
      <c r="Z49" s="214"/>
      <c r="AA49" s="149"/>
      <c r="AB49" s="142" t="str">
        <f t="shared" si="57"/>
        <v/>
      </c>
      <c r="AC49" s="143" t="str">
        <f t="shared" si="58"/>
        <v/>
      </c>
      <c r="AD49" s="11"/>
      <c r="AE49" s="213" t="s">
        <v>234</v>
      </c>
      <c r="AF49" s="149" t="s">
        <v>174</v>
      </c>
      <c r="AG49" s="142" t="str">
        <f t="shared" si="59"/>
        <v>+15°</v>
      </c>
      <c r="AH49" s="143">
        <f t="shared" si="60"/>
        <v>15</v>
      </c>
      <c r="AI49" s="11"/>
      <c r="AJ49" s="145"/>
      <c r="AK49" s="149"/>
      <c r="AL49" s="142" t="str">
        <f t="shared" si="61"/>
        <v/>
      </c>
      <c r="AM49" s="143" t="str">
        <f t="shared" si="62"/>
        <v/>
      </c>
      <c r="AN49" s="146"/>
      <c r="AO49" s="145"/>
      <c r="AP49" s="149"/>
      <c r="AQ49" s="142" t="str">
        <f t="shared" si="63"/>
        <v/>
      </c>
      <c r="AR49" s="143" t="str">
        <f t="shared" si="64"/>
        <v/>
      </c>
      <c r="AS49" s="11"/>
    </row>
    <row r="50">
      <c r="B50" s="150"/>
      <c r="C50" s="117"/>
      <c r="D50" s="118"/>
      <c r="F50" s="215" t="s">
        <v>229</v>
      </c>
      <c r="G50" s="149"/>
      <c r="H50" s="142" t="str">
        <f t="shared" si="49"/>
        <v/>
      </c>
      <c r="I50" s="143" t="str">
        <f t="shared" si="50"/>
        <v/>
      </c>
      <c r="J50" s="11"/>
      <c r="K50" s="215" t="s">
        <v>240</v>
      </c>
      <c r="L50" s="149" t="s">
        <v>175</v>
      </c>
      <c r="M50" s="142" t="str">
        <f t="shared" si="51"/>
        <v>+50x</v>
      </c>
      <c r="N50" s="143">
        <f t="shared" si="52"/>
        <v>50</v>
      </c>
      <c r="O50" s="11"/>
      <c r="P50" s="216"/>
      <c r="Q50" s="149"/>
      <c r="R50" s="142" t="str">
        <f t="shared" si="53"/>
        <v/>
      </c>
      <c r="S50" s="143" t="str">
        <f t="shared" si="54"/>
        <v/>
      </c>
      <c r="T50" s="11"/>
      <c r="U50" s="216"/>
      <c r="V50" s="149"/>
      <c r="W50" s="142" t="str">
        <f t="shared" si="55"/>
        <v/>
      </c>
      <c r="X50" s="87" t="str">
        <f t="shared" si="56"/>
        <v/>
      </c>
      <c r="Y50" s="11"/>
      <c r="Z50" s="216"/>
      <c r="AA50" s="149"/>
      <c r="AB50" s="142" t="str">
        <f t="shared" si="57"/>
        <v/>
      </c>
      <c r="AC50" s="143" t="str">
        <f t="shared" si="58"/>
        <v/>
      </c>
      <c r="AD50" s="11"/>
      <c r="AE50" s="216"/>
      <c r="AF50" s="149"/>
      <c r="AG50" s="142" t="str">
        <f t="shared" si="59"/>
        <v/>
      </c>
      <c r="AH50" s="143" t="str">
        <f t="shared" si="60"/>
        <v/>
      </c>
      <c r="AI50" s="11"/>
      <c r="AJ50" s="145"/>
      <c r="AK50" s="149"/>
      <c r="AL50" s="142" t="str">
        <f t="shared" si="61"/>
        <v/>
      </c>
      <c r="AM50" s="143" t="str">
        <f t="shared" si="62"/>
        <v/>
      </c>
      <c r="AN50" s="146"/>
      <c r="AO50" s="145"/>
      <c r="AP50" s="149"/>
      <c r="AQ50" s="142" t="str">
        <f t="shared" si="63"/>
        <v/>
      </c>
      <c r="AR50" s="143" t="str">
        <f t="shared" si="64"/>
        <v/>
      </c>
      <c r="AS50" s="11"/>
    </row>
    <row r="51">
      <c r="B51" s="116"/>
      <c r="C51" s="117"/>
      <c r="D51" s="118"/>
      <c r="F51" s="215" t="s">
        <v>241</v>
      </c>
      <c r="G51" s="149"/>
      <c r="H51" s="142" t="str">
        <f t="shared" si="49"/>
        <v/>
      </c>
      <c r="I51" s="143" t="str">
        <f t="shared" si="50"/>
        <v/>
      </c>
      <c r="J51" s="11"/>
      <c r="K51" s="215" t="s">
        <v>242</v>
      </c>
      <c r="L51" s="149"/>
      <c r="M51" s="142" t="str">
        <f t="shared" si="51"/>
        <v/>
      </c>
      <c r="N51" s="143" t="str">
        <f t="shared" si="52"/>
        <v/>
      </c>
      <c r="O51" s="11"/>
      <c r="P51" s="216"/>
      <c r="Q51" s="149"/>
      <c r="R51" s="142" t="str">
        <f t="shared" si="53"/>
        <v/>
      </c>
      <c r="S51" s="143" t="str">
        <f t="shared" si="54"/>
        <v/>
      </c>
      <c r="T51" s="11"/>
      <c r="U51" s="216"/>
      <c r="V51" s="149"/>
      <c r="W51" s="142" t="str">
        <f t="shared" si="55"/>
        <v/>
      </c>
      <c r="X51" s="87" t="str">
        <f t="shared" si="56"/>
        <v/>
      </c>
      <c r="Y51" s="11"/>
      <c r="Z51" s="216"/>
      <c r="AA51" s="149"/>
      <c r="AB51" s="142" t="str">
        <f t="shared" si="57"/>
        <v/>
      </c>
      <c r="AC51" s="143" t="str">
        <f t="shared" si="58"/>
        <v/>
      </c>
      <c r="AD51" s="11"/>
      <c r="AE51" s="216"/>
      <c r="AF51" s="149"/>
      <c r="AG51" s="142" t="str">
        <f t="shared" si="59"/>
        <v/>
      </c>
      <c r="AH51" s="143" t="str">
        <f t="shared" si="60"/>
        <v/>
      </c>
      <c r="AI51" s="11"/>
      <c r="AJ51" s="145"/>
      <c r="AK51" s="149"/>
      <c r="AL51" s="142" t="str">
        <f t="shared" si="61"/>
        <v/>
      </c>
      <c r="AM51" s="143" t="str">
        <f t="shared" si="62"/>
        <v/>
      </c>
      <c r="AN51" s="146"/>
      <c r="AO51" s="145"/>
      <c r="AP51" s="149"/>
      <c r="AQ51" s="142" t="str">
        <f t="shared" si="63"/>
        <v/>
      </c>
      <c r="AR51" s="143" t="str">
        <f t="shared" si="64"/>
        <v/>
      </c>
      <c r="AS51" s="11"/>
    </row>
    <row r="52">
      <c r="B52" s="116"/>
      <c r="C52" s="117"/>
      <c r="D52" s="118"/>
      <c r="F52" s="215" t="s">
        <v>233</v>
      </c>
      <c r="G52" s="149"/>
      <c r="H52" s="142" t="str">
        <f t="shared" si="49"/>
        <v/>
      </c>
      <c r="I52" s="143" t="str">
        <f t="shared" si="50"/>
        <v/>
      </c>
      <c r="J52" s="11"/>
      <c r="K52" s="215" t="s">
        <v>243</v>
      </c>
      <c r="L52" s="149"/>
      <c r="M52" s="142" t="str">
        <f t="shared" si="51"/>
        <v/>
      </c>
      <c r="N52" s="143" t="str">
        <f t="shared" si="52"/>
        <v/>
      </c>
      <c r="O52" s="11"/>
      <c r="P52" s="216"/>
      <c r="Q52" s="149"/>
      <c r="R52" s="142" t="str">
        <f t="shared" si="53"/>
        <v/>
      </c>
      <c r="S52" s="143" t="str">
        <f t="shared" si="54"/>
        <v/>
      </c>
      <c r="T52" s="11"/>
      <c r="U52" s="216"/>
      <c r="V52" s="149"/>
      <c r="W52" s="142" t="str">
        <f t="shared" si="55"/>
        <v/>
      </c>
      <c r="X52" s="87" t="str">
        <f t="shared" si="56"/>
        <v/>
      </c>
      <c r="Y52" s="11"/>
      <c r="Z52" s="216"/>
      <c r="AA52" s="149"/>
      <c r="AB52" s="142" t="str">
        <f t="shared" si="57"/>
        <v/>
      </c>
      <c r="AC52" s="143" t="str">
        <f t="shared" si="58"/>
        <v/>
      </c>
      <c r="AD52" s="11"/>
      <c r="AE52" s="216"/>
      <c r="AF52" s="149"/>
      <c r="AG52" s="142" t="str">
        <f t="shared" si="59"/>
        <v/>
      </c>
      <c r="AH52" s="143" t="str">
        <f t="shared" si="60"/>
        <v/>
      </c>
      <c r="AI52" s="11"/>
      <c r="AJ52" s="145"/>
      <c r="AK52" s="149"/>
      <c r="AL52" s="142" t="str">
        <f t="shared" si="61"/>
        <v/>
      </c>
      <c r="AM52" s="143" t="str">
        <f t="shared" si="62"/>
        <v/>
      </c>
      <c r="AN52" s="146"/>
      <c r="AO52" s="145"/>
      <c r="AP52" s="149"/>
      <c r="AQ52" s="142" t="str">
        <f t="shared" si="63"/>
        <v/>
      </c>
      <c r="AR52" s="143" t="str">
        <f t="shared" si="64"/>
        <v/>
      </c>
      <c r="AS52" s="11"/>
    </row>
    <row r="53">
      <c r="A53" s="138"/>
      <c r="B53" s="116"/>
      <c r="C53" s="117"/>
      <c r="D53" s="118"/>
      <c r="F53" s="217" t="s">
        <v>244</v>
      </c>
      <c r="G53" s="154" t="s">
        <v>177</v>
      </c>
      <c r="H53" s="155" t="str">
        <f t="shared" si="49"/>
        <v>+8x</v>
      </c>
      <c r="I53" s="143">
        <f t="shared" si="50"/>
        <v>8</v>
      </c>
      <c r="J53" s="11"/>
      <c r="K53" s="218"/>
      <c r="L53" s="154"/>
      <c r="M53" s="155" t="str">
        <f t="shared" si="51"/>
        <v/>
      </c>
      <c r="N53" s="143" t="str">
        <f t="shared" si="52"/>
        <v/>
      </c>
      <c r="O53" s="11"/>
      <c r="P53" s="218"/>
      <c r="Q53" s="154"/>
      <c r="R53" s="155" t="str">
        <f t="shared" si="53"/>
        <v/>
      </c>
      <c r="S53" s="143" t="str">
        <f t="shared" si="54"/>
        <v/>
      </c>
      <c r="T53" s="11"/>
      <c r="U53" s="218"/>
      <c r="V53" s="154"/>
      <c r="W53" s="155" t="str">
        <f t="shared" si="55"/>
        <v/>
      </c>
      <c r="X53" s="87" t="str">
        <f t="shared" si="56"/>
        <v/>
      </c>
      <c r="Y53" s="11"/>
      <c r="Z53" s="218"/>
      <c r="AA53" s="154"/>
      <c r="AB53" s="155" t="str">
        <f t="shared" si="57"/>
        <v/>
      </c>
      <c r="AC53" s="143" t="str">
        <f t="shared" si="58"/>
        <v/>
      </c>
      <c r="AD53" s="11"/>
      <c r="AE53" s="218"/>
      <c r="AF53" s="154"/>
      <c r="AG53" s="155" t="str">
        <f t="shared" si="59"/>
        <v/>
      </c>
      <c r="AH53" s="143" t="str">
        <f t="shared" si="60"/>
        <v/>
      </c>
      <c r="AI53" s="11"/>
      <c r="AJ53" s="156"/>
      <c r="AK53" s="154"/>
      <c r="AL53" s="155" t="str">
        <f t="shared" si="61"/>
        <v/>
      </c>
      <c r="AM53" s="143" t="str">
        <f t="shared" si="62"/>
        <v/>
      </c>
      <c r="AN53" s="146"/>
      <c r="AO53" s="156"/>
      <c r="AP53" s="154"/>
      <c r="AQ53" s="155" t="str">
        <f t="shared" si="63"/>
        <v/>
      </c>
      <c r="AR53" s="143" t="str">
        <f t="shared" si="64"/>
        <v/>
      </c>
      <c r="AS53" s="11"/>
    </row>
    <row r="54">
      <c r="A54" s="157"/>
      <c r="B54" s="219"/>
      <c r="C54" s="220"/>
      <c r="D54" s="110"/>
      <c r="E54" s="221"/>
      <c r="F54" s="222"/>
      <c r="G54" s="222"/>
      <c r="H54" s="222"/>
      <c r="I54" s="160"/>
      <c r="J54" s="160"/>
      <c r="K54" s="222"/>
      <c r="L54" s="222"/>
      <c r="M54" s="222"/>
      <c r="N54" s="160"/>
      <c r="O54" s="11"/>
      <c r="P54" s="11"/>
      <c r="Q54" s="11"/>
      <c r="R54" s="11"/>
      <c r="S54" s="160"/>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row>
  </sheetData>
  <mergeCells count="74">
    <mergeCell ref="Z3:AB3"/>
    <mergeCell ref="AE3:AG3"/>
    <mergeCell ref="AJ3:AL3"/>
    <mergeCell ref="AO3:AQ3"/>
    <mergeCell ref="F3:H3"/>
    <mergeCell ref="F6:H6"/>
    <mergeCell ref="K6:M6"/>
    <mergeCell ref="P6:R6"/>
    <mergeCell ref="Z6:AB6"/>
    <mergeCell ref="AE6:AG6"/>
    <mergeCell ref="AJ6:AL6"/>
    <mergeCell ref="AO6:AQ6"/>
    <mergeCell ref="A3:A14"/>
    <mergeCell ref="A16:A27"/>
    <mergeCell ref="P16:R16"/>
    <mergeCell ref="U16:W16"/>
    <mergeCell ref="Z16:AB16"/>
    <mergeCell ref="AE16:AG16"/>
    <mergeCell ref="AJ16:AL16"/>
    <mergeCell ref="AO16:AQ16"/>
    <mergeCell ref="K19:M19"/>
    <mergeCell ref="P19:R19"/>
    <mergeCell ref="Z19:AB19"/>
    <mergeCell ref="AE19:AG19"/>
    <mergeCell ref="AJ19:AL19"/>
    <mergeCell ref="AO19:AQ19"/>
    <mergeCell ref="AE32:AG32"/>
    <mergeCell ref="AJ32:AL32"/>
    <mergeCell ref="F16:H16"/>
    <mergeCell ref="K16:M16"/>
    <mergeCell ref="Z29:AB29"/>
    <mergeCell ref="AE29:AG29"/>
    <mergeCell ref="AJ29:AL29"/>
    <mergeCell ref="AO29:AQ29"/>
    <mergeCell ref="Z32:AB32"/>
    <mergeCell ref="AO32:AQ32"/>
    <mergeCell ref="P42:R42"/>
    <mergeCell ref="U42:W42"/>
    <mergeCell ref="F45:H45"/>
    <mergeCell ref="K45:M45"/>
    <mergeCell ref="P45:R45"/>
    <mergeCell ref="U45:W45"/>
    <mergeCell ref="F1:M1"/>
    <mergeCell ref="E3:E53"/>
    <mergeCell ref="K3:M3"/>
    <mergeCell ref="P3:R3"/>
    <mergeCell ref="U3:W3"/>
    <mergeCell ref="U6:W6"/>
    <mergeCell ref="U19:W19"/>
    <mergeCell ref="B18:B24"/>
    <mergeCell ref="F19:H19"/>
    <mergeCell ref="B5:B11"/>
    <mergeCell ref="A29:A40"/>
    <mergeCell ref="B31:B37"/>
    <mergeCell ref="A42:A53"/>
    <mergeCell ref="B44:B50"/>
    <mergeCell ref="F29:H29"/>
    <mergeCell ref="K29:M29"/>
    <mergeCell ref="P29:R29"/>
    <mergeCell ref="U29:W29"/>
    <mergeCell ref="F32:H32"/>
    <mergeCell ref="K32:M32"/>
    <mergeCell ref="P32:R32"/>
    <mergeCell ref="U32:W32"/>
    <mergeCell ref="AE45:AG45"/>
    <mergeCell ref="AJ45:AL45"/>
    <mergeCell ref="F42:H42"/>
    <mergeCell ref="K42:M42"/>
    <mergeCell ref="Z42:AB42"/>
    <mergeCell ref="AE42:AG42"/>
    <mergeCell ref="AJ42:AL42"/>
    <mergeCell ref="AO42:AQ42"/>
    <mergeCell ref="Z45:AB45"/>
    <mergeCell ref="AO45:AQ45"/>
  </mergeCells>
  <conditionalFormatting sqref="G5 L5 Q5 V5 AA5 AF5 AK5 AP5 G18 L18 Q18 V18 AA18 AF18 AK18 AP18 G31 L31 Q31 V31 AA31 AF31 AK31 AP31 G44 L44 Q44 V44 AA44 AF44 AK44 AP44">
    <cfRule type="expression" dxfId="5" priority="1">
      <formula>NOT(ISFORMULA(G5))</formula>
    </cfRule>
  </conditionalFormatting>
  <dataValidations>
    <dataValidation type="list" allowBlank="1" showErrorMessage="1" sqref="G7:G14 L7:L14 Q7:Q14 V7:V14 AA7:AA14 AF7:AF14 AK7:AK14 AP7:AP14 G20:G27 L20:L27 Q20:Q27 V20:V27 AA20:AA27 AF20:AF27 AK20:AK27 AP20:AP27 G33:G40 L33:L40 Q33:Q40 V33:V40 AA33:AA40 AF33:AF40 AK33:AK40 AP33:AP40 G46:G53 L46:L53 Q46:Q53 V46:V53 AA46:AA53 AF46:AF53 AK46:AK53 AP46:AP53">
      <formula1>DVT_Mod_Stat_Rarity</formula1>
    </dataValidation>
    <dataValidation type="list" allowBlank="1" showErrorMessage="1" sqref="F5 K5 P5 U5 Z5 AE5 F18 K18 P18 U18 Z18 AE18 F31 K31 P31 U31 Z31 AE31 F44 K44 P44 U44 Z44 AE44">
      <formula1>DVT_Mod_Base_Rarity_Uniques</formula1>
    </dataValidation>
    <dataValidation type="list" allowBlank="1" showErrorMessage="1" sqref="AJ29 AO29">
      <formula1>"Spare Black Hole Digestor,Spare Galaxy Compressor,Spare Singularity Harness,Spare Pulsar Harvester,Spare Project Funding,Spare Restorative Bonus,Any Other,Any Other 2"</formula1>
    </dataValidation>
    <dataValidation type="list" allowBlank="1" showErrorMessage="1" sqref="AJ5 AO5 AJ18 AO18 AJ31 AO31 AJ44 AO44">
      <formula1>DVT_Mod_Base_Rarity</formula1>
    </dataValidation>
    <dataValidation type="list" allowBlank="1" showErrorMessage="1" sqref="F7:F14 K7:K14 P7:P14 U7:U14 Z7:Z14 AE7:AE14 AJ7:AJ14 AO7:AO14">
      <formula1>DVT_Mod_Cannon_Substats</formula1>
    </dataValidation>
    <dataValidation type="list" allowBlank="1" showErrorMessage="1" sqref="F20:F27 K20:K27 P20:P27 U20:U27 Z20:Z27 AE20:AE27 AJ20:AJ27 AO20:AO27">
      <formula1>DVT_Mod_Armor_Substats</formula1>
    </dataValidation>
    <dataValidation type="list" allowBlank="1" showErrorMessage="1" sqref="AJ42 AO42">
      <formula1>"Spare Multiverse Nexus,Spare Dimension Core,Spare Harmony Conductor,Spare Om Chip,Spare Magnetic Hook,Spare Primordial Collapse,Any Other,Any Other 2"</formula1>
    </dataValidation>
    <dataValidation type="list" allowBlank="1" showErrorMessage="1" sqref="AJ16 AO16">
      <formula1>"Spare Anti-Cube Portal,Spare Negative Mass Projector,Spare Space Displacer,Spare Wormhole Redirector,Spare Sharp Fortitude,Spare Orbital Augment,Any Other,Any Other 2"</formula1>
    </dataValidation>
    <dataValidation type="list" allowBlank="1" showErrorMessage="1" sqref="F46:F53 K46:K53 P46:P53 U46:U53 Z46:Z53 AE46:AE53 AJ46:AJ53 AO46:AO53">
      <formula1>DVT_Mod_Core_Substats</formula1>
    </dataValidation>
    <dataValidation type="list" allowBlank="1" showErrorMessage="1" sqref="F33:F40 K33:K40 P33:P40 U33:U40 Z33:Z40 AE33:AE40 AJ33:AJ40 AO33:AO40">
      <formula1>DVT_Mod_Generator_Substats</formula1>
    </dataValidation>
    <dataValidation type="list" allowBlank="1" showErrorMessage="1" sqref="AJ3 AO3">
      <formula1>"Spare Astral Deliverance,Spare Being Annihilator,Spare Death Penalty,Spare Havoc Bringer,Spare Shrink Ray,Spare Amplifying Strike,Any Other,Any Other 2"</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223" t="str">
        <f>IFERROR(__xludf.DUMMYFUNCTION("IMPORTRANGE(IF(IDS!E6=""✅"", IDS!D6, ""1osjoqKmMwtOWs7Up3e21-3ofN1RHOjsgKV6y3dc6rgE""), ""_IDS!A1:BY212"")"),"Labs")</f>
        <v>Labs</v>
      </c>
      <c r="B1" s="224" t="str">
        <f>IFERROR(__xludf.DUMMYFUNCTION("""COMPUTED_VALUE"""),"https://docs.google.com/spreadsheets/d/1jojOg_XIJCzm1LCYWu2F4KCtErjUIdKuFL1PiKzA0OE/edit")</f>
        <v>https://docs.google.com/spreadsheets/d/1jojOg_XIJCzm1LCYWu2F4KCtErjUIdKuFL1PiKzA0OE/edit</v>
      </c>
      <c r="C1" s="225" t="str">
        <f>IFERROR(__xludf.DUMMYFUNCTION("""COMPUTED_VALUE"""),"✅")</f>
        <v>✅</v>
      </c>
      <c r="D1" s="226" t="str">
        <f>IFERROR(__xludf.DUMMYFUNCTION("""COMPUTED_VALUE"""),"v2.5.7")</f>
        <v>v2.5.7</v>
      </c>
      <c r="E1" s="223" t="str">
        <f>IFERROR(__xludf.DUMMYFUNCTION("""COMPUTED_VALUE"""),"WS")</f>
        <v>WS</v>
      </c>
      <c r="F1" s="224" t="str">
        <f>IFERROR(__xludf.DUMMYFUNCTION("""COMPUTED_VALUE"""),"https://docs.google.com/spreadsheets/d/1huHJMcyg1uRJEeRYqAgWzMc5TodPPplVZEFhwBiIeEs/edit")</f>
        <v>https://docs.google.com/spreadsheets/d/1huHJMcyg1uRJEeRYqAgWzMc5TodPPplVZEFhwBiIeEs/edit</v>
      </c>
      <c r="G1" s="225" t="str">
        <f>IFERROR(__xludf.DUMMYFUNCTION("""COMPUTED_VALUE"""),"✅")</f>
        <v>✅</v>
      </c>
      <c r="H1" s="225" t="str">
        <f>IFERROR(__xludf.DUMMYFUNCTION("""COMPUTED_VALUE"""),"v2.3.1")</f>
        <v>v2.3.1</v>
      </c>
      <c r="I1" s="225"/>
      <c r="J1" s="225"/>
      <c r="K1" s="225"/>
      <c r="L1" s="225"/>
      <c r="M1" s="225"/>
      <c r="N1" s="225"/>
      <c r="O1" s="225"/>
      <c r="P1" s="225"/>
      <c r="Q1" s="227"/>
      <c r="R1" s="228" t="str">
        <f>IFERROR(__xludf.DUMMYFUNCTION("""COMPUTED_VALUE"""),"WS+")</f>
        <v>WS+</v>
      </c>
      <c r="S1" s="225"/>
      <c r="T1" s="225"/>
      <c r="U1" s="225"/>
      <c r="V1" s="225"/>
      <c r="W1" s="225"/>
      <c r="X1" s="225"/>
      <c r="Y1" s="229"/>
      <c r="Z1" s="228" t="str">
        <f>IFERROR(__xludf.DUMMYFUNCTION("""COMPUTED_VALUE"""),"UWs")</f>
        <v>UWs</v>
      </c>
      <c r="AA1" s="224" t="str">
        <f>IFERROR(__xludf.DUMMYFUNCTION("""COMPUTED_VALUE"""),"https://docs.google.com/spreadsheets/d/1VTRhVyt28cxrjCRcgVkQr2R_u4g9irfJTHy1cfftlIE/edit")</f>
        <v>https://docs.google.com/spreadsheets/d/1VTRhVyt28cxrjCRcgVkQr2R_u4g9irfJTHy1cfftlIE/edit</v>
      </c>
      <c r="AB1" s="225" t="str">
        <f>IFERROR(__xludf.DUMMYFUNCTION("""COMPUTED_VALUE"""),"✅")</f>
        <v>✅</v>
      </c>
      <c r="AC1" s="230" t="str">
        <f>IFERROR(__xludf.DUMMYFUNCTION("""COMPUTED_VALUE"""),"v2.1.3")</f>
        <v>v2.1.3</v>
      </c>
      <c r="AD1" s="226"/>
      <c r="AE1" s="228" t="str">
        <f>IFERROR(__xludf.DUMMYFUNCTION("""COMPUTED_VALUE"""),"Cards")</f>
        <v>Cards</v>
      </c>
      <c r="AF1" s="231" t="str">
        <f>IFERROR(__xludf.DUMMYFUNCTION("""COMPUTED_VALUE"""),"https://docs.google.com/spreadsheets/d/1HMQwNLTvcw7aXmjjL7cXmZSdjAF_62ehWpwDIdjqEGs/edit")</f>
        <v>https://docs.google.com/spreadsheets/d/1HMQwNLTvcw7aXmjjL7cXmZSdjAF_62ehWpwDIdjqEGs/edit</v>
      </c>
      <c r="AG1" s="232" t="str">
        <f>IFERROR(__xludf.DUMMYFUNCTION("""COMPUTED_VALUE"""),"✅")</f>
        <v>✅</v>
      </c>
      <c r="AH1" s="233" t="str">
        <f>IFERROR(__xludf.DUMMYFUNCTION("""COMPUTED_VALUE"""),"Cards Presets")</f>
        <v>Cards Presets</v>
      </c>
      <c r="AI1" s="234" t="str">
        <f>IFERROR(__xludf.DUMMYFUNCTION("""COMPUTED_VALUE"""),"v2.2.3")</f>
        <v>v2.2.3</v>
      </c>
      <c r="AJ1" s="225">
        <f>IFERROR(__xludf.DUMMYFUNCTION("""COMPUTED_VALUE"""),17.0)</f>
        <v>17</v>
      </c>
      <c r="AK1" s="225"/>
      <c r="AL1" s="226"/>
      <c r="AM1" s="223" t="str">
        <f>IFERROR(__xludf.DUMMYFUNCTION("""COMPUTED_VALUE"""),"Relics")</f>
        <v>Relics</v>
      </c>
      <c r="AN1" s="224" t="str">
        <f>IFERROR(__xludf.DUMMYFUNCTION("""COMPUTED_VALUE"""),"https://docs.google.com/spreadsheets/d/1Dll0IofJTWYkzhzhRWx1aA-_xtO3i_1iD65nAP6R_Ec/edit")</f>
        <v>https://docs.google.com/spreadsheets/d/1Dll0IofJTWYkzhzhRWx1aA-_xtO3i_1iD65nAP6R_Ec/edit</v>
      </c>
      <c r="AO1" s="226" t="str">
        <f>IFERROR(__xludf.DUMMYFUNCTION("""COMPUTED_VALUE"""),"✅")</f>
        <v>✅</v>
      </c>
      <c r="AP1" s="223" t="str">
        <f>IFERROR(__xludf.DUMMYFUNCTION("""COMPUTED_VALUE"""),"Vault")</f>
        <v>Vault</v>
      </c>
      <c r="AQ1" s="235"/>
      <c r="AR1" s="226" t="str">
        <f>IFERROR(__xludf.DUMMYFUNCTION("""COMPUTED_VALUE"""),"")</f>
        <v/>
      </c>
      <c r="AS1" s="223" t="str">
        <f>IFERROR(__xludf.DUMMYFUNCTION("""COMPUTED_VALUE"""),"Bots")</f>
        <v>Bots</v>
      </c>
      <c r="AT1" s="236" t="str">
        <f>IFERROR(__xludf.DUMMYFUNCTION("""COMPUTED_VALUE"""),"https://docs.google.com/spreadsheets/d/1H3PYvtIH7kId6WswEeMmrx7u5_g1GlkNPJtJhkASrbs/edit")</f>
        <v>https://docs.google.com/spreadsheets/d/1H3PYvtIH7kId6WswEeMmrx7u5_g1GlkNPJtJhkASrbs/edit</v>
      </c>
      <c r="AU1" s="225" t="str">
        <f>IFERROR(__xludf.DUMMYFUNCTION("""COMPUTED_VALUE"""),"✅")</f>
        <v>✅</v>
      </c>
      <c r="AV1" s="225" t="str">
        <f>IFERROR(__xludf.DUMMYFUNCTION("""COMPUTED_VALUE"""),"v2.2.1")</f>
        <v>v2.2.1</v>
      </c>
      <c r="AW1" s="225"/>
      <c r="AX1" s="226"/>
      <c r="AY1" s="223" t="str">
        <f>IFERROR(__xludf.DUMMYFUNCTION("""COMPUTED_VALUE"""),"Themes &amp; Songs")</f>
        <v>Themes &amp; Songs</v>
      </c>
      <c r="AZ1" s="236" t="str">
        <f>IFERROR(__xludf.DUMMYFUNCTION("""COMPUTED_VALUE"""),"https://docs.google.com/spreadsheets/d/19KliigQhAeXztRPa9cSGZ7n9Q-REp4dyqMNI9d-UB0k/edit")</f>
        <v>https://docs.google.com/spreadsheets/d/19KliigQhAeXztRPa9cSGZ7n9Q-REp4dyqMNI9d-UB0k/edit</v>
      </c>
      <c r="BA1" s="226" t="str">
        <f>IFERROR(__xludf.DUMMYFUNCTION("""COMPUTED_VALUE"""),"✅")</f>
        <v>✅</v>
      </c>
      <c r="BB1" s="237" t="str">
        <f>IFERROR(__xludf.DUMMYFUNCTION("""COMPUTED_VALUE"""),"Modules")</f>
        <v>Modules</v>
      </c>
      <c r="BC1" s="236" t="str">
        <f>IFERROR(__xludf.DUMMYFUNCTION("""COMPUTED_VALUE"""),"https://docs.google.com/spreadsheets/d/1rOoSY6TK918myJ6Mn6zO4rmUaFbPu6qJnGI17kc9DzQ/edit")</f>
        <v>https://docs.google.com/spreadsheets/d/1rOoSY6TK918myJ6Mn6zO4rmUaFbPu6qJnGI17kc9DzQ/edit</v>
      </c>
      <c r="BD1" s="225" t="str">
        <f>IFERROR(__xludf.DUMMYFUNCTION("""COMPUTED_VALUE"""),"✅")</f>
        <v>✅</v>
      </c>
      <c r="BE1" s="225" t="str">
        <f>IFERROR(__xludf.DUMMYFUNCTION("""COMPUTED_VALUE"""),"v5.13")</f>
        <v>v5.13</v>
      </c>
      <c r="BF1" s="225"/>
      <c r="BG1" s="225"/>
      <c r="BH1" s="225"/>
      <c r="BI1" s="225"/>
      <c r="BJ1" s="225"/>
      <c r="BK1" s="225"/>
      <c r="BL1" s="225"/>
      <c r="BM1" s="225"/>
      <c r="BN1" s="225"/>
      <c r="BO1" s="225"/>
      <c r="BP1" s="225"/>
      <c r="BQ1" s="225"/>
      <c r="BR1" s="225"/>
      <c r="BS1" s="225"/>
      <c r="BT1" s="226"/>
      <c r="BU1" s="237" t="str">
        <f>IFERROR(__xludf.DUMMYFUNCTION("""COMPUTED_VALUE"""),"Guardians")</f>
        <v>Guardians</v>
      </c>
      <c r="BV1" s="236" t="str">
        <f>IFERROR(__xludf.DUMMYFUNCTION("""COMPUTED_VALUE"""),"https://docs.google.com/spreadsheets/d/1J4UPKzR9MLY_zzM7u7SzmyclgTEYX_PUvBcua4EbsSU/edit")</f>
        <v>https://docs.google.com/spreadsheets/d/1J4UPKzR9MLY_zzM7u7SzmyclgTEYX_PUvBcua4EbsSU/edit</v>
      </c>
      <c r="BW1" s="225" t="str">
        <f>IFERROR(__xludf.DUMMYFUNCTION("""COMPUTED_VALUE"""),"✅")</f>
        <v>✅</v>
      </c>
      <c r="BX1" s="225" t="str">
        <f>IFERROR(__xludf.DUMMYFUNCTION("""COMPUTED_VALUE"""),"v2.3.6")</f>
        <v>v2.3.6</v>
      </c>
      <c r="BY1" s="225"/>
      <c r="BZ1" s="225"/>
    </row>
    <row r="2">
      <c r="A2" s="238" t="str">
        <f>IFERROR(__xludf.DUMMYFUNCTION("""COMPUTED_VALUE"""),"Game Speed")</f>
        <v>Game Speed</v>
      </c>
      <c r="B2" s="239">
        <f>IFERROR(__xludf.DUMMYFUNCTION("""COMPUTED_VALUE"""),7.0)</f>
        <v>7</v>
      </c>
      <c r="C2" s="225">
        <f>IFERROR(__xludf.DUMMYFUNCTION("""COMPUTED_VALUE"""),7.0)</f>
        <v>7</v>
      </c>
      <c r="D2" s="240">
        <f>IFERROR(__xludf.DUMMYFUNCTION("""COMPUTED_VALUE"""),7.0)</f>
        <v>7</v>
      </c>
      <c r="E2" s="225" t="str">
        <f>IFERROR(__xludf.DUMMYFUNCTION("""COMPUTED_VALUE"""),"U")</f>
        <v>U</v>
      </c>
      <c r="F2" s="225" t="str">
        <f>IFERROR(__xludf.DUMMYFUNCTION("""COMPUTED_VALUE"""),"Workshop Upgrade")</f>
        <v>Workshop Upgrade</v>
      </c>
      <c r="G2" s="241" t="str">
        <f>IFERROR(__xludf.DUMMYFUNCTION("""COMPUTED_VALUE"""),"Farming")</f>
        <v>Farming</v>
      </c>
      <c r="H2" s="225"/>
      <c r="I2" s="241" t="str">
        <f>IFERROR(__xludf.DUMMYFUNCTION("""COMPUTED_VALUE"""),"Tourney")</f>
        <v>Tourney</v>
      </c>
      <c r="J2" s="225"/>
      <c r="K2" s="242" t="str">
        <f>IFERROR(__xludf.DUMMYFUNCTION("""COMPUTED_VALUE"""),"Preset 3")</f>
        <v>Preset 3</v>
      </c>
      <c r="L2" s="225"/>
      <c r="M2" s="241" t="str">
        <f>IFERROR(__xludf.DUMMYFUNCTION("""COMPUTED_VALUE"""),"Preset 4")</f>
        <v>Preset 4</v>
      </c>
      <c r="N2" s="225"/>
      <c r="O2" s="241" t="str">
        <f>IFERROR(__xludf.DUMMYFUNCTION("""COMPUTED_VALUE"""),"Preset 5")</f>
        <v>Preset 5</v>
      </c>
      <c r="P2" s="225"/>
      <c r="Q2" s="243"/>
      <c r="R2" s="234" t="str">
        <f>IFERROR(__xludf.DUMMYFUNCTION("""COMPUTED_VALUE"""),"Workshop Enhancement")</f>
        <v>Workshop Enhancement</v>
      </c>
      <c r="S2" s="244"/>
      <c r="T2" s="241" t="str">
        <f>IFERROR(__xludf.DUMMYFUNCTION("""COMPUTED_VALUE"""),"Farming")</f>
        <v>Farming</v>
      </c>
      <c r="U2" s="241" t="str">
        <f>IFERROR(__xludf.DUMMYFUNCTION("""COMPUTED_VALUE"""),"Tourney")</f>
        <v>Tourney</v>
      </c>
      <c r="V2" s="241" t="str">
        <f>IFERROR(__xludf.DUMMYFUNCTION("""COMPUTED_VALUE"""),"Preset 3")</f>
        <v>Preset 3</v>
      </c>
      <c r="W2" s="241" t="str">
        <f>IFERROR(__xludf.DUMMYFUNCTION("""COMPUTED_VALUE"""),"Preset 4")</f>
        <v>Preset 4</v>
      </c>
      <c r="X2" s="241" t="str">
        <f>IFERROR(__xludf.DUMMYFUNCTION("""COMPUTED_VALUE"""),"Preset 5")</f>
        <v>Preset 5</v>
      </c>
      <c r="Y2" s="243" t="str">
        <f>IFERROR(__xludf.DUMMYFUNCTION("""COMPUTED_VALUE"""),"7 q")</f>
        <v>7 q</v>
      </c>
      <c r="Z2" s="245" t="str">
        <f>IFERROR(__xludf.DUMMYFUNCTION("""COMPUTED_VALUE"""),"Chain Lightning")</f>
        <v>Chain Lightning</v>
      </c>
      <c r="AA2" s="225"/>
      <c r="AB2" s="245" t="str">
        <f>IFERROR(__xludf.DUMMYFUNCTION("""COMPUTED_VALUE"""),"Damage")</f>
        <v>Damage</v>
      </c>
      <c r="AC2" s="246">
        <f>IFERROR(__xludf.DUMMYFUNCTION("""COMPUTED_VALUE"""),898.0)</f>
        <v>898</v>
      </c>
      <c r="AD2" s="247" t="str">
        <f>IFERROR(__xludf.DUMMYFUNCTION("""COMPUTED_VALUE"""),"19 | x898 | Cost 302 ⧌ | Next 362 ⧌")</f>
        <v>19 | x898 | Cost 302 ⧌ | Next 362 ⧌</v>
      </c>
      <c r="AE2" s="248" t="str">
        <f>IFERROR(__xludf.DUMMYFUNCTION("""COMPUTED_VALUE"""),"Damage")</f>
        <v>Damage</v>
      </c>
      <c r="AF2" s="249">
        <f>IFERROR(__xludf.DUMMYFUNCTION("""COMPUTED_VALUE"""),7.0)</f>
        <v>7</v>
      </c>
      <c r="AG2" s="250" t="b">
        <f>IFERROR(__xludf.DUMMYFUNCTION("""COMPUTED_VALUE"""),FALSE)</f>
        <v>0</v>
      </c>
      <c r="AH2" s="245" t="str">
        <f>IFERROR(__xludf.DUMMYFUNCTION("""COMPUTED_VALUE"""),"Farming")</f>
        <v>Farming</v>
      </c>
      <c r="AI2" s="251" t="str">
        <f>IFERROR(__xludf.DUMMYFUNCTION("""COMPUTED_VALUE"""),"Tourney")</f>
        <v>Tourney</v>
      </c>
      <c r="AJ2" s="252" t="str">
        <f>IFERROR(__xludf.DUMMYFUNCTION("""COMPUTED_VALUE"""),"Preset 3")</f>
        <v>Preset 3</v>
      </c>
      <c r="AK2" s="245" t="str">
        <f>IFERROR(__xludf.DUMMYFUNCTION("""COMPUTED_VALUE"""),"Preset 4")</f>
        <v>Preset 4</v>
      </c>
      <c r="AL2" s="253" t="str">
        <f>IFERROR(__xludf.DUMMYFUNCTION("""COMPUTED_VALUE"""),"Preset 5")</f>
        <v>Preset 5</v>
      </c>
      <c r="AM2" s="238" t="str">
        <f>IFERROR(__xludf.DUMMYFUNCTION("""COMPUTED_VALUE"""),"Relics")</f>
        <v>Relics</v>
      </c>
      <c r="AN2" s="245" t="str">
        <f>IFERROR(__xludf.DUMMYFUNCTION("""COMPUTED_VALUE"""),"Owned")</f>
        <v>Owned</v>
      </c>
      <c r="AO2" s="254" t="str">
        <f>IFERROR(__xludf.DUMMYFUNCTION("""COMPUTED_VALUE"""),"v2.3.7")</f>
        <v>v2.3.7</v>
      </c>
      <c r="AP2" s="238" t="str">
        <f>IFERROR(__xludf.DUMMYFUNCTION("""COMPUTED_VALUE"""),"Keys spent")</f>
        <v>Keys spent</v>
      </c>
      <c r="AQ2" s="255">
        <f>IFERROR(__xludf.DUMMYFUNCTION("""COMPUTED_VALUE"""),0.0)</f>
        <v>0</v>
      </c>
      <c r="AR2" s="256"/>
      <c r="AS2" s="257" t="str">
        <f>IFERROR(__xludf.DUMMYFUNCTION("""COMPUTED_VALUE"""),"Flame Bot")</f>
        <v>Flame Bot</v>
      </c>
      <c r="AT2" s="257"/>
      <c r="AU2" s="225" t="str">
        <f>IFERROR(__xludf.DUMMYFUNCTION("""COMPUTED_VALUE"""),"Damage R.")</f>
        <v>Damage R.</v>
      </c>
      <c r="AV2" s="258">
        <f>IFERROR(__xludf.DUMMYFUNCTION("""COMPUTED_VALUE"""),0.3500000000000001)</f>
        <v>0.35</v>
      </c>
      <c r="AW2" s="259" t="str">
        <f>IFERROR(__xludf.DUMMYFUNCTION("""COMPUTED_VALUE"""),"05 | 35% | Cost 260 ⧓ | Next 300 ⧓")</f>
        <v>05 | 35% | Cost 260 ⧓ | Next 300 ⧓</v>
      </c>
      <c r="AX2" s="226"/>
      <c r="AY2" s="260">
        <f>IFERROR(__xludf.DUMMYFUNCTION("""COMPUTED_VALUE"""),1.682)</f>
        <v>1.682</v>
      </c>
      <c r="AZ2" s="225"/>
      <c r="BA2" s="254" t="str">
        <f>IFERROR(__xludf.DUMMYFUNCTION("""COMPUTED_VALUE"""),"v2.2.3")</f>
        <v>v2.2.3</v>
      </c>
      <c r="BB2" s="225" t="str">
        <f>IFERROR(__xludf.DUMMYFUNCTION("""COMPUTED_VALUE"""),"Assist Slot")</f>
        <v>Assist Slot</v>
      </c>
      <c r="BC2" s="261" t="b">
        <f>IFERROR(__xludf.DUMMYFUNCTION("""COMPUTED_VALUE"""),FALSE)</f>
        <v>0</v>
      </c>
      <c r="BD2" s="260">
        <f>IFERROR(__xludf.DUMMYFUNCTION("""COMPUTED_VALUE"""),0.0)</f>
        <v>0</v>
      </c>
      <c r="BE2" s="225"/>
      <c r="BF2" s="225"/>
      <c r="BG2" s="225" t="str">
        <f>IFERROR(__xludf.DUMMYFUNCTION("""COMPUTED_VALUE"""),"Assist Slot")</f>
        <v>Assist Slot</v>
      </c>
      <c r="BH2" s="261" t="b">
        <f>IFERROR(__xludf.DUMMYFUNCTION("""COMPUTED_VALUE"""),TRUE)</f>
        <v>1</v>
      </c>
      <c r="BI2" s="260">
        <f>IFERROR(__xludf.DUMMYFUNCTION("""COMPUTED_VALUE"""),41.0)</f>
        <v>41</v>
      </c>
      <c r="BJ2" s="225"/>
      <c r="BK2" s="225"/>
      <c r="BL2" s="225" t="str">
        <f>IFERROR(__xludf.DUMMYFUNCTION("""COMPUTED_VALUE"""),"Assist Slot")</f>
        <v>Assist Slot</v>
      </c>
      <c r="BM2" s="261" t="b">
        <f>IFERROR(__xludf.DUMMYFUNCTION("""COMPUTED_VALUE"""),TRUE)</f>
        <v>1</v>
      </c>
      <c r="BN2" s="260">
        <f>IFERROR(__xludf.DUMMYFUNCTION("""COMPUTED_VALUE"""),97.0)</f>
        <v>97</v>
      </c>
      <c r="BO2" s="225"/>
      <c r="BP2" s="225"/>
      <c r="BQ2" s="225" t="str">
        <f>IFERROR(__xludf.DUMMYFUNCTION("""COMPUTED_VALUE"""),"Assist Slot")</f>
        <v>Assist Slot</v>
      </c>
      <c r="BR2" s="261" t="b">
        <f>IFERROR(__xludf.DUMMYFUNCTION("""COMPUTED_VALUE"""),TRUE)</f>
        <v>1</v>
      </c>
      <c r="BS2" s="260">
        <f>IFERROR(__xludf.DUMMYFUNCTION("""COMPUTED_VALUE"""),101.0)</f>
        <v>101</v>
      </c>
      <c r="BT2" s="226"/>
      <c r="BU2" s="225" t="str">
        <f>IFERROR(__xludf.DUMMYFUNCTION("""COMPUTED_VALUE"""),"Attack")</f>
        <v>Attack</v>
      </c>
      <c r="BV2" s="225"/>
      <c r="BW2" s="225" t="str">
        <f>IFERROR(__xludf.DUMMYFUNCTION("""COMPUTED_VALUE"""),"Percentage")</f>
        <v>Percentage</v>
      </c>
      <c r="BX2" s="258">
        <f>IFERROR(__xludf.DUMMYFUNCTION("""COMPUTED_VALUE"""),0.01)</f>
        <v>0.01</v>
      </c>
      <c r="BY2" s="262" t="str">
        <f>IFERROR(__xludf.DUMMYFUNCTION("""COMPUTED_VALUE"""),"00 | 1% | Cost 0 ⧈ | Next 25 ⧈")</f>
        <v>00 | 1% | Cost 0 ⧈ | Next 25 ⧈</v>
      </c>
      <c r="BZ2" s="225"/>
    </row>
    <row r="3">
      <c r="A3" s="238" t="str">
        <f>IFERROR(__xludf.DUMMYFUNCTION("""COMPUTED_VALUE"""),"Starting Cash")</f>
        <v>Starting Cash</v>
      </c>
      <c r="B3" s="239">
        <f>IFERROR(__xludf.DUMMYFUNCTION("""COMPUTED_VALUE"""),6.0)</f>
        <v>6</v>
      </c>
      <c r="C3" s="225"/>
      <c r="D3" s="240">
        <f>IFERROR(__xludf.DUMMYFUNCTION("""COMPUTED_VALUE"""),99.0)</f>
        <v>99</v>
      </c>
      <c r="E3" s="225"/>
      <c r="F3" s="225"/>
      <c r="G3" s="241" t="str">
        <f>IFERROR(__xludf.DUMMYFUNCTION("""COMPUTED_VALUE"""),"¢ Level")</f>
        <v>¢ Level</v>
      </c>
      <c r="H3" s="241" t="str">
        <f>IFERROR(__xludf.DUMMYFUNCTION("""COMPUTED_VALUE"""),"$ Level")</f>
        <v>$ Level</v>
      </c>
      <c r="I3" s="241" t="str">
        <f>IFERROR(__xludf.DUMMYFUNCTION("""COMPUTED_VALUE"""),"¢ Level")</f>
        <v>¢ Level</v>
      </c>
      <c r="J3" s="241" t="str">
        <f>IFERROR(__xludf.DUMMYFUNCTION("""COMPUTED_VALUE"""),"$ Level")</f>
        <v>$ Level</v>
      </c>
      <c r="K3" s="242" t="str">
        <f>IFERROR(__xludf.DUMMYFUNCTION("""COMPUTED_VALUE"""),"¢ Level")</f>
        <v>¢ Level</v>
      </c>
      <c r="L3" s="242" t="str">
        <f>IFERROR(__xludf.DUMMYFUNCTION("""COMPUTED_VALUE"""),"$ Level")</f>
        <v>$ Level</v>
      </c>
      <c r="M3" s="241" t="str">
        <f>IFERROR(__xludf.DUMMYFUNCTION("""COMPUTED_VALUE"""),"¢ Level")</f>
        <v>¢ Level</v>
      </c>
      <c r="N3" s="241" t="str">
        <f>IFERROR(__xludf.DUMMYFUNCTION("""COMPUTED_VALUE"""),"$ Level")</f>
        <v>$ Level</v>
      </c>
      <c r="O3" s="241" t="str">
        <f>IFERROR(__xludf.DUMMYFUNCTION("""COMPUTED_VALUE"""),"¢ Level")</f>
        <v>¢ Level</v>
      </c>
      <c r="P3" s="241" t="str">
        <f>IFERROR(__xludf.DUMMYFUNCTION("""COMPUTED_VALUE"""),"$ Level")</f>
        <v>$ Level</v>
      </c>
      <c r="Q3" s="263" t="str">
        <f>IFERROR(__xludf.DUMMYFUNCTION("""COMPUTED_VALUE"""),"Max")</f>
        <v>Max</v>
      </c>
      <c r="R3" s="234"/>
      <c r="S3" s="244"/>
      <c r="T3" s="241" t="str">
        <f>IFERROR(__xludf.DUMMYFUNCTION("""COMPUTED_VALUE"""),"WS+")</f>
        <v>WS+</v>
      </c>
      <c r="U3" s="241" t="str">
        <f>IFERROR(__xludf.DUMMYFUNCTION("""COMPUTED_VALUE"""),"WS+")</f>
        <v>WS+</v>
      </c>
      <c r="V3" s="241" t="str">
        <f>IFERROR(__xludf.DUMMYFUNCTION("""COMPUTED_VALUE"""),"WS+")</f>
        <v>WS+</v>
      </c>
      <c r="W3" s="241" t="str">
        <f>IFERROR(__xludf.DUMMYFUNCTION("""COMPUTED_VALUE"""),"WS+")</f>
        <v>WS+</v>
      </c>
      <c r="X3" s="241" t="str">
        <f>IFERROR(__xludf.DUMMYFUNCTION("""COMPUTED_VALUE"""),"WS+")</f>
        <v>WS+</v>
      </c>
      <c r="Y3" s="264" t="str">
        <f>IFERROR(__xludf.DUMMYFUNCTION("""COMPUTED_VALUE"""),"Max")</f>
        <v>Max</v>
      </c>
      <c r="Z3" s="257"/>
      <c r="AA3" s="225"/>
      <c r="AB3" s="245" t="str">
        <f>IFERROR(__xludf.DUMMYFUNCTION("""COMPUTED_VALUE"""),"Quantity")</f>
        <v>Quantity</v>
      </c>
      <c r="AC3" s="265">
        <f>IFERROR(__xludf.DUMMYFUNCTION("""COMPUTED_VALUE"""),4.0)</f>
        <v>4</v>
      </c>
      <c r="AD3" s="247" t="str">
        <f>IFERROR(__xludf.DUMMYFUNCTION("""COMPUTED_VALUE"""),"03 | #4 | Cost 150 ⧌ | Next 400 ⧌")</f>
        <v>03 | #4 | Cost 150 ⧌ | Next 400 ⧌</v>
      </c>
      <c r="AE3" s="248" t="str">
        <f>IFERROR(__xludf.DUMMYFUNCTION("""COMPUTED_VALUE"""),"Attack Speed")</f>
        <v>Attack Speed</v>
      </c>
      <c r="AF3" s="249">
        <f>IFERROR(__xludf.DUMMYFUNCTION("""COMPUTED_VALUE"""),7.0)</f>
        <v>7</v>
      </c>
      <c r="AG3" s="250" t="b">
        <f>IFERROR(__xludf.DUMMYFUNCTION("""COMPUTED_VALUE"""),FALSE)</f>
        <v>0</v>
      </c>
      <c r="AH3" s="266" t="str">
        <f>IFERROR(__xludf.DUMMYFUNCTION("""COMPUTED_VALUE"""),"Enemy Balance")</f>
        <v>Enemy Balance</v>
      </c>
      <c r="AI3" s="234" t="str">
        <f>IFERROR(__xludf.DUMMYFUNCTION("""COMPUTED_VALUE"""),"Attack Speed")</f>
        <v>Attack Speed</v>
      </c>
      <c r="AJ3" s="267"/>
      <c r="AK3" s="259"/>
      <c r="AL3" s="229"/>
      <c r="AM3" s="238" t="str">
        <f>IFERROR(__xludf.DUMMYFUNCTION("""COMPUTED_VALUE"""),"Event Relics")</f>
        <v>Event Relics</v>
      </c>
      <c r="AN3" s="268">
        <f>IFERROR(__xludf.DUMMYFUNCTION("""COMPUTED_VALUE"""),112.0)</f>
        <v>112</v>
      </c>
      <c r="AO3" s="254"/>
      <c r="AP3" s="225"/>
      <c r="AQ3" s="269"/>
      <c r="AR3" s="226"/>
      <c r="AS3" s="269"/>
      <c r="AT3" s="269"/>
      <c r="AU3" s="225" t="str">
        <f>IFERROR(__xludf.DUMMYFUNCTION("""COMPUTED_VALUE"""),"Cooldown")</f>
        <v>Cooldown</v>
      </c>
      <c r="AV3" s="270">
        <f>IFERROR(__xludf.DUMMYFUNCTION("""COMPUTED_VALUE"""),51.0)</f>
        <v>51</v>
      </c>
      <c r="AW3" s="271" t="str">
        <f>IFERROR(__xludf.DUMMYFUNCTION("""COMPUTED_VALUE"""),"08 | 51s | Cost 380 ⧓ | Next 420 ⧓")</f>
        <v>08 | 51s | Cost 380 ⧓ | Next 420 ⧓</v>
      </c>
      <c r="AX3" s="226"/>
      <c r="AY3" s="225"/>
      <c r="AZ3" s="225"/>
      <c r="BA3" s="272"/>
      <c r="BB3" s="271" t="str">
        <f>IFERROR(__xludf.DUMMYFUNCTION("""COMPUTED_VALUE"""),"Rarity Cap")</f>
        <v>Rarity Cap</v>
      </c>
      <c r="BC3" s="225" t="str">
        <f>IFERROR(__xludf.DUMMYFUNCTION("""COMPUTED_VALUE"""),"Epic")</f>
        <v>Epic</v>
      </c>
      <c r="BD3" s="225"/>
      <c r="BE3" s="225"/>
      <c r="BF3" s="225"/>
      <c r="BG3" s="225" t="str">
        <f>IFERROR(__xludf.DUMMYFUNCTION("""COMPUTED_VALUE"""),"Rarity Cap")</f>
        <v>Rarity Cap</v>
      </c>
      <c r="BH3" s="225" t="str">
        <f>IFERROR(__xludf.DUMMYFUNCTION("""COMPUTED_VALUE"""),"Epic")</f>
        <v>Epic</v>
      </c>
      <c r="BI3" s="225"/>
      <c r="BJ3" s="225"/>
      <c r="BK3" s="225"/>
      <c r="BL3" s="225" t="str">
        <f>IFERROR(__xludf.DUMMYFUNCTION("""COMPUTED_VALUE"""),"Rarity Cap")</f>
        <v>Rarity Cap</v>
      </c>
      <c r="BM3" s="225" t="str">
        <f>IFERROR(__xludf.DUMMYFUNCTION("""COMPUTED_VALUE"""),"Epic")</f>
        <v>Epic</v>
      </c>
      <c r="BN3" s="225"/>
      <c r="BO3" s="225"/>
      <c r="BP3" s="225"/>
      <c r="BQ3" s="225" t="str">
        <f>IFERROR(__xludf.DUMMYFUNCTION("""COMPUTED_VALUE"""),"Rarity Cap")</f>
        <v>Rarity Cap</v>
      </c>
      <c r="BR3" s="225" t="str">
        <f>IFERROR(__xludf.DUMMYFUNCTION("""COMPUTED_VALUE"""),"Epic")</f>
        <v>Epic</v>
      </c>
      <c r="BS3" s="225"/>
      <c r="BT3" s="226"/>
      <c r="BU3" s="225"/>
      <c r="BV3" s="225"/>
      <c r="BW3" s="225" t="str">
        <f>IFERROR(__xludf.DUMMYFUNCTION("""COMPUTED_VALUE"""),"Cooldown")</f>
        <v>Cooldown</v>
      </c>
      <c r="BX3" s="273">
        <f>IFERROR(__xludf.DUMMYFUNCTION("""COMPUTED_VALUE"""),120.0)</f>
        <v>120</v>
      </c>
      <c r="BY3" s="260" t="str">
        <f>IFERROR(__xludf.DUMMYFUNCTION("""COMPUTED_VALUE"""),"00 | 120s | Cost 0 ⧈ | Next 1 ⧈")</f>
        <v>00 | 120s | Cost 0 ⧈ | Next 1 ⧈</v>
      </c>
      <c r="BZ3" s="225"/>
    </row>
    <row r="4">
      <c r="A4" s="238" t="str">
        <f>IFERROR(__xludf.DUMMYFUNCTION("""COMPUTED_VALUE"""),"Workshop Attack Discount")</f>
        <v>Workshop Attack Discount</v>
      </c>
      <c r="B4" s="239">
        <f>IFERROR(__xludf.DUMMYFUNCTION("""COMPUTED_VALUE"""),27.0)</f>
        <v>27</v>
      </c>
      <c r="C4" s="225"/>
      <c r="D4" s="240">
        <f>IFERROR(__xludf.DUMMYFUNCTION("""COMPUTED_VALUE"""),99.0)</f>
        <v>99</v>
      </c>
      <c r="E4" s="225"/>
      <c r="F4" s="238" t="str">
        <f>IFERROR(__xludf.DUMMYFUNCTION("""COMPUTED_VALUE"""),"Damage")</f>
        <v>Damage</v>
      </c>
      <c r="G4" s="239">
        <f>IFERROR(__xludf.DUMMYFUNCTION("""COMPUTED_VALUE"""),5750.0)</f>
        <v>5750</v>
      </c>
      <c r="H4" s="225">
        <f>IFERROR(__xludf.DUMMYFUNCTION("""COMPUTED_VALUE"""),6000.0)</f>
        <v>6000</v>
      </c>
      <c r="I4" s="225">
        <f>IFERROR(__xludf.DUMMYFUNCTION("""COMPUTED_VALUE"""),5750.0)</f>
        <v>5750</v>
      </c>
      <c r="J4" s="225">
        <f>IFERROR(__xludf.DUMMYFUNCTION("""COMPUTED_VALUE"""),6000.0)</f>
        <v>6000</v>
      </c>
      <c r="K4" s="244"/>
      <c r="L4" s="225"/>
      <c r="M4" s="225"/>
      <c r="N4" s="225"/>
      <c r="O4" s="225"/>
      <c r="P4" s="225"/>
      <c r="Q4" s="274">
        <f>IFERROR(__xludf.DUMMYFUNCTION("""COMPUTED_VALUE"""),6000.0)</f>
        <v>6000</v>
      </c>
      <c r="R4" s="251" t="str">
        <f>IFERROR(__xludf.DUMMYFUNCTION("""COMPUTED_VALUE"""),"Damage +")</f>
        <v>Damage +</v>
      </c>
      <c r="S4" s="275">
        <f>IFERROR(__xludf.DUMMYFUNCTION("""COMPUTED_VALUE"""),1.56)</f>
        <v>1.56</v>
      </c>
      <c r="T4" s="239">
        <f>IFERROR(__xludf.DUMMYFUNCTION("""COMPUTED_VALUE"""),56.0)</f>
        <v>56</v>
      </c>
      <c r="U4" s="225">
        <f>IFERROR(__xludf.DUMMYFUNCTION("""COMPUTED_VALUE"""),56.0)</f>
        <v>56</v>
      </c>
      <c r="V4" s="225"/>
      <c r="W4" s="225"/>
      <c r="X4" s="225"/>
      <c r="Y4" s="276">
        <f>IFERROR(__xludf.DUMMYFUNCTION("""COMPUTED_VALUE"""),400.0)</f>
        <v>400</v>
      </c>
      <c r="Z4" s="277" t="b">
        <f>IFERROR(__xludf.DUMMYFUNCTION("""COMPUTED_VALUE"""),TRUE)</f>
        <v>1</v>
      </c>
      <c r="AA4" s="238" t="str">
        <f>IFERROR(__xludf.DUMMYFUNCTION("""COMPUTED_VALUE"""),"UW Unlocked")</f>
        <v>UW Unlocked</v>
      </c>
      <c r="AB4" s="245" t="str">
        <f>IFERROR(__xludf.DUMMYFUNCTION("""COMPUTED_VALUE"""),"Chance")</f>
        <v>Chance</v>
      </c>
      <c r="AC4" s="278">
        <f>IFERROR(__xludf.DUMMYFUNCTION("""COMPUTED_VALUE"""),0.17)</f>
        <v>0.17</v>
      </c>
      <c r="AD4" s="247" t="str">
        <f>IFERROR(__xludf.DUMMYFUNCTION("""COMPUTED_VALUE"""),"08 | 17.0% | Cost 134 ⧌ | Next 152 ⧌")</f>
        <v>08 | 17.0% | Cost 134 ⧌ | Next 152 ⧌</v>
      </c>
      <c r="AE4" s="248" t="str">
        <f>IFERROR(__xludf.DUMMYFUNCTION("""COMPUTED_VALUE"""),"Health")</f>
        <v>Health</v>
      </c>
      <c r="AF4" s="249">
        <f>IFERROR(__xludf.DUMMYFUNCTION("""COMPUTED_VALUE"""),7.0)</f>
        <v>7</v>
      </c>
      <c r="AG4" s="250" t="b">
        <f>IFERROR(__xludf.DUMMYFUNCTION("""COMPUTED_VALUE"""),FALSE)</f>
        <v>0</v>
      </c>
      <c r="AH4" s="257" t="str">
        <f>IFERROR(__xludf.DUMMYFUNCTION("""COMPUTED_VALUE"""),"Extra Defense")</f>
        <v>Extra Defense</v>
      </c>
      <c r="AI4" s="234" t="str">
        <f>IFERROR(__xludf.DUMMYFUNCTION("""COMPUTED_VALUE"""),"Damage")</f>
        <v>Damage</v>
      </c>
      <c r="AJ4" s="267"/>
      <c r="AK4" s="259"/>
      <c r="AL4" s="229"/>
      <c r="AM4" s="238" t="str">
        <f>IFERROR(__xludf.DUMMYFUNCTION("""COMPUTED_VALUE"""),"Guild Relics")</f>
        <v>Guild Relics</v>
      </c>
      <c r="AN4" s="268">
        <f>IFERROR(__xludf.DUMMYFUNCTION("""COMPUTED_VALUE"""),13.0)</f>
        <v>13</v>
      </c>
      <c r="AO4" s="254"/>
      <c r="AP4" s="238" t="str">
        <f>IFERROR(__xludf.DUMMYFUNCTION("""COMPUTED_VALUE"""),"Total Bonuses")</f>
        <v>Total Bonuses</v>
      </c>
      <c r="AQ4" s="279" t="str">
        <f>IFERROR(__xludf.DUMMYFUNCTION("""COMPUTED_VALUE"""),"Active")</f>
        <v>Active</v>
      </c>
      <c r="AR4" s="226"/>
      <c r="AS4" s="269"/>
      <c r="AT4" s="269"/>
      <c r="AU4" s="225" t="str">
        <f>IFERROR(__xludf.DUMMYFUNCTION("""COMPUTED_VALUE"""),"Damage")</f>
        <v>Damage</v>
      </c>
      <c r="AV4" s="280">
        <f>IFERROR(__xludf.DUMMYFUNCTION("""COMPUTED_VALUE"""),50.0)</f>
        <v>50</v>
      </c>
      <c r="AW4" s="281" t="str">
        <f>IFERROR(__xludf.DUMMYFUNCTION("""COMPUTED_VALUE"""),"00 | x50 | Cost 0 ⧓ | Next 100 ⧓")</f>
        <v>00 | x50 | Cost 0 ⧓ | Next 100 ⧓</v>
      </c>
      <c r="AX4" s="226"/>
      <c r="AY4" s="225"/>
      <c r="AZ4" s="225"/>
      <c r="BA4" s="243"/>
      <c r="BB4" s="281" t="str">
        <f>IFERROR(__xludf.DUMMYFUNCTION("""COMPUTED_VALUE"""),"Multiplier Cap")</f>
        <v>Multiplier Cap</v>
      </c>
      <c r="BC4" s="258">
        <f>IFERROR(__xludf.DUMMYFUNCTION("""COMPUTED_VALUE"""),0.01)</f>
        <v>0.01</v>
      </c>
      <c r="BD4" s="225" t="str">
        <f>IFERROR(__xludf.DUMMYFUNCTION("""COMPUTED_VALUE"""),"00 | 1% | Cost 0 ⧌ | Next 15 ⧌")</f>
        <v>00 | 1% | Cost 0 ⧌ | Next 15 ⧌</v>
      </c>
      <c r="BE4" s="225"/>
      <c r="BF4" s="225"/>
      <c r="BG4" s="225" t="str">
        <f>IFERROR(__xludf.DUMMYFUNCTION("""COMPUTED_VALUE"""),"Multiplier Cap")</f>
        <v>Multiplier Cap</v>
      </c>
      <c r="BH4" s="258">
        <f>IFERROR(__xludf.DUMMYFUNCTION("""COMPUTED_VALUE"""),0.01)</f>
        <v>0.01</v>
      </c>
      <c r="BI4" s="225" t="str">
        <f>IFERROR(__xludf.DUMMYFUNCTION("""COMPUTED_VALUE"""),"00 | 1% | Cost 0 ⧌ | Next 15 ⧌")</f>
        <v>00 | 1% | Cost 0 ⧌ | Next 15 ⧌</v>
      </c>
      <c r="BJ4" s="282"/>
      <c r="BK4" s="225"/>
      <c r="BL4" s="225" t="str">
        <f>IFERROR(__xludf.DUMMYFUNCTION("""COMPUTED_VALUE"""),"Multiplier Cap")</f>
        <v>Multiplier Cap</v>
      </c>
      <c r="BM4" s="258">
        <f>IFERROR(__xludf.DUMMYFUNCTION("""COMPUTED_VALUE"""),0.1)</f>
        <v>0.1</v>
      </c>
      <c r="BN4" s="225" t="str">
        <f>IFERROR(__xludf.DUMMYFUNCTION("""COMPUTED_VALUE"""),"09 | 10% | Cost 39 ⧌ | Next 42 ⧌")</f>
        <v>09 | 10% | Cost 39 ⧌ | Next 42 ⧌</v>
      </c>
      <c r="BO4" s="282"/>
      <c r="BP4" s="225"/>
      <c r="BQ4" s="225" t="str">
        <f>IFERROR(__xludf.DUMMYFUNCTION("""COMPUTED_VALUE"""),"Multiplier Cap")</f>
        <v>Multiplier Cap</v>
      </c>
      <c r="BR4" s="258">
        <f>IFERROR(__xludf.DUMMYFUNCTION("""COMPUTED_VALUE"""),0.1)</f>
        <v>0.1</v>
      </c>
      <c r="BS4" s="225" t="str">
        <f>IFERROR(__xludf.DUMMYFUNCTION("""COMPUTED_VALUE"""),"09 | 10% | Cost 39 ⧌ | Next 42 ⧌")</f>
        <v>09 | 10% | Cost 39 ⧌ | Next 42 ⧌</v>
      </c>
      <c r="BT4" s="283"/>
      <c r="BU4" s="225" t="b">
        <f>IFERROR(__xludf.DUMMYFUNCTION("""COMPUTED_VALUE"""),TRUE)</f>
        <v>1</v>
      </c>
      <c r="BV4" s="284" t="str">
        <f>IFERROR(__xludf.DUMMYFUNCTION("""COMPUTED_VALUE"""),"Unlocked")</f>
        <v>Unlocked</v>
      </c>
      <c r="BW4" s="225" t="str">
        <f>IFERROR(__xludf.DUMMYFUNCTION("""COMPUTED_VALUE"""),"Targets")</f>
        <v>Targets</v>
      </c>
      <c r="BX4" s="260">
        <f>IFERROR(__xludf.DUMMYFUNCTION("""COMPUTED_VALUE"""),1.0)</f>
        <v>1</v>
      </c>
      <c r="BY4" s="285" t="str">
        <f>IFERROR(__xludf.DUMMYFUNCTION("""COMPUTED_VALUE"""),"00 | 1 | Cost 0 ⧈ | Next 100 ⧈")</f>
        <v>00 | 1 | Cost 0 ⧈ | Next 100 ⧈</v>
      </c>
      <c r="BZ4" s="225"/>
    </row>
    <row r="5">
      <c r="A5" s="238" t="str">
        <f>IFERROR(__xludf.DUMMYFUNCTION("""COMPUTED_VALUE"""),"Workshop Defense Discount")</f>
        <v>Workshop Defense Discount</v>
      </c>
      <c r="B5" s="239">
        <f>IFERROR(__xludf.DUMMYFUNCTION("""COMPUTED_VALUE"""),28.0)</f>
        <v>28</v>
      </c>
      <c r="C5" s="225"/>
      <c r="D5" s="240">
        <f>IFERROR(__xludf.DUMMYFUNCTION("""COMPUTED_VALUE"""),99.0)</f>
        <v>99</v>
      </c>
      <c r="E5" s="225"/>
      <c r="F5" s="238" t="str">
        <f>IFERROR(__xludf.DUMMYFUNCTION("""COMPUTED_VALUE"""),"Attack Speed")</f>
        <v>Attack Speed</v>
      </c>
      <c r="G5" s="239">
        <f>IFERROR(__xludf.DUMMYFUNCTION("""COMPUTED_VALUE"""),99.0)</f>
        <v>99</v>
      </c>
      <c r="H5" s="225">
        <f>IFERROR(__xludf.DUMMYFUNCTION("""COMPUTED_VALUE"""),99.0)</f>
        <v>99</v>
      </c>
      <c r="I5" s="225">
        <f>IFERROR(__xludf.DUMMYFUNCTION("""COMPUTED_VALUE"""),99.0)</f>
        <v>99</v>
      </c>
      <c r="J5" s="225">
        <f>IFERROR(__xludf.DUMMYFUNCTION("""COMPUTED_VALUE"""),99.0)</f>
        <v>99</v>
      </c>
      <c r="K5" s="244"/>
      <c r="L5" s="225"/>
      <c r="M5" s="225"/>
      <c r="N5" s="225"/>
      <c r="O5" s="225"/>
      <c r="P5" s="225"/>
      <c r="Q5" s="274">
        <f>IFERROR(__xludf.DUMMYFUNCTION("""COMPUTED_VALUE"""),99.0)</f>
        <v>99</v>
      </c>
      <c r="R5" s="251" t="str">
        <f>IFERROR(__xludf.DUMMYFUNCTION("""COMPUTED_VALUE"""),"Rend Armor Mult +")</f>
        <v>Rend Armor Mult +</v>
      </c>
      <c r="S5" s="275">
        <f>IFERROR(__xludf.DUMMYFUNCTION("""COMPUTED_VALUE"""),1.21)</f>
        <v>1.21</v>
      </c>
      <c r="T5" s="239">
        <f>IFERROR(__xludf.DUMMYFUNCTION("""COMPUTED_VALUE"""),21.0)</f>
        <v>21</v>
      </c>
      <c r="U5" s="225">
        <f>IFERROR(__xludf.DUMMYFUNCTION("""COMPUTED_VALUE"""),21.0)</f>
        <v>21</v>
      </c>
      <c r="V5" s="225"/>
      <c r="W5" s="225"/>
      <c r="X5" s="225"/>
      <c r="Y5" s="276">
        <f>IFERROR(__xludf.DUMMYFUNCTION("""COMPUTED_VALUE"""),400.0)</f>
        <v>400</v>
      </c>
      <c r="Z5" s="245" t="str">
        <f>IFERROR(__xludf.DUMMYFUNCTION("""COMPUTED_VALUE"""),"UW+")</f>
        <v>UW+</v>
      </c>
      <c r="AA5" s="225"/>
      <c r="AB5" s="245" t="str">
        <f>IFERROR(__xludf.DUMMYFUNCTION("""COMPUTED_VALUE"""),"Smite")</f>
        <v>Smite</v>
      </c>
      <c r="AC5" s="286" t="str">
        <f>IFERROR(__xludf.DUMMYFUNCTION("""COMPUTED_VALUE"""),"Locked")</f>
        <v>Locked</v>
      </c>
      <c r="AD5" s="247" t="str">
        <f>IFERROR(__xludf.DUMMYFUNCTION("""COMPUTED_VALUE"""),"Lo | Locked")</f>
        <v>Lo | Locked</v>
      </c>
      <c r="AE5" s="248" t="str">
        <f>IFERROR(__xludf.DUMMYFUNCTION("""COMPUTED_VALUE"""),"Health Regen")</f>
        <v>Health Regen</v>
      </c>
      <c r="AF5" s="249">
        <f>IFERROR(__xludf.DUMMYFUNCTION("""COMPUTED_VALUE"""),7.0)</f>
        <v>7</v>
      </c>
      <c r="AG5" s="250" t="b">
        <f>IFERROR(__xludf.DUMMYFUNCTION("""COMPUTED_VALUE"""),FALSE)</f>
        <v>0</v>
      </c>
      <c r="AH5" s="287" t="str">
        <f>IFERROR(__xludf.DUMMYFUNCTION("""COMPUTED_VALUE"""),"Health")</f>
        <v>Health</v>
      </c>
      <c r="AI5" s="234" t="str">
        <f>IFERROR(__xludf.DUMMYFUNCTION("""COMPUTED_VALUE"""),"Berserker")</f>
        <v>Berserker</v>
      </c>
      <c r="AJ5" s="267"/>
      <c r="AK5" s="259"/>
      <c r="AL5" s="229"/>
      <c r="AM5" s="238" t="str">
        <f>IFERROR(__xludf.DUMMYFUNCTION("""COMPUTED_VALUE"""),"Other Relics")</f>
        <v>Other Relics</v>
      </c>
      <c r="AN5" s="268">
        <f>IFERROR(__xludf.DUMMYFUNCTION("""COMPUTED_VALUE"""),22.0)</f>
        <v>22</v>
      </c>
      <c r="AO5" s="254"/>
      <c r="AP5" s="288" t="str">
        <f>IFERROR(__xludf.DUMMYFUNCTION("""COMPUTED_VALUE"""),"Misc.")</f>
        <v>Misc.</v>
      </c>
      <c r="AQ5" s="269"/>
      <c r="AR5" s="226"/>
      <c r="AS5" s="289" t="b">
        <f>IFERROR(__xludf.DUMMYFUNCTION("""COMPUTED_VALUE"""),TRUE)</f>
        <v>1</v>
      </c>
      <c r="AT5" s="284" t="str">
        <f>IFERROR(__xludf.DUMMYFUNCTION("""COMPUTED_VALUE"""),"Unlocked")</f>
        <v>Unlocked</v>
      </c>
      <c r="AU5" s="225" t="str">
        <f>IFERROR(__xludf.DUMMYFUNCTION("""COMPUTED_VALUE"""),"Range")</f>
        <v>Range</v>
      </c>
      <c r="AV5" s="290">
        <f>IFERROR(__xludf.DUMMYFUNCTION("""COMPUTED_VALUE"""),46.0)</f>
        <v>46</v>
      </c>
      <c r="AW5" s="291" t="str">
        <f>IFERROR(__xludf.DUMMYFUNCTION("""COMPUTED_VALUE"""),"04 | 46m | Cost 220 ⧓ | Next 260 ⧓")</f>
        <v>04 | 46m | Cost 220 ⧓ | Next 260 ⧓</v>
      </c>
      <c r="AX5" s="226"/>
      <c r="AY5" s="284"/>
      <c r="AZ5" s="225"/>
      <c r="BA5" s="292"/>
      <c r="BB5" s="291" t="str">
        <f>IFERROR(__xludf.DUMMYFUNCTION("""COMPUTED_VALUE"""),"Substat Cap")</f>
        <v>Substat Cap</v>
      </c>
      <c r="BC5" s="258">
        <f>IFERROR(__xludf.DUMMYFUNCTION("""COMPUTED_VALUE"""),0.01)</f>
        <v>0.01</v>
      </c>
      <c r="BD5" s="225" t="str">
        <f>IFERROR(__xludf.DUMMYFUNCTION("""COMPUTED_VALUE"""),"00 | 1% | Cost 0 ⧌ | Next 15 ⧌")</f>
        <v>00 | 1% | Cost 0 ⧌ | Next 15 ⧌</v>
      </c>
      <c r="BE5" s="225"/>
      <c r="BF5" s="225"/>
      <c r="BG5" s="225" t="str">
        <f>IFERROR(__xludf.DUMMYFUNCTION("""COMPUTED_VALUE"""),"Substat Cap")</f>
        <v>Substat Cap</v>
      </c>
      <c r="BH5" s="258">
        <f>IFERROR(__xludf.DUMMYFUNCTION("""COMPUTED_VALUE"""),0.1)</f>
        <v>0.1</v>
      </c>
      <c r="BI5" s="225" t="str">
        <f>IFERROR(__xludf.DUMMYFUNCTION("""COMPUTED_VALUE"""),"09 | 10% | Cost 39 ⧌ | Next 42 ⧌")</f>
        <v>09 | 10% | Cost 39 ⧌ | Next 42 ⧌</v>
      </c>
      <c r="BJ5" s="225"/>
      <c r="BK5" s="225"/>
      <c r="BL5" s="225" t="str">
        <f>IFERROR(__xludf.DUMMYFUNCTION("""COMPUTED_VALUE"""),"Substat Cap")</f>
        <v>Substat Cap</v>
      </c>
      <c r="BM5" s="258">
        <f>IFERROR(__xludf.DUMMYFUNCTION("""COMPUTED_VALUE"""),0.1)</f>
        <v>0.1</v>
      </c>
      <c r="BN5" s="225" t="str">
        <f>IFERROR(__xludf.DUMMYFUNCTION("""COMPUTED_VALUE"""),"09 | 10% | Cost 39 ⧌ | Next 42 ⧌")</f>
        <v>09 | 10% | Cost 39 ⧌ | Next 42 ⧌</v>
      </c>
      <c r="BO5" s="225"/>
      <c r="BP5" s="225"/>
      <c r="BQ5" s="225" t="str">
        <f>IFERROR(__xludf.DUMMYFUNCTION("""COMPUTED_VALUE"""),"Substat Cap")</f>
        <v>Substat Cap</v>
      </c>
      <c r="BR5" s="258">
        <f>IFERROR(__xludf.DUMMYFUNCTION("""COMPUTED_VALUE"""),0.1)</f>
        <v>0.1</v>
      </c>
      <c r="BS5" s="225" t="str">
        <f>IFERROR(__xludf.DUMMYFUNCTION("""COMPUTED_VALUE"""),"09 | 10% | Cost 39 ⧌ | Next 42 ⧌")</f>
        <v>09 | 10% | Cost 39 ⧌ | Next 42 ⧌</v>
      </c>
      <c r="BT5" s="226"/>
      <c r="BU5" s="225" t="str">
        <f>IFERROR(__xludf.DUMMYFUNCTION("""COMPUTED_VALUE"""),"Ally")</f>
        <v>Ally</v>
      </c>
      <c r="BV5" s="225"/>
      <c r="BW5" s="225" t="str">
        <f>IFERROR(__xludf.DUMMYFUNCTION("""COMPUTED_VALUE"""),"Recovery Amount")</f>
        <v>Recovery Amount</v>
      </c>
      <c r="BX5" s="258">
        <f>IFERROR(__xludf.DUMMYFUNCTION("""COMPUTED_VALUE"""),0.01)</f>
        <v>0.01</v>
      </c>
      <c r="BY5" s="260" t="str">
        <f>IFERROR(__xludf.DUMMYFUNCTION("""COMPUTED_VALUE"""),"00 | 1% | Cost 0 ⧈ | Next 10 ⧈")</f>
        <v>00 | 1% | Cost 0 ⧈ | Next 10 ⧈</v>
      </c>
      <c r="BZ5" s="225"/>
    </row>
    <row r="6">
      <c r="A6" s="238" t="str">
        <f>IFERROR(__xludf.DUMMYFUNCTION("""COMPUTED_VALUE"""),"Workshop Utility Discount")</f>
        <v>Workshop Utility Discount</v>
      </c>
      <c r="B6" s="239">
        <f>IFERROR(__xludf.DUMMYFUNCTION("""COMPUTED_VALUE"""),41.0)</f>
        <v>41</v>
      </c>
      <c r="C6" s="225"/>
      <c r="D6" s="240">
        <f>IFERROR(__xludf.DUMMYFUNCTION("""COMPUTED_VALUE"""),99.0)</f>
        <v>99</v>
      </c>
      <c r="E6" s="225"/>
      <c r="F6" s="238" t="str">
        <f>IFERROR(__xludf.DUMMYFUNCTION("""COMPUTED_VALUE"""),"Critical Chance")</f>
        <v>Critical Chance</v>
      </c>
      <c r="G6" s="239">
        <f>IFERROR(__xludf.DUMMYFUNCTION("""COMPUTED_VALUE"""),79.0)</f>
        <v>79</v>
      </c>
      <c r="H6" s="225">
        <f>IFERROR(__xludf.DUMMYFUNCTION("""COMPUTED_VALUE"""),79.0)</f>
        <v>79</v>
      </c>
      <c r="I6" s="225">
        <f>IFERROR(__xludf.DUMMYFUNCTION("""COMPUTED_VALUE"""),79.0)</f>
        <v>79</v>
      </c>
      <c r="J6" s="225">
        <f>IFERROR(__xludf.DUMMYFUNCTION("""COMPUTED_VALUE"""),79.0)</f>
        <v>79</v>
      </c>
      <c r="K6" s="244"/>
      <c r="L6" s="225"/>
      <c r="M6" s="225"/>
      <c r="N6" s="225"/>
      <c r="O6" s="225"/>
      <c r="P6" s="225"/>
      <c r="Q6" s="274">
        <f>IFERROR(__xludf.DUMMYFUNCTION("""COMPUTED_VALUE"""),79.0)</f>
        <v>79</v>
      </c>
      <c r="R6" s="251" t="str">
        <f>IFERROR(__xludf.DUMMYFUNCTION("""COMPUTED_VALUE"""),"Critical Factor +")</f>
        <v>Critical Factor +</v>
      </c>
      <c r="S6" s="275">
        <f>IFERROR(__xludf.DUMMYFUNCTION("""COMPUTED_VALUE"""),1.6)</f>
        <v>1.6</v>
      </c>
      <c r="T6" s="239">
        <f>IFERROR(__xludf.DUMMYFUNCTION("""COMPUTED_VALUE"""),60.0)</f>
        <v>60</v>
      </c>
      <c r="U6" s="225">
        <f>IFERROR(__xludf.DUMMYFUNCTION("""COMPUTED_VALUE"""),60.0)</f>
        <v>60</v>
      </c>
      <c r="V6" s="225"/>
      <c r="W6" s="225"/>
      <c r="X6" s="225"/>
      <c r="Y6" s="276">
        <f>IFERROR(__xludf.DUMMYFUNCTION("""COMPUTED_VALUE"""),400.0)</f>
        <v>400</v>
      </c>
      <c r="Z6" s="245" t="str">
        <f>IFERROR(__xludf.DUMMYFUNCTION("""COMPUTED_VALUE"""),"Smart Missiles")</f>
        <v>Smart Missiles</v>
      </c>
      <c r="AA6" s="225"/>
      <c r="AB6" s="245" t="str">
        <f>IFERROR(__xludf.DUMMYFUNCTION("""COMPUTED_VALUE"""),"Damage")</f>
        <v>Damage</v>
      </c>
      <c r="AC6" s="293">
        <f>IFERROR(__xludf.DUMMYFUNCTION("""COMPUTED_VALUE"""),10.0)</f>
        <v>10</v>
      </c>
      <c r="AD6" s="247" t="str">
        <f>IFERROR(__xludf.DUMMYFUNCTION("""COMPUTED_VALUE"""),"00 | x10 | Cost 0 ⧌ | Next 5 ⧌")</f>
        <v>00 | x10 | Cost 0 ⧌ | Next 5 ⧌</v>
      </c>
      <c r="AE6" s="294" t="str">
        <f>IFERROR(__xludf.DUMMYFUNCTION("""COMPUTED_VALUE"""),"Range")</f>
        <v>Range</v>
      </c>
      <c r="AF6" s="249">
        <f>IFERROR(__xludf.DUMMYFUNCTION("""COMPUTED_VALUE"""),7.0)</f>
        <v>7</v>
      </c>
      <c r="AG6" s="250" t="b">
        <f>IFERROR(__xludf.DUMMYFUNCTION("""COMPUTED_VALUE"""),FALSE)</f>
        <v>0</v>
      </c>
      <c r="AH6" s="295" t="str">
        <f>IFERROR(__xludf.DUMMYFUNCTION("""COMPUTED_VALUE"""),"Coins")</f>
        <v>Coins</v>
      </c>
      <c r="AI6" s="234" t="str">
        <f>IFERROR(__xludf.DUMMYFUNCTION("""COMPUTED_VALUE"""),"Critical Chance")</f>
        <v>Critical Chance</v>
      </c>
      <c r="AJ6" s="267"/>
      <c r="AK6" s="259"/>
      <c r="AL6" s="229"/>
      <c r="AM6" s="238" t="str">
        <f>IFERROR(__xludf.DUMMYFUNCTION("""COMPUTED_VALUE"""),"Total Relics")</f>
        <v>Total Relics</v>
      </c>
      <c r="AN6" s="268">
        <f>IFERROR(__xludf.DUMMYFUNCTION("""COMPUTED_VALUE"""),147.0)</f>
        <v>147</v>
      </c>
      <c r="AO6" s="254"/>
      <c r="AP6" s="238" t="str">
        <f>IFERROR(__xludf.DUMMYFUNCTION("""COMPUTED_VALUE"""),"Bot Range")</f>
        <v>Bot Range</v>
      </c>
      <c r="AQ6" s="296">
        <f>IFERROR(__xludf.DUMMYFUNCTION("""COMPUTED_VALUE"""),0.0)</f>
        <v>0</v>
      </c>
      <c r="AR6" s="297"/>
      <c r="AS6" s="298" t="str">
        <f>IFERROR(__xludf.DUMMYFUNCTION("""COMPUTED_VALUE"""),"Thunder Bot")</f>
        <v>Thunder Bot</v>
      </c>
      <c r="AT6" s="269"/>
      <c r="AU6" s="225" t="str">
        <f>IFERROR(__xludf.DUMMYFUNCTION("""COMPUTED_VALUE"""),"Duration")</f>
        <v>Duration</v>
      </c>
      <c r="AV6" s="299">
        <f>IFERROR(__xludf.DUMMYFUNCTION("""COMPUTED_VALUE"""),5.0)</f>
        <v>5</v>
      </c>
      <c r="AW6" s="298" t="str">
        <f>IFERROR(__xludf.DUMMYFUNCTION("""COMPUTED_VALUE"""),"00 | 5.0s | Cost 0 ⧓ | Next 100 ⧓")</f>
        <v>00 | 5.0s | Cost 0 ⧓ | Next 100 ⧓</v>
      </c>
      <c r="AX6" s="226"/>
      <c r="AY6" s="225"/>
      <c r="AZ6" s="225"/>
      <c r="BA6" s="300"/>
      <c r="BB6" s="298"/>
      <c r="BC6" s="225"/>
      <c r="BD6" s="225"/>
      <c r="BE6" s="225">
        <f>IFERROR(__xludf.DUMMYFUNCTION("""COMPUTED_VALUE"""),0.4444444444444444)</f>
        <v>0.4444444444</v>
      </c>
      <c r="BF6" s="225"/>
      <c r="BG6" s="225"/>
      <c r="BH6" s="225"/>
      <c r="BI6" s="225"/>
      <c r="BJ6" s="225"/>
      <c r="BK6" s="225"/>
      <c r="BL6" s="225"/>
      <c r="BM6" s="225"/>
      <c r="BN6" s="225"/>
      <c r="BO6" s="225"/>
      <c r="BP6" s="225"/>
      <c r="BQ6" s="225"/>
      <c r="BR6" s="225"/>
      <c r="BS6" s="225"/>
      <c r="BT6" s="226"/>
      <c r="BU6" s="225"/>
      <c r="BV6" s="225"/>
      <c r="BW6" s="225" t="str">
        <f>IFERROR(__xludf.DUMMYFUNCTION("""COMPUTED_VALUE"""),"Max Recovery")</f>
        <v>Max Recovery</v>
      </c>
      <c r="BX6" s="273">
        <f>IFERROR(__xludf.DUMMYFUNCTION("""COMPUTED_VALUE"""),1.1)</f>
        <v>1.1</v>
      </c>
      <c r="BY6" s="260" t="str">
        <f>IFERROR(__xludf.DUMMYFUNCTION("""COMPUTED_VALUE"""),"00 | 1.1x | Cost 0 ⧈ | Next 1 ⧈")</f>
        <v>00 | 1.1x | Cost 0 ⧈ | Next 1 ⧈</v>
      </c>
      <c r="BZ6" s="225"/>
    </row>
    <row r="7">
      <c r="A7" s="238" t="str">
        <f>IFERROR(__xludf.DUMMYFUNCTION("""COMPUTED_VALUE"""),"Labs Coin Discount")</f>
        <v>Labs Coin Discount</v>
      </c>
      <c r="B7" s="239">
        <f>IFERROR(__xludf.DUMMYFUNCTION("""COMPUTED_VALUE"""),68.0)</f>
        <v>68</v>
      </c>
      <c r="C7" s="225"/>
      <c r="D7" s="240">
        <f>IFERROR(__xludf.DUMMYFUNCTION("""COMPUTED_VALUE"""),99.0)</f>
        <v>99</v>
      </c>
      <c r="E7" s="225"/>
      <c r="F7" s="238" t="str">
        <f>IFERROR(__xludf.DUMMYFUNCTION("""COMPUTED_VALUE"""),"Critical Factor")</f>
        <v>Critical Factor</v>
      </c>
      <c r="G7" s="239">
        <f>IFERROR(__xludf.DUMMYFUNCTION("""COMPUTED_VALUE"""),150.0)</f>
        <v>150</v>
      </c>
      <c r="H7" s="225">
        <f>IFERROR(__xludf.DUMMYFUNCTION("""COMPUTED_VALUE"""),150.0)</f>
        <v>150</v>
      </c>
      <c r="I7" s="225">
        <f>IFERROR(__xludf.DUMMYFUNCTION("""COMPUTED_VALUE"""),150.0)</f>
        <v>150</v>
      </c>
      <c r="J7" s="225">
        <f>IFERROR(__xludf.DUMMYFUNCTION("""COMPUTED_VALUE"""),150.0)</f>
        <v>150</v>
      </c>
      <c r="K7" s="244"/>
      <c r="L7" s="225"/>
      <c r="M7" s="225"/>
      <c r="N7" s="225"/>
      <c r="O7" s="225"/>
      <c r="P7" s="225"/>
      <c r="Q7" s="274">
        <f>IFERROR(__xludf.DUMMYFUNCTION("""COMPUTED_VALUE"""),150.0)</f>
        <v>150</v>
      </c>
      <c r="R7" s="251" t="str">
        <f>IFERROR(__xludf.DUMMYFUNCTION("""COMPUTED_VALUE"""),"Damage / Meter +")</f>
        <v>Damage / Meter +</v>
      </c>
      <c r="S7" s="275">
        <f>IFERROR(__xludf.DUMMYFUNCTION("""COMPUTED_VALUE"""),1.17)</f>
        <v>1.17</v>
      </c>
      <c r="T7" s="239">
        <f>IFERROR(__xludf.DUMMYFUNCTION("""COMPUTED_VALUE"""),17.0)</f>
        <v>17</v>
      </c>
      <c r="U7" s="225">
        <f>IFERROR(__xludf.DUMMYFUNCTION("""COMPUTED_VALUE"""),17.0)</f>
        <v>17</v>
      </c>
      <c r="V7" s="225"/>
      <c r="W7" s="225"/>
      <c r="X7" s="225"/>
      <c r="Y7" s="276">
        <f>IFERROR(__xludf.DUMMYFUNCTION("""COMPUTED_VALUE"""),400.0)</f>
        <v>400</v>
      </c>
      <c r="Z7" s="257"/>
      <c r="AA7" s="225"/>
      <c r="AB7" s="245" t="str">
        <f>IFERROR(__xludf.DUMMYFUNCTION("""COMPUTED_VALUE"""),"Quantity")</f>
        <v>Quantity</v>
      </c>
      <c r="AC7" s="265">
        <f>IFERROR(__xludf.DUMMYFUNCTION("""COMPUTED_VALUE"""),5.0)</f>
        <v>5</v>
      </c>
      <c r="AD7" s="301" t="str">
        <f>IFERROR(__xludf.DUMMYFUNCTION("""COMPUTED_VALUE"""),"00 | #5 | Cost 0 ⧌ | Next 4 ⧌")</f>
        <v>00 | #5 | Cost 0 ⧌ | Next 4 ⧌</v>
      </c>
      <c r="AE7" s="257" t="str">
        <f>IFERROR(__xludf.DUMMYFUNCTION("""COMPUTED_VALUE"""),"Cash")</f>
        <v>Cash</v>
      </c>
      <c r="AF7" s="249">
        <f>IFERROR(__xludf.DUMMYFUNCTION("""COMPUTED_VALUE"""),7.0)</f>
        <v>7</v>
      </c>
      <c r="AG7" s="250" t="b">
        <f>IFERROR(__xludf.DUMMYFUNCTION("""COMPUTED_VALUE"""),TRUE)</f>
        <v>1</v>
      </c>
      <c r="AH7" s="266" t="str">
        <f>IFERROR(__xludf.DUMMYFUNCTION("""COMPUTED_VALUE"""),"Plasma Cannon")</f>
        <v>Plasma Cannon</v>
      </c>
      <c r="AI7" s="225" t="str">
        <f>IFERROR(__xludf.DUMMYFUNCTION("""COMPUTED_VALUE"""),"Health")</f>
        <v>Health</v>
      </c>
      <c r="AJ7" s="267"/>
      <c r="AK7" s="259"/>
      <c r="AL7" s="226"/>
      <c r="AM7" s="225"/>
      <c r="AN7" s="225"/>
      <c r="AO7" s="254"/>
      <c r="AP7" s="238" t="str">
        <f>IFERROR(__xludf.DUMMYFUNCTION("""COMPUTED_VALUE"""),"Discount Enhancements")</f>
        <v>Discount Enhancements</v>
      </c>
      <c r="AQ7" s="278">
        <f>IFERROR(__xludf.DUMMYFUNCTION("""COMPUTED_VALUE"""),0.0)</f>
        <v>0</v>
      </c>
      <c r="AR7" s="232"/>
      <c r="AS7" s="225"/>
      <c r="AT7" s="225"/>
      <c r="AU7" s="225" t="str">
        <f>IFERROR(__xludf.DUMMYFUNCTION("""COMPUTED_VALUE"""),"Cooldown")</f>
        <v>Cooldown</v>
      </c>
      <c r="AV7" s="273">
        <f>IFERROR(__xludf.DUMMYFUNCTION("""COMPUTED_VALUE"""),120.0)</f>
        <v>120</v>
      </c>
      <c r="AW7" s="302" t="str">
        <f>IFERROR(__xludf.DUMMYFUNCTION("""COMPUTED_VALUE"""),"00 | 120s | Cost 0 ⧓ | Next 100 ⧓")</f>
        <v>00 | 120s | Cost 0 ⧓ | Next 100 ⧓</v>
      </c>
      <c r="AX7" s="226"/>
      <c r="AY7" s="225"/>
      <c r="AZ7" s="225"/>
      <c r="BA7" s="303"/>
      <c r="BB7" s="302" t="str">
        <f>IFERROR(__xludf.DUMMYFUNCTION("""COMPUTED_VALUE"""),"Farming")</f>
        <v>Farming</v>
      </c>
      <c r="BC7" s="225"/>
      <c r="BD7" s="225"/>
      <c r="BE7" s="225"/>
      <c r="BF7" s="225"/>
      <c r="BG7" s="225" t="str">
        <f>IFERROR(__xludf.DUMMYFUNCTION("""COMPUTED_VALUE"""),"Farming")</f>
        <v>Farming</v>
      </c>
      <c r="BH7" s="225"/>
      <c r="BI7" s="225"/>
      <c r="BJ7" s="225"/>
      <c r="BK7" s="225"/>
      <c r="BL7" s="225" t="str">
        <f>IFERROR(__xludf.DUMMYFUNCTION("""COMPUTED_VALUE"""),"Farming")</f>
        <v>Farming</v>
      </c>
      <c r="BM7" s="225"/>
      <c r="BN7" s="225"/>
      <c r="BO7" s="225"/>
      <c r="BP7" s="225"/>
      <c r="BQ7" s="225" t="str">
        <f>IFERROR(__xludf.DUMMYFUNCTION("""COMPUTED_VALUE"""),"Farming")</f>
        <v>Farming</v>
      </c>
      <c r="BR7" s="225"/>
      <c r="BS7" s="225"/>
      <c r="BT7" s="226"/>
      <c r="BU7" s="225" t="b">
        <f>IFERROR(__xludf.DUMMYFUNCTION("""COMPUTED_VALUE"""),TRUE)</f>
        <v>1</v>
      </c>
      <c r="BV7" s="225" t="str">
        <f>IFERROR(__xludf.DUMMYFUNCTION("""COMPUTED_VALUE"""),"Unlocked")</f>
        <v>Unlocked</v>
      </c>
      <c r="BW7" s="225" t="str">
        <f>IFERROR(__xludf.DUMMYFUNCTION("""COMPUTED_VALUE"""),"Cooldown")</f>
        <v>Cooldown</v>
      </c>
      <c r="BX7" s="273">
        <f>IFERROR(__xludf.DUMMYFUNCTION("""COMPUTED_VALUE"""),120.0)</f>
        <v>120</v>
      </c>
      <c r="BY7" s="260" t="str">
        <f>IFERROR(__xludf.DUMMYFUNCTION("""COMPUTED_VALUE"""),"00 | 120s | Cost 0 ⧈ | Next 1 ⧈")</f>
        <v>00 | 120s | Cost 0 ⧈ | Next 1 ⧈</v>
      </c>
      <c r="BZ7" s="225"/>
    </row>
    <row r="8">
      <c r="A8" s="238" t="str">
        <f>IFERROR(__xludf.DUMMYFUNCTION("""COMPUTED_VALUE"""),"Labs Speed")</f>
        <v>Labs Speed</v>
      </c>
      <c r="B8" s="239">
        <f>IFERROR(__xludf.DUMMYFUNCTION("""COMPUTED_VALUE"""),91.0)</f>
        <v>91</v>
      </c>
      <c r="C8" s="225"/>
      <c r="D8" s="240">
        <f>IFERROR(__xludf.DUMMYFUNCTION("""COMPUTED_VALUE"""),99.0)</f>
        <v>99</v>
      </c>
      <c r="E8" s="261" t="b">
        <f>IFERROR(__xludf.DUMMYFUNCTION("""COMPUTED_VALUE"""),TRUE)</f>
        <v>1</v>
      </c>
      <c r="F8" s="238" t="str">
        <f>IFERROR(__xludf.DUMMYFUNCTION("""COMPUTED_VALUE"""),"Range")</f>
        <v>Range</v>
      </c>
      <c r="G8" s="239">
        <f>IFERROR(__xludf.DUMMYFUNCTION("""COMPUTED_VALUE"""),79.0)</f>
        <v>79</v>
      </c>
      <c r="H8" s="225">
        <f>IFERROR(__xludf.DUMMYFUNCTION("""COMPUTED_VALUE"""),79.0)</f>
        <v>79</v>
      </c>
      <c r="I8" s="225">
        <f>IFERROR(__xludf.DUMMYFUNCTION("""COMPUTED_VALUE"""),79.0)</f>
        <v>79</v>
      </c>
      <c r="J8" s="225">
        <f>IFERROR(__xludf.DUMMYFUNCTION("""COMPUTED_VALUE"""),79.0)</f>
        <v>79</v>
      </c>
      <c r="K8" s="244"/>
      <c r="L8" s="225"/>
      <c r="M8" s="225"/>
      <c r="N8" s="225"/>
      <c r="O8" s="225"/>
      <c r="P8" s="225"/>
      <c r="Q8" s="274">
        <f>IFERROR(__xludf.DUMMYFUNCTION("""COMPUTED_VALUE"""),79.0)</f>
        <v>79</v>
      </c>
      <c r="R8" s="251" t="str">
        <f>IFERROR(__xludf.DUMMYFUNCTION("""COMPUTED_VALUE"""),"Super Crit Multi +")</f>
        <v>Super Crit Multi +</v>
      </c>
      <c r="S8" s="275">
        <f>IFERROR(__xludf.DUMMYFUNCTION("""COMPUTED_VALUE"""),1.57)</f>
        <v>1.57</v>
      </c>
      <c r="T8" s="239">
        <f>IFERROR(__xludf.DUMMYFUNCTION("""COMPUTED_VALUE"""),57.0)</f>
        <v>57</v>
      </c>
      <c r="U8" s="225">
        <f>IFERROR(__xludf.DUMMYFUNCTION("""COMPUTED_VALUE"""),57.0)</f>
        <v>57</v>
      </c>
      <c r="V8" s="225"/>
      <c r="W8" s="225"/>
      <c r="X8" s="225"/>
      <c r="Y8" s="276">
        <f>IFERROR(__xludf.DUMMYFUNCTION("""COMPUTED_VALUE"""),400.0)</f>
        <v>400</v>
      </c>
      <c r="Z8" s="277" t="b">
        <f>IFERROR(__xludf.DUMMYFUNCTION("""COMPUTED_VALUE"""),FALSE)</f>
        <v>0</v>
      </c>
      <c r="AA8" s="238" t="str">
        <f>IFERROR(__xludf.DUMMYFUNCTION("""COMPUTED_VALUE"""),"UW Locked")</f>
        <v>UW Locked</v>
      </c>
      <c r="AB8" s="245" t="str">
        <f>IFERROR(__xludf.DUMMYFUNCTION("""COMPUTED_VALUE"""),"Cooldown")</f>
        <v>Cooldown</v>
      </c>
      <c r="AC8" s="304">
        <f>IFERROR(__xludf.DUMMYFUNCTION("""COMPUTED_VALUE"""),180.0)</f>
        <v>180</v>
      </c>
      <c r="AD8" s="247" t="str">
        <f>IFERROR(__xludf.DUMMYFUNCTION("""COMPUTED_VALUE"""),"00 | 180s | Cost 0 ⧌ | Next 8 ⧌")</f>
        <v>00 | 180s | Cost 0 ⧌ | Next 8 ⧌</v>
      </c>
      <c r="AE8" s="245" t="str">
        <f>IFERROR(__xludf.DUMMYFUNCTION("""COMPUTED_VALUE"""),"Coins")</f>
        <v>Coins</v>
      </c>
      <c r="AF8" s="249">
        <f>IFERROR(__xludf.DUMMYFUNCTION("""COMPUTED_VALUE"""),7.0)</f>
        <v>7</v>
      </c>
      <c r="AG8" s="250" t="b">
        <f>IFERROR(__xludf.DUMMYFUNCTION("""COMPUTED_VALUE"""),FALSE)</f>
        <v>0</v>
      </c>
      <c r="AH8" s="305" t="str">
        <f>IFERROR(__xludf.DUMMYFUNCTION("""COMPUTED_VALUE"""),"Attack Speed")</f>
        <v>Attack Speed</v>
      </c>
      <c r="AI8" s="234" t="str">
        <f>IFERROR(__xludf.DUMMYFUNCTION("""COMPUTED_VALUE"""),"Health Regen")</f>
        <v>Health Regen</v>
      </c>
      <c r="AJ8" s="267"/>
      <c r="AK8" s="259"/>
      <c r="AL8" s="226"/>
      <c r="AM8" s="238" t="str">
        <f>IFERROR(__xludf.DUMMYFUNCTION("""COMPUTED_VALUE"""),"Total Bonuses")</f>
        <v>Total Bonuses</v>
      </c>
      <c r="AN8" s="245" t="str">
        <f>IFERROR(__xludf.DUMMYFUNCTION("""COMPUTED_VALUE"""),"Active")</f>
        <v>Active</v>
      </c>
      <c r="AO8" s="254"/>
      <c r="AP8" s="238" t="str">
        <f>IFERROR(__xludf.DUMMYFUNCTION("""COMPUTED_VALUE"""),"Discount Rerolls")</f>
        <v>Discount Rerolls</v>
      </c>
      <c r="AQ8" s="278">
        <f>IFERROR(__xludf.DUMMYFUNCTION("""COMPUTED_VALUE"""),0.0)</f>
        <v>0</v>
      </c>
      <c r="AR8" s="232"/>
      <c r="AS8" s="257"/>
      <c r="AT8" s="257"/>
      <c r="AU8" s="225" t="str">
        <f>IFERROR(__xludf.DUMMYFUNCTION("""COMPUTED_VALUE"""),"Linger")</f>
        <v>Linger</v>
      </c>
      <c r="AV8" s="258">
        <f>IFERROR(__xludf.DUMMYFUNCTION("""COMPUTED_VALUE"""),0.2)</f>
        <v>0.2</v>
      </c>
      <c r="AW8" s="257" t="str">
        <f>IFERROR(__xludf.DUMMYFUNCTION("""COMPUTED_VALUE"""),"00 | 20% | Cost 0 ⧓ | Next 100 ⧓")</f>
        <v>00 | 20% | Cost 0 ⧓ | Next 100 ⧓</v>
      </c>
      <c r="AX8" s="226"/>
      <c r="AY8" s="225"/>
      <c r="AZ8" s="225"/>
      <c r="BA8" s="254"/>
      <c r="BB8" s="225" t="str">
        <f>IFERROR(__xludf.DUMMYFUNCTION("""COMPUTED_VALUE"""),"Primary Slot")</f>
        <v>Primary Slot</v>
      </c>
      <c r="BC8" s="225" t="str">
        <f>IFERROR(__xludf.DUMMYFUNCTION("""COMPUTED_VALUE"""),"Amplifying Strike")</f>
        <v>Amplifying Strike</v>
      </c>
      <c r="BD8" s="225"/>
      <c r="BE8" s="225"/>
      <c r="BF8" s="225"/>
      <c r="BG8" s="225" t="str">
        <f>IFERROR(__xludf.DUMMYFUNCTION("""COMPUTED_VALUE"""),"Primary Slot")</f>
        <v>Primary Slot</v>
      </c>
      <c r="BH8" s="225" t="str">
        <f>IFERROR(__xludf.DUMMYFUNCTION("""COMPUTED_VALUE"""),"Sharp Fortitude")</f>
        <v>Sharp Fortitude</v>
      </c>
      <c r="BI8" s="225"/>
      <c r="BJ8" s="225"/>
      <c r="BK8" s="225"/>
      <c r="BL8" s="225" t="str">
        <f>IFERROR(__xludf.DUMMYFUNCTION("""COMPUTED_VALUE"""),"Primary Slot")</f>
        <v>Primary Slot</v>
      </c>
      <c r="BM8" s="225" t="str">
        <f>IFERROR(__xludf.DUMMYFUNCTION("""COMPUTED_VALUE"""),"Singularity Harness")</f>
        <v>Singularity Harness</v>
      </c>
      <c r="BN8" s="225"/>
      <c r="BO8" s="225"/>
      <c r="BP8" s="225"/>
      <c r="BQ8" s="225" t="str">
        <f>IFERROR(__xludf.DUMMYFUNCTION("""COMPUTED_VALUE"""),"Primary Slot")</f>
        <v>Primary Slot</v>
      </c>
      <c r="BR8" s="225" t="str">
        <f>IFERROR(__xludf.DUMMYFUNCTION("""COMPUTED_VALUE"""),"Primordial Collapse")</f>
        <v>Primordial Collapse</v>
      </c>
      <c r="BS8" s="225"/>
      <c r="BT8" s="226"/>
      <c r="BU8" s="225" t="str">
        <f>IFERROR(__xludf.DUMMYFUNCTION("""COMPUTED_VALUE"""),"Bounty")</f>
        <v>Bounty</v>
      </c>
      <c r="BV8" s="225"/>
      <c r="BW8" s="225" t="str">
        <f>IFERROR(__xludf.DUMMYFUNCTION("""COMPUTED_VALUE"""),"Multiplier")</f>
        <v>Multiplier</v>
      </c>
      <c r="BX8" s="306">
        <f>IFERROR(__xludf.DUMMYFUNCTION("""COMPUTED_VALUE"""),0.01)</f>
        <v>0.01</v>
      </c>
      <c r="BY8" s="307" t="str">
        <f>IFERROR(__xludf.DUMMYFUNCTION("""COMPUTED_VALUE"""),"00 | 0.01x | Cost 0 ⧈ | Next 1 ⧈")</f>
        <v>00 | 0.01x | Cost 0 ⧈ | Next 1 ⧈</v>
      </c>
      <c r="BZ8" s="225"/>
    </row>
    <row r="9">
      <c r="A9" s="238" t="str">
        <f>IFERROR(__xludf.DUMMYFUNCTION("""COMPUTED_VALUE"""),"Buy Multiplier")</f>
        <v>Buy Multiplier</v>
      </c>
      <c r="B9" s="239">
        <f>IFERROR(__xludf.DUMMYFUNCTION("""COMPUTED_VALUE"""),4.0)</f>
        <v>4</v>
      </c>
      <c r="C9" s="225"/>
      <c r="D9" s="240">
        <f>IFERROR(__xludf.DUMMYFUNCTION("""COMPUTED_VALUE"""),4.0)</f>
        <v>4</v>
      </c>
      <c r="E9" s="225"/>
      <c r="F9" s="238" t="str">
        <f>IFERROR(__xludf.DUMMYFUNCTION("""COMPUTED_VALUE"""),"Damage / Meter")</f>
        <v>Damage / Meter</v>
      </c>
      <c r="G9" s="239">
        <f>IFERROR(__xludf.DUMMYFUNCTION("""COMPUTED_VALUE"""),180.0)</f>
        <v>180</v>
      </c>
      <c r="H9" s="225">
        <f>IFERROR(__xludf.DUMMYFUNCTION("""COMPUTED_VALUE"""),200.0)</f>
        <v>200</v>
      </c>
      <c r="I9" s="225">
        <f>IFERROR(__xludf.DUMMYFUNCTION("""COMPUTED_VALUE"""),180.0)</f>
        <v>180</v>
      </c>
      <c r="J9" s="225">
        <f>IFERROR(__xludf.DUMMYFUNCTION("""COMPUTED_VALUE"""),200.0)</f>
        <v>200</v>
      </c>
      <c r="K9" s="244"/>
      <c r="L9" s="225"/>
      <c r="M9" s="225"/>
      <c r="N9" s="225"/>
      <c r="O9" s="225"/>
      <c r="P9" s="225"/>
      <c r="Q9" s="274">
        <f>IFERROR(__xludf.DUMMYFUNCTION("""COMPUTED_VALUE"""),200.0)</f>
        <v>200</v>
      </c>
      <c r="R9" s="251" t="str">
        <f>IFERROR(__xludf.DUMMYFUNCTION("""COMPUTED_VALUE"""),"Attack Speed +")</f>
        <v>Attack Speed +</v>
      </c>
      <c r="S9" s="275">
        <f>IFERROR(__xludf.DUMMYFUNCTION("""COMPUTED_VALUE"""),1.13)</f>
        <v>1.13</v>
      </c>
      <c r="T9" s="239">
        <f>IFERROR(__xludf.DUMMYFUNCTION("""COMPUTED_VALUE"""),13.0)</f>
        <v>13</v>
      </c>
      <c r="U9" s="225">
        <f>IFERROR(__xludf.DUMMYFUNCTION("""COMPUTED_VALUE"""),13.0)</f>
        <v>13</v>
      </c>
      <c r="V9" s="225"/>
      <c r="W9" s="225"/>
      <c r="X9" s="225"/>
      <c r="Y9" s="276">
        <f>IFERROR(__xludf.DUMMYFUNCTION("""COMPUTED_VALUE"""),75.0)</f>
        <v>75</v>
      </c>
      <c r="Z9" s="245" t="str">
        <f>IFERROR(__xludf.DUMMYFUNCTION("""COMPUTED_VALUE"""),"UW+")</f>
        <v>UW+</v>
      </c>
      <c r="AA9" s="225"/>
      <c r="AB9" s="245" t="str">
        <f>IFERROR(__xludf.DUMMYFUNCTION("""COMPUTED_VALUE"""),"Cover Fire")</f>
        <v>Cover Fire</v>
      </c>
      <c r="AC9" s="308" t="str">
        <f>IFERROR(__xludf.DUMMYFUNCTION("""COMPUTED_VALUE"""),"Locked")</f>
        <v>Locked</v>
      </c>
      <c r="AD9" s="247" t="str">
        <f>IFERROR(__xludf.DUMMYFUNCTION("""COMPUTED_VALUE"""),"Lo | Locked")</f>
        <v>Lo | Locked</v>
      </c>
      <c r="AE9" s="248" t="str">
        <f>IFERROR(__xludf.DUMMYFUNCTION("""COMPUTED_VALUE"""),"Slow Aura")</f>
        <v>Slow Aura</v>
      </c>
      <c r="AF9" s="249">
        <f>IFERROR(__xludf.DUMMYFUNCTION("""COMPUTED_VALUE"""),7.0)</f>
        <v>7</v>
      </c>
      <c r="AG9" s="250" t="b">
        <f>IFERROR(__xludf.DUMMYFUNCTION("""COMPUTED_VALUE"""),FALSE)</f>
        <v>0</v>
      </c>
      <c r="AH9" s="305" t="str">
        <f>IFERROR(__xludf.DUMMYFUNCTION("""COMPUTED_VALUE"""),"Wave Skip")</f>
        <v>Wave Skip</v>
      </c>
      <c r="AI9" s="234" t="str">
        <f>IFERROR(__xludf.DUMMYFUNCTION("""COMPUTED_VALUE"""),"Plasma Cannon")</f>
        <v>Plasma Cannon</v>
      </c>
      <c r="AJ9" s="267"/>
      <c r="AK9" s="259"/>
      <c r="AL9" s="226"/>
      <c r="AM9" s="238" t="str">
        <f>IFERROR(__xludf.DUMMYFUNCTION("""COMPUTED_VALUE"""),"Misc.")</f>
        <v>Misc.</v>
      </c>
      <c r="AN9" s="225"/>
      <c r="AO9" s="254"/>
      <c r="AP9" s="238" t="str">
        <f>IFERROR(__xludf.DUMMYFUNCTION("""COMPUTED_VALUE"""),"Additional Card Slot")</f>
        <v>Additional Card Slot</v>
      </c>
      <c r="AQ9" s="309">
        <f>IFERROR(__xludf.DUMMYFUNCTION("""COMPUTED_VALUE"""),0.0)</f>
        <v>0</v>
      </c>
      <c r="AR9" s="226"/>
      <c r="AS9" s="289" t="b">
        <f>IFERROR(__xludf.DUMMYFUNCTION("""COMPUTED_VALUE"""),FALSE)</f>
        <v>0</v>
      </c>
      <c r="AT9" s="225" t="str">
        <f>IFERROR(__xludf.DUMMYFUNCTION("""COMPUTED_VALUE"""),"Locked")</f>
        <v>Locked</v>
      </c>
      <c r="AU9" s="225" t="str">
        <f>IFERROR(__xludf.DUMMYFUNCTION("""COMPUTED_VALUE"""),"Range")</f>
        <v>Range</v>
      </c>
      <c r="AV9" s="310">
        <f>IFERROR(__xludf.DUMMYFUNCTION("""COMPUTED_VALUE"""),25.0)</f>
        <v>25</v>
      </c>
      <c r="AW9" s="291" t="str">
        <f>IFERROR(__xludf.DUMMYFUNCTION("""COMPUTED_VALUE"""),"00 | 25m | Cost 0 ⧓ | Next 100 ⧓")</f>
        <v>00 | 25m | Cost 0 ⧓ | Next 100 ⧓</v>
      </c>
      <c r="AX9" s="226"/>
      <c r="AY9" s="225"/>
      <c r="AZ9" s="225"/>
      <c r="BA9" s="311"/>
      <c r="BB9" s="291" t="str">
        <f>IFERROR(__xludf.DUMMYFUNCTION("""COMPUTED_VALUE"""),"Assist Slot")</f>
        <v>Assist Slot</v>
      </c>
      <c r="BC9" s="225"/>
      <c r="BD9" s="225"/>
      <c r="BE9" s="225"/>
      <c r="BF9" s="225"/>
      <c r="BG9" s="225" t="str">
        <f>IFERROR(__xludf.DUMMYFUNCTION("""COMPUTED_VALUE"""),"Assist Slot")</f>
        <v>Assist Slot</v>
      </c>
      <c r="BH9" s="225" t="str">
        <f>IFERROR(__xludf.DUMMYFUNCTION("""COMPUTED_VALUE"""),"Orbital Augment")</f>
        <v>Orbital Augment</v>
      </c>
      <c r="BI9" s="225"/>
      <c r="BJ9" s="225"/>
      <c r="BK9" s="225"/>
      <c r="BL9" s="225" t="str">
        <f>IFERROR(__xludf.DUMMYFUNCTION("""COMPUTED_VALUE"""),"Assist Slot")</f>
        <v>Assist Slot</v>
      </c>
      <c r="BM9" s="225" t="str">
        <f>IFERROR(__xludf.DUMMYFUNCTION("""COMPUTED_VALUE"""),"Pulsar Harvester")</f>
        <v>Pulsar Harvester</v>
      </c>
      <c r="BN9" s="225"/>
      <c r="BO9" s="225"/>
      <c r="BP9" s="225"/>
      <c r="BQ9" s="225" t="str">
        <f>IFERROR(__xludf.DUMMYFUNCTION("""COMPUTED_VALUE"""),"Assist Slot")</f>
        <v>Assist Slot</v>
      </c>
      <c r="BR9" s="225" t="str">
        <f>IFERROR(__xludf.DUMMYFUNCTION("""COMPUTED_VALUE"""),"Dimension Core")</f>
        <v>Dimension Core</v>
      </c>
      <c r="BS9" s="225"/>
      <c r="BT9" s="226"/>
      <c r="BU9" s="225"/>
      <c r="BV9" s="225"/>
      <c r="BW9" s="225" t="str">
        <f>IFERROR(__xludf.DUMMYFUNCTION("""COMPUTED_VALUE"""),"Cooldown")</f>
        <v>Cooldown</v>
      </c>
      <c r="BX9" s="273">
        <f>IFERROR(__xludf.DUMMYFUNCTION("""COMPUTED_VALUE"""),120.0)</f>
        <v>120</v>
      </c>
      <c r="BY9" s="307" t="str">
        <f>IFERROR(__xludf.DUMMYFUNCTION("""COMPUTED_VALUE"""),"00 | 120s | Cost 0 ⧈ | Next 2 ⧈")</f>
        <v>00 | 120s | Cost 0 ⧈ | Next 2 ⧈</v>
      </c>
      <c r="BZ9" s="225"/>
    </row>
    <row r="10">
      <c r="A10" s="238" t="str">
        <f>IFERROR(__xludf.DUMMYFUNCTION("""COMPUTED_VALUE"""),"More Round Stats")</f>
        <v>More Round Stats</v>
      </c>
      <c r="B10" s="239">
        <f>IFERROR(__xludf.DUMMYFUNCTION("""COMPUTED_VALUE"""),1.0)</f>
        <v>1</v>
      </c>
      <c r="C10" s="225"/>
      <c r="D10" s="240">
        <f>IFERROR(__xludf.DUMMYFUNCTION("""COMPUTED_VALUE"""),1.0)</f>
        <v>1</v>
      </c>
      <c r="E10" s="261" t="b">
        <f>IFERROR(__xludf.DUMMYFUNCTION("""COMPUTED_VALUE"""),TRUE)</f>
        <v>1</v>
      </c>
      <c r="F10" s="238" t="str">
        <f>IFERROR(__xludf.DUMMYFUNCTION("""COMPUTED_VALUE"""),"Multishot Chance")</f>
        <v>Multishot Chance</v>
      </c>
      <c r="G10" s="239">
        <f>IFERROR(__xludf.DUMMYFUNCTION("""COMPUTED_VALUE"""),99.0)</f>
        <v>99</v>
      </c>
      <c r="H10" s="225">
        <f>IFERROR(__xludf.DUMMYFUNCTION("""COMPUTED_VALUE"""),99.0)</f>
        <v>99</v>
      </c>
      <c r="I10" s="225">
        <f>IFERROR(__xludf.DUMMYFUNCTION("""COMPUTED_VALUE"""),99.0)</f>
        <v>99</v>
      </c>
      <c r="J10" s="225">
        <f>IFERROR(__xludf.DUMMYFUNCTION("""COMPUTED_VALUE"""),99.0)</f>
        <v>99</v>
      </c>
      <c r="K10" s="244"/>
      <c r="L10" s="225"/>
      <c r="M10" s="225"/>
      <c r="N10" s="225"/>
      <c r="O10" s="225"/>
      <c r="P10" s="225"/>
      <c r="Q10" s="274">
        <f>IFERROR(__xludf.DUMMYFUNCTION("""COMPUTED_VALUE"""),99.0)</f>
        <v>99</v>
      </c>
      <c r="R10" s="251" t="str">
        <f>IFERROR(__xludf.DUMMYFUNCTION("""COMPUTED_VALUE"""),"Health +")</f>
        <v>Health +</v>
      </c>
      <c r="S10" s="275">
        <f>IFERROR(__xludf.DUMMYFUNCTION("""COMPUTED_VALUE"""),1.62)</f>
        <v>1.62</v>
      </c>
      <c r="T10" s="239">
        <f>IFERROR(__xludf.DUMMYFUNCTION("""COMPUTED_VALUE"""),62.0)</f>
        <v>62</v>
      </c>
      <c r="U10" s="225">
        <f>IFERROR(__xludf.DUMMYFUNCTION("""COMPUTED_VALUE"""),62.0)</f>
        <v>62</v>
      </c>
      <c r="V10" s="225"/>
      <c r="W10" s="225"/>
      <c r="X10" s="225"/>
      <c r="Y10" s="276">
        <f>IFERROR(__xludf.DUMMYFUNCTION("""COMPUTED_VALUE"""),400.0)</f>
        <v>400</v>
      </c>
      <c r="Z10" s="245" t="str">
        <f>IFERROR(__xludf.DUMMYFUNCTION("""COMPUTED_VALUE"""),"Death Wave")</f>
        <v>Death Wave</v>
      </c>
      <c r="AA10" s="225"/>
      <c r="AB10" s="245" t="str">
        <f>IFERROR(__xludf.DUMMYFUNCTION("""COMPUTED_VALUE"""),"Damage")</f>
        <v>Damage</v>
      </c>
      <c r="AC10" s="246">
        <f>IFERROR(__xludf.DUMMYFUNCTION("""COMPUTED_VALUE"""),63.0)</f>
        <v>63</v>
      </c>
      <c r="AD10" s="253" t="str">
        <f>IFERROR(__xludf.DUMMYFUNCTION("""COMPUTED_VALUE"""),"08 | x63 | Cost 47 ⧌ | Next 53 ⧌")</f>
        <v>08 | x63 | Cost 47 ⧌ | Next 53 ⧌</v>
      </c>
      <c r="AE10" s="245" t="str">
        <f>IFERROR(__xludf.DUMMYFUNCTION("""COMPUTED_VALUE"""),"Critical Chance")</f>
        <v>Critical Chance</v>
      </c>
      <c r="AF10" s="249">
        <f>IFERROR(__xludf.DUMMYFUNCTION("""COMPUTED_VALUE"""),7.0)</f>
        <v>7</v>
      </c>
      <c r="AG10" s="250" t="b">
        <f>IFERROR(__xludf.DUMMYFUNCTION("""COMPUTED_VALUE"""),FALSE)</f>
        <v>0</v>
      </c>
      <c r="AH10" s="230" t="str">
        <f>IFERROR(__xludf.DUMMYFUNCTION("""COMPUTED_VALUE"""),"Health Regen")</f>
        <v>Health Regen</v>
      </c>
      <c r="AI10" s="225" t="str">
        <f>IFERROR(__xludf.DUMMYFUNCTION("""COMPUTED_VALUE"""),"Wave Skip")</f>
        <v>Wave Skip</v>
      </c>
      <c r="AJ10" s="267"/>
      <c r="AK10" s="259"/>
      <c r="AL10" s="232"/>
      <c r="AM10" s="245" t="str">
        <f>IFERROR(__xludf.DUMMYFUNCTION("""COMPUTED_VALUE"""),"Lab Speed")</f>
        <v>Lab Speed</v>
      </c>
      <c r="AN10" s="278">
        <f>IFERROR(__xludf.DUMMYFUNCTION("""COMPUTED_VALUE"""),0.395)</f>
        <v>0.395</v>
      </c>
      <c r="AO10" s="254"/>
      <c r="AP10" s="245" t="str">
        <f>IFERROR(__xludf.DUMMYFUNCTION("""COMPUTED_VALUE"""),"Workshop Respec Discount")</f>
        <v>Workshop Respec Discount</v>
      </c>
      <c r="AQ10" s="278">
        <f>IFERROR(__xludf.DUMMYFUNCTION("""COMPUTED_VALUE"""),0.0)</f>
        <v>0</v>
      </c>
      <c r="AR10" s="232"/>
      <c r="AS10" s="234" t="str">
        <f>IFERROR(__xludf.DUMMYFUNCTION("""COMPUTED_VALUE"""),"Golden Bot")</f>
        <v>Golden Bot</v>
      </c>
      <c r="AT10" s="257"/>
      <c r="AU10" s="257" t="str">
        <f>IFERROR(__xludf.DUMMYFUNCTION("""COMPUTED_VALUE"""),"Duration")</f>
        <v>Duration</v>
      </c>
      <c r="AV10" s="312">
        <f>IFERROR(__xludf.DUMMYFUNCTION("""COMPUTED_VALUE"""),26.0)</f>
        <v>26</v>
      </c>
      <c r="AW10" s="234" t="str">
        <f>IFERROR(__xludf.DUMMYFUNCTION("""COMPUTED_VALUE"""),"12 | 26.0s | Cost 540 ⧓ | Next 580 ⧓")</f>
        <v>12 | 26.0s | Cost 540 ⧓ | Next 580 ⧓</v>
      </c>
      <c r="AX10" s="226"/>
      <c r="AY10" s="225"/>
      <c r="AZ10" s="225"/>
      <c r="BA10" s="313"/>
      <c r="BB10" s="234"/>
      <c r="BC10" s="225"/>
      <c r="BD10" s="225"/>
      <c r="BE10" s="225"/>
      <c r="BF10" s="225"/>
      <c r="BG10" s="225"/>
      <c r="BH10" s="225"/>
      <c r="BI10" s="225"/>
      <c r="BJ10" s="225"/>
      <c r="BK10" s="225"/>
      <c r="BL10" s="225"/>
      <c r="BM10" s="225"/>
      <c r="BN10" s="225"/>
      <c r="BO10" s="225"/>
      <c r="BP10" s="225"/>
      <c r="BQ10" s="225"/>
      <c r="BR10" s="225"/>
      <c r="BS10" s="225"/>
      <c r="BT10" s="226"/>
      <c r="BU10" s="261" t="b">
        <f>IFERROR(__xludf.DUMMYFUNCTION("""COMPUTED_VALUE"""),FALSE)</f>
        <v>0</v>
      </c>
      <c r="BV10" s="284" t="str">
        <f>IFERROR(__xludf.DUMMYFUNCTION("""COMPUTED_VALUE"""),"Locked")</f>
        <v>Locked</v>
      </c>
      <c r="BW10" s="225" t="str">
        <f>IFERROR(__xludf.DUMMYFUNCTION("""COMPUTED_VALUE"""),"Targets")</f>
        <v>Targets</v>
      </c>
      <c r="BX10" s="307">
        <f>IFERROR(__xludf.DUMMYFUNCTION("""COMPUTED_VALUE"""),1.0)</f>
        <v>1</v>
      </c>
      <c r="BY10" s="307" t="str">
        <f>IFERROR(__xludf.DUMMYFUNCTION("""COMPUTED_VALUE"""),"00 | 1 | Cost 0 ⧈ | Next 100 ⧈")</f>
        <v>00 | 1 | Cost 0 ⧈ | Next 100 ⧈</v>
      </c>
      <c r="BZ10" s="225"/>
    </row>
    <row r="11">
      <c r="A11" s="238" t="str">
        <f>IFERROR(__xludf.DUMMYFUNCTION("""COMPUTED_VALUE"""),"Target Priority")</f>
        <v>Target Priority</v>
      </c>
      <c r="B11" s="239">
        <f>IFERROR(__xludf.DUMMYFUNCTION("""COMPUTED_VALUE"""),2.0)</f>
        <v>2</v>
      </c>
      <c r="C11" s="225"/>
      <c r="D11" s="240">
        <f>IFERROR(__xludf.DUMMYFUNCTION("""COMPUTED_VALUE"""),2.0)</f>
        <v>2</v>
      </c>
      <c r="E11" s="225"/>
      <c r="F11" s="238" t="str">
        <f>IFERROR(__xludf.DUMMYFUNCTION("""COMPUTED_VALUE"""),"Multishot Targets")</f>
        <v>Multishot Targets</v>
      </c>
      <c r="G11" s="239">
        <f>IFERROR(__xludf.DUMMYFUNCTION("""COMPUTED_VALUE"""),7.0)</f>
        <v>7</v>
      </c>
      <c r="H11" s="225">
        <f>IFERROR(__xludf.DUMMYFUNCTION("""COMPUTED_VALUE"""),7.0)</f>
        <v>7</v>
      </c>
      <c r="I11" s="225">
        <f>IFERROR(__xludf.DUMMYFUNCTION("""COMPUTED_VALUE"""),7.0)</f>
        <v>7</v>
      </c>
      <c r="J11" s="225">
        <f>IFERROR(__xludf.DUMMYFUNCTION("""COMPUTED_VALUE"""),7.0)</f>
        <v>7</v>
      </c>
      <c r="K11" s="244"/>
      <c r="L11" s="225"/>
      <c r="M11" s="225"/>
      <c r="N11" s="225"/>
      <c r="O11" s="225"/>
      <c r="P11" s="225"/>
      <c r="Q11" s="274">
        <f>IFERROR(__xludf.DUMMYFUNCTION("""COMPUTED_VALUE"""),7.0)</f>
        <v>7</v>
      </c>
      <c r="R11" s="251" t="str">
        <f>IFERROR(__xludf.DUMMYFUNCTION("""COMPUTED_VALUE"""),"Health Regen +")</f>
        <v>Health Regen +</v>
      </c>
      <c r="S11" s="275">
        <f>IFERROR(__xludf.DUMMYFUNCTION("""COMPUTED_VALUE"""),1.6)</f>
        <v>1.6</v>
      </c>
      <c r="T11" s="239">
        <f>IFERROR(__xludf.DUMMYFUNCTION("""COMPUTED_VALUE"""),60.0)</f>
        <v>60</v>
      </c>
      <c r="U11" s="225">
        <f>IFERROR(__xludf.DUMMYFUNCTION("""COMPUTED_VALUE"""),60.0)</f>
        <v>60</v>
      </c>
      <c r="V11" s="225"/>
      <c r="W11" s="225"/>
      <c r="X11" s="225"/>
      <c r="Y11" s="276">
        <f>IFERROR(__xludf.DUMMYFUNCTION("""COMPUTED_VALUE"""),400.0)</f>
        <v>400</v>
      </c>
      <c r="Z11" s="257"/>
      <c r="AA11" s="225"/>
      <c r="AB11" s="245" t="str">
        <f>IFERROR(__xludf.DUMMYFUNCTION("""COMPUTED_VALUE"""),"Quantity")</f>
        <v>Quantity</v>
      </c>
      <c r="AC11" s="314">
        <f>IFERROR(__xludf.DUMMYFUNCTION("""COMPUTED_VALUE"""),3.0)</f>
        <v>3</v>
      </c>
      <c r="AD11" s="301" t="str">
        <f>IFERROR(__xludf.DUMMYFUNCTION("""COMPUTED_VALUE"""),"02 | #3 | Cost 500 ⧌ | Next 850 ⧌")</f>
        <v>02 | #3 | Cost 500 ⧌ | Next 850 ⧌</v>
      </c>
      <c r="AE11" s="248" t="str">
        <f>IFERROR(__xludf.DUMMYFUNCTION("""COMPUTED_VALUE"""),"Enemy Balance")</f>
        <v>Enemy Balance</v>
      </c>
      <c r="AF11" s="249">
        <f>IFERROR(__xludf.DUMMYFUNCTION("""COMPUTED_VALUE"""),7.0)</f>
        <v>7</v>
      </c>
      <c r="AG11" s="250" t="b">
        <f>IFERROR(__xludf.DUMMYFUNCTION("""COMPUTED_VALUE"""),FALSE)</f>
        <v>0</v>
      </c>
      <c r="AH11" s="315" t="str">
        <f>IFERROR(__xludf.DUMMYFUNCTION("""COMPUTED_VALUE"""),"Wave Accelerator")</f>
        <v>Wave Accelerator</v>
      </c>
      <c r="AI11" s="225" t="str">
        <f>IFERROR(__xludf.DUMMYFUNCTION("""COMPUTED_VALUE"""),"Energy Shield")</f>
        <v>Energy Shield</v>
      </c>
      <c r="AJ11" s="267"/>
      <c r="AK11" s="259"/>
      <c r="AL11" s="297"/>
      <c r="AM11" s="238" t="str">
        <f>IFERROR(__xludf.DUMMYFUNCTION("""COMPUTED_VALUE"""),"Bot Range")</f>
        <v>Bot Range</v>
      </c>
      <c r="AN11" s="316">
        <f>IFERROR(__xludf.DUMMYFUNCTION("""COMPUTED_VALUE"""),9.0)</f>
        <v>9</v>
      </c>
      <c r="AO11" s="254"/>
      <c r="AP11" s="245" t="str">
        <f>IFERROR(__xludf.DUMMYFUNCTION("""COMPUTED_VALUE"""),"Bot Respec Discount")</f>
        <v>Bot Respec Discount</v>
      </c>
      <c r="AQ11" s="296">
        <f>IFERROR(__xludf.DUMMYFUNCTION("""COMPUTED_VALUE"""),0.0)</f>
        <v>0</v>
      </c>
      <c r="AR11" s="226"/>
      <c r="AS11" s="317"/>
      <c r="AT11" s="291"/>
      <c r="AU11" s="225" t="str">
        <f>IFERROR(__xludf.DUMMYFUNCTION("""COMPUTED_VALUE"""),"Cooldown")</f>
        <v>Cooldown</v>
      </c>
      <c r="AV11" s="318">
        <f>IFERROR(__xludf.DUMMYFUNCTION("""COMPUTED_VALUE"""),111.0)</f>
        <v>111</v>
      </c>
      <c r="AW11" s="234" t="str">
        <f>IFERROR(__xludf.DUMMYFUNCTION("""COMPUTED_VALUE"""),"03 | 111s | Cost 180 ⧓ | Next 220 ⧓")</f>
        <v>03 | 111s | Cost 180 ⧓ | Next 220 ⧓</v>
      </c>
      <c r="AX11" s="226"/>
      <c r="AY11" s="225"/>
      <c r="AZ11" s="225"/>
      <c r="BA11" s="319"/>
      <c r="BB11" s="234" t="str">
        <f>IFERROR(__xludf.DUMMYFUNCTION("""COMPUTED_VALUE"""),"Tourney")</f>
        <v>Tourney</v>
      </c>
      <c r="BC11" s="225"/>
      <c r="BD11" s="225"/>
      <c r="BE11" s="225"/>
      <c r="BF11" s="225"/>
      <c r="BG11" s="225" t="str">
        <f>IFERROR(__xludf.DUMMYFUNCTION("""COMPUTED_VALUE"""),"Tourney")</f>
        <v>Tourney</v>
      </c>
      <c r="BH11" s="225"/>
      <c r="BI11" s="225"/>
      <c r="BJ11" s="225"/>
      <c r="BK11" s="225"/>
      <c r="BL11" s="225" t="str">
        <f>IFERROR(__xludf.DUMMYFUNCTION("""COMPUTED_VALUE"""),"Tourney")</f>
        <v>Tourney</v>
      </c>
      <c r="BM11" s="225"/>
      <c r="BN11" s="225"/>
      <c r="BO11" s="225"/>
      <c r="BP11" s="225"/>
      <c r="BQ11" s="225" t="str">
        <f>IFERROR(__xludf.DUMMYFUNCTION("""COMPUTED_VALUE"""),"Tourney")</f>
        <v>Tourney</v>
      </c>
      <c r="BR11" s="225"/>
      <c r="BS11" s="225"/>
      <c r="BT11" s="226"/>
      <c r="BU11" s="225" t="str">
        <f>IFERROR(__xludf.DUMMYFUNCTION("""COMPUTED_VALUE"""),"Fetch")</f>
        <v>Fetch</v>
      </c>
      <c r="BV11" s="225"/>
      <c r="BW11" s="225" t="str">
        <f>IFERROR(__xludf.DUMMYFUNCTION("""COMPUTED_VALUE"""),"Cooldown")</f>
        <v>Cooldown</v>
      </c>
      <c r="BX11" s="273">
        <f>IFERROR(__xludf.DUMMYFUNCTION("""COMPUTED_VALUE"""),88.0)</f>
        <v>88</v>
      </c>
      <c r="BY11" s="307" t="str">
        <f>IFERROR(__xludf.DUMMYFUNCTION("""COMPUTED_VALUE"""),"32 | 88.0s | Cost 64 ⧈ | Next 66 ⧈")</f>
        <v>32 | 88.0s | Cost 64 ⧈ | Next 66 ⧈</v>
      </c>
      <c r="BZ11" s="225"/>
    </row>
    <row r="12">
      <c r="A12" s="238" t="str">
        <f>IFERROR(__xludf.DUMMYFUNCTION("""COMPUTED_VALUE"""),"Card Presets")</f>
        <v>Card Presets</v>
      </c>
      <c r="B12" s="239">
        <f>IFERROR(__xludf.DUMMYFUNCTION("""COMPUTED_VALUE"""),1.0)</f>
        <v>1</v>
      </c>
      <c r="C12" s="225"/>
      <c r="D12" s="240">
        <f>IFERROR(__xludf.DUMMYFUNCTION("""COMPUTED_VALUE"""),1.0)</f>
        <v>1</v>
      </c>
      <c r="E12" s="261" t="b">
        <f>IFERROR(__xludf.DUMMYFUNCTION("""COMPUTED_VALUE"""),TRUE)</f>
        <v>1</v>
      </c>
      <c r="F12" s="238" t="str">
        <f>IFERROR(__xludf.DUMMYFUNCTION("""COMPUTED_VALUE"""),"Rapid Fire Chance")</f>
        <v>Rapid Fire Chance</v>
      </c>
      <c r="G12" s="239">
        <f>IFERROR(__xludf.DUMMYFUNCTION("""COMPUTED_VALUE"""),85.0)</f>
        <v>85</v>
      </c>
      <c r="H12" s="225">
        <f>IFERROR(__xludf.DUMMYFUNCTION("""COMPUTED_VALUE"""),85.0)</f>
        <v>85</v>
      </c>
      <c r="I12" s="225">
        <f>IFERROR(__xludf.DUMMYFUNCTION("""COMPUTED_VALUE"""),85.0)</f>
        <v>85</v>
      </c>
      <c r="J12" s="225">
        <f>IFERROR(__xludf.DUMMYFUNCTION("""COMPUTED_VALUE"""),85.0)</f>
        <v>85</v>
      </c>
      <c r="K12" s="244"/>
      <c r="L12" s="225"/>
      <c r="M12" s="225"/>
      <c r="N12" s="225"/>
      <c r="O12" s="284"/>
      <c r="P12" s="225"/>
      <c r="Q12" s="274">
        <f>IFERROR(__xludf.DUMMYFUNCTION("""COMPUTED_VALUE"""),85.0)</f>
        <v>85</v>
      </c>
      <c r="R12" s="251" t="str">
        <f>IFERROR(__xludf.DUMMYFUNCTION("""COMPUTED_VALUE"""),"Defense Absolute +")</f>
        <v>Defense Absolute +</v>
      </c>
      <c r="S12" s="275">
        <f>IFERROR(__xludf.DUMMYFUNCTION("""COMPUTED_VALUE"""),1.0)</f>
        <v>1</v>
      </c>
      <c r="T12" s="239">
        <f>IFERROR(__xludf.DUMMYFUNCTION("""COMPUTED_VALUE"""),0.0)</f>
        <v>0</v>
      </c>
      <c r="U12" s="225">
        <f>IFERROR(__xludf.DUMMYFUNCTION("""COMPUTED_VALUE"""),0.0)</f>
        <v>0</v>
      </c>
      <c r="V12" s="225"/>
      <c r="W12" s="225"/>
      <c r="X12" s="225"/>
      <c r="Y12" s="276">
        <f>IFERROR(__xludf.DUMMYFUNCTION("""COMPUTED_VALUE"""),400.0)</f>
        <v>400</v>
      </c>
      <c r="Z12" s="320" t="b">
        <f>IFERROR(__xludf.DUMMYFUNCTION("""COMPUTED_VALUE"""),TRUE)</f>
        <v>1</v>
      </c>
      <c r="AA12" s="288" t="str">
        <f>IFERROR(__xludf.DUMMYFUNCTION("""COMPUTED_VALUE"""),"UW Unlocked")</f>
        <v>UW Unlocked</v>
      </c>
      <c r="AB12" s="245" t="str">
        <f>IFERROR(__xludf.DUMMYFUNCTION("""COMPUTED_VALUE"""),"Cooldown")</f>
        <v>Cooldown</v>
      </c>
      <c r="AC12" s="321">
        <f>IFERROR(__xludf.DUMMYFUNCTION("""COMPUTED_VALUE"""),180.0)</f>
        <v>180</v>
      </c>
      <c r="AD12" s="301" t="str">
        <f>IFERROR(__xludf.DUMMYFUNCTION("""COMPUTED_VALUE"""),"12 | 180s | Cost 184 ⧌ | Next 200 ⧌")</f>
        <v>12 | 180s | Cost 184 ⧌ | Next 200 ⧌</v>
      </c>
      <c r="AE12" s="248" t="str">
        <f>IFERROR(__xludf.DUMMYFUNCTION("""COMPUTED_VALUE"""),"Extra Defense")</f>
        <v>Extra Defense</v>
      </c>
      <c r="AF12" s="249">
        <f>IFERROR(__xludf.DUMMYFUNCTION("""COMPUTED_VALUE"""),7.0)</f>
        <v>7</v>
      </c>
      <c r="AG12" s="250" t="b">
        <f>IFERROR(__xludf.DUMMYFUNCTION("""COMPUTED_VALUE"""),FALSE)</f>
        <v>0</v>
      </c>
      <c r="AH12" s="271" t="str">
        <f>IFERROR(__xludf.DUMMYFUNCTION("""COMPUTED_VALUE"""),"Critical Coin")</f>
        <v>Critical Coin</v>
      </c>
      <c r="AI12" s="225" t="str">
        <f>IFERROR(__xludf.DUMMYFUNCTION("""COMPUTED_VALUE"""),"Ultimate Crit")</f>
        <v>Ultimate Crit</v>
      </c>
      <c r="AJ12" s="267"/>
      <c r="AK12" s="259"/>
      <c r="AL12" s="226"/>
      <c r="AM12" s="238" t="str">
        <f>IFERROR(__xludf.DUMMYFUNCTION("""COMPUTED_VALUE"""),"Damage‎ ")</f>
        <v>Damage‎ </v>
      </c>
      <c r="AN12" s="225"/>
      <c r="AO12" s="254"/>
      <c r="AP12" s="238" t="str">
        <f>IFERROR(__xludf.DUMMYFUNCTION("""COMPUTED_VALUE"""),"Ad Gems Stack")</f>
        <v>Ad Gems Stack</v>
      </c>
      <c r="AQ12" s="225">
        <f>IFERROR(__xludf.DUMMYFUNCTION("""COMPUTED_VALUE"""),1.0)</f>
        <v>1</v>
      </c>
      <c r="AR12" s="226"/>
      <c r="AS12" s="225"/>
      <c r="AT12" s="225"/>
      <c r="AU12" s="225" t="str">
        <f>IFERROR(__xludf.DUMMYFUNCTION("""COMPUTED_VALUE"""),"Bonus")</f>
        <v>Bonus</v>
      </c>
      <c r="AV12" s="322">
        <f>IFERROR(__xludf.DUMMYFUNCTION("""COMPUTED_VALUE"""),6.200000000000004)</f>
        <v>6.2</v>
      </c>
      <c r="AW12" s="234" t="str">
        <f>IFERROR(__xludf.DUMMYFUNCTION("""COMPUTED_VALUE"""),"21 | x6.2 | Cost 900 ⧓ | Next 940 ⧓")</f>
        <v>21 | x6.2 | Cost 900 ⧓ | Next 940 ⧓</v>
      </c>
      <c r="AX12" s="226"/>
      <c r="AY12" s="225"/>
      <c r="AZ12" s="225"/>
      <c r="BA12" s="323"/>
      <c r="BB12" s="234" t="str">
        <f>IFERROR(__xludf.DUMMYFUNCTION("""COMPUTED_VALUE"""),"Primary Slot")</f>
        <v>Primary Slot</v>
      </c>
      <c r="BC12" s="225" t="str">
        <f>IFERROR(__xludf.DUMMYFUNCTION("""COMPUTED_VALUE"""),"Amplifying Strike")</f>
        <v>Amplifying Strike</v>
      </c>
      <c r="BD12" s="225"/>
      <c r="BE12" s="225"/>
      <c r="BF12" s="225"/>
      <c r="BG12" s="225" t="str">
        <f>IFERROR(__xludf.DUMMYFUNCTION("""COMPUTED_VALUE"""),"Primary Slot")</f>
        <v>Primary Slot</v>
      </c>
      <c r="BH12" s="225" t="str">
        <f>IFERROR(__xludf.DUMMYFUNCTION("""COMPUTED_VALUE"""),"Sharp Fortitude")</f>
        <v>Sharp Fortitude</v>
      </c>
      <c r="BI12" s="225"/>
      <c r="BJ12" s="225"/>
      <c r="BK12" s="225"/>
      <c r="BL12" s="225" t="str">
        <f>IFERROR(__xludf.DUMMYFUNCTION("""COMPUTED_VALUE"""),"Primary Slot")</f>
        <v>Primary Slot</v>
      </c>
      <c r="BM12" s="225" t="str">
        <f>IFERROR(__xludf.DUMMYFUNCTION("""COMPUTED_VALUE"""),"Project Funding")</f>
        <v>Project Funding</v>
      </c>
      <c r="BN12" s="225"/>
      <c r="BO12" s="225"/>
      <c r="BP12" s="225"/>
      <c r="BQ12" s="225" t="str">
        <f>IFERROR(__xludf.DUMMYFUNCTION("""COMPUTED_VALUE"""),"Primary Slot")</f>
        <v>Primary Slot</v>
      </c>
      <c r="BR12" s="225" t="str">
        <f>IFERROR(__xludf.DUMMYFUNCTION("""COMPUTED_VALUE"""),"Primordial Collapse")</f>
        <v>Primordial Collapse</v>
      </c>
      <c r="BS12" s="225"/>
      <c r="BT12" s="226"/>
      <c r="BU12" s="225"/>
      <c r="BV12" s="225"/>
      <c r="BW12" s="225" t="str">
        <f>IFERROR(__xludf.DUMMYFUNCTION("""COMPUTED_VALUE"""),"Find Chance")</f>
        <v>Find Chance</v>
      </c>
      <c r="BX12" s="258">
        <f>IFERROR(__xludf.DUMMYFUNCTION("""COMPUTED_VALUE"""),0.3700000000000002)</f>
        <v>0.37</v>
      </c>
      <c r="BY12" s="307" t="str">
        <f>IFERROR(__xludf.DUMMYFUNCTION("""COMPUTED_VALUE"""),"27 | 37% | Cost 150 ⧈ | Next 155 ⧈")</f>
        <v>27 | 37% | Cost 150 ⧈ | Next 155 ⧈</v>
      </c>
      <c r="BZ12" s="225"/>
    </row>
    <row r="13">
      <c r="A13" s="238" t="str">
        <f>IFERROR(__xludf.DUMMYFUNCTION("""COMPUTED_VALUE"""),"Workshop Respec")</f>
        <v>Workshop Respec</v>
      </c>
      <c r="B13" s="239">
        <f>IFERROR(__xludf.DUMMYFUNCTION("""COMPUTED_VALUE"""),1.0)</f>
        <v>1</v>
      </c>
      <c r="C13" s="225"/>
      <c r="D13" s="240">
        <f>IFERROR(__xludf.DUMMYFUNCTION("""COMPUTED_VALUE"""),1.0)</f>
        <v>1</v>
      </c>
      <c r="E13" s="225"/>
      <c r="F13" s="238" t="str">
        <f>IFERROR(__xludf.DUMMYFUNCTION("""COMPUTED_VALUE"""),"Rapid Fire Duration")</f>
        <v>Rapid Fire Duration</v>
      </c>
      <c r="G13" s="239">
        <f>IFERROR(__xludf.DUMMYFUNCTION("""COMPUTED_VALUE"""),99.0)</f>
        <v>99</v>
      </c>
      <c r="H13" s="225">
        <f>IFERROR(__xludf.DUMMYFUNCTION("""COMPUTED_VALUE"""),99.0)</f>
        <v>99</v>
      </c>
      <c r="I13" s="225">
        <f>IFERROR(__xludf.DUMMYFUNCTION("""COMPUTED_VALUE"""),99.0)</f>
        <v>99</v>
      </c>
      <c r="J13" s="225">
        <f>IFERROR(__xludf.DUMMYFUNCTION("""COMPUTED_VALUE"""),99.0)</f>
        <v>99</v>
      </c>
      <c r="K13" s="244"/>
      <c r="L13" s="225"/>
      <c r="M13" s="225"/>
      <c r="N13" s="225"/>
      <c r="O13" s="225"/>
      <c r="P13" s="225"/>
      <c r="Q13" s="274">
        <f>IFERROR(__xludf.DUMMYFUNCTION("""COMPUTED_VALUE"""),99.0)</f>
        <v>99</v>
      </c>
      <c r="R13" s="251" t="str">
        <f>IFERROR(__xludf.DUMMYFUNCTION("""COMPUTED_VALUE"""),"Land Mine Damage +")</f>
        <v>Land Mine Damage +</v>
      </c>
      <c r="S13" s="275">
        <f>IFERROR(__xludf.DUMMYFUNCTION("""COMPUTED_VALUE"""),2.08)</f>
        <v>2.08</v>
      </c>
      <c r="T13" s="239">
        <f>IFERROR(__xludf.DUMMYFUNCTION("""COMPUTED_VALUE"""),18.0)</f>
        <v>18</v>
      </c>
      <c r="U13" s="225">
        <f>IFERROR(__xludf.DUMMYFUNCTION("""COMPUTED_VALUE"""),18.0)</f>
        <v>18</v>
      </c>
      <c r="V13" s="225"/>
      <c r="W13" s="225"/>
      <c r="X13" s="225"/>
      <c r="Y13" s="276">
        <f>IFERROR(__xludf.DUMMYFUNCTION("""COMPUTED_VALUE"""),400.0)</f>
        <v>400</v>
      </c>
      <c r="Z13" s="245" t="str">
        <f>IFERROR(__xludf.DUMMYFUNCTION("""COMPUTED_VALUE"""),"UW+")</f>
        <v>UW+</v>
      </c>
      <c r="AA13" s="225"/>
      <c r="AB13" s="245" t="str">
        <f>IFERROR(__xludf.DUMMYFUNCTION("""COMPUTED_VALUE"""),"Kill Wall")</f>
        <v>Kill Wall</v>
      </c>
      <c r="AC13" s="324" t="str">
        <f>IFERROR(__xludf.DUMMYFUNCTION("""COMPUTED_VALUE"""),"Locked")</f>
        <v>Locked</v>
      </c>
      <c r="AD13" s="301" t="str">
        <f>IFERROR(__xludf.DUMMYFUNCTION("""COMPUTED_VALUE"""),"Lo | Locked")</f>
        <v>Lo | Locked</v>
      </c>
      <c r="AE13" s="252" t="str">
        <f>IFERROR(__xludf.DUMMYFUNCTION("""COMPUTED_VALUE"""),"Fortress")</f>
        <v>Fortress</v>
      </c>
      <c r="AF13" s="249">
        <f>IFERROR(__xludf.DUMMYFUNCTION("""COMPUTED_VALUE"""),7.0)</f>
        <v>7</v>
      </c>
      <c r="AG13" s="250" t="b">
        <f>IFERROR(__xludf.DUMMYFUNCTION("""COMPUTED_VALUE"""),FALSE)</f>
        <v>0</v>
      </c>
      <c r="AH13" s="325" t="str">
        <f>IFERROR(__xludf.DUMMYFUNCTION("""COMPUTED_VALUE"""),"Second Wind")</f>
        <v>Second Wind</v>
      </c>
      <c r="AI13" s="225" t="str">
        <f>IFERROR(__xludf.DUMMYFUNCTION("""COMPUTED_VALUE"""),"Extra Orb")</f>
        <v>Extra Orb</v>
      </c>
      <c r="AJ13" s="267"/>
      <c r="AK13" s="259"/>
      <c r="AL13" s="232"/>
      <c r="AM13" s="238" t="str">
        <f>IFERROR(__xludf.DUMMYFUNCTION("""COMPUTED_VALUE"""),"Damage")</f>
        <v>Damage</v>
      </c>
      <c r="AN13" s="278">
        <f>IFERROR(__xludf.DUMMYFUNCTION("""COMPUTED_VALUE"""),0.5399999999999999)</f>
        <v>0.54</v>
      </c>
      <c r="AO13" s="254"/>
      <c r="AP13" s="288" t="str">
        <f>IFERROR(__xludf.DUMMYFUNCTION("""COMPUTED_VALUE"""),"Attack")</f>
        <v>Attack</v>
      </c>
      <c r="AQ13" s="326"/>
      <c r="AR13" s="254"/>
      <c r="AS13" s="327" t="b">
        <f>IFERROR(__xludf.DUMMYFUNCTION("""COMPUTED_VALUE"""),TRUE)</f>
        <v>1</v>
      </c>
      <c r="AT13" s="284" t="str">
        <f>IFERROR(__xludf.DUMMYFUNCTION("""COMPUTED_VALUE"""),"Unlocked")</f>
        <v>Unlocked</v>
      </c>
      <c r="AU13" s="225" t="str">
        <f>IFERROR(__xludf.DUMMYFUNCTION("""COMPUTED_VALUE"""),"Range")</f>
        <v>Range</v>
      </c>
      <c r="AV13" s="310">
        <f>IFERROR(__xludf.DUMMYFUNCTION("""COMPUTED_VALUE"""),50.0)</f>
        <v>50</v>
      </c>
      <c r="AW13" s="234" t="str">
        <f>IFERROR(__xludf.DUMMYFUNCTION("""COMPUTED_VALUE"""),"15 | 50m | Cost 660 ⧓ | Maxed")</f>
        <v>15 | 50m | Cost 660 ⧓ | Maxed</v>
      </c>
      <c r="AX13" s="226"/>
      <c r="AY13" s="284"/>
      <c r="AZ13" s="225"/>
      <c r="BA13" s="311"/>
      <c r="BB13" s="234" t="str">
        <f>IFERROR(__xludf.DUMMYFUNCTION("""COMPUTED_VALUE"""),"Assist Slot")</f>
        <v>Assist Slot</v>
      </c>
      <c r="BC13" s="225"/>
      <c r="BD13" s="225"/>
      <c r="BE13" s="225"/>
      <c r="BF13" s="225"/>
      <c r="BG13" s="225" t="str">
        <f>IFERROR(__xludf.DUMMYFUNCTION("""COMPUTED_VALUE"""),"Assist Slot")</f>
        <v>Assist Slot</v>
      </c>
      <c r="BH13" s="225" t="str">
        <f>IFERROR(__xludf.DUMMYFUNCTION("""COMPUTED_VALUE"""),"Anti-Cube Portal")</f>
        <v>Anti-Cube Portal</v>
      </c>
      <c r="BI13" s="225"/>
      <c r="BJ13" s="225"/>
      <c r="BK13" s="225"/>
      <c r="BL13" s="225" t="str">
        <f>IFERROR(__xludf.DUMMYFUNCTION("""COMPUTED_VALUE"""),"Assist Slot")</f>
        <v>Assist Slot</v>
      </c>
      <c r="BM13" s="225" t="str">
        <f>IFERROR(__xludf.DUMMYFUNCTION("""COMPUTED_VALUE"""),"Galaxy Compressor")</f>
        <v>Galaxy Compressor</v>
      </c>
      <c r="BN13" s="225"/>
      <c r="BO13" s="225"/>
      <c r="BP13" s="225"/>
      <c r="BQ13" s="225" t="str">
        <f>IFERROR(__xludf.DUMMYFUNCTION("""COMPUTED_VALUE"""),"Assist Slot")</f>
        <v>Assist Slot</v>
      </c>
      <c r="BR13" s="225" t="str">
        <f>IFERROR(__xludf.DUMMYFUNCTION("""COMPUTED_VALUE"""),"Dimension Core")</f>
        <v>Dimension Core</v>
      </c>
      <c r="BS13" s="225"/>
      <c r="BT13" s="226"/>
      <c r="BU13" s="261" t="b">
        <f>IFERROR(__xludf.DUMMYFUNCTION("""COMPUTED_VALUE"""),TRUE)</f>
        <v>1</v>
      </c>
      <c r="BV13" s="284" t="str">
        <f>IFERROR(__xludf.DUMMYFUNCTION("""COMPUTED_VALUE"""),"Unlocked")</f>
        <v>Unlocked</v>
      </c>
      <c r="BW13" s="225" t="str">
        <f>IFERROR(__xludf.DUMMYFUNCTION("""COMPUTED_VALUE"""),"Double Find Chance")</f>
        <v>Double Find Chance</v>
      </c>
      <c r="BX13" s="258">
        <f>IFERROR(__xludf.DUMMYFUNCTION("""COMPUTED_VALUE"""),0.10999999999999999)</f>
        <v>0.11</v>
      </c>
      <c r="BY13" s="307" t="str">
        <f>IFERROR(__xludf.DUMMYFUNCTION("""COMPUTED_VALUE"""),"09 | 11% | Cost 50 ⧈ | Next 55 ⧈")</f>
        <v>09 | 11% | Cost 50 ⧈ | Next 55 ⧈</v>
      </c>
      <c r="BZ13" s="225"/>
    </row>
    <row r="14">
      <c r="A14" s="238" t="str">
        <f>IFERROR(__xludf.DUMMYFUNCTION("""COMPUTED_VALUE"""),"Reroll Daily Mission")</f>
        <v>Reroll Daily Mission</v>
      </c>
      <c r="B14" s="239">
        <f>IFERROR(__xludf.DUMMYFUNCTION("""COMPUTED_VALUE"""),1.0)</f>
        <v>1</v>
      </c>
      <c r="C14" s="225"/>
      <c r="D14" s="240">
        <f>IFERROR(__xludf.DUMMYFUNCTION("""COMPUTED_VALUE"""),1.0)</f>
        <v>1</v>
      </c>
      <c r="E14" s="261" t="b">
        <f>IFERROR(__xludf.DUMMYFUNCTION("""COMPUTED_VALUE"""),TRUE)</f>
        <v>1</v>
      </c>
      <c r="F14" s="238" t="str">
        <f>IFERROR(__xludf.DUMMYFUNCTION("""COMPUTED_VALUE"""),"Bounce Shot Chance")</f>
        <v>Bounce Shot Chance</v>
      </c>
      <c r="G14" s="239">
        <f>IFERROR(__xludf.DUMMYFUNCTION("""COMPUTED_VALUE"""),85.0)</f>
        <v>85</v>
      </c>
      <c r="H14" s="225">
        <f>IFERROR(__xludf.DUMMYFUNCTION("""COMPUTED_VALUE"""),85.0)</f>
        <v>85</v>
      </c>
      <c r="I14" s="225">
        <f>IFERROR(__xludf.DUMMYFUNCTION("""COMPUTED_VALUE"""),85.0)</f>
        <v>85</v>
      </c>
      <c r="J14" s="225">
        <f>IFERROR(__xludf.DUMMYFUNCTION("""COMPUTED_VALUE"""),85.0)</f>
        <v>85</v>
      </c>
      <c r="K14" s="244"/>
      <c r="L14" s="225"/>
      <c r="M14" s="225"/>
      <c r="N14" s="225"/>
      <c r="O14" s="225"/>
      <c r="P14" s="225"/>
      <c r="Q14" s="274">
        <f>IFERROR(__xludf.DUMMYFUNCTION("""COMPUTED_VALUE"""),85.0)</f>
        <v>85</v>
      </c>
      <c r="R14" s="251" t="str">
        <f>IFERROR(__xludf.DUMMYFUNCTION("""COMPUTED_VALUE"""),"Wall Health +")</f>
        <v>Wall Health +</v>
      </c>
      <c r="S14" s="275">
        <f>IFERROR(__xludf.DUMMYFUNCTION("""COMPUTED_VALUE"""),1.5899999999999999)</f>
        <v>1.59</v>
      </c>
      <c r="T14" s="239">
        <f>IFERROR(__xludf.DUMMYFUNCTION("""COMPUTED_VALUE"""),59.0)</f>
        <v>59</v>
      </c>
      <c r="U14" s="225">
        <f>IFERROR(__xludf.DUMMYFUNCTION("""COMPUTED_VALUE"""),59.0)</f>
        <v>59</v>
      </c>
      <c r="V14" s="225"/>
      <c r="W14" s="225"/>
      <c r="X14" s="225"/>
      <c r="Y14" s="276">
        <f>IFERROR(__xludf.DUMMYFUNCTION("""COMPUTED_VALUE"""),400.0)</f>
        <v>400</v>
      </c>
      <c r="Z14" s="245" t="str">
        <f>IFERROR(__xludf.DUMMYFUNCTION("""COMPUTED_VALUE"""),"Chrono Field")</f>
        <v>Chrono Field</v>
      </c>
      <c r="AA14" s="225"/>
      <c r="AB14" s="245" t="str">
        <f>IFERROR(__xludf.DUMMYFUNCTION("""COMPUTED_VALUE"""),"Duration")</f>
        <v>Duration</v>
      </c>
      <c r="AC14" s="304">
        <f>IFERROR(__xludf.DUMMYFUNCTION("""COMPUTED_VALUE"""),20.0)</f>
        <v>20</v>
      </c>
      <c r="AD14" s="247" t="str">
        <f>IFERROR(__xludf.DUMMYFUNCTION("""COMPUTED_VALUE"""),"15 | 20s | Cost 131 ⧌ | Next 140 ⧌")</f>
        <v>15 | 20s | Cost 131 ⧌ | Next 140 ⧌</v>
      </c>
      <c r="AE14" s="252" t="str">
        <f>IFERROR(__xludf.DUMMYFUNCTION("""COMPUTED_VALUE"""),"Free Upgrades")</f>
        <v>Free Upgrades</v>
      </c>
      <c r="AF14" s="249">
        <f>IFERROR(__xludf.DUMMYFUNCTION("""COMPUTED_VALUE"""),7.0)</f>
        <v>7</v>
      </c>
      <c r="AG14" s="250" t="b">
        <f>IFERROR(__xludf.DUMMYFUNCTION("""COMPUTED_VALUE"""),FALSE)</f>
        <v>0</v>
      </c>
      <c r="AH14" s="305" t="str">
        <f>IFERROR(__xludf.DUMMYFUNCTION("""COMPUTED_VALUE"""),"Energy Shield")</f>
        <v>Energy Shield</v>
      </c>
      <c r="AI14" s="234" t="str">
        <f>IFERROR(__xludf.DUMMYFUNCTION("""COMPUTED_VALUE"""),"Recovery Package Chance")</f>
        <v>Recovery Package Chance</v>
      </c>
      <c r="AJ14" s="267"/>
      <c r="AK14" s="259"/>
      <c r="AL14" s="232"/>
      <c r="AM14" s="238" t="str">
        <f>IFERROR(__xludf.DUMMYFUNCTION("""COMPUTED_VALUE"""),"Ultimate Damage")</f>
        <v>Ultimate Damage</v>
      </c>
      <c r="AN14" s="278">
        <f>IFERROR(__xludf.DUMMYFUNCTION("""COMPUTED_VALUE"""),0.22000000000000003)</f>
        <v>0.22</v>
      </c>
      <c r="AO14" s="254"/>
      <c r="AP14" s="238" t="str">
        <f>IFERROR(__xludf.DUMMYFUNCTION("""COMPUTED_VALUE"""),"Damage")</f>
        <v>Damage</v>
      </c>
      <c r="AQ14" s="326">
        <f>IFERROR(__xludf.DUMMYFUNCTION("""COMPUTED_VALUE"""),0.0)</f>
        <v>0</v>
      </c>
      <c r="AR14" s="254"/>
      <c r="AS14" s="234" t="str">
        <f>IFERROR(__xludf.DUMMYFUNCTION("""COMPUTED_VALUE"""),"Amplify Bot")</f>
        <v>Amplify Bot</v>
      </c>
      <c r="AT14" s="257"/>
      <c r="AU14" s="225" t="str">
        <f>IFERROR(__xludf.DUMMYFUNCTION("""COMPUTED_VALUE"""),"Duration")</f>
        <v>Duration</v>
      </c>
      <c r="AV14" s="312">
        <f>IFERROR(__xludf.DUMMYFUNCTION("""COMPUTED_VALUE"""),20.0)</f>
        <v>20</v>
      </c>
      <c r="AW14" s="234" t="str">
        <f>IFERROR(__xludf.DUMMYFUNCTION("""COMPUTED_VALUE"""),"00 | 20.0s | Cost 0 ⧓ | Next 100 ⧓")</f>
        <v>00 | 20.0s | Cost 0 ⧓ | Next 100 ⧓</v>
      </c>
      <c r="AX14" s="226"/>
      <c r="AY14" s="225"/>
      <c r="AZ14" s="225"/>
      <c r="BA14" s="313"/>
      <c r="BB14" s="234"/>
      <c r="BC14" s="225"/>
      <c r="BD14" s="225"/>
      <c r="BE14" s="225"/>
      <c r="BF14" s="225"/>
      <c r="BG14" s="225"/>
      <c r="BH14" s="225"/>
      <c r="BI14" s="225"/>
      <c r="BJ14" s="225"/>
      <c r="BK14" s="225"/>
      <c r="BL14" s="225"/>
      <c r="BM14" s="225"/>
      <c r="BN14" s="225"/>
      <c r="BO14" s="225"/>
      <c r="BP14" s="225"/>
      <c r="BQ14" s="225"/>
      <c r="BR14" s="225"/>
      <c r="BS14" s="225"/>
      <c r="BT14" s="226"/>
      <c r="BU14" s="225" t="str">
        <f>IFERROR(__xludf.DUMMYFUNCTION("""COMPUTED_VALUE"""),"Summon")</f>
        <v>Summon</v>
      </c>
      <c r="BV14" s="225"/>
      <c r="BW14" s="225" t="str">
        <f>IFERROR(__xludf.DUMMYFUNCTION("""COMPUTED_VALUE"""),"Cooldown")</f>
        <v>Cooldown</v>
      </c>
      <c r="BX14" s="328">
        <f>IFERROR(__xludf.DUMMYFUNCTION("""COMPUTED_VALUE"""),90.0)</f>
        <v>90</v>
      </c>
      <c r="BY14" s="234" t="str">
        <f>IFERROR(__xludf.DUMMYFUNCTION("""COMPUTED_VALUE"""),"50 | 90s | Cost 99 ⧈ | Next 101 ⧈")</f>
        <v>50 | 90s | Cost 99 ⧈ | Next 101 ⧈</v>
      </c>
      <c r="BZ14" s="225"/>
    </row>
    <row r="15">
      <c r="A15" s="238" t="str">
        <f>IFERROR(__xludf.DUMMYFUNCTION("""COMPUTED_VALUE"""),"Workshop Enhancements")</f>
        <v>Workshop Enhancements</v>
      </c>
      <c r="B15" s="239">
        <f>IFERROR(__xludf.DUMMYFUNCTION("""COMPUTED_VALUE"""),1.0)</f>
        <v>1</v>
      </c>
      <c r="C15" s="225"/>
      <c r="D15" s="240">
        <f>IFERROR(__xludf.DUMMYFUNCTION("""COMPUTED_VALUE"""),1.0)</f>
        <v>1</v>
      </c>
      <c r="E15" s="225"/>
      <c r="F15" s="238" t="str">
        <f>IFERROR(__xludf.DUMMYFUNCTION("""COMPUTED_VALUE"""),"Bounce Shot Targets")</f>
        <v>Bounce Shot Targets</v>
      </c>
      <c r="G15" s="239">
        <f>IFERROR(__xludf.DUMMYFUNCTION("""COMPUTED_VALUE"""),5.0)</f>
        <v>5</v>
      </c>
      <c r="H15" s="225">
        <f>IFERROR(__xludf.DUMMYFUNCTION("""COMPUTED_VALUE"""),7.0)</f>
        <v>7</v>
      </c>
      <c r="I15" s="225">
        <f>IFERROR(__xludf.DUMMYFUNCTION("""COMPUTED_VALUE"""),5.0)</f>
        <v>5</v>
      </c>
      <c r="J15" s="225">
        <f>IFERROR(__xludf.DUMMYFUNCTION("""COMPUTED_VALUE"""),7.0)</f>
        <v>7</v>
      </c>
      <c r="K15" s="244"/>
      <c r="L15" s="225"/>
      <c r="M15" s="225"/>
      <c r="N15" s="225"/>
      <c r="O15" s="225"/>
      <c r="P15" s="225"/>
      <c r="Q15" s="274">
        <f>IFERROR(__xludf.DUMMYFUNCTION("""COMPUTED_VALUE"""),7.0)</f>
        <v>7</v>
      </c>
      <c r="R15" s="251" t="str">
        <f>IFERROR(__xludf.DUMMYFUNCTION("""COMPUTED_VALUE"""),"Orb Size +")</f>
        <v>Orb Size +</v>
      </c>
      <c r="S15" s="275">
        <f>IFERROR(__xludf.DUMMYFUNCTION("""COMPUTED_VALUE"""),1.2)</f>
        <v>1.2</v>
      </c>
      <c r="T15" s="239">
        <f>IFERROR(__xludf.DUMMYFUNCTION("""COMPUTED_VALUE"""),20.0)</f>
        <v>20</v>
      </c>
      <c r="U15" s="225">
        <f>IFERROR(__xludf.DUMMYFUNCTION("""COMPUTED_VALUE"""),20.0)</f>
        <v>20</v>
      </c>
      <c r="V15" s="225"/>
      <c r="W15" s="225"/>
      <c r="X15" s="225"/>
      <c r="Y15" s="276">
        <f>IFERROR(__xludf.DUMMYFUNCTION("""COMPUTED_VALUE"""),200.0)</f>
        <v>200</v>
      </c>
      <c r="Z15" s="257"/>
      <c r="AA15" s="225"/>
      <c r="AB15" s="245" t="str">
        <f>IFERROR(__xludf.DUMMYFUNCTION("""COMPUTED_VALUE"""),"Speed Reduction")</f>
        <v>Speed Reduction</v>
      </c>
      <c r="AC15" s="326">
        <f>IFERROR(__xludf.DUMMYFUNCTION("""COMPUTED_VALUE"""),0.5)</f>
        <v>0.5</v>
      </c>
      <c r="AD15" s="247" t="str">
        <f>IFERROR(__xludf.DUMMYFUNCTION("""COMPUTED_VALUE"""),"06 | 50% | Cost 150 ⧌ | Next 200 ⧌")</f>
        <v>06 | 50% | Cost 150 ⧌ | Next 200 ⧌</v>
      </c>
      <c r="AE15" s="252" t="str">
        <f>IFERROR(__xludf.DUMMYFUNCTION("""COMPUTED_VALUE"""),"Extra Orb")</f>
        <v>Extra Orb</v>
      </c>
      <c r="AF15" s="249">
        <f>IFERROR(__xludf.DUMMYFUNCTION("""COMPUTED_VALUE"""),7.0)</f>
        <v>7</v>
      </c>
      <c r="AG15" s="250" t="b">
        <f>IFERROR(__xludf.DUMMYFUNCTION("""COMPUTED_VALUE"""),FALSE)</f>
        <v>0</v>
      </c>
      <c r="AH15" s="267" t="str">
        <f>IFERROR(__xludf.DUMMYFUNCTION("""COMPUTED_VALUE"""),"Recovery Package Chance")</f>
        <v>Recovery Package Chance</v>
      </c>
      <c r="AI15" s="234" t="str">
        <f>IFERROR(__xludf.DUMMYFUNCTION("""COMPUTED_VALUE"""),"Extra Defense")</f>
        <v>Extra Defense</v>
      </c>
      <c r="AJ15" s="267"/>
      <c r="AK15" s="259"/>
      <c r="AL15" s="232"/>
      <c r="AM15" s="238" t="str">
        <f>IFERROR(__xludf.DUMMYFUNCTION("""COMPUTED_VALUE"""),"Attack Speed")</f>
        <v>Attack Speed</v>
      </c>
      <c r="AN15" s="278">
        <f>IFERROR(__xludf.DUMMYFUNCTION("""COMPUTED_VALUE"""),0.05)</f>
        <v>0.05</v>
      </c>
      <c r="AO15" s="254"/>
      <c r="AP15" s="238" t="str">
        <f>IFERROR(__xludf.DUMMYFUNCTION("""COMPUTED_VALUE"""),"Ultimate Weapon Damage")</f>
        <v>Ultimate Weapon Damage</v>
      </c>
      <c r="AQ15" s="326">
        <f>IFERROR(__xludf.DUMMYFUNCTION("""COMPUTED_VALUE"""),0.0)</f>
        <v>0</v>
      </c>
      <c r="AR15" s="254"/>
      <c r="AS15" s="257"/>
      <c r="AT15" s="257"/>
      <c r="AU15" s="225" t="str">
        <f>IFERROR(__xludf.DUMMYFUNCTION("""COMPUTED_VALUE"""),"Cooldown")</f>
        <v>Cooldown</v>
      </c>
      <c r="AV15" s="329">
        <f>IFERROR(__xludf.DUMMYFUNCTION("""COMPUTED_VALUE"""),120.0)</f>
        <v>120</v>
      </c>
      <c r="AW15" s="234" t="str">
        <f>IFERROR(__xludf.DUMMYFUNCTION("""COMPUTED_VALUE"""),"00 | 120s | Cost 0 ⧓ | Next 100 ⧓")</f>
        <v>00 | 120s | Cost 0 ⧓ | Next 100 ⧓</v>
      </c>
      <c r="AX15" s="226"/>
      <c r="AY15" s="225"/>
      <c r="AZ15" s="225"/>
      <c r="BA15" s="330"/>
      <c r="BB15" s="234" t="str">
        <f>IFERROR(__xludf.DUMMYFUNCTION("""COMPUTED_VALUE"""),"Testing")</f>
        <v>Testing</v>
      </c>
      <c r="BC15" s="225"/>
      <c r="BD15" s="225"/>
      <c r="BE15" s="225"/>
      <c r="BF15" s="225"/>
      <c r="BG15" s="225" t="str">
        <f>IFERROR(__xludf.DUMMYFUNCTION("""COMPUTED_VALUE"""),"Testing")</f>
        <v>Testing</v>
      </c>
      <c r="BH15" s="225"/>
      <c r="BI15" s="225"/>
      <c r="BJ15" s="225"/>
      <c r="BK15" s="225"/>
      <c r="BL15" s="225" t="str">
        <f>IFERROR(__xludf.DUMMYFUNCTION("""COMPUTED_VALUE"""),"Testing")</f>
        <v>Testing</v>
      </c>
      <c r="BM15" s="225"/>
      <c r="BN15" s="225"/>
      <c r="BO15" s="225"/>
      <c r="BP15" s="225"/>
      <c r="BQ15" s="225" t="str">
        <f>IFERROR(__xludf.DUMMYFUNCTION("""COMPUTED_VALUE"""),"Testing")</f>
        <v>Testing</v>
      </c>
      <c r="BR15" s="225"/>
      <c r="BS15" s="225"/>
      <c r="BT15" s="226"/>
      <c r="BU15" s="225"/>
      <c r="BV15" s="225"/>
      <c r="BW15" s="225" t="str">
        <f>IFERROR(__xludf.DUMMYFUNCTION("""COMPUTED_VALUE"""),"Duration")</f>
        <v>Duration</v>
      </c>
      <c r="BX15" s="328">
        <f>IFERROR(__xludf.DUMMYFUNCTION("""COMPUTED_VALUE"""),24.0)</f>
        <v>24</v>
      </c>
      <c r="BY15" s="234" t="str">
        <f>IFERROR(__xludf.DUMMYFUNCTION("""COMPUTED_VALUE"""),"19 | 24s| Cost 195 ⧈ | Next 205 ⧈")</f>
        <v>19 | 24s| Cost 195 ⧈ | Next 205 ⧈</v>
      </c>
      <c r="BZ15" s="225"/>
    </row>
    <row r="16">
      <c r="A16" s="288" t="str">
        <f>IFERROR(__xludf.DUMMYFUNCTION("""COMPUTED_VALUE"""),"Enhancement Attack - Coin Discount")</f>
        <v>Enhancement Attack - Coin Discount</v>
      </c>
      <c r="B16" s="239">
        <f>IFERROR(__xludf.DUMMYFUNCTION("""COMPUTED_VALUE"""),0.0)</f>
        <v>0</v>
      </c>
      <c r="C16" s="225"/>
      <c r="D16" s="240">
        <f>IFERROR(__xludf.DUMMYFUNCTION("""COMPUTED_VALUE"""),100.0)</f>
        <v>100</v>
      </c>
      <c r="E16" s="225"/>
      <c r="F16" s="238" t="str">
        <f>IFERROR(__xludf.DUMMYFUNCTION("""COMPUTED_VALUE"""),"Bounce Shot Range")</f>
        <v>Bounce Shot Range</v>
      </c>
      <c r="G16" s="239">
        <f>IFERROR(__xludf.DUMMYFUNCTION("""COMPUTED_VALUE"""),60.0)</f>
        <v>60</v>
      </c>
      <c r="H16" s="225">
        <f>IFERROR(__xludf.DUMMYFUNCTION("""COMPUTED_VALUE"""),60.0)</f>
        <v>60</v>
      </c>
      <c r="I16" s="225">
        <f>IFERROR(__xludf.DUMMYFUNCTION("""COMPUTED_VALUE"""),60.0)</f>
        <v>60</v>
      </c>
      <c r="J16" s="225">
        <f>IFERROR(__xludf.DUMMYFUNCTION("""COMPUTED_VALUE"""),60.0)</f>
        <v>60</v>
      </c>
      <c r="K16" s="244"/>
      <c r="L16" s="225"/>
      <c r="M16" s="225"/>
      <c r="N16" s="225"/>
      <c r="O16" s="225"/>
      <c r="P16" s="225"/>
      <c r="Q16" s="274">
        <f>IFERROR(__xludf.DUMMYFUNCTION("""COMPUTED_VALUE"""),60.0)</f>
        <v>60</v>
      </c>
      <c r="R16" s="251" t="str">
        <f>IFERROR(__xludf.DUMMYFUNCTION("""COMPUTED_VALUE"""),"Cash Bonus +")</f>
        <v>Cash Bonus +</v>
      </c>
      <c r="S16" s="275">
        <f>IFERROR(__xludf.DUMMYFUNCTION("""COMPUTED_VALUE"""),1.44)</f>
        <v>1.44</v>
      </c>
      <c r="T16" s="239">
        <f>IFERROR(__xludf.DUMMYFUNCTION("""COMPUTED_VALUE"""),44.0)</f>
        <v>44</v>
      </c>
      <c r="U16" s="225">
        <f>IFERROR(__xludf.DUMMYFUNCTION("""COMPUTED_VALUE"""),44.0)</f>
        <v>44</v>
      </c>
      <c r="V16" s="225"/>
      <c r="W16" s="225"/>
      <c r="X16" s="225"/>
      <c r="Y16" s="276">
        <f>IFERROR(__xludf.DUMMYFUNCTION("""COMPUTED_VALUE"""),400.0)</f>
        <v>400</v>
      </c>
      <c r="Z16" s="277" t="b">
        <f>IFERROR(__xludf.DUMMYFUNCTION("""COMPUTED_VALUE"""),TRUE)</f>
        <v>1</v>
      </c>
      <c r="AA16" s="238" t="str">
        <f>IFERROR(__xludf.DUMMYFUNCTION("""COMPUTED_VALUE"""),"UW Unlocked")</f>
        <v>UW Unlocked</v>
      </c>
      <c r="AB16" s="245" t="str">
        <f>IFERROR(__xludf.DUMMYFUNCTION("""COMPUTED_VALUE"""),"Cooldown")</f>
        <v>Cooldown</v>
      </c>
      <c r="AC16" s="304">
        <f>IFERROR(__xludf.DUMMYFUNCTION("""COMPUTED_VALUE"""),60.0)</f>
        <v>60</v>
      </c>
      <c r="AD16" s="247" t="str">
        <f>IFERROR(__xludf.DUMMYFUNCTION("""COMPUTED_VALUE"""),"12 | 60s | Cost 241 ⧌ | Maxed")</f>
        <v>12 | 60s | Cost 241 ⧌ | Maxed</v>
      </c>
      <c r="AE16" s="252" t="str">
        <f>IFERROR(__xludf.DUMMYFUNCTION("""COMPUTED_VALUE"""),"Plasma Cannon")</f>
        <v>Plasma Cannon</v>
      </c>
      <c r="AF16" s="249">
        <f>IFERROR(__xludf.DUMMYFUNCTION("""COMPUTED_VALUE"""),7.0)</f>
        <v>7</v>
      </c>
      <c r="AG16" s="250" t="b">
        <f>IFERROR(__xludf.DUMMYFUNCTION("""COMPUTED_VALUE"""),FALSE)</f>
        <v>0</v>
      </c>
      <c r="AH16" s="305" t="str">
        <f>IFERROR(__xludf.DUMMYFUNCTION("""COMPUTED_VALUE"""),"Intro Sprint")</f>
        <v>Intro Sprint</v>
      </c>
      <c r="AI16" s="234" t="str">
        <f>IFERROR(__xludf.DUMMYFUNCTION("""COMPUTED_VALUE"""),"Slow Aura")</f>
        <v>Slow Aura</v>
      </c>
      <c r="AJ16" s="267"/>
      <c r="AK16" s="259"/>
      <c r="AL16" s="232"/>
      <c r="AM16" s="238" t="str">
        <f>IFERROR(__xludf.DUMMYFUNCTION("""COMPUTED_VALUE"""),"Crit Chance")</f>
        <v>Crit Chance</v>
      </c>
      <c r="AN16" s="278">
        <f>IFERROR(__xludf.DUMMYFUNCTION("""COMPUTED_VALUE"""),0.06)</f>
        <v>0.06</v>
      </c>
      <c r="AO16" s="254"/>
      <c r="AP16" s="238" t="str">
        <f>IFERROR(__xludf.DUMMYFUNCTION("""COMPUTED_VALUE"""),"Attack Speed")</f>
        <v>Attack Speed</v>
      </c>
      <c r="AQ16" s="326">
        <f>IFERROR(__xludf.DUMMYFUNCTION("""COMPUTED_VALUE"""),0.0)</f>
        <v>0</v>
      </c>
      <c r="AR16" s="254"/>
      <c r="AS16" s="257"/>
      <c r="AT16" s="257"/>
      <c r="AU16" s="225" t="str">
        <f>IFERROR(__xludf.DUMMYFUNCTION("""COMPUTED_VALUE"""),"Bonus")</f>
        <v>Bonus</v>
      </c>
      <c r="AV16" s="322">
        <f>IFERROR(__xludf.DUMMYFUNCTION("""COMPUTED_VALUE"""),3.5)</f>
        <v>3.5</v>
      </c>
      <c r="AW16" s="234" t="str">
        <f>IFERROR(__xludf.DUMMYFUNCTION("""COMPUTED_VALUE"""),"00 | x3.5 | Cost 0 ⧓ | Next 100 ⧓")</f>
        <v>00 | x3.5 | Cost 0 ⧓ | Next 100 ⧓</v>
      </c>
      <c r="AX16" s="226"/>
      <c r="AY16" s="225"/>
      <c r="AZ16" s="225"/>
      <c r="BA16" s="323"/>
      <c r="BB16" s="234" t="str">
        <f>IFERROR(__xludf.DUMMYFUNCTION("""COMPUTED_VALUE"""),"Primary Slot")</f>
        <v>Primary Slot</v>
      </c>
      <c r="BC16" s="225" t="str">
        <f>IFERROR(__xludf.DUMMYFUNCTION("""COMPUTED_VALUE"""),"Being Annihilator")</f>
        <v>Being Annihilator</v>
      </c>
      <c r="BD16" s="225"/>
      <c r="BE16" s="225"/>
      <c r="BF16" s="225"/>
      <c r="BG16" s="225" t="str">
        <f>IFERROR(__xludf.DUMMYFUNCTION("""COMPUTED_VALUE"""),"Primary Slot")</f>
        <v>Primary Slot</v>
      </c>
      <c r="BH16" s="225" t="str">
        <f>IFERROR(__xludf.DUMMYFUNCTION("""COMPUTED_VALUE"""),"Sharp Fortitude")</f>
        <v>Sharp Fortitude</v>
      </c>
      <c r="BI16" s="225"/>
      <c r="BJ16" s="225"/>
      <c r="BK16" s="225"/>
      <c r="BL16" s="225" t="str">
        <f>IFERROR(__xludf.DUMMYFUNCTION("""COMPUTED_VALUE"""),"Primary Slot")</f>
        <v>Primary Slot</v>
      </c>
      <c r="BM16" s="225" t="str">
        <f>IFERROR(__xludf.DUMMYFUNCTION("""COMPUTED_VALUE"""),"Galaxy Compressor")</f>
        <v>Galaxy Compressor</v>
      </c>
      <c r="BN16" s="225"/>
      <c r="BO16" s="225"/>
      <c r="BP16" s="225"/>
      <c r="BQ16" s="225" t="str">
        <f>IFERROR(__xludf.DUMMYFUNCTION("""COMPUTED_VALUE"""),"Primary Slot")</f>
        <v>Primary Slot</v>
      </c>
      <c r="BR16" s="225" t="str">
        <f>IFERROR(__xludf.DUMMYFUNCTION("""COMPUTED_VALUE"""),"Dimension Core")</f>
        <v>Dimension Core</v>
      </c>
      <c r="BS16" s="225"/>
      <c r="BT16" s="226"/>
      <c r="BU16" s="225" t="b">
        <f>IFERROR(__xludf.DUMMYFUNCTION("""COMPUTED_VALUE"""),TRUE)</f>
        <v>1</v>
      </c>
      <c r="BV16" s="284" t="str">
        <f>IFERROR(__xludf.DUMMYFUNCTION("""COMPUTED_VALUE"""),"Unlocked")</f>
        <v>Unlocked</v>
      </c>
      <c r="BW16" s="225" t="str">
        <f>IFERROR(__xludf.DUMMYFUNCTION("""COMPUTED_VALUE"""),"Cash Bonus")</f>
        <v>Cash Bonus</v>
      </c>
      <c r="BX16" s="331">
        <f>IFERROR(__xludf.DUMMYFUNCTION("""COMPUTED_VALUE"""),1.0)</f>
        <v>1</v>
      </c>
      <c r="BY16" s="234" t="str">
        <f>IFERROR(__xludf.DUMMYFUNCTION("""COMPUTED_VALUE"""),"00 | 1.0x | Cost 0 ⧈ | Next 100 ⧈")</f>
        <v>00 | 1.0x | Cost 0 ⧈ | Next 100 ⧈</v>
      </c>
      <c r="BZ16" s="225"/>
    </row>
    <row r="17">
      <c r="A17" s="238" t="str">
        <f>IFERROR(__xludf.DUMMYFUNCTION("""COMPUTED_VALUE"""),"Enhancement Defense - Coin Discount")</f>
        <v>Enhancement Defense - Coin Discount</v>
      </c>
      <c r="B17" s="239">
        <f>IFERROR(__xludf.DUMMYFUNCTION("""COMPUTED_VALUE"""),0.0)</f>
        <v>0</v>
      </c>
      <c r="C17" s="225"/>
      <c r="D17" s="240">
        <f>IFERROR(__xludf.DUMMYFUNCTION("""COMPUTED_VALUE"""),100.0)</f>
        <v>100</v>
      </c>
      <c r="E17" s="261" t="b">
        <f>IFERROR(__xludf.DUMMYFUNCTION("""COMPUTED_VALUE"""),TRUE)</f>
        <v>1</v>
      </c>
      <c r="F17" s="238" t="str">
        <f>IFERROR(__xludf.DUMMYFUNCTION("""COMPUTED_VALUE"""),"Super Critical Chance")</f>
        <v>Super Critical Chance</v>
      </c>
      <c r="G17" s="239">
        <f>IFERROR(__xludf.DUMMYFUNCTION("""COMPUTED_VALUE"""),100.0)</f>
        <v>100</v>
      </c>
      <c r="H17" s="225">
        <f>IFERROR(__xludf.DUMMYFUNCTION("""COMPUTED_VALUE"""),100.0)</f>
        <v>100</v>
      </c>
      <c r="I17" s="225">
        <f>IFERROR(__xludf.DUMMYFUNCTION("""COMPUTED_VALUE"""),100.0)</f>
        <v>100</v>
      </c>
      <c r="J17" s="225">
        <f>IFERROR(__xludf.DUMMYFUNCTION("""COMPUTED_VALUE"""),100.0)</f>
        <v>100</v>
      </c>
      <c r="K17" s="244"/>
      <c r="L17" s="225"/>
      <c r="M17" s="225"/>
      <c r="N17" s="225"/>
      <c r="O17" s="225"/>
      <c r="P17" s="225"/>
      <c r="Q17" s="274">
        <f>IFERROR(__xludf.DUMMYFUNCTION("""COMPUTED_VALUE"""),100.0)</f>
        <v>100</v>
      </c>
      <c r="R17" s="251" t="str">
        <f>IFERROR(__xludf.DUMMYFUNCTION("""COMPUTED_VALUE"""),"Coin Bonus +")</f>
        <v>Coin Bonus +</v>
      </c>
      <c r="S17" s="275">
        <f>IFERROR(__xludf.DUMMYFUNCTION("""COMPUTED_VALUE"""),1.33)</f>
        <v>1.33</v>
      </c>
      <c r="T17" s="239">
        <f>IFERROR(__xludf.DUMMYFUNCTION("""COMPUTED_VALUE"""),33.0)</f>
        <v>33</v>
      </c>
      <c r="U17" s="225">
        <f>IFERROR(__xludf.DUMMYFUNCTION("""COMPUTED_VALUE"""),33.0)</f>
        <v>33</v>
      </c>
      <c r="V17" s="225"/>
      <c r="W17" s="225"/>
      <c r="X17" s="225"/>
      <c r="Y17" s="276">
        <f>IFERROR(__xludf.DUMMYFUNCTION("""COMPUTED_VALUE"""),200.0)</f>
        <v>200</v>
      </c>
      <c r="Z17" s="245" t="str">
        <f>IFERROR(__xludf.DUMMYFUNCTION("""COMPUTED_VALUE"""),"UW+")</f>
        <v>UW+</v>
      </c>
      <c r="AA17" s="225"/>
      <c r="AB17" s="245" t="str">
        <f>IFERROR(__xludf.DUMMYFUNCTION("""COMPUTED_VALUE"""),"Chrono Loop")</f>
        <v>Chrono Loop</v>
      </c>
      <c r="AC17" s="326" t="str">
        <f>IFERROR(__xludf.DUMMYFUNCTION("""COMPUTED_VALUE"""),"Locked")</f>
        <v>Locked</v>
      </c>
      <c r="AD17" s="247" t="str">
        <f>IFERROR(__xludf.DUMMYFUNCTION("""COMPUTED_VALUE"""),"Lo | Locked")</f>
        <v>Lo | Locked</v>
      </c>
      <c r="AE17" s="252" t="str">
        <f>IFERROR(__xludf.DUMMYFUNCTION("""COMPUTED_VALUE"""),"Critical Coin")</f>
        <v>Critical Coin</v>
      </c>
      <c r="AF17" s="249">
        <f>IFERROR(__xludf.DUMMYFUNCTION("""COMPUTED_VALUE"""),7.0)</f>
        <v>7</v>
      </c>
      <c r="AG17" s="250" t="b">
        <f>IFERROR(__xludf.DUMMYFUNCTION("""COMPUTED_VALUE"""),FALSE)</f>
        <v>0</v>
      </c>
      <c r="AH17" s="267" t="str">
        <f>IFERROR(__xludf.DUMMYFUNCTION("""COMPUTED_VALUE"""),"Extra Orb")</f>
        <v>Extra Orb</v>
      </c>
      <c r="AI17" s="234" t="str">
        <f>IFERROR(__xludf.DUMMYFUNCTION("""COMPUTED_VALUE"""),"Energy Net")</f>
        <v>Energy Net</v>
      </c>
      <c r="AJ17" s="267"/>
      <c r="AK17" s="259"/>
      <c r="AL17" s="232"/>
      <c r="AM17" s="238" t="str">
        <f>IFERROR(__xludf.DUMMYFUNCTION("""COMPUTED_VALUE"""),"Crit Factor")</f>
        <v>Crit Factor</v>
      </c>
      <c r="AN17" s="278">
        <f>IFERROR(__xludf.DUMMYFUNCTION("""COMPUTED_VALUE"""),0.5)</f>
        <v>0.5</v>
      </c>
      <c r="AO17" s="254"/>
      <c r="AP17" s="238" t="str">
        <f>IFERROR(__xludf.DUMMYFUNCTION("""COMPUTED_VALUE"""),"Critical Chance")</f>
        <v>Critical Chance</v>
      </c>
      <c r="AQ17" s="326">
        <f>IFERROR(__xludf.DUMMYFUNCTION("""COMPUTED_VALUE"""),0.0)</f>
        <v>0</v>
      </c>
      <c r="AR17" s="254"/>
      <c r="AS17" s="327" t="b">
        <f>IFERROR(__xludf.DUMMYFUNCTION("""COMPUTED_VALUE"""),FALSE)</f>
        <v>0</v>
      </c>
      <c r="AT17" s="257" t="str">
        <f>IFERROR(__xludf.DUMMYFUNCTION("""COMPUTED_VALUE"""),"Locked")</f>
        <v>Locked</v>
      </c>
      <c r="AU17" s="225" t="str">
        <f>IFERROR(__xludf.DUMMYFUNCTION("""COMPUTED_VALUE"""),"Range")</f>
        <v>Range</v>
      </c>
      <c r="AV17" s="310">
        <f>IFERROR(__xludf.DUMMYFUNCTION("""COMPUTED_VALUE"""),25.0)</f>
        <v>25</v>
      </c>
      <c r="AW17" s="234" t="str">
        <f>IFERROR(__xludf.DUMMYFUNCTION("""COMPUTED_VALUE"""),"00 | 25m | Cost 0 ⧓ | Next 100 ⧓")</f>
        <v>00 | 25m | Cost 0 ⧓ | Next 100 ⧓</v>
      </c>
      <c r="AX17" s="226"/>
      <c r="AY17" s="225"/>
      <c r="AZ17" s="225"/>
      <c r="BA17" s="311"/>
      <c r="BB17" s="234" t="str">
        <f>IFERROR(__xludf.DUMMYFUNCTION("""COMPUTED_VALUE"""),"Assist Slot")</f>
        <v>Assist Slot</v>
      </c>
      <c r="BC17" s="225"/>
      <c r="BD17" s="225"/>
      <c r="BE17" s="225"/>
      <c r="BF17" s="225"/>
      <c r="BG17" s="225" t="str">
        <f>IFERROR(__xludf.DUMMYFUNCTION("""COMPUTED_VALUE"""),"Assist Slot")</f>
        <v>Assist Slot</v>
      </c>
      <c r="BH17" s="225"/>
      <c r="BI17" s="225"/>
      <c r="BJ17" s="282"/>
      <c r="BK17" s="225"/>
      <c r="BL17" s="225" t="str">
        <f>IFERROR(__xludf.DUMMYFUNCTION("""COMPUTED_VALUE"""),"Assist Slot")</f>
        <v>Assist Slot</v>
      </c>
      <c r="BM17" s="225" t="str">
        <f>IFERROR(__xludf.DUMMYFUNCTION("""COMPUTED_VALUE"""),"Restorative Bonus")</f>
        <v>Restorative Bonus</v>
      </c>
      <c r="BN17" s="225"/>
      <c r="BO17" s="282"/>
      <c r="BP17" s="225"/>
      <c r="BQ17" s="225" t="str">
        <f>IFERROR(__xludf.DUMMYFUNCTION("""COMPUTED_VALUE"""),"Assist Slot")</f>
        <v>Assist Slot</v>
      </c>
      <c r="BR17" s="225" t="str">
        <f>IFERROR(__xludf.DUMMYFUNCTION("""COMPUTED_VALUE"""),"Om Chip")</f>
        <v>Om Chip</v>
      </c>
      <c r="BS17" s="225"/>
      <c r="BT17" s="283"/>
      <c r="BU17" s="225" t="str">
        <f>IFERROR(__xludf.DUMMYFUNCTION("""COMPUTED_VALUE"""),"Scout")</f>
        <v>Scout</v>
      </c>
      <c r="BV17" s="225"/>
      <c r="BW17" s="225" t="str">
        <f>IFERROR(__xludf.DUMMYFUNCTION("""COMPUTED_VALUE"""),"Cooldown")</f>
        <v>Cooldown</v>
      </c>
      <c r="BX17" s="328">
        <f>IFERROR(__xludf.DUMMYFUNCTION("""COMPUTED_VALUE"""),105.0)</f>
        <v>105</v>
      </c>
      <c r="BY17" s="282" t="str">
        <f>IFERROR(__xludf.DUMMYFUNCTION("""COMPUTED_VALUE"""),"00 | 105s | Cost 0 ⧈ | Next 1 ⧈")</f>
        <v>00 | 105s | Cost 0 ⧈ | Next 1 ⧈</v>
      </c>
      <c r="BZ17" s="225"/>
    </row>
    <row r="18">
      <c r="A18" s="288" t="str">
        <f>IFERROR(__xludf.DUMMYFUNCTION("""COMPUTED_VALUE"""),"Enhancement Utility - Coin Discount")</f>
        <v>Enhancement Utility - Coin Discount</v>
      </c>
      <c r="B18" s="239">
        <f>IFERROR(__xludf.DUMMYFUNCTION("""COMPUTED_VALUE"""),0.0)</f>
        <v>0</v>
      </c>
      <c r="C18" s="225"/>
      <c r="D18" s="240">
        <f>IFERROR(__xludf.DUMMYFUNCTION("""COMPUTED_VALUE"""),100.0)</f>
        <v>100</v>
      </c>
      <c r="E18" s="225"/>
      <c r="F18" s="238" t="str">
        <f>IFERROR(__xludf.DUMMYFUNCTION("""COMPUTED_VALUE"""),"Super Critical Mult")</f>
        <v>Super Critical Mult</v>
      </c>
      <c r="G18" s="239">
        <f>IFERROR(__xludf.DUMMYFUNCTION("""COMPUTED_VALUE"""),100.0)</f>
        <v>100</v>
      </c>
      <c r="H18" s="225">
        <f>IFERROR(__xludf.DUMMYFUNCTION("""COMPUTED_VALUE"""),120.0)</f>
        <v>120</v>
      </c>
      <c r="I18" s="225">
        <f>IFERROR(__xludf.DUMMYFUNCTION("""COMPUTED_VALUE"""),100.0)</f>
        <v>100</v>
      </c>
      <c r="J18" s="225">
        <f>IFERROR(__xludf.DUMMYFUNCTION("""COMPUTED_VALUE"""),120.0)</f>
        <v>120</v>
      </c>
      <c r="K18" s="244"/>
      <c r="L18" s="225"/>
      <c r="M18" s="225"/>
      <c r="N18" s="225"/>
      <c r="O18" s="225"/>
      <c r="P18" s="225"/>
      <c r="Q18" s="274">
        <f>IFERROR(__xludf.DUMMYFUNCTION("""COMPUTED_VALUE"""),120.0)</f>
        <v>120</v>
      </c>
      <c r="R18" s="251" t="str">
        <f>IFERROR(__xludf.DUMMYFUNCTION("""COMPUTED_VALUE"""),"Cells / Kill Bonus +")</f>
        <v>Cells / Kill Bonus +</v>
      </c>
      <c r="S18" s="275">
        <f>IFERROR(__xludf.DUMMYFUNCTION("""COMPUTED_VALUE"""),1.25)</f>
        <v>1.25</v>
      </c>
      <c r="T18" s="239">
        <f>IFERROR(__xludf.DUMMYFUNCTION("""COMPUTED_VALUE"""),25.0)</f>
        <v>25</v>
      </c>
      <c r="U18" s="225">
        <f>IFERROR(__xludf.DUMMYFUNCTION("""COMPUTED_VALUE"""),25.0)</f>
        <v>25</v>
      </c>
      <c r="V18" s="225"/>
      <c r="W18" s="225"/>
      <c r="X18" s="225"/>
      <c r="Y18" s="276">
        <f>IFERROR(__xludf.DUMMYFUNCTION("""COMPUTED_VALUE"""),200.0)</f>
        <v>200</v>
      </c>
      <c r="Z18" s="245" t="str">
        <f>IFERROR(__xludf.DUMMYFUNCTION("""COMPUTED_VALUE"""),"Inner Land Mines")</f>
        <v>Inner Land Mines</v>
      </c>
      <c r="AA18" s="225"/>
      <c r="AB18" s="245" t="str">
        <f>IFERROR(__xludf.DUMMYFUNCTION("""COMPUTED_VALUE"""),"Damage")</f>
        <v>Damage</v>
      </c>
      <c r="AC18" s="293">
        <f>IFERROR(__xludf.DUMMYFUNCTION("""COMPUTED_VALUE"""),10.0)</f>
        <v>10</v>
      </c>
      <c r="AD18" s="247" t="str">
        <f>IFERROR(__xludf.DUMMYFUNCTION("""COMPUTED_VALUE"""),"00 | x10 | Cost 0 ⧌ | Next 5 ⧌")</f>
        <v>00 | x10 | Cost 0 ⧌ | Next 5 ⧌</v>
      </c>
      <c r="AE18" s="252" t="str">
        <f>IFERROR(__xludf.DUMMYFUNCTION("""COMPUTED_VALUE"""),"Wave Skip")</f>
        <v>Wave Skip</v>
      </c>
      <c r="AF18" s="249">
        <f>IFERROR(__xludf.DUMMYFUNCTION("""COMPUTED_VALUE"""),7.0)</f>
        <v>7</v>
      </c>
      <c r="AG18" s="250" t="b">
        <f>IFERROR(__xludf.DUMMYFUNCTION("""COMPUTED_VALUE"""),FALSE)</f>
        <v>0</v>
      </c>
      <c r="AH18" s="295" t="str">
        <f>IFERROR(__xludf.DUMMYFUNCTION("""COMPUTED_VALUE"""),"Cash")</f>
        <v>Cash</v>
      </c>
      <c r="AI18" s="234" t="str">
        <f>IFERROR(__xludf.DUMMYFUNCTION("""COMPUTED_VALUE"""),"Land Mine Stun")</f>
        <v>Land Mine Stun</v>
      </c>
      <c r="AJ18" s="267"/>
      <c r="AK18" s="259"/>
      <c r="AL18" s="232"/>
      <c r="AM18" s="238" t="str">
        <f>IFERROR(__xludf.DUMMYFUNCTION("""COMPUTED_VALUE"""),"Damage / Meter")</f>
        <v>Damage / Meter</v>
      </c>
      <c r="AN18" s="278">
        <f>IFERROR(__xludf.DUMMYFUNCTION("""COMPUTED_VALUE"""),0.42999999999999994)</f>
        <v>0.43</v>
      </c>
      <c r="AO18" s="254"/>
      <c r="AP18" s="238" t="str">
        <f>IFERROR(__xludf.DUMMYFUNCTION("""COMPUTED_VALUE"""),"Critical Factor")</f>
        <v>Critical Factor</v>
      </c>
      <c r="AQ18" s="326">
        <f>IFERROR(__xludf.DUMMYFUNCTION("""COMPUTED_VALUE"""),0.0)</f>
        <v>0</v>
      </c>
      <c r="AR18" s="254"/>
      <c r="AS18" s="257"/>
      <c r="AT18" s="257"/>
      <c r="AU18" s="225"/>
      <c r="AV18" s="267"/>
      <c r="AW18" s="267"/>
      <c r="AX18" s="226"/>
      <c r="AY18" s="225"/>
      <c r="AZ18" s="225"/>
      <c r="BA18" s="226"/>
      <c r="BB18" s="225"/>
      <c r="BC18" s="225"/>
      <c r="BD18" s="225"/>
      <c r="BE18" s="225"/>
      <c r="BF18" s="225"/>
      <c r="BG18" s="225"/>
      <c r="BH18" s="225"/>
      <c r="BI18" s="225"/>
      <c r="BJ18" s="225"/>
      <c r="BK18" s="225"/>
      <c r="BL18" s="225"/>
      <c r="BM18" s="225"/>
      <c r="BN18" s="225"/>
      <c r="BO18" s="225"/>
      <c r="BP18" s="225"/>
      <c r="BQ18" s="225"/>
      <c r="BR18" s="225"/>
      <c r="BS18" s="225"/>
      <c r="BT18" s="226"/>
      <c r="BU18" s="225"/>
      <c r="BV18" s="225"/>
      <c r="BW18" s="225" t="str">
        <f>IFERROR(__xludf.DUMMYFUNCTION("""COMPUTED_VALUE"""),"Range Bonus")</f>
        <v>Range Bonus</v>
      </c>
      <c r="BX18" s="331">
        <f>IFERROR(__xludf.DUMMYFUNCTION("""COMPUTED_VALUE"""),2.0)</f>
        <v>2</v>
      </c>
      <c r="BY18" s="234" t="str">
        <f>IFERROR(__xludf.DUMMYFUNCTION("""COMPUTED_VALUE"""),"00 | 2.0x | Cost 0 ⧈ | Next 10 ⧈")</f>
        <v>00 | 2.0x | Cost 0 ⧈ | Next 10 ⧈</v>
      </c>
      <c r="BZ18" s="225"/>
    </row>
    <row r="19">
      <c r="A19" s="238" t="str">
        <f>IFERROR(__xludf.DUMMYFUNCTION("""COMPUTED_VALUE"""),"Damage")</f>
        <v>Damage</v>
      </c>
      <c r="B19" s="239">
        <f>IFERROR(__xludf.DUMMYFUNCTION("""COMPUTED_VALUE"""),69.0)</f>
        <v>69</v>
      </c>
      <c r="C19" s="225"/>
      <c r="D19" s="240">
        <f>IFERROR(__xludf.DUMMYFUNCTION("""COMPUTED_VALUE"""),100.0)</f>
        <v>100</v>
      </c>
      <c r="E19" s="261" t="b">
        <f>IFERROR(__xludf.DUMMYFUNCTION("""COMPUTED_VALUE"""),TRUE)</f>
        <v>1</v>
      </c>
      <c r="F19" s="238" t="str">
        <f>IFERROR(__xludf.DUMMYFUNCTION("""COMPUTED_VALUE"""),"Rend Armor Chance")</f>
        <v>Rend Armor Chance</v>
      </c>
      <c r="G19" s="239">
        <f>IFERROR(__xludf.DUMMYFUNCTION("""COMPUTED_VALUE"""),80.0)</f>
        <v>80</v>
      </c>
      <c r="H19" s="225">
        <f>IFERROR(__xludf.DUMMYFUNCTION("""COMPUTED_VALUE"""),299.0)</f>
        <v>299</v>
      </c>
      <c r="I19" s="225">
        <f>IFERROR(__xludf.DUMMYFUNCTION("""COMPUTED_VALUE"""),80.0)</f>
        <v>80</v>
      </c>
      <c r="J19" s="225">
        <f>IFERROR(__xludf.DUMMYFUNCTION("""COMPUTED_VALUE"""),299.0)</f>
        <v>299</v>
      </c>
      <c r="K19" s="244"/>
      <c r="L19" s="225"/>
      <c r="M19" s="225"/>
      <c r="N19" s="225"/>
      <c r="O19" s="225"/>
      <c r="P19" s="225"/>
      <c r="Q19" s="274">
        <f>IFERROR(__xludf.DUMMYFUNCTION("""COMPUTED_VALUE"""),299.0)</f>
        <v>299</v>
      </c>
      <c r="R19" s="251" t="str">
        <f>IFERROR(__xludf.DUMMYFUNCTION("""COMPUTED_VALUE"""),"Free Upgrades +")</f>
        <v>Free Upgrades +</v>
      </c>
      <c r="S19" s="275">
        <f>IFERROR(__xludf.DUMMYFUNCTION("""COMPUTED_VALUE"""),1.12)</f>
        <v>1.12</v>
      </c>
      <c r="T19" s="239">
        <f>IFERROR(__xludf.DUMMYFUNCTION("""COMPUTED_VALUE"""),12.0)</f>
        <v>12</v>
      </c>
      <c r="U19" s="225">
        <f>IFERROR(__xludf.DUMMYFUNCTION("""COMPUTED_VALUE"""),12.0)</f>
        <v>12</v>
      </c>
      <c r="V19" s="225"/>
      <c r="W19" s="225"/>
      <c r="X19" s="225"/>
      <c r="Y19" s="276">
        <f>IFERROR(__xludf.DUMMYFUNCTION("""COMPUTED_VALUE"""),100.0)</f>
        <v>100</v>
      </c>
      <c r="Z19" s="257"/>
      <c r="AA19" s="225"/>
      <c r="AB19" s="245" t="str">
        <f>IFERROR(__xludf.DUMMYFUNCTION("""COMPUTED_VALUE"""),"Quantity")</f>
        <v>Quantity</v>
      </c>
      <c r="AC19" s="265">
        <f>IFERROR(__xludf.DUMMYFUNCTION("""COMPUTED_VALUE"""),3.0)</f>
        <v>3</v>
      </c>
      <c r="AD19" s="247" t="str">
        <f>IFERROR(__xludf.DUMMYFUNCTION("""COMPUTED_VALUE"""),"00 | #3 | Cost 0 ⧌ | Next 50 ⧌")</f>
        <v>00 | #3 | Cost 0 ⧌ | Next 50 ⧌</v>
      </c>
      <c r="AE19" s="252" t="str">
        <f>IFERROR(__xludf.DUMMYFUNCTION("""COMPUTED_VALUE"""),"Intro Sprint")</f>
        <v>Intro Sprint</v>
      </c>
      <c r="AF19" s="249">
        <f>IFERROR(__xludf.DUMMYFUNCTION("""COMPUTED_VALUE"""),7.0)</f>
        <v>7</v>
      </c>
      <c r="AG19" s="250" t="b">
        <f>IFERROR(__xludf.DUMMYFUNCTION("""COMPUTED_VALUE"""),TRUE)</f>
        <v>1</v>
      </c>
      <c r="AH19" s="266" t="str">
        <f>IFERROR(__xludf.DUMMYFUNCTION("""COMPUTED_VALUE"""),"Free Upgrades")</f>
        <v>Free Upgrades</v>
      </c>
      <c r="AI19" s="234" t="str">
        <f>IFERROR(__xludf.DUMMYFUNCTION("""COMPUTED_VALUE"""),"Second Wind")</f>
        <v>Second Wind</v>
      </c>
      <c r="AJ19" s="267"/>
      <c r="AK19" s="259"/>
      <c r="AL19" s="232"/>
      <c r="AM19" s="238" t="str">
        <f>IFERROR(__xludf.DUMMYFUNCTION("""COMPUTED_VALUE"""),"Super Critical Chance")</f>
        <v>Super Critical Chance</v>
      </c>
      <c r="AN19" s="278">
        <f>IFERROR(__xludf.DUMMYFUNCTION("""COMPUTED_VALUE"""),0.04)</f>
        <v>0.04</v>
      </c>
      <c r="AO19" s="254"/>
      <c r="AP19" s="238" t="str">
        <f>IFERROR(__xludf.DUMMYFUNCTION("""COMPUTED_VALUE"""),"Damage / Meter")</f>
        <v>Damage / Meter</v>
      </c>
      <c r="AQ19" s="326">
        <f>IFERROR(__xludf.DUMMYFUNCTION("""COMPUTED_VALUE"""),0.0)</f>
        <v>0</v>
      </c>
      <c r="AR19" s="254"/>
      <c r="AS19" s="257"/>
      <c r="AT19" s="257"/>
      <c r="AU19" s="225"/>
      <c r="AV19" s="267"/>
      <c r="AW19" s="267"/>
      <c r="AX19" s="226"/>
      <c r="AY19" s="225"/>
      <c r="AZ19" s="225"/>
      <c r="BA19" s="226"/>
      <c r="BB19" s="225" t="str">
        <f>IFERROR(__xludf.DUMMYFUNCTION("""COMPUTED_VALUE"""),"Placeholder 4th preset")</f>
        <v>Placeholder 4th preset</v>
      </c>
      <c r="BC19" s="225"/>
      <c r="BD19" s="225"/>
      <c r="BE19" s="225"/>
      <c r="BF19" s="225"/>
      <c r="BG19" s="225" t="str">
        <f>IFERROR(__xludf.DUMMYFUNCTION("""COMPUTED_VALUE"""),"Placeholder 4th preset")</f>
        <v>Placeholder 4th preset</v>
      </c>
      <c r="BH19" s="225"/>
      <c r="BI19" s="225"/>
      <c r="BJ19" s="225"/>
      <c r="BK19" s="225"/>
      <c r="BL19" s="225" t="str">
        <f>IFERROR(__xludf.DUMMYFUNCTION("""COMPUTED_VALUE"""),"Placeholder 4th preset")</f>
        <v>Placeholder 4th preset</v>
      </c>
      <c r="BM19" s="225"/>
      <c r="BN19" s="225"/>
      <c r="BO19" s="225"/>
      <c r="BP19" s="225"/>
      <c r="BQ19" s="225" t="str">
        <f>IFERROR(__xludf.DUMMYFUNCTION("""COMPUTED_VALUE"""),"Placeholder 4th preset")</f>
        <v>Placeholder 4th preset</v>
      </c>
      <c r="BR19" s="225"/>
      <c r="BS19" s="225"/>
      <c r="BT19" s="226"/>
      <c r="BU19" s="225" t="b">
        <f>IFERROR(__xludf.DUMMYFUNCTION("""COMPUTED_VALUE"""),FALSE)</f>
        <v>0</v>
      </c>
      <c r="BV19" s="284" t="str">
        <f>IFERROR(__xludf.DUMMYFUNCTION("""COMPUTED_VALUE"""),"Locked")</f>
        <v>Locked</v>
      </c>
      <c r="BW19" s="225" t="str">
        <f>IFERROR(__xludf.DUMMYFUNCTION("""COMPUTED_VALUE"""),"Duration")</f>
        <v>Duration</v>
      </c>
      <c r="BX19" s="332">
        <f>IFERROR(__xludf.DUMMYFUNCTION("""COMPUTED_VALUE"""),5.0)</f>
        <v>5</v>
      </c>
      <c r="BY19" s="234" t="str">
        <f>IFERROR(__xludf.DUMMYFUNCTION("""COMPUTED_VALUE"""),"00 | 5s | Cost 0 ⧈ | Next 10 ⧈")</f>
        <v>00 | 5s | Cost 0 ⧈ | Next 10 ⧈</v>
      </c>
      <c r="BZ19" s="225"/>
    </row>
    <row r="20">
      <c r="A20" s="238" t="str">
        <f>IFERROR(__xludf.DUMMYFUNCTION("""COMPUTED_VALUE"""),"Attack Speed")</f>
        <v>Attack Speed</v>
      </c>
      <c r="B20" s="239">
        <f>IFERROR(__xludf.DUMMYFUNCTION("""COMPUTED_VALUE"""),75.0)</f>
        <v>75</v>
      </c>
      <c r="C20" s="225"/>
      <c r="D20" s="240">
        <f>IFERROR(__xludf.DUMMYFUNCTION("""COMPUTED_VALUE"""),99.0)</f>
        <v>99</v>
      </c>
      <c r="E20" s="225"/>
      <c r="F20" s="238" t="str">
        <f>IFERROR(__xludf.DUMMYFUNCTION("""COMPUTED_VALUE"""),"Rend Armor Mult")</f>
        <v>Rend Armor Mult</v>
      </c>
      <c r="G20" s="239">
        <f>IFERROR(__xludf.DUMMYFUNCTION("""COMPUTED_VALUE"""),70.0)</f>
        <v>70</v>
      </c>
      <c r="H20" s="225">
        <f>IFERROR(__xludf.DUMMYFUNCTION("""COMPUTED_VALUE"""),299.0)</f>
        <v>299</v>
      </c>
      <c r="I20" s="225">
        <f>IFERROR(__xludf.DUMMYFUNCTION("""COMPUTED_VALUE"""),70.0)</f>
        <v>70</v>
      </c>
      <c r="J20" s="225">
        <f>IFERROR(__xludf.DUMMYFUNCTION("""COMPUTED_VALUE"""),299.0)</f>
        <v>299</v>
      </c>
      <c r="K20" s="244"/>
      <c r="L20" s="225"/>
      <c r="M20" s="225"/>
      <c r="N20" s="225"/>
      <c r="O20" s="225"/>
      <c r="P20" s="225"/>
      <c r="Q20" s="274">
        <f>IFERROR(__xludf.DUMMYFUNCTION("""COMPUTED_VALUE"""),299.0)</f>
        <v>299</v>
      </c>
      <c r="R20" s="234" t="str">
        <f>IFERROR(__xludf.DUMMYFUNCTION("""COMPUTED_VALUE"""),"Recovery Package +")</f>
        <v>Recovery Package +</v>
      </c>
      <c r="S20" s="333">
        <f>IFERROR(__xludf.DUMMYFUNCTION("""COMPUTED_VALUE"""),1.42)</f>
        <v>1.42</v>
      </c>
      <c r="T20" s="239">
        <f>IFERROR(__xludf.DUMMYFUNCTION("""COMPUTED_VALUE"""),42.0)</f>
        <v>42</v>
      </c>
      <c r="U20" s="225">
        <f>IFERROR(__xludf.DUMMYFUNCTION("""COMPUTED_VALUE"""),42.0)</f>
        <v>42</v>
      </c>
      <c r="V20" s="225"/>
      <c r="W20" s="225"/>
      <c r="X20" s="225"/>
      <c r="Y20" s="276">
        <f>IFERROR(__xludf.DUMMYFUNCTION("""COMPUTED_VALUE"""),300.0)</f>
        <v>300</v>
      </c>
      <c r="Z20" s="277" t="b">
        <f>IFERROR(__xludf.DUMMYFUNCTION("""COMPUTED_VALUE"""),FALSE)</f>
        <v>0</v>
      </c>
      <c r="AA20" s="238" t="str">
        <f>IFERROR(__xludf.DUMMYFUNCTION("""COMPUTED_VALUE"""),"UW Locked")</f>
        <v>UW Locked</v>
      </c>
      <c r="AB20" s="245" t="str">
        <f>IFERROR(__xludf.DUMMYFUNCTION("""COMPUTED_VALUE"""),"Cooldown")</f>
        <v>Cooldown</v>
      </c>
      <c r="AC20" s="304">
        <f>IFERROR(__xludf.DUMMYFUNCTION("""COMPUTED_VALUE"""),200.0)</f>
        <v>200</v>
      </c>
      <c r="AD20" s="247" t="str">
        <f>IFERROR(__xludf.DUMMYFUNCTION("""COMPUTED_VALUE"""),"00 | 200s | Cost 0 ⧌ | Next 8 ⧌")</f>
        <v>00 | 200s | Cost 0 ⧌ | Next 8 ⧌</v>
      </c>
      <c r="AE20" s="252" t="str">
        <f>IFERROR(__xludf.DUMMYFUNCTION("""COMPUTED_VALUE"""),"Land Mine Stun")</f>
        <v>Land Mine Stun</v>
      </c>
      <c r="AF20" s="249">
        <f>IFERROR(__xludf.DUMMYFUNCTION("""COMPUTED_VALUE"""),7.0)</f>
        <v>7</v>
      </c>
      <c r="AG20" s="250" t="b">
        <f>IFERROR(__xludf.DUMMYFUNCTION("""COMPUTED_VALUE"""),FALSE)</f>
        <v>0</v>
      </c>
      <c r="AH20" s="305"/>
      <c r="AI20" s="234"/>
      <c r="AJ20" s="267"/>
      <c r="AK20" s="259"/>
      <c r="AL20" s="226"/>
      <c r="AM20" s="238" t="str">
        <f>IFERROR(__xludf.DUMMYFUNCTION("""COMPUTED_VALUE"""),"Super Critical Mult")</f>
        <v>Super Critical Mult</v>
      </c>
      <c r="AN20" s="278">
        <f>IFERROR(__xludf.DUMMYFUNCTION("""COMPUTED_VALUE"""),0.05)</f>
        <v>0.05</v>
      </c>
      <c r="AO20" s="254"/>
      <c r="AP20" s="238" t="str">
        <f>IFERROR(__xludf.DUMMYFUNCTION("""COMPUTED_VALUE"""),"Multishot Chance")</f>
        <v>Multishot Chance</v>
      </c>
      <c r="AQ20" s="326">
        <f>IFERROR(__xludf.DUMMYFUNCTION("""COMPUTED_VALUE"""),0.0)</f>
        <v>0</v>
      </c>
      <c r="AR20" s="254"/>
      <c r="AS20" s="257"/>
      <c r="AT20" s="257"/>
      <c r="AU20" s="225"/>
      <c r="AV20" s="267"/>
      <c r="AW20" s="267"/>
      <c r="AX20" s="226"/>
      <c r="AY20" s="225"/>
      <c r="AZ20" s="225"/>
      <c r="BA20" s="226"/>
      <c r="BB20" s="225"/>
      <c r="BC20" s="225"/>
      <c r="BD20" s="225"/>
      <c r="BE20" s="225"/>
      <c r="BF20" s="225"/>
      <c r="BG20" s="225"/>
      <c r="BH20" s="225"/>
      <c r="BI20" s="225"/>
      <c r="BJ20" s="225"/>
      <c r="BK20" s="225"/>
      <c r="BL20" s="225"/>
      <c r="BM20" s="225"/>
      <c r="BN20" s="225"/>
      <c r="BO20" s="225"/>
      <c r="BP20" s="225"/>
      <c r="BQ20" s="225"/>
      <c r="BR20" s="225"/>
      <c r="BS20" s="225"/>
      <c r="BT20" s="226"/>
      <c r="BU20" s="225"/>
      <c r="BV20" s="225"/>
      <c r="BW20" s="225"/>
      <c r="BX20" s="225"/>
      <c r="BY20" s="225"/>
      <c r="BZ20" s="225"/>
    </row>
    <row r="21">
      <c r="A21" s="238" t="str">
        <f>IFERROR(__xludf.DUMMYFUNCTION("""COMPUTED_VALUE"""),"Critical Factor")</f>
        <v>Critical Factor</v>
      </c>
      <c r="B21" s="239">
        <f>IFERROR(__xludf.DUMMYFUNCTION("""COMPUTED_VALUE"""),83.0)</f>
        <v>83</v>
      </c>
      <c r="C21" s="225"/>
      <c r="D21" s="240">
        <f>IFERROR(__xludf.DUMMYFUNCTION("""COMPUTED_VALUE"""),99.0)</f>
        <v>99</v>
      </c>
      <c r="E21" s="225" t="str">
        <f>IFERROR(__xludf.DUMMYFUNCTION("""COMPUTED_VALUE""")," ")</f>
        <v> </v>
      </c>
      <c r="F21" s="238" t="str">
        <f>IFERROR(__xludf.DUMMYFUNCTION("""COMPUTED_VALUE"""),"Health")</f>
        <v>Health</v>
      </c>
      <c r="G21" s="239">
        <f>IFERROR(__xludf.DUMMYFUNCTION("""COMPUTED_VALUE"""),5700.0)</f>
        <v>5700</v>
      </c>
      <c r="H21" s="225">
        <f>IFERROR(__xludf.DUMMYFUNCTION("""COMPUTED_VALUE"""),6000.0)</f>
        <v>6000</v>
      </c>
      <c r="I21" s="225">
        <f>IFERROR(__xludf.DUMMYFUNCTION("""COMPUTED_VALUE"""),5700.0)</f>
        <v>5700</v>
      </c>
      <c r="J21" s="225">
        <f>IFERROR(__xludf.DUMMYFUNCTION("""COMPUTED_VALUE"""),6000.0)</f>
        <v>6000</v>
      </c>
      <c r="K21" s="244"/>
      <c r="L21" s="225"/>
      <c r="M21" s="225"/>
      <c r="N21" s="225"/>
      <c r="O21" s="225"/>
      <c r="P21" s="225"/>
      <c r="Q21" s="274">
        <f>IFERROR(__xludf.DUMMYFUNCTION("""COMPUTED_VALUE"""),6000.0)</f>
        <v>6000</v>
      </c>
      <c r="R21" s="234" t="str">
        <f>IFERROR(__xludf.DUMMYFUNCTION("""COMPUTED_VALUE"""),"Enemy Level Skips +")</f>
        <v>Enemy Level Skips +</v>
      </c>
      <c r="S21" s="333">
        <f>IFERROR(__xludf.DUMMYFUNCTION("""COMPUTED_VALUE"""),1.15)</f>
        <v>1.15</v>
      </c>
      <c r="T21" s="239">
        <f>IFERROR(__xludf.DUMMYFUNCTION("""COMPUTED_VALUE"""),15.0)</f>
        <v>15</v>
      </c>
      <c r="U21" s="225">
        <f>IFERROR(__xludf.DUMMYFUNCTION("""COMPUTED_VALUE"""),15.0)</f>
        <v>15</v>
      </c>
      <c r="V21" s="225"/>
      <c r="W21" s="225"/>
      <c r="X21" s="225"/>
      <c r="Y21" s="276">
        <f>IFERROR(__xludf.DUMMYFUNCTION("""COMPUTED_VALUE"""),60.0)</f>
        <v>60</v>
      </c>
      <c r="Z21" s="245" t="str">
        <f>IFERROR(__xludf.DUMMYFUNCTION("""COMPUTED_VALUE"""),"UW+")</f>
        <v>UW+</v>
      </c>
      <c r="AA21" s="225"/>
      <c r="AB21" s="245" t="str">
        <f>IFERROR(__xludf.DUMMYFUNCTION("""COMPUTED_VALUE"""),"Charged Mines")</f>
        <v>Charged Mines</v>
      </c>
      <c r="AC21" s="334" t="str">
        <f>IFERROR(__xludf.DUMMYFUNCTION("""COMPUTED_VALUE"""),"Locked")</f>
        <v>Locked</v>
      </c>
      <c r="AD21" s="247" t="str">
        <f>IFERROR(__xludf.DUMMYFUNCTION("""COMPUTED_VALUE"""),"Lo | Locked")</f>
        <v>Lo | Locked</v>
      </c>
      <c r="AE21" s="252" t="str">
        <f>IFERROR(__xludf.DUMMYFUNCTION("""COMPUTED_VALUE"""),"Recovery Package Chance")</f>
        <v>Recovery Package Chance</v>
      </c>
      <c r="AF21" s="249">
        <f>IFERROR(__xludf.DUMMYFUNCTION("""COMPUTED_VALUE"""),7.0)</f>
        <v>7</v>
      </c>
      <c r="AG21" s="250" t="b">
        <f>IFERROR(__xludf.DUMMYFUNCTION("""COMPUTED_VALUE"""),TRUE)</f>
        <v>1</v>
      </c>
      <c r="AH21" s="335"/>
      <c r="AI21" s="234"/>
      <c r="AJ21" s="267"/>
      <c r="AK21" s="259"/>
      <c r="AL21" s="232"/>
      <c r="AM21" s="238" t="str">
        <f>IFERROR(__xludf.DUMMYFUNCTION("""COMPUTED_VALUE"""),"Rend Armor Mult")</f>
        <v>Rend Armor Mult</v>
      </c>
      <c r="AN21" s="267">
        <f>IFERROR(__xludf.DUMMYFUNCTION("""COMPUTED_VALUE"""),0.0)</f>
        <v>0</v>
      </c>
      <c r="AO21" s="254"/>
      <c r="AP21" s="238" t="str">
        <f>IFERROR(__xludf.DUMMYFUNCTION("""COMPUTED_VALUE"""),"Rapid Fire Chance")</f>
        <v>Rapid Fire Chance</v>
      </c>
      <c r="AQ21" s="326">
        <f>IFERROR(__xludf.DUMMYFUNCTION("""COMPUTED_VALUE"""),0.0)</f>
        <v>0</v>
      </c>
      <c r="AR21" s="254"/>
      <c r="AS21" s="257"/>
      <c r="AT21" s="257"/>
      <c r="AU21" s="225"/>
      <c r="AV21" s="267"/>
      <c r="AW21" s="267"/>
      <c r="AX21" s="226"/>
      <c r="AY21" s="225"/>
      <c r="AZ21" s="225"/>
      <c r="BA21" s="226"/>
      <c r="BB21" s="225"/>
      <c r="BC21" s="225"/>
      <c r="BD21" s="225"/>
      <c r="BE21" s="225"/>
      <c r="BF21" s="225"/>
      <c r="BG21" s="225"/>
      <c r="BH21" s="225"/>
      <c r="BI21" s="225"/>
      <c r="BJ21" s="225"/>
      <c r="BK21" s="225"/>
      <c r="BL21" s="225"/>
      <c r="BM21" s="225"/>
      <c r="BN21" s="225"/>
      <c r="BO21" s="225"/>
      <c r="BP21" s="225"/>
      <c r="BQ21" s="225"/>
      <c r="BR21" s="225"/>
      <c r="BS21" s="225"/>
      <c r="BT21" s="226"/>
      <c r="BU21" s="225"/>
      <c r="BV21" s="225"/>
      <c r="BW21" s="225"/>
      <c r="BX21" s="225"/>
      <c r="BY21" s="225"/>
      <c r="BZ21" s="225"/>
    </row>
    <row r="22">
      <c r="A22" s="238" t="str">
        <f>IFERROR(__xludf.DUMMYFUNCTION("""COMPUTED_VALUE"""),"Range")</f>
        <v>Range</v>
      </c>
      <c r="B22" s="239">
        <f>IFERROR(__xludf.DUMMYFUNCTION("""COMPUTED_VALUE"""),33.0)</f>
        <v>33</v>
      </c>
      <c r="C22" s="225"/>
      <c r="D22" s="240">
        <f>IFERROR(__xludf.DUMMYFUNCTION("""COMPUTED_VALUE"""),80.0)</f>
        <v>80</v>
      </c>
      <c r="E22" s="225"/>
      <c r="F22" s="238" t="str">
        <f>IFERROR(__xludf.DUMMYFUNCTION("""COMPUTED_VALUE"""),"Health Regen")</f>
        <v>Health Regen</v>
      </c>
      <c r="G22" s="239">
        <f>IFERROR(__xludf.DUMMYFUNCTION("""COMPUTED_VALUE"""),6000.0)</f>
        <v>6000</v>
      </c>
      <c r="H22" s="225">
        <f>IFERROR(__xludf.DUMMYFUNCTION("""COMPUTED_VALUE"""),6000.0)</f>
        <v>6000</v>
      </c>
      <c r="I22" s="225">
        <f>IFERROR(__xludf.DUMMYFUNCTION("""COMPUTED_VALUE"""),6000.0)</f>
        <v>6000</v>
      </c>
      <c r="J22" s="225">
        <f>IFERROR(__xludf.DUMMYFUNCTION("""COMPUTED_VALUE"""),6000.0)</f>
        <v>6000</v>
      </c>
      <c r="K22" s="244"/>
      <c r="L22" s="225"/>
      <c r="M22" s="225"/>
      <c r="N22" s="225"/>
      <c r="O22" s="225"/>
      <c r="P22" s="225"/>
      <c r="Q22" s="274">
        <f>IFERROR(__xludf.DUMMYFUNCTION("""COMPUTED_VALUE"""),6000.0)</f>
        <v>6000</v>
      </c>
      <c r="R22" s="234"/>
      <c r="S22" s="225"/>
      <c r="T22" s="225"/>
      <c r="U22" s="225"/>
      <c r="V22" s="225"/>
      <c r="W22" s="225"/>
      <c r="X22" s="225"/>
      <c r="Y22" s="229"/>
      <c r="Z22" s="245" t="str">
        <f>IFERROR(__xludf.DUMMYFUNCTION("""COMPUTED_VALUE"""),"Golden Tower")</f>
        <v>Golden Tower</v>
      </c>
      <c r="AA22" s="225"/>
      <c r="AB22" s="245" t="str">
        <f>IFERROR(__xludf.DUMMYFUNCTION("""COMPUTED_VALUE"""),"Multiplier")</f>
        <v>Multiplier</v>
      </c>
      <c r="AC22" s="336">
        <f>IFERROR(__xludf.DUMMYFUNCTION("""COMPUTED_VALUE"""),14.600000000000005)</f>
        <v>14.6</v>
      </c>
      <c r="AD22" s="247" t="str">
        <f>IFERROR(__xludf.DUMMYFUNCTION("""COMPUTED_VALUE"""),"12 | x14.6 | Cost 162 ⧌ | Next 250 ⧌")</f>
        <v>12 | x14.6 | Cost 162 ⧌ | Next 250 ⧌</v>
      </c>
      <c r="AE22" s="252" t="str">
        <f>IFERROR(__xludf.DUMMYFUNCTION("""COMPUTED_VALUE"""),"Death Ray")</f>
        <v>Death Ray</v>
      </c>
      <c r="AF22" s="249">
        <f>IFERROR(__xludf.DUMMYFUNCTION("""COMPUTED_VALUE"""),7.0)</f>
        <v>7</v>
      </c>
      <c r="AG22" s="250" t="b">
        <f>IFERROR(__xludf.DUMMYFUNCTION("""COMPUTED_VALUE"""),FALSE)</f>
        <v>0</v>
      </c>
      <c r="AH22" s="337"/>
      <c r="AI22" s="234"/>
      <c r="AJ22" s="267"/>
      <c r="AK22" s="259"/>
      <c r="AL22" s="232"/>
      <c r="AM22" s="238" t="str">
        <f>IFERROR(__xludf.DUMMYFUNCTION("""COMPUTED_VALUE"""),"Defense")</f>
        <v>Defense</v>
      </c>
      <c r="AN22" s="278"/>
      <c r="AO22" s="254"/>
      <c r="AP22" s="238" t="str">
        <f>IFERROR(__xludf.DUMMYFUNCTION("""COMPUTED_VALUE"""),"Bounce Shot Chance")</f>
        <v>Bounce Shot Chance</v>
      </c>
      <c r="AQ22" s="326">
        <f>IFERROR(__xludf.DUMMYFUNCTION("""COMPUTED_VALUE"""),0.0)</f>
        <v>0</v>
      </c>
      <c r="AR22" s="254"/>
      <c r="AS22" s="257"/>
      <c r="AT22" s="257"/>
      <c r="AU22" s="225"/>
      <c r="AV22" s="267"/>
      <c r="AW22" s="267"/>
      <c r="AX22" s="226"/>
      <c r="AY22" s="225"/>
      <c r="AZ22" s="225"/>
      <c r="BA22" s="226"/>
      <c r="BB22" s="225"/>
      <c r="BC22" s="225"/>
      <c r="BD22" s="225"/>
      <c r="BE22" s="225"/>
      <c r="BF22" s="225"/>
      <c r="BG22" s="225"/>
      <c r="BH22" s="225"/>
      <c r="BI22" s="225"/>
      <c r="BJ22" s="225"/>
      <c r="BK22" s="225"/>
      <c r="BL22" s="225"/>
      <c r="BM22" s="225"/>
      <c r="BN22" s="225"/>
      <c r="BO22" s="225"/>
      <c r="BP22" s="225"/>
      <c r="BQ22" s="225"/>
      <c r="BR22" s="225"/>
      <c r="BS22" s="225"/>
      <c r="BT22" s="226"/>
      <c r="BU22" s="225"/>
      <c r="BV22" s="225"/>
      <c r="BW22" s="225"/>
      <c r="BX22" s="225"/>
      <c r="BY22" s="225"/>
      <c r="BZ22" s="225"/>
    </row>
    <row r="23">
      <c r="A23" s="238" t="str">
        <f>IFERROR(__xludf.DUMMYFUNCTION("""COMPUTED_VALUE"""),"Damage / Meter")</f>
        <v>Damage / Meter</v>
      </c>
      <c r="B23" s="239">
        <f>IFERROR(__xludf.DUMMYFUNCTION("""COMPUTED_VALUE"""),16.0)</f>
        <v>16</v>
      </c>
      <c r="C23" s="225"/>
      <c r="D23" s="240">
        <f>IFERROR(__xludf.DUMMYFUNCTION("""COMPUTED_VALUE"""),99.0)</f>
        <v>99</v>
      </c>
      <c r="E23" s="261" t="b">
        <f>IFERROR(__xludf.DUMMYFUNCTION("""COMPUTED_VALUE"""),TRUE)</f>
        <v>1</v>
      </c>
      <c r="F23" s="238" t="str">
        <f>IFERROR(__xludf.DUMMYFUNCTION("""COMPUTED_VALUE"""),"Defense %")</f>
        <v>Defense %</v>
      </c>
      <c r="G23" s="239">
        <f>IFERROR(__xludf.DUMMYFUNCTION("""COMPUTED_VALUE"""),99.0)</f>
        <v>99</v>
      </c>
      <c r="H23" s="225">
        <f>IFERROR(__xludf.DUMMYFUNCTION("""COMPUTED_VALUE"""),99.0)</f>
        <v>99</v>
      </c>
      <c r="I23" s="225">
        <f>IFERROR(__xludf.DUMMYFUNCTION("""COMPUTED_VALUE"""),99.0)</f>
        <v>99</v>
      </c>
      <c r="J23" s="225">
        <f>IFERROR(__xludf.DUMMYFUNCTION("""COMPUTED_VALUE"""),99.0)</f>
        <v>99</v>
      </c>
      <c r="K23" s="244"/>
      <c r="L23" s="225"/>
      <c r="M23" s="225"/>
      <c r="N23" s="225"/>
      <c r="O23" s="225"/>
      <c r="P23" s="225"/>
      <c r="Q23" s="274">
        <f>IFERROR(__xludf.DUMMYFUNCTION("""COMPUTED_VALUE"""),99.0)</f>
        <v>99</v>
      </c>
      <c r="R23" s="234"/>
      <c r="S23" s="225"/>
      <c r="T23" s="225"/>
      <c r="U23" s="225"/>
      <c r="V23" s="225"/>
      <c r="W23" s="225"/>
      <c r="X23" s="225"/>
      <c r="Y23" s="229"/>
      <c r="Z23" s="257"/>
      <c r="AA23" s="225"/>
      <c r="AB23" s="245" t="str">
        <f>IFERROR(__xludf.DUMMYFUNCTION("""COMPUTED_VALUE"""),"Duration")</f>
        <v>Duration</v>
      </c>
      <c r="AC23" s="338">
        <f>IFERROR(__xludf.DUMMYFUNCTION("""COMPUTED_VALUE"""),22.0)</f>
        <v>22</v>
      </c>
      <c r="AD23" s="247" t="str">
        <f>IFERROR(__xludf.DUMMYFUNCTION("""COMPUTED_VALUE"""),"07 | 22s | Cost 59 ⧌ | Next 68 ⧌")</f>
        <v>07 | 22s | Cost 59 ⧌ | Next 68 ⧌</v>
      </c>
      <c r="AE23" s="252" t="str">
        <f>IFERROR(__xludf.DUMMYFUNCTION("""COMPUTED_VALUE"""),"Energy Net")</f>
        <v>Energy Net</v>
      </c>
      <c r="AF23" s="249">
        <f>IFERROR(__xludf.DUMMYFUNCTION("""COMPUTED_VALUE"""),7.0)</f>
        <v>7</v>
      </c>
      <c r="AG23" s="250" t="b">
        <f>IFERROR(__xludf.DUMMYFUNCTION("""COMPUTED_VALUE"""),FALSE)</f>
        <v>0</v>
      </c>
      <c r="AH23" s="339"/>
      <c r="AI23" s="234"/>
      <c r="AJ23" s="267"/>
      <c r="AK23" s="259"/>
      <c r="AL23" s="232"/>
      <c r="AM23" s="238" t="str">
        <f>IFERROR(__xludf.DUMMYFUNCTION("""COMPUTED_VALUE"""),"Health")</f>
        <v>Health</v>
      </c>
      <c r="AN23" s="278">
        <f>IFERROR(__xludf.DUMMYFUNCTION("""COMPUTED_VALUE"""),0.51)</f>
        <v>0.51</v>
      </c>
      <c r="AO23" s="254"/>
      <c r="AP23" s="238" t="str">
        <f>IFERROR(__xludf.DUMMYFUNCTION("""COMPUTED_VALUE"""),"Super Crit Chance")</f>
        <v>Super Crit Chance</v>
      </c>
      <c r="AQ23" s="326">
        <f>IFERROR(__xludf.DUMMYFUNCTION("""COMPUTED_VALUE"""),0.0)</f>
        <v>0</v>
      </c>
      <c r="AR23" s="254"/>
      <c r="AS23" s="257"/>
      <c r="AT23" s="257"/>
      <c r="AU23" s="225"/>
      <c r="AV23" s="267"/>
      <c r="AW23" s="267"/>
      <c r="AX23" s="226"/>
      <c r="AY23" s="225"/>
      <c r="AZ23" s="225"/>
      <c r="BA23" s="226"/>
      <c r="BB23" s="225" t="str">
        <f>IFERROR(__xludf.DUMMYFUNCTION("""COMPUTED_VALUE"""),"Placeholder 5th preset")</f>
        <v>Placeholder 5th preset</v>
      </c>
      <c r="BC23" s="225"/>
      <c r="BD23" s="225"/>
      <c r="BE23" s="225"/>
      <c r="BF23" s="225"/>
      <c r="BG23" s="225" t="str">
        <f>IFERROR(__xludf.DUMMYFUNCTION("""COMPUTED_VALUE"""),"Placeholder 5th preset")</f>
        <v>Placeholder 5th preset</v>
      </c>
      <c r="BH23" s="225"/>
      <c r="BI23" s="225"/>
      <c r="BJ23" s="225"/>
      <c r="BK23" s="225"/>
      <c r="BL23" s="225" t="str">
        <f>IFERROR(__xludf.DUMMYFUNCTION("""COMPUTED_VALUE"""),"Placeholder 5th preset")</f>
        <v>Placeholder 5th preset</v>
      </c>
      <c r="BM23" s="225"/>
      <c r="BN23" s="225"/>
      <c r="BO23" s="225"/>
      <c r="BP23" s="225"/>
      <c r="BQ23" s="225" t="str">
        <f>IFERROR(__xludf.DUMMYFUNCTION("""COMPUTED_VALUE"""),"Placeholder 5th preset")</f>
        <v>Placeholder 5th preset</v>
      </c>
      <c r="BR23" s="225"/>
      <c r="BS23" s="225"/>
      <c r="BT23" s="226"/>
      <c r="BU23" s="225"/>
      <c r="BV23" s="225"/>
      <c r="BW23" s="225"/>
      <c r="BX23" s="225"/>
      <c r="BY23" s="225"/>
      <c r="BZ23" s="225"/>
    </row>
    <row r="24">
      <c r="A24" s="238" t="str">
        <f>IFERROR(__xludf.DUMMYFUNCTION("""COMPUTED_VALUE"""),"Super Crit Chance")</f>
        <v>Super Crit Chance</v>
      </c>
      <c r="B24" s="239">
        <f>IFERROR(__xludf.DUMMYFUNCTION("""COMPUTED_VALUE"""),9.0)</f>
        <v>9</v>
      </c>
      <c r="C24" s="225"/>
      <c r="D24" s="240">
        <f>IFERROR(__xludf.DUMMYFUNCTION("""COMPUTED_VALUE"""),50.0)</f>
        <v>50</v>
      </c>
      <c r="E24" s="225"/>
      <c r="F24" s="238" t="str">
        <f>IFERROR(__xludf.DUMMYFUNCTION("""COMPUTED_VALUE"""),"Defense Absolute")</f>
        <v>Defense Absolute</v>
      </c>
      <c r="G24" s="239">
        <f>IFERROR(__xludf.DUMMYFUNCTION("""COMPUTED_VALUE"""),5000.0)</f>
        <v>5000</v>
      </c>
      <c r="H24" s="225">
        <f>IFERROR(__xludf.DUMMYFUNCTION("""COMPUTED_VALUE"""),5000.0)</f>
        <v>5000</v>
      </c>
      <c r="I24" s="225">
        <f>IFERROR(__xludf.DUMMYFUNCTION("""COMPUTED_VALUE"""),5000.0)</f>
        <v>5000</v>
      </c>
      <c r="J24" s="225">
        <f>IFERROR(__xludf.DUMMYFUNCTION("""COMPUTED_VALUE"""),5000.0)</f>
        <v>5000</v>
      </c>
      <c r="K24" s="244"/>
      <c r="L24" s="225"/>
      <c r="M24" s="225"/>
      <c r="N24" s="225"/>
      <c r="O24" s="284"/>
      <c r="P24" s="225"/>
      <c r="Q24" s="274">
        <f>IFERROR(__xludf.DUMMYFUNCTION("""COMPUTED_VALUE"""),5000.0)</f>
        <v>5000</v>
      </c>
      <c r="R24" s="234"/>
      <c r="S24" s="225"/>
      <c r="T24" s="225"/>
      <c r="U24" s="225"/>
      <c r="V24" s="225"/>
      <c r="W24" s="225"/>
      <c r="X24" s="225"/>
      <c r="Y24" s="229"/>
      <c r="Z24" s="320" t="b">
        <f>IFERROR(__xludf.DUMMYFUNCTION("""COMPUTED_VALUE"""),TRUE)</f>
        <v>1</v>
      </c>
      <c r="AA24" s="288" t="str">
        <f>IFERROR(__xludf.DUMMYFUNCTION("""COMPUTED_VALUE"""),"UW Unlocked")</f>
        <v>UW Unlocked</v>
      </c>
      <c r="AB24" s="245" t="str">
        <f>IFERROR(__xludf.DUMMYFUNCTION("""COMPUTED_VALUE"""),"Cooldown")</f>
        <v>Cooldown</v>
      </c>
      <c r="AC24" s="304">
        <f>IFERROR(__xludf.DUMMYFUNCTION("""COMPUTED_VALUE"""),180.0)</f>
        <v>180</v>
      </c>
      <c r="AD24" s="247" t="str">
        <f>IFERROR(__xludf.DUMMYFUNCTION("""COMPUTED_VALUE"""),"12 | 180s | Cost 208 ⧌ | Next 226 ⧌")</f>
        <v>12 | 180s | Cost 208 ⧌ | Next 226 ⧌</v>
      </c>
      <c r="AE24" s="252" t="str">
        <f>IFERROR(__xludf.DUMMYFUNCTION("""COMPUTED_VALUE"""),"Super Tower")</f>
        <v>Super Tower</v>
      </c>
      <c r="AF24" s="249">
        <f>IFERROR(__xludf.DUMMYFUNCTION("""COMPUTED_VALUE"""),7.0)</f>
        <v>7</v>
      </c>
      <c r="AG24" s="250" t="b">
        <f>IFERROR(__xludf.DUMMYFUNCTION("""COMPUTED_VALUE"""),FALSE)</f>
        <v>0</v>
      </c>
      <c r="AH24" s="305"/>
      <c r="AI24" s="234"/>
      <c r="AJ24" s="267"/>
      <c r="AK24" s="259"/>
      <c r="AL24" s="232"/>
      <c r="AM24" s="238" t="str">
        <f>IFERROR(__xludf.DUMMYFUNCTION("""COMPUTED_VALUE"""),"Health Regen")</f>
        <v>Health Regen</v>
      </c>
      <c r="AN24" s="278">
        <f>IFERROR(__xludf.DUMMYFUNCTION("""COMPUTED_VALUE"""),0.22999999999999998)</f>
        <v>0.23</v>
      </c>
      <c r="AO24" s="254"/>
      <c r="AP24" s="238" t="str">
        <f>IFERROR(__xludf.DUMMYFUNCTION("""COMPUTED_VALUE"""),"Super Crit Mult")</f>
        <v>Super Crit Mult</v>
      </c>
      <c r="AQ24" s="326">
        <f>IFERROR(__xludf.DUMMYFUNCTION("""COMPUTED_VALUE"""),0.0)</f>
        <v>0</v>
      </c>
      <c r="AR24" s="254"/>
      <c r="AS24" s="257"/>
      <c r="AT24" s="257"/>
      <c r="AU24" s="225"/>
      <c r="AV24" s="267"/>
      <c r="AW24" s="267"/>
      <c r="AX24" s="226"/>
      <c r="AY24" s="225"/>
      <c r="AZ24" s="225"/>
      <c r="BA24" s="226"/>
      <c r="BB24" s="225"/>
      <c r="BC24" s="225"/>
      <c r="BD24" s="225"/>
      <c r="BE24" s="225"/>
      <c r="BF24" s="225"/>
      <c r="BG24" s="225"/>
      <c r="BH24" s="225"/>
      <c r="BI24" s="225"/>
      <c r="BJ24" s="225"/>
      <c r="BK24" s="225"/>
      <c r="BL24" s="225"/>
      <c r="BM24" s="225"/>
      <c r="BN24" s="225"/>
      <c r="BO24" s="225"/>
      <c r="BP24" s="225"/>
      <c r="BQ24" s="225"/>
      <c r="BR24" s="225"/>
      <c r="BS24" s="225"/>
      <c r="BT24" s="226"/>
      <c r="BU24" s="225"/>
      <c r="BV24" s="225"/>
      <c r="BW24" s="225"/>
      <c r="BX24" s="225"/>
      <c r="BY24" s="225"/>
      <c r="BZ24" s="225"/>
    </row>
    <row r="25">
      <c r="A25" s="238" t="str">
        <f>IFERROR(__xludf.DUMMYFUNCTION("""COMPUTED_VALUE"""),"Super Crit Multi")</f>
        <v>Super Crit Multi</v>
      </c>
      <c r="B25" s="239">
        <f>IFERROR(__xludf.DUMMYFUNCTION("""COMPUTED_VALUE"""),13.0)</f>
        <v>13</v>
      </c>
      <c r="C25" s="225"/>
      <c r="D25" s="240">
        <f>IFERROR(__xludf.DUMMYFUNCTION("""COMPUTED_VALUE"""),40.0)</f>
        <v>40</v>
      </c>
      <c r="E25" s="241" t="b">
        <f>IFERROR(__xludf.DUMMYFUNCTION("""COMPUTED_VALUE"""),TRUE)</f>
        <v>1</v>
      </c>
      <c r="F25" s="238" t="str">
        <f>IFERROR(__xludf.DUMMYFUNCTION("""COMPUTED_VALUE"""),"Thorn Damage")</f>
        <v>Thorn Damage</v>
      </c>
      <c r="G25" s="239">
        <f>IFERROR(__xludf.DUMMYFUNCTION("""COMPUTED_VALUE"""),99.0)</f>
        <v>99</v>
      </c>
      <c r="H25" s="225">
        <f>IFERROR(__xludf.DUMMYFUNCTION("""COMPUTED_VALUE"""),99.0)</f>
        <v>99</v>
      </c>
      <c r="I25" s="225">
        <f>IFERROR(__xludf.DUMMYFUNCTION("""COMPUTED_VALUE"""),99.0)</f>
        <v>99</v>
      </c>
      <c r="J25" s="225">
        <f>IFERROR(__xludf.DUMMYFUNCTION("""COMPUTED_VALUE"""),99.0)</f>
        <v>99</v>
      </c>
      <c r="K25" s="244"/>
      <c r="L25" s="225"/>
      <c r="M25" s="225"/>
      <c r="N25" s="225"/>
      <c r="O25" s="225"/>
      <c r="P25" s="225"/>
      <c r="Q25" s="274">
        <f>IFERROR(__xludf.DUMMYFUNCTION("""COMPUTED_VALUE"""),99.0)</f>
        <v>99</v>
      </c>
      <c r="R25" s="234"/>
      <c r="S25" s="225"/>
      <c r="T25" s="225"/>
      <c r="U25" s="225"/>
      <c r="V25" s="225"/>
      <c r="W25" s="225"/>
      <c r="X25" s="225"/>
      <c r="Y25" s="229"/>
      <c r="Z25" s="245" t="str">
        <f>IFERROR(__xludf.DUMMYFUNCTION("""COMPUTED_VALUE"""),"UW+")</f>
        <v>UW+</v>
      </c>
      <c r="AA25" s="225"/>
      <c r="AB25" s="245" t="str">
        <f>IFERROR(__xludf.DUMMYFUNCTION("""COMPUTED_VALUE"""),"Golden Combo")</f>
        <v>Golden Combo</v>
      </c>
      <c r="AC25" s="340" t="str">
        <f>IFERROR(__xludf.DUMMYFUNCTION("""COMPUTED_VALUE"""),"Locked")</f>
        <v>Locked</v>
      </c>
      <c r="AD25" s="247" t="str">
        <f>IFERROR(__xludf.DUMMYFUNCTION("""COMPUTED_VALUE"""),"Lo | Locked")</f>
        <v>Lo | Locked</v>
      </c>
      <c r="AE25" s="252" t="str">
        <f>IFERROR(__xludf.DUMMYFUNCTION("""COMPUTED_VALUE"""),"Second Wind")</f>
        <v>Second Wind</v>
      </c>
      <c r="AF25" s="249">
        <f>IFERROR(__xludf.DUMMYFUNCTION("""COMPUTED_VALUE"""),7.0)</f>
        <v>7</v>
      </c>
      <c r="AG25" s="250" t="b">
        <f>IFERROR(__xludf.DUMMYFUNCTION("""COMPUTED_VALUE"""),FALSE)</f>
        <v>0</v>
      </c>
      <c r="AH25" s="287"/>
      <c r="AI25" s="234"/>
      <c r="AJ25" s="267"/>
      <c r="AK25" s="259"/>
      <c r="AL25" s="232"/>
      <c r="AM25" s="238" t="str">
        <f>IFERROR(__xludf.DUMMYFUNCTION("""COMPUTED_VALUE"""),"Defense %")</f>
        <v>Defense %</v>
      </c>
      <c r="AN25" s="278">
        <f>IFERROR(__xludf.DUMMYFUNCTION("""COMPUTED_VALUE"""),0.04)</f>
        <v>0.04</v>
      </c>
      <c r="AO25" s="254"/>
      <c r="AP25" s="238" t="str">
        <f>IFERROR(__xludf.DUMMYFUNCTION("""COMPUTED_VALUE"""),"Rend Armor Chance")</f>
        <v>Rend Armor Chance</v>
      </c>
      <c r="AQ25" s="326">
        <f>IFERROR(__xludf.DUMMYFUNCTION("""COMPUTED_VALUE"""),0.0)</f>
        <v>0</v>
      </c>
      <c r="AR25" s="254"/>
      <c r="AS25" s="257"/>
      <c r="AT25" s="257"/>
      <c r="AU25" s="225"/>
      <c r="AV25" s="267"/>
      <c r="AW25" s="267"/>
      <c r="AX25" s="226"/>
      <c r="AY25" s="225"/>
      <c r="AZ25" s="225"/>
      <c r="BA25" s="226"/>
      <c r="BB25" s="225"/>
      <c r="BC25" s="225"/>
      <c r="BD25" s="225"/>
      <c r="BE25" s="225"/>
      <c r="BF25" s="225"/>
      <c r="BG25" s="225"/>
      <c r="BH25" s="225"/>
      <c r="BI25" s="225"/>
      <c r="BJ25" s="225"/>
      <c r="BK25" s="225"/>
      <c r="BL25" s="225"/>
      <c r="BM25" s="225"/>
      <c r="BN25" s="225"/>
      <c r="BO25" s="225"/>
      <c r="BP25" s="225"/>
      <c r="BQ25" s="225"/>
      <c r="BR25" s="225"/>
      <c r="BS25" s="225"/>
      <c r="BT25" s="226"/>
      <c r="BU25" s="225"/>
      <c r="BV25" s="225"/>
      <c r="BW25" s="225"/>
      <c r="BX25" s="225"/>
      <c r="BY25" s="225"/>
      <c r="BZ25" s="225"/>
    </row>
    <row r="26">
      <c r="A26" s="238" t="str">
        <f>IFERROR(__xludf.DUMMYFUNCTION("""COMPUTED_VALUE"""),"Max Rend Armor Multiplier")</f>
        <v>Max Rend Armor Multiplier</v>
      </c>
      <c r="B26" s="239">
        <f>IFERROR(__xludf.DUMMYFUNCTION("""COMPUTED_VALUE"""),0.0)</f>
        <v>0</v>
      </c>
      <c r="C26" s="225"/>
      <c r="D26" s="240">
        <f>IFERROR(__xludf.DUMMYFUNCTION("""COMPUTED_VALUE"""),30.0)</f>
        <v>30</v>
      </c>
      <c r="E26" s="261" t="b">
        <f>IFERROR(__xludf.DUMMYFUNCTION("""COMPUTED_VALUE"""),TRUE)</f>
        <v>1</v>
      </c>
      <c r="F26" s="238" t="str">
        <f>IFERROR(__xludf.DUMMYFUNCTION("""COMPUTED_VALUE"""),"Lifesteal")</f>
        <v>Lifesteal</v>
      </c>
      <c r="G26" s="239">
        <f>IFERROR(__xludf.DUMMYFUNCTION("""COMPUTED_VALUE"""),80.0)</f>
        <v>80</v>
      </c>
      <c r="H26" s="225">
        <f>IFERROR(__xludf.DUMMYFUNCTION("""COMPUTED_VALUE"""),80.0)</f>
        <v>80</v>
      </c>
      <c r="I26" s="225">
        <f>IFERROR(__xludf.DUMMYFUNCTION("""COMPUTED_VALUE"""),80.0)</f>
        <v>80</v>
      </c>
      <c r="J26" s="225">
        <f>IFERROR(__xludf.DUMMYFUNCTION("""COMPUTED_VALUE"""),80.0)</f>
        <v>80</v>
      </c>
      <c r="K26" s="244"/>
      <c r="L26" s="225"/>
      <c r="M26" s="225"/>
      <c r="N26" s="225"/>
      <c r="O26" s="225"/>
      <c r="P26" s="225"/>
      <c r="Q26" s="274">
        <f>IFERROR(__xludf.DUMMYFUNCTION("""COMPUTED_VALUE"""),80.0)</f>
        <v>80</v>
      </c>
      <c r="R26" s="234"/>
      <c r="S26" s="225"/>
      <c r="T26" s="225"/>
      <c r="U26" s="225"/>
      <c r="V26" s="225"/>
      <c r="W26" s="225"/>
      <c r="X26" s="225"/>
      <c r="Y26" s="229"/>
      <c r="Z26" s="245" t="str">
        <f>IFERROR(__xludf.DUMMYFUNCTION("""COMPUTED_VALUE"""),"Poison Swamp")</f>
        <v>Poison Swamp</v>
      </c>
      <c r="AA26" s="225"/>
      <c r="AB26" s="245" t="str">
        <f>IFERROR(__xludf.DUMMYFUNCTION("""COMPUTED_VALUE"""),"Damage")</f>
        <v>Damage</v>
      </c>
      <c r="AC26" s="341">
        <f>IFERROR(__xludf.DUMMYFUNCTION("""COMPUTED_VALUE"""),10.0)</f>
        <v>10</v>
      </c>
      <c r="AD26" s="247" t="str">
        <f>IFERROR(__xludf.DUMMYFUNCTION("""COMPUTED_VALUE"""),"00 | x10 | Cost 0 ⧌ | Next 5 ⧌")</f>
        <v>00 | x10 | Cost 0 ⧌ | Next 5 ⧌</v>
      </c>
      <c r="AE26" s="248" t="str">
        <f>IFERROR(__xludf.DUMMYFUNCTION("""COMPUTED_VALUE"""),"Demon Mode")</f>
        <v>Demon Mode</v>
      </c>
      <c r="AF26" s="249">
        <f>IFERROR(__xludf.DUMMYFUNCTION("""COMPUTED_VALUE"""),7.0)</f>
        <v>7</v>
      </c>
      <c r="AG26" s="250" t="b">
        <f>IFERROR(__xludf.DUMMYFUNCTION("""COMPUTED_VALUE"""),FALSE)</f>
        <v>0</v>
      </c>
      <c r="AH26" s="342"/>
      <c r="AI26" s="234"/>
      <c r="AJ26" s="267"/>
      <c r="AK26" s="259"/>
      <c r="AL26" s="226"/>
      <c r="AM26" s="238" t="str">
        <f>IFERROR(__xludf.DUMMYFUNCTION("""COMPUTED_VALUE"""),"Defense Absolute")</f>
        <v>Defense Absolute</v>
      </c>
      <c r="AN26" s="278">
        <f>IFERROR(__xludf.DUMMYFUNCTION("""COMPUTED_VALUE"""),0.28)</f>
        <v>0.28</v>
      </c>
      <c r="AO26" s="254"/>
      <c r="AP26" s="238" t="str">
        <f>IFERROR(__xludf.DUMMYFUNCTION("""COMPUTED_VALUE"""),"Rend Armor Mult")</f>
        <v>Rend Armor Mult</v>
      </c>
      <c r="AQ26" s="234">
        <f>IFERROR(__xludf.DUMMYFUNCTION("""COMPUTED_VALUE"""),0.0)</f>
        <v>0</v>
      </c>
      <c r="AR26" s="226"/>
      <c r="AS26" s="257"/>
      <c r="AT26" s="257"/>
      <c r="AU26" s="225"/>
      <c r="AV26" s="225"/>
      <c r="AW26" s="225"/>
      <c r="AX26" s="226"/>
      <c r="AY26" s="225"/>
      <c r="AZ26" s="225"/>
      <c r="BA26" s="226"/>
      <c r="BB26" s="225"/>
      <c r="BC26" s="225"/>
      <c r="BD26" s="225"/>
      <c r="BE26" s="225"/>
      <c r="BF26" s="225"/>
      <c r="BG26" s="225"/>
      <c r="BH26" s="225"/>
      <c r="BI26" s="225"/>
      <c r="BJ26" s="225"/>
      <c r="BK26" s="225"/>
      <c r="BL26" s="225"/>
      <c r="BM26" s="225"/>
      <c r="BN26" s="225"/>
      <c r="BO26" s="225"/>
      <c r="BP26" s="225"/>
      <c r="BQ26" s="225"/>
      <c r="BR26" s="225"/>
      <c r="BS26" s="225"/>
      <c r="BT26" s="226"/>
      <c r="BU26" s="225"/>
      <c r="BV26" s="225"/>
      <c r="BW26" s="225"/>
      <c r="BX26" s="225"/>
      <c r="BY26" s="225"/>
      <c r="BZ26" s="225"/>
    </row>
    <row r="27">
      <c r="A27" s="238" t="str">
        <f>IFERROR(__xludf.DUMMYFUNCTION("""COMPUTED_VALUE"""),"Light Speed Shots")</f>
        <v>Light Speed Shots</v>
      </c>
      <c r="B27" s="239">
        <f>IFERROR(__xludf.DUMMYFUNCTION("""COMPUTED_VALUE"""),1.0)</f>
        <v>1</v>
      </c>
      <c r="C27" s="225"/>
      <c r="D27" s="240">
        <f>IFERROR(__xludf.DUMMYFUNCTION("""COMPUTED_VALUE"""),1.0)</f>
        <v>1</v>
      </c>
      <c r="E27" s="261" t="b">
        <f>IFERROR(__xludf.DUMMYFUNCTION("""COMPUTED_VALUE"""),TRUE)</f>
        <v>1</v>
      </c>
      <c r="F27" s="238" t="str">
        <f>IFERROR(__xludf.DUMMYFUNCTION("""COMPUTED_VALUE"""),"Knockback Chance")</f>
        <v>Knockback Chance</v>
      </c>
      <c r="G27" s="239">
        <f>IFERROR(__xludf.DUMMYFUNCTION("""COMPUTED_VALUE"""),80.0)</f>
        <v>80</v>
      </c>
      <c r="H27" s="225">
        <f>IFERROR(__xludf.DUMMYFUNCTION("""COMPUTED_VALUE"""),80.0)</f>
        <v>80</v>
      </c>
      <c r="I27" s="225">
        <f>IFERROR(__xludf.DUMMYFUNCTION("""COMPUTED_VALUE"""),80.0)</f>
        <v>80</v>
      </c>
      <c r="J27" s="225">
        <f>IFERROR(__xludf.DUMMYFUNCTION("""COMPUTED_VALUE"""),80.0)</f>
        <v>80</v>
      </c>
      <c r="K27" s="244"/>
      <c r="L27" s="225"/>
      <c r="M27" s="225"/>
      <c r="N27" s="225"/>
      <c r="O27" s="225"/>
      <c r="P27" s="225"/>
      <c r="Q27" s="274">
        <f>IFERROR(__xludf.DUMMYFUNCTION("""COMPUTED_VALUE"""),80.0)</f>
        <v>80</v>
      </c>
      <c r="R27" s="234"/>
      <c r="S27" s="225"/>
      <c r="T27" s="225"/>
      <c r="U27" s="225"/>
      <c r="V27" s="225"/>
      <c r="W27" s="225"/>
      <c r="X27" s="225"/>
      <c r="Y27" s="229"/>
      <c r="Z27" s="257"/>
      <c r="AA27" s="225"/>
      <c r="AB27" s="245" t="str">
        <f>IFERROR(__xludf.DUMMYFUNCTION("""COMPUTED_VALUE"""),"Duration")</f>
        <v>Duration</v>
      </c>
      <c r="AC27" s="304">
        <f>IFERROR(__xludf.DUMMYFUNCTION("""COMPUTED_VALUE"""),30.0)</f>
        <v>30</v>
      </c>
      <c r="AD27" s="247" t="str">
        <f>IFERROR(__xludf.DUMMYFUNCTION("""COMPUTED_VALUE"""),"00 | 30s | Cost 0 ⧌ | Next 10 ⧌")</f>
        <v>00 | 30s | Cost 0 ⧌ | Next 10 ⧌</v>
      </c>
      <c r="AE27" s="252" t="str">
        <f>IFERROR(__xludf.DUMMYFUNCTION("""COMPUTED_VALUE"""),"Energy Shield")</f>
        <v>Energy Shield</v>
      </c>
      <c r="AF27" s="249">
        <f>IFERROR(__xludf.DUMMYFUNCTION("""COMPUTED_VALUE"""),7.0)</f>
        <v>7</v>
      </c>
      <c r="AG27" s="250" t="b">
        <f>IFERROR(__xludf.DUMMYFUNCTION("""COMPUTED_VALUE"""),FALSE)</f>
        <v>0</v>
      </c>
      <c r="AH27" s="305"/>
      <c r="AI27" s="234"/>
      <c r="AJ27" s="267"/>
      <c r="AK27" s="259"/>
      <c r="AL27" s="232"/>
      <c r="AM27" s="238" t="str">
        <f>IFERROR(__xludf.DUMMYFUNCTION("""COMPUTED_VALUE"""),"Thorns")</f>
        <v>Thorns</v>
      </c>
      <c r="AN27" s="278">
        <f>IFERROR(__xludf.DUMMYFUNCTION("""COMPUTED_VALUE"""),0.09000000000000001)</f>
        <v>0.09</v>
      </c>
      <c r="AO27" s="254"/>
      <c r="AP27" s="238" t="str">
        <f>IFERROR(__xludf.DUMMYFUNCTION("""COMPUTED_VALUE"""),"Defense")</f>
        <v>Defense</v>
      </c>
      <c r="AQ27" s="326"/>
      <c r="AR27" s="254"/>
      <c r="AS27" s="257"/>
      <c r="AT27" s="257"/>
      <c r="AU27" s="225"/>
      <c r="AV27" s="267"/>
      <c r="AW27" s="267"/>
      <c r="AX27" s="226"/>
      <c r="AY27" s="225"/>
      <c r="AZ27" s="225"/>
      <c r="BA27" s="226"/>
      <c r="BB27" s="225" t="str">
        <f>IFERROR(__xludf.DUMMYFUNCTION("""COMPUTED_VALUE"""),"Astral Deliverance")</f>
        <v>Astral Deliverance</v>
      </c>
      <c r="BC27" s="225"/>
      <c r="BD27" s="225"/>
      <c r="BE27" s="225"/>
      <c r="BF27" s="225"/>
      <c r="BG27" s="225" t="str">
        <f>IFERROR(__xludf.DUMMYFUNCTION("""COMPUTED_VALUE"""),"Anti-Cube Portal")</f>
        <v>Anti-Cube Portal</v>
      </c>
      <c r="BH27" s="225"/>
      <c r="BI27" s="225"/>
      <c r="BJ27" s="225"/>
      <c r="BK27" s="225"/>
      <c r="BL27" s="225" t="str">
        <f>IFERROR(__xludf.DUMMYFUNCTION("""COMPUTED_VALUE"""),"Black Hole Digestor")</f>
        <v>Black Hole Digestor</v>
      </c>
      <c r="BM27" s="225"/>
      <c r="BN27" s="225"/>
      <c r="BO27" s="225"/>
      <c r="BP27" s="225"/>
      <c r="BQ27" s="225" t="str">
        <f>IFERROR(__xludf.DUMMYFUNCTION("""COMPUTED_VALUE"""),"Multiverse Nexus")</f>
        <v>Multiverse Nexus</v>
      </c>
      <c r="BR27" s="225"/>
      <c r="BS27" s="225"/>
      <c r="BT27" s="226"/>
      <c r="BU27" s="225"/>
      <c r="BV27" s="225"/>
      <c r="BW27" s="225"/>
      <c r="BX27" s="225"/>
      <c r="BY27" s="225"/>
      <c r="BZ27" s="225"/>
    </row>
    <row r="28">
      <c r="A28" s="238" t="str">
        <f>IFERROR(__xludf.DUMMYFUNCTION("""COMPUTED_VALUE"""),"Health")</f>
        <v>Health</v>
      </c>
      <c r="B28" s="239">
        <f>IFERROR(__xludf.DUMMYFUNCTION("""COMPUTED_VALUE"""),68.0)</f>
        <v>68</v>
      </c>
      <c r="C28" s="225"/>
      <c r="D28" s="240">
        <f>IFERROR(__xludf.DUMMYFUNCTION("""COMPUTED_VALUE"""),100.0)</f>
        <v>100</v>
      </c>
      <c r="E28" s="225"/>
      <c r="F28" s="238" t="str">
        <f>IFERROR(__xludf.DUMMYFUNCTION("""COMPUTED_VALUE"""),"Knockback Force")</f>
        <v>Knockback Force</v>
      </c>
      <c r="G28" s="239">
        <f>IFERROR(__xludf.DUMMYFUNCTION("""COMPUTED_VALUE"""),40.0)</f>
        <v>40</v>
      </c>
      <c r="H28" s="225">
        <f>IFERROR(__xludf.DUMMYFUNCTION("""COMPUTED_VALUE"""),40.0)</f>
        <v>40</v>
      </c>
      <c r="I28" s="225">
        <f>IFERROR(__xludf.DUMMYFUNCTION("""COMPUTED_VALUE"""),40.0)</f>
        <v>40</v>
      </c>
      <c r="J28" s="225">
        <f>IFERROR(__xludf.DUMMYFUNCTION("""COMPUTED_VALUE"""),40.0)</f>
        <v>40</v>
      </c>
      <c r="K28" s="244"/>
      <c r="L28" s="225"/>
      <c r="M28" s="225"/>
      <c r="N28" s="225"/>
      <c r="O28" s="225"/>
      <c r="P28" s="225"/>
      <c r="Q28" s="274">
        <f>IFERROR(__xludf.DUMMYFUNCTION("""COMPUTED_VALUE"""),40.0)</f>
        <v>40</v>
      </c>
      <c r="R28" s="234"/>
      <c r="S28" s="225"/>
      <c r="T28" s="225"/>
      <c r="U28" s="225"/>
      <c r="V28" s="225"/>
      <c r="W28" s="225"/>
      <c r="X28" s="225"/>
      <c r="Y28" s="229"/>
      <c r="Z28" s="277" t="b">
        <f>IFERROR(__xludf.DUMMYFUNCTION("""COMPUTED_VALUE"""),FALSE)</f>
        <v>0</v>
      </c>
      <c r="AA28" s="238" t="str">
        <f>IFERROR(__xludf.DUMMYFUNCTION("""COMPUTED_VALUE"""),"UW Locked")</f>
        <v>UW Locked</v>
      </c>
      <c r="AB28" s="245" t="str">
        <f>IFERROR(__xludf.DUMMYFUNCTION("""COMPUTED_VALUE"""),"Cooldown")</f>
        <v>Cooldown</v>
      </c>
      <c r="AC28" s="304">
        <f>IFERROR(__xludf.DUMMYFUNCTION("""COMPUTED_VALUE"""),125.0)</f>
        <v>125</v>
      </c>
      <c r="AD28" s="247" t="str">
        <f>IFERROR(__xludf.DUMMYFUNCTION("""COMPUTED_VALUE"""),"00 | 125s | Cost 0 ⧌ | Next 8 ⧌")</f>
        <v>00 | 125s | Cost 0 ⧌ | Next 8 ⧌</v>
      </c>
      <c r="AE28" s="252" t="str">
        <f>IFERROR(__xludf.DUMMYFUNCTION("""COMPUTED_VALUE"""),"Wave Accelerator")</f>
        <v>Wave Accelerator</v>
      </c>
      <c r="AF28" s="249">
        <f>IFERROR(__xludf.DUMMYFUNCTION("""COMPUTED_VALUE"""),7.0)</f>
        <v>7</v>
      </c>
      <c r="AG28" s="250" t="b">
        <f>IFERROR(__xludf.DUMMYFUNCTION("""COMPUTED_VALUE"""),FALSE)</f>
        <v>0</v>
      </c>
      <c r="AH28" s="305"/>
      <c r="AI28" s="234"/>
      <c r="AJ28" s="267"/>
      <c r="AK28" s="259"/>
      <c r="AL28" s="232"/>
      <c r="AM28" s="238" t="str">
        <f>IFERROR(__xludf.DUMMYFUNCTION("""COMPUTED_VALUE"""),"Knockback Force")</f>
        <v>Knockback Force</v>
      </c>
      <c r="AN28" s="343">
        <f>IFERROR(__xludf.DUMMYFUNCTION("""COMPUTED_VALUE"""),0.24)</f>
        <v>0.24</v>
      </c>
      <c r="AO28" s="254"/>
      <c r="AP28" s="238" t="str">
        <f>IFERROR(__xludf.DUMMYFUNCTION("""COMPUTED_VALUE"""),"Health")</f>
        <v>Health</v>
      </c>
      <c r="AQ28" s="326">
        <f>IFERROR(__xludf.DUMMYFUNCTION("""COMPUTED_VALUE"""),0.0)</f>
        <v>0</v>
      </c>
      <c r="AR28" s="254"/>
      <c r="AS28" s="344"/>
      <c r="AT28" s="257"/>
      <c r="AU28" s="225"/>
      <c r="AV28" s="267"/>
      <c r="AW28" s="267"/>
      <c r="AX28" s="226"/>
      <c r="AY28" s="225"/>
      <c r="AZ28" s="225"/>
      <c r="BA28" s="226"/>
      <c r="BB28" s="225" t="str">
        <f>IFERROR(__xludf.DUMMYFUNCTION("""COMPUTED_VALUE"""),"Rarity")</f>
        <v>Rarity</v>
      </c>
      <c r="BC28" s="225" t="str">
        <f>IFERROR(__xludf.DUMMYFUNCTION("""COMPUTED_VALUE"""),"Level")</f>
        <v>Level</v>
      </c>
      <c r="BD28" s="225" t="str">
        <f>IFERROR(__xludf.DUMMYFUNCTION("""COMPUTED_VALUE"""),"Stat")</f>
        <v>Stat</v>
      </c>
      <c r="BE28" s="225"/>
      <c r="BF28" s="225"/>
      <c r="BG28" s="225" t="str">
        <f>IFERROR(__xludf.DUMMYFUNCTION("""COMPUTED_VALUE"""),"Rarity")</f>
        <v>Rarity</v>
      </c>
      <c r="BH28" s="225" t="str">
        <f>IFERROR(__xludf.DUMMYFUNCTION("""COMPUTED_VALUE"""),"Level")</f>
        <v>Level</v>
      </c>
      <c r="BI28" s="225" t="str">
        <f>IFERROR(__xludf.DUMMYFUNCTION("""COMPUTED_VALUE"""),"Stat")</f>
        <v>Stat</v>
      </c>
      <c r="BJ28" s="225"/>
      <c r="BK28" s="225"/>
      <c r="BL28" s="225" t="str">
        <f>IFERROR(__xludf.DUMMYFUNCTION("""COMPUTED_VALUE"""),"Rarity")</f>
        <v>Rarity</v>
      </c>
      <c r="BM28" s="225" t="str">
        <f>IFERROR(__xludf.DUMMYFUNCTION("""COMPUTED_VALUE"""),"Level")</f>
        <v>Level</v>
      </c>
      <c r="BN28" s="225" t="str">
        <f>IFERROR(__xludf.DUMMYFUNCTION("""COMPUTED_VALUE"""),"Stat")</f>
        <v>Stat</v>
      </c>
      <c r="BO28" s="225"/>
      <c r="BP28" s="225"/>
      <c r="BQ28" s="225" t="str">
        <f>IFERROR(__xludf.DUMMYFUNCTION("""COMPUTED_VALUE"""),"Rarity")</f>
        <v>Rarity</v>
      </c>
      <c r="BR28" s="225" t="str">
        <f>IFERROR(__xludf.DUMMYFUNCTION("""COMPUTED_VALUE"""),"Level")</f>
        <v>Level</v>
      </c>
      <c r="BS28" s="225" t="str">
        <f>IFERROR(__xludf.DUMMYFUNCTION("""COMPUTED_VALUE"""),"Stat")</f>
        <v>Stat</v>
      </c>
      <c r="BT28" s="226"/>
      <c r="BU28" s="225"/>
      <c r="BV28" s="225"/>
      <c r="BW28" s="225"/>
      <c r="BX28" s="225"/>
      <c r="BY28" s="225"/>
      <c r="BZ28" s="225"/>
    </row>
    <row r="29">
      <c r="A29" s="238" t="str">
        <f>IFERROR(__xludf.DUMMYFUNCTION("""COMPUTED_VALUE"""),"Health Regen")</f>
        <v>Health Regen</v>
      </c>
      <c r="B29" s="239">
        <f>IFERROR(__xludf.DUMMYFUNCTION("""COMPUTED_VALUE"""),68.0)</f>
        <v>68</v>
      </c>
      <c r="C29" s="225"/>
      <c r="D29" s="240">
        <f>IFERROR(__xludf.DUMMYFUNCTION("""COMPUTED_VALUE"""),100.0)</f>
        <v>100</v>
      </c>
      <c r="E29" s="261" t="b">
        <f>IFERROR(__xludf.DUMMYFUNCTION("""COMPUTED_VALUE"""),TRUE)</f>
        <v>1</v>
      </c>
      <c r="F29" s="238" t="str">
        <f>IFERROR(__xludf.DUMMYFUNCTION("""COMPUTED_VALUE"""),"Orb Speed")</f>
        <v>Orb Speed</v>
      </c>
      <c r="G29" s="239">
        <f>IFERROR(__xludf.DUMMYFUNCTION("""COMPUTED_VALUE"""),38.0)</f>
        <v>38</v>
      </c>
      <c r="H29" s="225">
        <f>IFERROR(__xludf.DUMMYFUNCTION("""COMPUTED_VALUE"""),38.0)</f>
        <v>38</v>
      </c>
      <c r="I29" s="225">
        <f>IFERROR(__xludf.DUMMYFUNCTION("""COMPUTED_VALUE"""),38.0)</f>
        <v>38</v>
      </c>
      <c r="J29" s="225">
        <f>IFERROR(__xludf.DUMMYFUNCTION("""COMPUTED_VALUE"""),38.0)</f>
        <v>38</v>
      </c>
      <c r="K29" s="244"/>
      <c r="L29" s="225"/>
      <c r="M29" s="225"/>
      <c r="N29" s="225"/>
      <c r="O29" s="225"/>
      <c r="P29" s="225"/>
      <c r="Q29" s="274">
        <f>IFERROR(__xludf.DUMMYFUNCTION("""COMPUTED_VALUE"""),38.0)</f>
        <v>38</v>
      </c>
      <c r="R29" s="234"/>
      <c r="S29" s="225"/>
      <c r="T29" s="225"/>
      <c r="U29" s="225"/>
      <c r="V29" s="225"/>
      <c r="W29" s="225"/>
      <c r="X29" s="225"/>
      <c r="Y29" s="229"/>
      <c r="Z29" s="245" t="str">
        <f>IFERROR(__xludf.DUMMYFUNCTION("""COMPUTED_VALUE"""),"UW+")</f>
        <v>UW+</v>
      </c>
      <c r="AA29" s="225"/>
      <c r="AB29" s="245" t="str">
        <f>IFERROR(__xludf.DUMMYFUNCTION("""COMPUTED_VALUE"""),"Death Creep")</f>
        <v>Death Creep</v>
      </c>
      <c r="AC29" s="252" t="str">
        <f>IFERROR(__xludf.DUMMYFUNCTION("""COMPUTED_VALUE"""),"Locked")</f>
        <v>Locked</v>
      </c>
      <c r="AD29" s="247" t="str">
        <f>IFERROR(__xludf.DUMMYFUNCTION("""COMPUTED_VALUE"""),"Lo | Locked")</f>
        <v>Lo | Locked</v>
      </c>
      <c r="AE29" s="245" t="str">
        <f>IFERROR(__xludf.DUMMYFUNCTION("""COMPUTED_VALUE"""),"Berserker")</f>
        <v>Berserker</v>
      </c>
      <c r="AF29" s="249">
        <f>IFERROR(__xludf.DUMMYFUNCTION("""COMPUTED_VALUE"""),7.0)</f>
        <v>7</v>
      </c>
      <c r="AG29" s="250" t="b">
        <f>IFERROR(__xludf.DUMMYFUNCTION("""COMPUTED_VALUE"""),FALSE)</f>
        <v>0</v>
      </c>
      <c r="AH29" s="267"/>
      <c r="AI29" s="234"/>
      <c r="AJ29" s="267"/>
      <c r="AK29" s="259"/>
      <c r="AL29" s="232"/>
      <c r="AM29" s="238" t="str">
        <f>IFERROR(__xludf.DUMMYFUNCTION("""COMPUTED_VALUE"""),"Orb Speed")</f>
        <v>Orb Speed</v>
      </c>
      <c r="AN29" s="257">
        <f>IFERROR(__xludf.DUMMYFUNCTION("""COMPUTED_VALUE"""),0.12000000000000001)</f>
        <v>0.12</v>
      </c>
      <c r="AO29" s="254"/>
      <c r="AP29" s="238" t="str">
        <f>IFERROR(__xludf.DUMMYFUNCTION("""COMPUTED_VALUE"""),"Health Regen")</f>
        <v>Health Regen</v>
      </c>
      <c r="AQ29" s="278">
        <f>IFERROR(__xludf.DUMMYFUNCTION("""COMPUTED_VALUE"""),0.0)</f>
        <v>0</v>
      </c>
      <c r="AR29" s="232"/>
      <c r="AS29" s="257"/>
      <c r="AT29" s="257"/>
      <c r="AU29" s="225"/>
      <c r="AV29" s="257"/>
      <c r="AW29" s="257"/>
      <c r="AX29" s="226"/>
      <c r="AY29" s="225"/>
      <c r="AZ29" s="225"/>
      <c r="BA29" s="226"/>
      <c r="BB29" s="225" t="str">
        <f>IFERROR(__xludf.DUMMYFUNCTION("""COMPUTED_VALUE"""),"Mythic+")</f>
        <v>Mythic+</v>
      </c>
      <c r="BC29" s="260">
        <f>IFERROR(__xludf.DUMMYFUNCTION("""COMPUTED_VALUE"""),160.0)</f>
        <v>160</v>
      </c>
      <c r="BD29" s="285">
        <f>IFERROR(__xludf.DUMMYFUNCTION("""COMPUTED_VALUE"""),8.19)</f>
        <v>8.19</v>
      </c>
      <c r="BE29" s="225"/>
      <c r="BF29" s="225"/>
      <c r="BG29" s="225" t="str">
        <f>IFERROR(__xludf.DUMMYFUNCTION("""COMPUTED_VALUE"""),"Mythic+")</f>
        <v>Mythic+</v>
      </c>
      <c r="BH29" s="260">
        <f>IFERROR(__xludf.DUMMYFUNCTION("""COMPUTED_VALUE"""),160.0)</f>
        <v>160</v>
      </c>
      <c r="BI29" s="285">
        <f>IFERROR(__xludf.DUMMYFUNCTION("""COMPUTED_VALUE"""),8.19)</f>
        <v>8.19</v>
      </c>
      <c r="BJ29" s="225"/>
      <c r="BK29" s="225"/>
      <c r="BL29" s="225" t="str">
        <f>IFERROR(__xludf.DUMMYFUNCTION("""COMPUTED_VALUE"""),"Legendary")</f>
        <v>Legendary</v>
      </c>
      <c r="BM29" s="260">
        <f>IFERROR(__xludf.DUMMYFUNCTION("""COMPUTED_VALUE"""),100.0)</f>
        <v>100</v>
      </c>
      <c r="BN29" s="285">
        <f>IFERROR(__xludf.DUMMYFUNCTION("""COMPUTED_VALUE"""),1.275)</f>
        <v>1.275</v>
      </c>
      <c r="BO29" s="225"/>
      <c r="BP29" s="225"/>
      <c r="BQ29" s="225" t="str">
        <f>IFERROR(__xludf.DUMMYFUNCTION("""COMPUTED_VALUE"""),"Ancestral 2*")</f>
        <v>Ancestral 2*</v>
      </c>
      <c r="BR29" s="260">
        <f>IFERROR(__xludf.DUMMYFUNCTION("""COMPUTED_VALUE"""),159.0)</f>
        <v>159</v>
      </c>
      <c r="BS29" s="285">
        <f>IFERROR(__xludf.DUMMYFUNCTION("""COMPUTED_VALUE"""),11.692)</f>
        <v>11.692</v>
      </c>
      <c r="BT29" s="226"/>
      <c r="BU29" s="225"/>
      <c r="BV29" s="225"/>
      <c r="BW29" s="225"/>
      <c r="BX29" s="225"/>
      <c r="BY29" s="225"/>
      <c r="BZ29" s="225"/>
    </row>
    <row r="30">
      <c r="A30" s="238" t="str">
        <f>IFERROR(__xludf.DUMMYFUNCTION("""COMPUTED_VALUE"""),"Defense Absolute")</f>
        <v>Defense Absolute</v>
      </c>
      <c r="B30" s="239">
        <f>IFERROR(__xludf.DUMMYFUNCTION("""COMPUTED_VALUE"""),14.0)</f>
        <v>14</v>
      </c>
      <c r="C30" s="260">
        <f>IFERROR(__xludf.DUMMYFUNCTION("""COMPUTED_VALUE"""),14.0)</f>
        <v>14</v>
      </c>
      <c r="D30" s="240">
        <f>IFERROR(__xludf.DUMMYFUNCTION("""COMPUTED_VALUE"""),100.0)</f>
        <v>100</v>
      </c>
      <c r="E30" s="225"/>
      <c r="F30" s="238" t="str">
        <f>IFERROR(__xludf.DUMMYFUNCTION("""COMPUTED_VALUE"""),"Orbs")</f>
        <v>Orbs</v>
      </c>
      <c r="G30" s="239">
        <f>IFERROR(__xludf.DUMMYFUNCTION("""COMPUTED_VALUE"""),4.0)</f>
        <v>4</v>
      </c>
      <c r="H30" s="225">
        <f>IFERROR(__xludf.DUMMYFUNCTION("""COMPUTED_VALUE"""),4.0)</f>
        <v>4</v>
      </c>
      <c r="I30" s="225">
        <f>IFERROR(__xludf.DUMMYFUNCTION("""COMPUTED_VALUE"""),4.0)</f>
        <v>4</v>
      </c>
      <c r="J30" s="225">
        <f>IFERROR(__xludf.DUMMYFUNCTION("""COMPUTED_VALUE"""),4.0)</f>
        <v>4</v>
      </c>
      <c r="K30" s="244"/>
      <c r="L30" s="225"/>
      <c r="M30" s="225"/>
      <c r="N30" s="225"/>
      <c r="O30" s="225"/>
      <c r="P30" s="225"/>
      <c r="Q30" s="274">
        <f>IFERROR(__xludf.DUMMYFUNCTION("""COMPUTED_VALUE"""),4.0)</f>
        <v>4</v>
      </c>
      <c r="R30" s="234"/>
      <c r="S30" s="225"/>
      <c r="T30" s="225"/>
      <c r="U30" s="225"/>
      <c r="V30" s="225"/>
      <c r="W30" s="225"/>
      <c r="X30" s="225"/>
      <c r="Y30" s="229"/>
      <c r="Z30" s="245" t="str">
        <f>IFERROR(__xludf.DUMMYFUNCTION("""COMPUTED_VALUE"""),"Black Hole")</f>
        <v>Black Hole</v>
      </c>
      <c r="AA30" s="225"/>
      <c r="AB30" s="245" t="str">
        <f>IFERROR(__xludf.DUMMYFUNCTION("""COMPUTED_VALUE"""),"Size")</f>
        <v>Size</v>
      </c>
      <c r="AC30" s="296">
        <f>IFERROR(__xludf.DUMMYFUNCTION("""COMPUTED_VALUE"""),48.0)</f>
        <v>48</v>
      </c>
      <c r="AD30" s="247" t="str">
        <f>IFERROR(__xludf.DUMMYFUNCTION("""COMPUTED_VALUE"""),"09 | 48m | Cost 76 ⧌ | Next 89 ⧌")</f>
        <v>09 | 48m | Cost 76 ⧌ | Next 89 ⧌</v>
      </c>
      <c r="AE30" s="252" t="str">
        <f>IFERROR(__xludf.DUMMYFUNCTION("""COMPUTED_VALUE"""),"Ultimate Crit")</f>
        <v>Ultimate Crit</v>
      </c>
      <c r="AF30" s="249">
        <f>IFERROR(__xludf.DUMMYFUNCTION("""COMPUTED_VALUE"""),7.0)</f>
        <v>7</v>
      </c>
      <c r="AG30" s="250" t="b">
        <f>IFERROR(__xludf.DUMMYFUNCTION("""COMPUTED_VALUE"""),FALSE)</f>
        <v>0</v>
      </c>
      <c r="AH30" s="291"/>
      <c r="AI30" s="234"/>
      <c r="AJ30" s="267"/>
      <c r="AK30" s="259"/>
      <c r="AL30" s="232"/>
      <c r="AM30" s="238" t="str">
        <f>IFERROR(__xludf.DUMMYFUNCTION("""COMPUTED_VALUE"""),"Wall Rebuild")</f>
        <v>Wall Rebuild</v>
      </c>
      <c r="AN30" s="278">
        <f>IFERROR(__xludf.DUMMYFUNCTION("""COMPUTED_VALUE"""),2.0)</f>
        <v>2</v>
      </c>
      <c r="AO30" s="254"/>
      <c r="AP30" s="238" t="str">
        <f>IFERROR(__xludf.DUMMYFUNCTION("""COMPUTED_VALUE"""),"Defense %")</f>
        <v>Defense %</v>
      </c>
      <c r="AQ30" s="326">
        <f>IFERROR(__xludf.DUMMYFUNCTION("""COMPUTED_VALUE"""),0.0)</f>
        <v>0</v>
      </c>
      <c r="AR30" s="254"/>
      <c r="AS30" s="257"/>
      <c r="AT30" s="257"/>
      <c r="AU30" s="225"/>
      <c r="AV30" s="267"/>
      <c r="AW30" s="267"/>
      <c r="AX30" s="226"/>
      <c r="AY30" s="225"/>
      <c r="AZ30" s="225"/>
      <c r="BA30" s="226"/>
      <c r="BB30" s="225"/>
      <c r="BC30" s="225"/>
      <c r="BD30" s="225"/>
      <c r="BE30" s="225"/>
      <c r="BF30" s="225"/>
      <c r="BG30" s="225"/>
      <c r="BH30" s="225"/>
      <c r="BI30" s="225"/>
      <c r="BJ30" s="282"/>
      <c r="BK30" s="225"/>
      <c r="BL30" s="225"/>
      <c r="BM30" s="225"/>
      <c r="BN30" s="225"/>
      <c r="BO30" s="282"/>
      <c r="BP30" s="225"/>
      <c r="BQ30" s="225"/>
      <c r="BR30" s="225"/>
      <c r="BS30" s="225"/>
      <c r="BT30" s="283"/>
      <c r="BU30" s="225"/>
      <c r="BV30" s="225"/>
      <c r="BW30" s="225"/>
      <c r="BX30" s="225"/>
      <c r="BY30" s="225"/>
      <c r="BZ30" s="225"/>
    </row>
    <row r="31">
      <c r="A31" s="238" t="str">
        <f>IFERROR(__xludf.DUMMYFUNCTION("""COMPUTED_VALUE"""),"Defense %")</f>
        <v>Defense %</v>
      </c>
      <c r="B31" s="239">
        <f>IFERROR(__xludf.DUMMYFUNCTION("""COMPUTED_VALUE"""),28.0)</f>
        <v>28</v>
      </c>
      <c r="C31" s="260">
        <f>IFERROR(__xludf.DUMMYFUNCTION("""COMPUTED_VALUE"""),28.0)</f>
        <v>28</v>
      </c>
      <c r="D31" s="240">
        <f>IFERROR(__xludf.DUMMYFUNCTION("""COMPUTED_VALUE"""),50.0)</f>
        <v>50</v>
      </c>
      <c r="E31" s="261" t="b">
        <f>IFERROR(__xludf.DUMMYFUNCTION("""COMPUTED_VALUE"""),TRUE)</f>
        <v>1</v>
      </c>
      <c r="F31" s="238" t="str">
        <f>IFERROR(__xludf.DUMMYFUNCTION("""COMPUTED_VALUE"""),"Shockwave Size")</f>
        <v>Shockwave Size</v>
      </c>
      <c r="G31" s="239">
        <f>IFERROR(__xludf.DUMMYFUNCTION("""COMPUTED_VALUE"""),35.0)</f>
        <v>35</v>
      </c>
      <c r="H31" s="225">
        <f>IFERROR(__xludf.DUMMYFUNCTION("""COMPUTED_VALUE"""),35.0)</f>
        <v>35</v>
      </c>
      <c r="I31" s="225">
        <f>IFERROR(__xludf.DUMMYFUNCTION("""COMPUTED_VALUE"""),35.0)</f>
        <v>35</v>
      </c>
      <c r="J31" s="225">
        <f>IFERROR(__xludf.DUMMYFUNCTION("""COMPUTED_VALUE"""),35.0)</f>
        <v>35</v>
      </c>
      <c r="K31" s="244"/>
      <c r="L31" s="225"/>
      <c r="M31" s="225"/>
      <c r="N31" s="225"/>
      <c r="O31" s="225"/>
      <c r="P31" s="225"/>
      <c r="Q31" s="274">
        <f>IFERROR(__xludf.DUMMYFUNCTION("""COMPUTED_VALUE"""),35.0)</f>
        <v>35</v>
      </c>
      <c r="R31" s="234"/>
      <c r="S31" s="225"/>
      <c r="T31" s="225"/>
      <c r="U31" s="225"/>
      <c r="V31" s="225"/>
      <c r="W31" s="225"/>
      <c r="X31" s="225"/>
      <c r="Y31" s="229"/>
      <c r="Z31" s="257"/>
      <c r="AA31" s="225"/>
      <c r="AB31" s="245" t="str">
        <f>IFERROR(__xludf.DUMMYFUNCTION("""COMPUTED_VALUE"""),"Duration")</f>
        <v>Duration</v>
      </c>
      <c r="AC31" s="321">
        <f>IFERROR(__xludf.DUMMYFUNCTION("""COMPUTED_VALUE"""),32.0)</f>
        <v>32</v>
      </c>
      <c r="AD31" s="247" t="str">
        <f>IFERROR(__xludf.DUMMYFUNCTION("""COMPUTED_VALUE"""),"17 | 32s | Cost 224 ⧌ | Next 308 ⧌")</f>
        <v>17 | 32s | Cost 224 ⧌ | Next 308 ⧌</v>
      </c>
      <c r="AE31" s="252" t="str">
        <f>IFERROR(__xludf.DUMMYFUNCTION("""COMPUTED_VALUE"""),"Nuke")</f>
        <v>Nuke</v>
      </c>
      <c r="AF31" s="249">
        <f>IFERROR(__xludf.DUMMYFUNCTION("""COMPUTED_VALUE"""),7.0)</f>
        <v>7</v>
      </c>
      <c r="AG31" s="250" t="b">
        <f>IFERROR(__xludf.DUMMYFUNCTION("""COMPUTED_VALUE"""),FALSE)</f>
        <v>0</v>
      </c>
      <c r="AH31" s="271"/>
      <c r="AI31" s="234"/>
      <c r="AJ31" s="267"/>
      <c r="AK31" s="259"/>
      <c r="AL31" s="232"/>
      <c r="AM31" s="238" t="str">
        <f>IFERROR(__xludf.DUMMYFUNCTION("""COMPUTED_VALUE"""),"Utility")</f>
        <v>Utility</v>
      </c>
      <c r="AN31" s="278"/>
      <c r="AO31" s="254"/>
      <c r="AP31" s="238" t="str">
        <f>IFERROR(__xludf.DUMMYFUNCTION("""COMPUTED_VALUE"""),"Defense Absolute")</f>
        <v>Defense Absolute</v>
      </c>
      <c r="AQ31" s="326">
        <f>IFERROR(__xludf.DUMMYFUNCTION("""COMPUTED_VALUE"""),0.0)</f>
        <v>0</v>
      </c>
      <c r="AR31" s="254"/>
      <c r="AS31" s="257"/>
      <c r="AT31" s="257"/>
      <c r="AU31" s="225"/>
      <c r="AV31" s="267"/>
      <c r="AW31" s="267"/>
      <c r="AX31" s="226"/>
      <c r="AY31" s="225"/>
      <c r="AZ31" s="225"/>
      <c r="BA31" s="226"/>
      <c r="BB31" s="225"/>
      <c r="BC31" s="225"/>
      <c r="BD31" s="225"/>
      <c r="BE31" s="260" t="str">
        <f>IFERROR(__xludf.DUMMYFUNCTION("""COMPUTED_VALUE"""),"")</f>
        <v/>
      </c>
      <c r="BF31" s="225"/>
      <c r="BG31" s="225" t="str">
        <f>IFERROR(__xludf.DUMMYFUNCTION("""COMPUTED_VALUE"""),"Orb Speed")</f>
        <v>Orb Speed</v>
      </c>
      <c r="BH31" s="225" t="str">
        <f>IFERROR(__xludf.DUMMYFUNCTION("""COMPUTED_VALUE"""),"Legendary")</f>
        <v>Legendary</v>
      </c>
      <c r="BI31" s="225" t="str">
        <f>IFERROR(__xludf.DUMMYFUNCTION("""COMPUTED_VALUE"""),"+1.5")</f>
        <v>+1.5</v>
      </c>
      <c r="BJ31" s="260">
        <f>IFERROR(__xludf.DUMMYFUNCTION("""COMPUTED_VALUE"""),1.5)</f>
        <v>1.5</v>
      </c>
      <c r="BK31" s="225"/>
      <c r="BL31" s="225" t="str">
        <f>IFERROR(__xludf.DUMMYFUNCTION("""COMPUTED_VALUE"""),"Coins / Kill Bonus")</f>
        <v>Coins / Kill Bonus</v>
      </c>
      <c r="BM31" s="225" t="str">
        <f>IFERROR(__xludf.DUMMYFUNCTION("""COMPUTED_VALUE"""),"Legendary")</f>
        <v>Legendary</v>
      </c>
      <c r="BN31" s="225" t="str">
        <f>IFERROR(__xludf.DUMMYFUNCTION("""COMPUTED_VALUE"""),"+0.4x")</f>
        <v>+0.4x</v>
      </c>
      <c r="BO31" s="260">
        <f>IFERROR(__xludf.DUMMYFUNCTION("""COMPUTED_VALUE"""),0.4)</f>
        <v>0.4</v>
      </c>
      <c r="BP31" s="225"/>
      <c r="BQ31" s="225" t="str">
        <f>IFERROR(__xludf.DUMMYFUNCTION("""COMPUTED_VALUE"""),"Death Wave - Quantity")</f>
        <v>Death Wave - Quantity</v>
      </c>
      <c r="BR31" s="225" t="str">
        <f>IFERROR(__xludf.DUMMYFUNCTION("""COMPUTED_VALUE"""),"Legendary")</f>
        <v>Legendary</v>
      </c>
      <c r="BS31" s="225" t="str">
        <f>IFERROR(__xludf.DUMMYFUNCTION("""COMPUTED_VALUE"""),"+1")</f>
        <v>+1</v>
      </c>
      <c r="BT31" s="345">
        <f>IFERROR(__xludf.DUMMYFUNCTION("""COMPUTED_VALUE"""),1.0)</f>
        <v>1</v>
      </c>
      <c r="BU31" s="225"/>
      <c r="BV31" s="225"/>
      <c r="BW31" s="225"/>
      <c r="BX31" s="225"/>
      <c r="BY31" s="225"/>
      <c r="BZ31" s="225"/>
    </row>
    <row r="32">
      <c r="A32" s="238" t="str">
        <f>IFERROR(__xludf.DUMMYFUNCTION("""COMPUTED_VALUE"""),"Orbs Speed")</f>
        <v>Orbs Speed</v>
      </c>
      <c r="B32" s="239">
        <f>IFERROR(__xludf.DUMMYFUNCTION("""COMPUTED_VALUE"""),20.0)</f>
        <v>20</v>
      </c>
      <c r="C32" s="225"/>
      <c r="D32" s="240">
        <f>IFERROR(__xludf.DUMMYFUNCTION("""COMPUTED_VALUE"""),20.0)</f>
        <v>20</v>
      </c>
      <c r="E32" s="225"/>
      <c r="F32" s="238" t="str">
        <f>IFERROR(__xludf.DUMMYFUNCTION("""COMPUTED_VALUE"""),"Shockwave Frequency")</f>
        <v>Shockwave Frequency</v>
      </c>
      <c r="G32" s="239">
        <f>IFERROR(__xludf.DUMMYFUNCTION("""COMPUTED_VALUE"""),40.0)</f>
        <v>40</v>
      </c>
      <c r="H32" s="225">
        <f>IFERROR(__xludf.DUMMYFUNCTION("""COMPUTED_VALUE"""),40.0)</f>
        <v>40</v>
      </c>
      <c r="I32" s="225">
        <f>IFERROR(__xludf.DUMMYFUNCTION("""COMPUTED_VALUE"""),40.0)</f>
        <v>40</v>
      </c>
      <c r="J32" s="225">
        <f>IFERROR(__xludf.DUMMYFUNCTION("""COMPUTED_VALUE"""),40.0)</f>
        <v>40</v>
      </c>
      <c r="K32" s="244"/>
      <c r="L32" s="225"/>
      <c r="M32" s="225"/>
      <c r="N32" s="225"/>
      <c r="O32" s="284"/>
      <c r="P32" s="225"/>
      <c r="Q32" s="274">
        <f>IFERROR(__xludf.DUMMYFUNCTION("""COMPUTED_VALUE"""),40.0)</f>
        <v>40</v>
      </c>
      <c r="R32" s="234"/>
      <c r="S32" s="225"/>
      <c r="T32" s="225"/>
      <c r="U32" s="225"/>
      <c r="V32" s="225"/>
      <c r="W32" s="225"/>
      <c r="X32" s="225"/>
      <c r="Y32" s="229"/>
      <c r="Z32" s="320" t="b">
        <f>IFERROR(__xludf.DUMMYFUNCTION("""COMPUTED_VALUE"""),TRUE)</f>
        <v>1</v>
      </c>
      <c r="AA32" s="288" t="str">
        <f>IFERROR(__xludf.DUMMYFUNCTION("""COMPUTED_VALUE"""),"UW Unlocked")</f>
        <v>UW Unlocked</v>
      </c>
      <c r="AB32" s="245" t="str">
        <f>IFERROR(__xludf.DUMMYFUNCTION("""COMPUTED_VALUE"""),"Cooldown")</f>
        <v>Cooldown</v>
      </c>
      <c r="AC32" s="321">
        <f>IFERROR(__xludf.DUMMYFUNCTION("""COMPUTED_VALUE"""),50.0)</f>
        <v>50</v>
      </c>
      <c r="AD32" s="247" t="str">
        <f>IFERROR(__xludf.DUMMYFUNCTION("""COMPUTED_VALUE"""),"15 | 50s | Cost 262 ⧌ | Maxed")</f>
        <v>15 | 50s | Cost 262 ⧌ | Maxed</v>
      </c>
      <c r="AE32" s="267" t="str">
        <f>IFERROR(__xludf.DUMMYFUNCTION("""COMPUTED_VALUE"""),"Area of Effect")</f>
        <v>Area of Effect</v>
      </c>
      <c r="AF32" s="249" t="str">
        <f>IFERROR(__xludf.DUMMYFUNCTION("""COMPUTED_VALUE"""),"Locked")</f>
        <v>Locked</v>
      </c>
      <c r="AG32" s="250" t="b">
        <f>IFERROR(__xludf.DUMMYFUNCTION("""COMPUTED_VALUE"""),FALSE)</f>
        <v>0</v>
      </c>
      <c r="AH32" s="271"/>
      <c r="AI32" s="234"/>
      <c r="AJ32" s="267"/>
      <c r="AK32" s="259"/>
      <c r="AL32" s="226"/>
      <c r="AM32" s="225" t="str">
        <f>IFERROR(__xludf.DUMMYFUNCTION("""COMPUTED_VALUE"""),"Cash")</f>
        <v>Cash</v>
      </c>
      <c r="AN32" s="346">
        <f>IFERROR(__xludf.DUMMYFUNCTION("""COMPUTED_VALUE"""),0.06)</f>
        <v>0.06</v>
      </c>
      <c r="AO32" s="254"/>
      <c r="AP32" s="238" t="str">
        <f>IFERROR(__xludf.DUMMYFUNCTION("""COMPUTED_VALUE"""),"Thorn Damage")</f>
        <v>Thorn Damage</v>
      </c>
      <c r="AQ32" s="326">
        <f>IFERROR(__xludf.DUMMYFUNCTION("""COMPUTED_VALUE"""),0.0)</f>
        <v>0</v>
      </c>
      <c r="AR32" s="254"/>
      <c r="AS32" s="257"/>
      <c r="AT32" s="257"/>
      <c r="AU32" s="225"/>
      <c r="AV32" s="267"/>
      <c r="AW32" s="267"/>
      <c r="AX32" s="226"/>
      <c r="AY32" s="225"/>
      <c r="AZ32" s="225"/>
      <c r="BA32" s="226"/>
      <c r="BB32" s="225"/>
      <c r="BC32" s="225"/>
      <c r="BD32" s="225"/>
      <c r="BE32" s="260" t="str">
        <f>IFERROR(__xludf.DUMMYFUNCTION("""COMPUTED_VALUE"""),"")</f>
        <v/>
      </c>
      <c r="BF32" s="225"/>
      <c r="BG32" s="225" t="str">
        <f>IFERROR(__xludf.DUMMYFUNCTION("""COMPUTED_VALUE"""),"Shockwave Size")</f>
        <v>Shockwave Size</v>
      </c>
      <c r="BH32" s="225" t="str">
        <f>IFERROR(__xludf.DUMMYFUNCTION("""COMPUTED_VALUE"""),"Legendary")</f>
        <v>Legendary</v>
      </c>
      <c r="BI32" s="225" t="str">
        <f>IFERROR(__xludf.DUMMYFUNCTION("""COMPUTED_VALUE"""),"+0.3")</f>
        <v>+0.3</v>
      </c>
      <c r="BJ32" s="260">
        <f>IFERROR(__xludf.DUMMYFUNCTION("""COMPUTED_VALUE"""),0.3)</f>
        <v>0.3</v>
      </c>
      <c r="BK32" s="225"/>
      <c r="BL32" s="225" t="str">
        <f>IFERROR(__xludf.DUMMYFUNCTION("""COMPUTED_VALUE"""),"Enemy Attack Level Skip")</f>
        <v>Enemy Attack Level Skip</v>
      </c>
      <c r="BM32" s="225" t="str">
        <f>IFERROR(__xludf.DUMMYFUNCTION("""COMPUTED_VALUE"""),"Legendary")</f>
        <v>Legendary</v>
      </c>
      <c r="BN32" s="225" t="str">
        <f>IFERROR(__xludf.DUMMYFUNCTION("""COMPUTED_VALUE"""),"+4%")</f>
        <v>+4%</v>
      </c>
      <c r="BO32" s="260">
        <f>IFERROR(__xludf.DUMMYFUNCTION("""COMPUTED_VALUE"""),0.04)</f>
        <v>0.04</v>
      </c>
      <c r="BP32" s="225"/>
      <c r="BQ32" s="225" t="str">
        <f>IFERROR(__xludf.DUMMYFUNCTION("""COMPUTED_VALUE"""),"Golden Tower - Bonus")</f>
        <v>Golden Tower - Bonus</v>
      </c>
      <c r="BR32" s="225" t="str">
        <f>IFERROR(__xludf.DUMMYFUNCTION("""COMPUTED_VALUE"""),"Legendary")</f>
        <v>Legendary</v>
      </c>
      <c r="BS32" s="225" t="str">
        <f>IFERROR(__xludf.DUMMYFUNCTION("""COMPUTED_VALUE"""),"+2x")</f>
        <v>+2x</v>
      </c>
      <c r="BT32" s="345">
        <f>IFERROR(__xludf.DUMMYFUNCTION("""COMPUTED_VALUE"""),2.0)</f>
        <v>2</v>
      </c>
      <c r="BU32" s="225"/>
      <c r="BV32" s="225"/>
      <c r="BW32" s="225"/>
      <c r="BX32" s="225"/>
      <c r="BY32" s="225"/>
      <c r="BZ32" s="225"/>
    </row>
    <row r="33">
      <c r="A33" s="238" t="str">
        <f>IFERROR(__xludf.DUMMYFUNCTION("""COMPUTED_VALUE"""),"Land Mine Damage")</f>
        <v>Land Mine Damage</v>
      </c>
      <c r="B33" s="239">
        <f>IFERROR(__xludf.DUMMYFUNCTION("""COMPUTED_VALUE"""),0.0)</f>
        <v>0</v>
      </c>
      <c r="C33" s="225"/>
      <c r="D33" s="240">
        <f>IFERROR(__xludf.DUMMYFUNCTION("""COMPUTED_VALUE"""),20.0)</f>
        <v>20</v>
      </c>
      <c r="E33" s="261" t="b">
        <f>IFERROR(__xludf.DUMMYFUNCTION("""COMPUTED_VALUE"""),TRUE)</f>
        <v>1</v>
      </c>
      <c r="F33" s="238" t="str">
        <f>IFERROR(__xludf.DUMMYFUNCTION("""COMPUTED_VALUE"""),"Land Mine Chance")</f>
        <v>Land Mine Chance</v>
      </c>
      <c r="G33" s="239">
        <f>IFERROR(__xludf.DUMMYFUNCTION("""COMPUTED_VALUE"""),50.0)</f>
        <v>50</v>
      </c>
      <c r="H33" s="225">
        <f>IFERROR(__xludf.DUMMYFUNCTION("""COMPUTED_VALUE"""),50.0)</f>
        <v>50</v>
      </c>
      <c r="I33" s="225">
        <f>IFERROR(__xludf.DUMMYFUNCTION("""COMPUTED_VALUE"""),50.0)</f>
        <v>50</v>
      </c>
      <c r="J33" s="225">
        <f>IFERROR(__xludf.DUMMYFUNCTION("""COMPUTED_VALUE"""),50.0)</f>
        <v>50</v>
      </c>
      <c r="K33" s="244"/>
      <c r="L33" s="225"/>
      <c r="M33" s="225"/>
      <c r="N33" s="225"/>
      <c r="O33" s="225"/>
      <c r="P33" s="225"/>
      <c r="Q33" s="274">
        <f>IFERROR(__xludf.DUMMYFUNCTION("""COMPUTED_VALUE"""),50.0)</f>
        <v>50</v>
      </c>
      <c r="R33" s="234"/>
      <c r="S33" s="225"/>
      <c r="T33" s="225"/>
      <c r="U33" s="225"/>
      <c r="V33" s="225"/>
      <c r="W33" s="225"/>
      <c r="X33" s="225"/>
      <c r="Y33" s="229"/>
      <c r="Z33" s="245" t="str">
        <f>IFERROR(__xludf.DUMMYFUNCTION("""COMPUTED_VALUE"""),"UW+")</f>
        <v>UW+</v>
      </c>
      <c r="AA33" s="225"/>
      <c r="AB33" s="245" t="str">
        <f>IFERROR(__xludf.DUMMYFUNCTION("""COMPUTED_VALUE"""),"Consume")</f>
        <v>Consume</v>
      </c>
      <c r="AC33" s="286" t="str">
        <f>IFERROR(__xludf.DUMMYFUNCTION("""COMPUTED_VALUE"""),"Locked")</f>
        <v>Locked</v>
      </c>
      <c r="AD33" s="247" t="str">
        <f>IFERROR(__xludf.DUMMYFUNCTION("""COMPUTED_VALUE"""),"Lo | Locked")</f>
        <v>Lo | Locked</v>
      </c>
      <c r="AE33" s="267"/>
      <c r="AF33" s="347"/>
      <c r="AG33" s="232"/>
      <c r="AH33" s="287"/>
      <c r="AI33" s="234"/>
      <c r="AJ33" s="267"/>
      <c r="AK33" s="259"/>
      <c r="AL33" s="226"/>
      <c r="AM33" s="225" t="str">
        <f>IFERROR(__xludf.DUMMYFUNCTION("""COMPUTED_VALUE"""),"Coins")</f>
        <v>Coins</v>
      </c>
      <c r="AN33" s="346">
        <f>IFERROR(__xludf.DUMMYFUNCTION("""COMPUTED_VALUE"""),0.48)</f>
        <v>0.48</v>
      </c>
      <c r="AO33" s="254"/>
      <c r="AP33" s="238" t="str">
        <f>IFERROR(__xludf.DUMMYFUNCTION("""COMPUTED_VALUE"""),"Knockback Chance")</f>
        <v>Knockback Chance</v>
      </c>
      <c r="AQ33" s="326">
        <f>IFERROR(__xludf.DUMMYFUNCTION("""COMPUTED_VALUE"""),0.0)</f>
        <v>0</v>
      </c>
      <c r="AR33" s="254"/>
      <c r="AS33" s="257"/>
      <c r="AT33" s="257"/>
      <c r="AU33" s="225"/>
      <c r="AV33" s="267"/>
      <c r="AW33" s="267"/>
      <c r="AX33" s="226"/>
      <c r="AY33" s="225"/>
      <c r="AZ33" s="225"/>
      <c r="BA33" s="226"/>
      <c r="BB33" s="225"/>
      <c r="BC33" s="225"/>
      <c r="BD33" s="225"/>
      <c r="BE33" s="260" t="str">
        <f>IFERROR(__xludf.DUMMYFUNCTION("""COMPUTED_VALUE"""),"")</f>
        <v/>
      </c>
      <c r="BF33" s="225"/>
      <c r="BG33" s="225" t="str">
        <f>IFERROR(__xludf.DUMMYFUNCTION("""COMPUTED_VALUE"""),"Death Defy")</f>
        <v>Death Defy</v>
      </c>
      <c r="BH33" s="225" t="str">
        <f>IFERROR(__xludf.DUMMYFUNCTION("""COMPUTED_VALUE"""),"Legendary")</f>
        <v>Legendary</v>
      </c>
      <c r="BI33" s="225" t="str">
        <f>IFERROR(__xludf.DUMMYFUNCTION("""COMPUTED_VALUE"""),"+1.5%")</f>
        <v>+1.5%</v>
      </c>
      <c r="BJ33" s="225">
        <f>IFERROR(__xludf.DUMMYFUNCTION("""COMPUTED_VALUE"""),0.015)</f>
        <v>0.015</v>
      </c>
      <c r="BK33" s="225"/>
      <c r="BL33" s="225" t="str">
        <f>IFERROR(__xludf.DUMMYFUNCTION("""COMPUTED_VALUE"""),"Free Utility Upgrade")</f>
        <v>Free Utility Upgrade</v>
      </c>
      <c r="BM33" s="225" t="str">
        <f>IFERROR(__xludf.DUMMYFUNCTION("""COMPUTED_VALUE"""),"Legendary")</f>
        <v>Legendary</v>
      </c>
      <c r="BN33" s="225" t="str">
        <f>IFERROR(__xludf.DUMMYFUNCTION("""COMPUTED_VALUE"""),"+8%")</f>
        <v>+8%</v>
      </c>
      <c r="BO33" s="260">
        <f>IFERROR(__xludf.DUMMYFUNCTION("""COMPUTED_VALUE"""),0.08)</f>
        <v>0.08</v>
      </c>
      <c r="BP33" s="225"/>
      <c r="BQ33" s="225" t="str">
        <f>IFERROR(__xludf.DUMMYFUNCTION("""COMPUTED_VALUE"""),"Black Hole - Size")</f>
        <v>Black Hole - Size</v>
      </c>
      <c r="BR33" s="225" t="str">
        <f>IFERROR(__xludf.DUMMYFUNCTION("""COMPUTED_VALUE"""),"Legendary")</f>
        <v>Legendary</v>
      </c>
      <c r="BS33" s="225" t="str">
        <f>IFERROR(__xludf.DUMMYFUNCTION("""COMPUTED_VALUE"""),"+8.00m")</f>
        <v>+8.00m</v>
      </c>
      <c r="BT33" s="345">
        <f>IFERROR(__xludf.DUMMYFUNCTION("""COMPUTED_VALUE"""),8.0)</f>
        <v>8</v>
      </c>
      <c r="BU33" s="225"/>
      <c r="BV33" s="225"/>
      <c r="BW33" s="225"/>
      <c r="BX33" s="225"/>
      <c r="BY33" s="225"/>
      <c r="BZ33" s="225"/>
    </row>
    <row r="34">
      <c r="A34" s="238" t="str">
        <f>IFERROR(__xludf.DUMMYFUNCTION("""COMPUTED_VALUE"""),"Land Mine Decay")</f>
        <v>Land Mine Decay</v>
      </c>
      <c r="B34" s="239">
        <f>IFERROR(__xludf.DUMMYFUNCTION("""COMPUTED_VALUE"""),13.0)</f>
        <v>13</v>
      </c>
      <c r="C34" s="225"/>
      <c r="D34" s="240">
        <f>IFERROR(__xludf.DUMMYFUNCTION("""COMPUTED_VALUE"""),35.0)</f>
        <v>35</v>
      </c>
      <c r="E34" s="225"/>
      <c r="F34" s="238" t="str">
        <f>IFERROR(__xludf.DUMMYFUNCTION("""COMPUTED_VALUE"""),"Land Mine Damage")</f>
        <v>Land Mine Damage</v>
      </c>
      <c r="G34" s="239">
        <f>IFERROR(__xludf.DUMMYFUNCTION("""COMPUTED_VALUE"""),160.0)</f>
        <v>160</v>
      </c>
      <c r="H34" s="225">
        <f>IFERROR(__xludf.DUMMYFUNCTION("""COMPUTED_VALUE"""),200.0)</f>
        <v>200</v>
      </c>
      <c r="I34" s="225">
        <f>IFERROR(__xludf.DUMMYFUNCTION("""COMPUTED_VALUE"""),160.0)</f>
        <v>160</v>
      </c>
      <c r="J34" s="225">
        <f>IFERROR(__xludf.DUMMYFUNCTION("""COMPUTED_VALUE"""),200.0)</f>
        <v>200</v>
      </c>
      <c r="K34" s="244"/>
      <c r="L34" s="225"/>
      <c r="M34" s="225"/>
      <c r="N34" s="225"/>
      <c r="O34" s="225"/>
      <c r="P34" s="225"/>
      <c r="Q34" s="274">
        <f>IFERROR(__xludf.DUMMYFUNCTION("""COMPUTED_VALUE"""),200.0)</f>
        <v>200</v>
      </c>
      <c r="R34" s="234"/>
      <c r="S34" s="225"/>
      <c r="T34" s="225"/>
      <c r="U34" s="225"/>
      <c r="V34" s="225"/>
      <c r="W34" s="225"/>
      <c r="X34" s="225"/>
      <c r="Y34" s="229"/>
      <c r="Z34" s="245" t="str">
        <f>IFERROR(__xludf.DUMMYFUNCTION("""COMPUTED_VALUE"""),"Spotlight")</f>
        <v>Spotlight</v>
      </c>
      <c r="AA34" s="225"/>
      <c r="AB34" s="245" t="str">
        <f>IFERROR(__xludf.DUMMYFUNCTION("""COMPUTED_VALUE"""),"Multiplier")</f>
        <v>Multiplier</v>
      </c>
      <c r="AC34" s="336">
        <f>IFERROR(__xludf.DUMMYFUNCTION("""COMPUTED_VALUE"""),20.599999999999998)</f>
        <v>20.6</v>
      </c>
      <c r="AD34" s="247" t="str">
        <f>IFERROR(__xludf.DUMMYFUNCTION("""COMPUTED_VALUE"""),"09 | x20.6 | Cost 95 ⧌ | Next 112 ⧌")</f>
        <v>09 | x20.6 | Cost 95 ⧌ | Next 112 ⧌</v>
      </c>
      <c r="AE34" s="267"/>
      <c r="AF34" s="347"/>
      <c r="AG34" s="232"/>
      <c r="AH34" s="337"/>
      <c r="AI34" s="234"/>
      <c r="AJ34" s="267"/>
      <c r="AK34" s="259"/>
      <c r="AL34" s="226"/>
      <c r="AM34" s="225" t="str">
        <f>IFERROR(__xludf.DUMMYFUNCTION("""COMPUTED_VALUE"""),"Free Attack Upgrade")</f>
        <v>Free Attack Upgrade</v>
      </c>
      <c r="AN34" s="346">
        <f>IFERROR(__xludf.DUMMYFUNCTION("""COMPUTED_VALUE"""),0.060000000000000005)</f>
        <v>0.06</v>
      </c>
      <c r="AO34" s="254"/>
      <c r="AP34" s="238" t="str">
        <f>IFERROR(__xludf.DUMMYFUNCTION("""COMPUTED_VALUE"""),"Knockback Force")</f>
        <v>Knockback Force</v>
      </c>
      <c r="AQ34" s="326">
        <f>IFERROR(__xludf.DUMMYFUNCTION("""COMPUTED_VALUE"""),0.0)</f>
        <v>0</v>
      </c>
      <c r="AR34" s="254"/>
      <c r="AS34" s="257"/>
      <c r="AT34" s="257"/>
      <c r="AU34" s="225"/>
      <c r="AV34" s="267"/>
      <c r="AW34" s="267"/>
      <c r="AX34" s="226"/>
      <c r="AY34" s="225"/>
      <c r="AZ34" s="225"/>
      <c r="BA34" s="226"/>
      <c r="BB34" s="225"/>
      <c r="BC34" s="225"/>
      <c r="BD34" s="225"/>
      <c r="BE34" s="260" t="str">
        <f>IFERROR(__xludf.DUMMYFUNCTION("""COMPUTED_VALUE"""),"")</f>
        <v/>
      </c>
      <c r="BF34" s="225"/>
      <c r="BG34" s="225"/>
      <c r="BH34" s="225"/>
      <c r="BI34" s="225"/>
      <c r="BJ34" s="225" t="str">
        <f>IFERROR(__xludf.DUMMYFUNCTION("""COMPUTED_VALUE"""),"")</f>
        <v/>
      </c>
      <c r="BK34" s="225"/>
      <c r="BL34" s="225"/>
      <c r="BM34" s="225"/>
      <c r="BN34" s="225"/>
      <c r="BO34" s="260" t="str">
        <f>IFERROR(__xludf.DUMMYFUNCTION("""COMPUTED_VALUE"""),"")</f>
        <v/>
      </c>
      <c r="BP34" s="225"/>
      <c r="BQ34" s="225" t="str">
        <f>IFERROR(__xludf.DUMMYFUNCTION("""COMPUTED_VALUE"""),"Spotlight - Angle")</f>
        <v>Spotlight - Angle</v>
      </c>
      <c r="BR34" s="225"/>
      <c r="BS34" s="225"/>
      <c r="BT34" s="345"/>
      <c r="BU34" s="225"/>
      <c r="BV34" s="225"/>
      <c r="BW34" s="225"/>
      <c r="BX34" s="225"/>
      <c r="BY34" s="225"/>
      <c r="BZ34" s="225"/>
    </row>
    <row r="35">
      <c r="A35" s="238" t="str">
        <f>IFERROR(__xludf.DUMMYFUNCTION("""COMPUTED_VALUE"""),"Shockwave Size")</f>
        <v>Shockwave Size</v>
      </c>
      <c r="B35" s="239">
        <f>IFERROR(__xludf.DUMMYFUNCTION("""COMPUTED_VALUE"""),10.0)</f>
        <v>10</v>
      </c>
      <c r="C35" s="225"/>
      <c r="D35" s="240">
        <f>IFERROR(__xludf.DUMMYFUNCTION("""COMPUTED_VALUE"""),20.0)</f>
        <v>20</v>
      </c>
      <c r="E35" s="225"/>
      <c r="F35" s="238" t="str">
        <f>IFERROR(__xludf.DUMMYFUNCTION("""COMPUTED_VALUE"""),"Land Mine Radius")</f>
        <v>Land Mine Radius</v>
      </c>
      <c r="G35" s="239">
        <f>IFERROR(__xludf.DUMMYFUNCTION("""COMPUTED_VALUE"""),50.0)</f>
        <v>50</v>
      </c>
      <c r="H35" s="225">
        <f>IFERROR(__xludf.DUMMYFUNCTION("""COMPUTED_VALUE"""),50.0)</f>
        <v>50</v>
      </c>
      <c r="I35" s="225">
        <f>IFERROR(__xludf.DUMMYFUNCTION("""COMPUTED_VALUE"""),50.0)</f>
        <v>50</v>
      </c>
      <c r="J35" s="225">
        <f>IFERROR(__xludf.DUMMYFUNCTION("""COMPUTED_VALUE"""),50.0)</f>
        <v>50</v>
      </c>
      <c r="K35" s="244"/>
      <c r="L35" s="225"/>
      <c r="M35" s="225"/>
      <c r="N35" s="225"/>
      <c r="O35" s="225"/>
      <c r="P35" s="225"/>
      <c r="Q35" s="274">
        <f>IFERROR(__xludf.DUMMYFUNCTION("""COMPUTED_VALUE"""),50.0)</f>
        <v>50</v>
      </c>
      <c r="R35" s="234"/>
      <c r="S35" s="225"/>
      <c r="T35" s="225"/>
      <c r="U35" s="225"/>
      <c r="V35" s="225"/>
      <c r="W35" s="225"/>
      <c r="X35" s="225"/>
      <c r="Y35" s="229"/>
      <c r="Z35" s="257"/>
      <c r="AA35" s="225"/>
      <c r="AB35" s="245" t="str">
        <f>IFERROR(__xludf.DUMMYFUNCTION("""COMPUTED_VALUE"""),"Angle")</f>
        <v>Angle</v>
      </c>
      <c r="AC35" s="278">
        <f>IFERROR(__xludf.DUMMYFUNCTION("""COMPUTED_VALUE"""),39.0)</f>
        <v>39</v>
      </c>
      <c r="AD35" s="247" t="str">
        <f>IFERROR(__xludf.DUMMYFUNCTION("""COMPUTED_VALUE"""),"09 | 39° | Cost 93 ⧌ | Next 104 ⧌")</f>
        <v>09 | 39° | Cost 93 ⧌ | Next 104 ⧌</v>
      </c>
      <c r="AE35" s="257"/>
      <c r="AF35" s="347"/>
      <c r="AG35" s="232"/>
      <c r="AH35" s="257"/>
      <c r="AI35" s="234"/>
      <c r="AJ35" s="267"/>
      <c r="AK35" s="259"/>
      <c r="AL35" s="226"/>
      <c r="AM35" s="225" t="str">
        <f>IFERROR(__xludf.DUMMYFUNCTION("""COMPUTED_VALUE"""),"Free Defense Upgrade")</f>
        <v>Free Defense Upgrade</v>
      </c>
      <c r="AN35" s="346">
        <f>IFERROR(__xludf.DUMMYFUNCTION("""COMPUTED_VALUE"""),0.03)</f>
        <v>0.03</v>
      </c>
      <c r="AO35" s="254"/>
      <c r="AP35" s="238" t="str">
        <f>IFERROR(__xludf.DUMMYFUNCTION("""COMPUTED_VALUE"""),"Orb Speed")</f>
        <v>Orb Speed</v>
      </c>
      <c r="AQ35" s="278">
        <f>IFERROR(__xludf.DUMMYFUNCTION("""COMPUTED_VALUE"""),0.0)</f>
        <v>0</v>
      </c>
      <c r="AR35" s="226"/>
      <c r="AS35" s="257"/>
      <c r="AT35" s="257"/>
      <c r="AU35" s="225"/>
      <c r="AV35" s="257"/>
      <c r="AW35" s="225"/>
      <c r="AX35" s="226"/>
      <c r="AY35" s="225"/>
      <c r="AZ35" s="225"/>
      <c r="BA35" s="226"/>
      <c r="BB35" s="225"/>
      <c r="BC35" s="225"/>
      <c r="BD35" s="225"/>
      <c r="BE35" s="225" t="str">
        <f>IFERROR(__xludf.DUMMYFUNCTION("""COMPUTED_VALUE"""),"")</f>
        <v/>
      </c>
      <c r="BF35" s="225"/>
      <c r="BG35" s="225"/>
      <c r="BH35" s="225"/>
      <c r="BI35" s="225"/>
      <c r="BJ35" s="225" t="str">
        <f>IFERROR(__xludf.DUMMYFUNCTION("""COMPUTED_VALUE"""),"")</f>
        <v/>
      </c>
      <c r="BK35" s="225"/>
      <c r="BL35" s="225"/>
      <c r="BM35" s="225"/>
      <c r="BN35" s="225"/>
      <c r="BO35" s="225" t="str">
        <f>IFERROR(__xludf.DUMMYFUNCTION("""COMPUTED_VALUE"""),"")</f>
        <v/>
      </c>
      <c r="BP35" s="225"/>
      <c r="BQ35" s="225" t="str">
        <f>IFERROR(__xludf.DUMMYFUNCTION("""COMPUTED_VALUE"""),"Death Wave - Quantity")</f>
        <v>Death Wave - Quantity</v>
      </c>
      <c r="BR35" s="225"/>
      <c r="BS35" s="225"/>
      <c r="BT35" s="226"/>
      <c r="BU35" s="225"/>
      <c r="BV35" s="225"/>
      <c r="BW35" s="225"/>
      <c r="BX35" s="225"/>
      <c r="BY35" s="225"/>
      <c r="BZ35" s="225"/>
    </row>
    <row r="36">
      <c r="A36" s="238" t="str">
        <f>IFERROR(__xludf.DUMMYFUNCTION("""COMPUTED_VALUE"""),"Orb Boss Hit")</f>
        <v>Orb Boss Hit</v>
      </c>
      <c r="B36" s="239">
        <f>IFERROR(__xludf.DUMMYFUNCTION("""COMPUTED_VALUE"""),10.0)</f>
        <v>10</v>
      </c>
      <c r="C36" s="225"/>
      <c r="D36" s="240">
        <f>IFERROR(__xludf.DUMMYFUNCTION("""COMPUTED_VALUE"""),10.0)</f>
        <v>10</v>
      </c>
      <c r="E36" s="261" t="b">
        <f>IFERROR(__xludf.DUMMYFUNCTION("""COMPUTED_VALUE"""),TRUE)</f>
        <v>1</v>
      </c>
      <c r="F36" s="238" t="str">
        <f>IFERROR(__xludf.DUMMYFUNCTION("""COMPUTED_VALUE"""),"Death Defy")</f>
        <v>Death Defy</v>
      </c>
      <c r="G36" s="239">
        <f>IFERROR(__xludf.DUMMYFUNCTION("""COMPUTED_VALUE"""),75.0)</f>
        <v>75</v>
      </c>
      <c r="H36" s="225">
        <f>IFERROR(__xludf.DUMMYFUNCTION("""COMPUTED_VALUE"""),75.0)</f>
        <v>75</v>
      </c>
      <c r="I36" s="225">
        <f>IFERROR(__xludf.DUMMYFUNCTION("""COMPUTED_VALUE"""),75.0)</f>
        <v>75</v>
      </c>
      <c r="J36" s="225">
        <f>IFERROR(__xludf.DUMMYFUNCTION("""COMPUTED_VALUE"""),75.0)</f>
        <v>75</v>
      </c>
      <c r="K36" s="244"/>
      <c r="L36" s="225"/>
      <c r="M36" s="225"/>
      <c r="N36" s="225"/>
      <c r="O36" s="225"/>
      <c r="P36" s="225"/>
      <c r="Q36" s="274">
        <f>IFERROR(__xludf.DUMMYFUNCTION("""COMPUTED_VALUE"""),75.0)</f>
        <v>75</v>
      </c>
      <c r="R36" s="234"/>
      <c r="S36" s="225"/>
      <c r="T36" s="225"/>
      <c r="U36" s="225"/>
      <c r="V36" s="225"/>
      <c r="W36" s="225"/>
      <c r="X36" s="225"/>
      <c r="Y36" s="229"/>
      <c r="Z36" s="277" t="b">
        <f>IFERROR(__xludf.DUMMYFUNCTION("""COMPUTED_VALUE"""),TRUE)</f>
        <v>1</v>
      </c>
      <c r="AA36" s="238" t="str">
        <f>IFERROR(__xludf.DUMMYFUNCTION("""COMPUTED_VALUE"""),"UW Unlocked")</f>
        <v>UW Unlocked</v>
      </c>
      <c r="AB36" s="245" t="str">
        <f>IFERROR(__xludf.DUMMYFUNCTION("""COMPUTED_VALUE"""),"Quantity")</f>
        <v>Quantity</v>
      </c>
      <c r="AC36" s="265">
        <f>IFERROR(__xludf.DUMMYFUNCTION("""COMPUTED_VALUE"""),3.0)</f>
        <v>3</v>
      </c>
      <c r="AD36" s="247" t="str">
        <f>IFERROR(__xludf.DUMMYFUNCTION("""COMPUTED_VALUE"""),"02 | #3 | Cost 850 ⧌ | Next 2500 ⧌")</f>
        <v>02 | #3 | Cost 850 ⧌ | Next 2500 ⧌</v>
      </c>
      <c r="AE36" s="305"/>
      <c r="AF36" s="347"/>
      <c r="AG36" s="232"/>
      <c r="AH36" s="266"/>
      <c r="AI36" s="234"/>
      <c r="AJ36" s="267"/>
      <c r="AK36" s="259"/>
      <c r="AL36" s="226"/>
      <c r="AM36" s="225" t="str">
        <f>IFERROR(__xludf.DUMMYFUNCTION("""COMPUTED_VALUE"""),"Free Utility Upgrade")</f>
        <v>Free Utility Upgrade</v>
      </c>
      <c r="AN36" s="346">
        <f>IFERROR(__xludf.DUMMYFUNCTION("""COMPUTED_VALUE"""),0.04)</f>
        <v>0.04</v>
      </c>
      <c r="AO36" s="254"/>
      <c r="AP36" s="238" t="str">
        <f>IFERROR(__xludf.DUMMYFUNCTION("""COMPUTED_VALUE"""),"Orbs")</f>
        <v>Orbs</v>
      </c>
      <c r="AQ36" s="304">
        <f>IFERROR(__xludf.DUMMYFUNCTION("""COMPUTED_VALUE"""),0.0)</f>
        <v>0</v>
      </c>
      <c r="AR36" s="330"/>
      <c r="AS36" s="257"/>
      <c r="AT36" s="257"/>
      <c r="AU36" s="225"/>
      <c r="AV36" s="305"/>
      <c r="AW36" s="305"/>
      <c r="AX36" s="226"/>
      <c r="AY36" s="225"/>
      <c r="AZ36" s="225"/>
      <c r="BA36" s="226"/>
      <c r="BB36" s="225"/>
      <c r="BC36" s="225"/>
      <c r="BD36" s="225"/>
      <c r="BE36" s="225" t="str">
        <f>IFERROR(__xludf.DUMMYFUNCTION("""COMPUTED_VALUE"""),"")</f>
        <v/>
      </c>
      <c r="BF36" s="225"/>
      <c r="BG36" s="225"/>
      <c r="BH36" s="225"/>
      <c r="BI36" s="225"/>
      <c r="BJ36" s="225" t="str">
        <f>IFERROR(__xludf.DUMMYFUNCTION("""COMPUTED_VALUE"""),"")</f>
        <v/>
      </c>
      <c r="BK36" s="225"/>
      <c r="BL36" s="225"/>
      <c r="BM36" s="225"/>
      <c r="BN36" s="225"/>
      <c r="BO36" s="225" t="str">
        <f>IFERROR(__xludf.DUMMYFUNCTION("""COMPUTED_VALUE"""),"")</f>
        <v/>
      </c>
      <c r="BP36" s="225"/>
      <c r="BQ36" s="225" t="str">
        <f>IFERROR(__xludf.DUMMYFUNCTION("""COMPUTED_VALUE"""),"Death Wave - Cooldown")</f>
        <v>Death Wave - Cooldown</v>
      </c>
      <c r="BR36" s="225"/>
      <c r="BS36" s="225"/>
      <c r="BT36" s="226"/>
      <c r="BU36" s="225"/>
      <c r="BV36" s="225"/>
      <c r="BW36" s="225"/>
      <c r="BX36" s="225"/>
      <c r="BY36" s="225"/>
      <c r="BZ36" s="225"/>
    </row>
    <row r="37">
      <c r="A37" s="238" t="str">
        <f>IFERROR(__xludf.DUMMYFUNCTION("""COMPUTED_VALUE"""),"Wall Health")</f>
        <v>Wall Health</v>
      </c>
      <c r="B37" s="239">
        <f>IFERROR(__xludf.DUMMYFUNCTION("""COMPUTED_VALUE"""),50.0)</f>
        <v>50</v>
      </c>
      <c r="C37" s="225"/>
      <c r="D37" s="240">
        <f>IFERROR(__xludf.DUMMYFUNCTION("""COMPUTED_VALUE"""),50.0)</f>
        <v>50</v>
      </c>
      <c r="E37" s="261" t="b">
        <f>IFERROR(__xludf.DUMMYFUNCTION("""COMPUTED_VALUE"""),TRUE)</f>
        <v>1</v>
      </c>
      <c r="F37" s="238" t="str">
        <f>IFERROR(__xludf.DUMMYFUNCTION("""COMPUTED_VALUE"""),"Wall Health")</f>
        <v>Wall Health</v>
      </c>
      <c r="G37" s="239">
        <f>IFERROR(__xludf.DUMMYFUNCTION("""COMPUTED_VALUE"""),1340.0)</f>
        <v>1340</v>
      </c>
      <c r="H37" s="225">
        <f>IFERROR(__xludf.DUMMYFUNCTION("""COMPUTED_VALUE"""),1800.0)</f>
        <v>1800</v>
      </c>
      <c r="I37" s="225">
        <f>IFERROR(__xludf.DUMMYFUNCTION("""COMPUTED_VALUE"""),1340.0)</f>
        <v>1340</v>
      </c>
      <c r="J37" s="225">
        <f>IFERROR(__xludf.DUMMYFUNCTION("""COMPUTED_VALUE"""),1800.0)</f>
        <v>1800</v>
      </c>
      <c r="K37" s="244"/>
      <c r="L37" s="225"/>
      <c r="M37" s="225"/>
      <c r="N37" s="225"/>
      <c r="O37" s="225"/>
      <c r="P37" s="225"/>
      <c r="Q37" s="274">
        <f>IFERROR(__xludf.DUMMYFUNCTION("""COMPUTED_VALUE"""),1800.0)</f>
        <v>1800</v>
      </c>
      <c r="R37" s="234"/>
      <c r="S37" s="225"/>
      <c r="T37" s="225"/>
      <c r="U37" s="225"/>
      <c r="V37" s="225"/>
      <c r="W37" s="225"/>
      <c r="X37" s="225"/>
      <c r="Y37" s="229"/>
      <c r="Z37" s="245" t="str">
        <f>IFERROR(__xludf.DUMMYFUNCTION("""COMPUTED_VALUE"""),"UW+")</f>
        <v>UW+</v>
      </c>
      <c r="AA37" s="225"/>
      <c r="AB37" s="245" t="str">
        <f>IFERROR(__xludf.DUMMYFUNCTION("""COMPUTED_VALUE"""),"Light Range")</f>
        <v>Light Range</v>
      </c>
      <c r="AC37" s="252" t="str">
        <f>IFERROR(__xludf.DUMMYFUNCTION("""COMPUTED_VALUE"""),"Locked")</f>
        <v>Locked</v>
      </c>
      <c r="AD37" s="247" t="str">
        <f>IFERROR(__xludf.DUMMYFUNCTION("""COMPUTED_VALUE"""),"Lo | Locked")</f>
        <v>Lo | Locked</v>
      </c>
      <c r="AE37" s="267"/>
      <c r="AF37" s="347"/>
      <c r="AG37" s="232"/>
      <c r="AH37" s="267"/>
      <c r="AI37" s="234"/>
      <c r="AJ37" s="267"/>
      <c r="AK37" s="259"/>
      <c r="AL37" s="226"/>
      <c r="AM37" s="225" t="str">
        <f>IFERROR(__xludf.DUMMYFUNCTION("""COMPUTED_VALUE"""),"Recovery Amount")</f>
        <v>Recovery Amount</v>
      </c>
      <c r="AN37" s="346">
        <f>IFERROR(__xludf.DUMMYFUNCTION("""COMPUTED_VALUE"""),0.11)</f>
        <v>0.11</v>
      </c>
      <c r="AO37" s="254"/>
      <c r="AP37" s="238" t="str">
        <f>IFERROR(__xludf.DUMMYFUNCTION("""COMPUTED_VALUE"""),"Shockwave Frequency")</f>
        <v>Shockwave Frequency</v>
      </c>
      <c r="AQ37" s="326">
        <f>IFERROR(__xludf.DUMMYFUNCTION("""COMPUTED_VALUE"""),0.0)</f>
        <v>0</v>
      </c>
      <c r="AR37" s="254"/>
      <c r="AS37" s="257"/>
      <c r="AT37" s="257"/>
      <c r="AU37" s="225"/>
      <c r="AV37" s="267"/>
      <c r="AW37" s="267"/>
      <c r="AX37" s="226"/>
      <c r="AY37" s="225"/>
      <c r="AZ37" s="225"/>
      <c r="BA37" s="226"/>
      <c r="BB37" s="225"/>
      <c r="BC37" s="225"/>
      <c r="BD37" s="225"/>
      <c r="BE37" s="225" t="str">
        <f>IFERROR(__xludf.DUMMYFUNCTION("""COMPUTED_VALUE"""),"")</f>
        <v/>
      </c>
      <c r="BF37" s="225"/>
      <c r="BG37" s="225"/>
      <c r="BH37" s="225"/>
      <c r="BI37" s="225"/>
      <c r="BJ37" s="225" t="str">
        <f>IFERROR(__xludf.DUMMYFUNCTION("""COMPUTED_VALUE"""),"")</f>
        <v/>
      </c>
      <c r="BK37" s="225"/>
      <c r="BL37" s="225"/>
      <c r="BM37" s="225"/>
      <c r="BN37" s="225"/>
      <c r="BO37" s="225" t="str">
        <f>IFERROR(__xludf.DUMMYFUNCTION("""COMPUTED_VALUE"""),"")</f>
        <v/>
      </c>
      <c r="BP37" s="225"/>
      <c r="BQ37" s="225" t="str">
        <f>IFERROR(__xludf.DUMMYFUNCTION("""COMPUTED_VALUE"""),"Golden Tower - Bonus")</f>
        <v>Golden Tower - Bonus</v>
      </c>
      <c r="BR37" s="225"/>
      <c r="BS37" s="225"/>
      <c r="BT37" s="226"/>
      <c r="BU37" s="225"/>
      <c r="BV37" s="225"/>
      <c r="BW37" s="225"/>
      <c r="BX37" s="225"/>
      <c r="BY37" s="225"/>
      <c r="BZ37" s="225"/>
    </row>
    <row r="38">
      <c r="A38" s="238" t="str">
        <f>IFERROR(__xludf.DUMMYFUNCTION("""COMPUTED_VALUE"""),"Wall Rebuild")</f>
        <v>Wall Rebuild</v>
      </c>
      <c r="B38" s="239">
        <f>IFERROR(__xludf.DUMMYFUNCTION("""COMPUTED_VALUE"""),9.0)</f>
        <v>9</v>
      </c>
      <c r="C38" s="225"/>
      <c r="D38" s="240">
        <f>IFERROR(__xludf.DUMMYFUNCTION("""COMPUTED_VALUE"""),20.0)</f>
        <v>20</v>
      </c>
      <c r="E38" s="225"/>
      <c r="F38" s="238" t="str">
        <f>IFERROR(__xludf.DUMMYFUNCTION("""COMPUTED_VALUE"""),"Wall Rebuild")</f>
        <v>Wall Rebuild</v>
      </c>
      <c r="G38" s="239">
        <f>IFERROR(__xludf.DUMMYFUNCTION("""COMPUTED_VALUE"""),250.0)</f>
        <v>250</v>
      </c>
      <c r="H38" s="225">
        <f>IFERROR(__xludf.DUMMYFUNCTION("""COMPUTED_VALUE"""),300.0)</f>
        <v>300</v>
      </c>
      <c r="I38" s="225">
        <f>IFERROR(__xludf.DUMMYFUNCTION("""COMPUTED_VALUE"""),250.0)</f>
        <v>250</v>
      </c>
      <c r="J38" s="225">
        <f>IFERROR(__xludf.DUMMYFUNCTION("""COMPUTED_VALUE"""),300.0)</f>
        <v>300</v>
      </c>
      <c r="K38" s="244"/>
      <c r="L38" s="225"/>
      <c r="M38" s="225"/>
      <c r="N38" s="225"/>
      <c r="O38" s="225"/>
      <c r="P38" s="225"/>
      <c r="Q38" s="274">
        <f>IFERROR(__xludf.DUMMYFUNCTION("""COMPUTED_VALUE"""),300.0)</f>
        <v>300</v>
      </c>
      <c r="R38" s="234"/>
      <c r="S38" s="225"/>
      <c r="T38" s="225"/>
      <c r="U38" s="225"/>
      <c r="V38" s="225"/>
      <c r="W38" s="225"/>
      <c r="X38" s="225"/>
      <c r="Y38" s="229"/>
      <c r="Z38" s="257"/>
      <c r="AA38" s="225"/>
      <c r="AB38" s="257"/>
      <c r="AC38" s="257"/>
      <c r="AD38" s="226"/>
      <c r="AE38" s="305"/>
      <c r="AF38" s="347"/>
      <c r="AG38" s="232"/>
      <c r="AH38" s="257"/>
      <c r="AI38" s="225"/>
      <c r="AJ38" s="267"/>
      <c r="AK38" s="259"/>
      <c r="AL38" s="226"/>
      <c r="AM38" s="225" t="str">
        <f>IFERROR(__xludf.DUMMYFUNCTION("""COMPUTED_VALUE"""),"Enemy Attack Level Skip")</f>
        <v>Enemy Attack Level Skip</v>
      </c>
      <c r="AN38" s="305">
        <f>IFERROR(__xludf.DUMMYFUNCTION("""COMPUTED_VALUE"""),0.02)</f>
        <v>0.02</v>
      </c>
      <c r="AO38" s="254"/>
      <c r="AP38" s="238" t="str">
        <f>IFERROR(__xludf.DUMMYFUNCTION("""COMPUTED_VALUE"""),"Death Defy")</f>
        <v>Death Defy</v>
      </c>
      <c r="AQ38" s="304">
        <f>IFERROR(__xludf.DUMMYFUNCTION("""COMPUTED_VALUE"""),0.0)</f>
        <v>0</v>
      </c>
      <c r="AR38" s="330"/>
      <c r="AS38" s="225"/>
      <c r="AT38" s="225"/>
      <c r="AU38" s="225"/>
      <c r="AV38" s="305"/>
      <c r="AW38" s="305"/>
      <c r="AX38" s="226"/>
      <c r="AY38" s="225"/>
      <c r="AZ38" s="225"/>
      <c r="BA38" s="226"/>
      <c r="BB38" s="225"/>
      <c r="BC38" s="225"/>
      <c r="BD38" s="225"/>
      <c r="BE38" s="225" t="str">
        <f>IFERROR(__xludf.DUMMYFUNCTION("""COMPUTED_VALUE"""),"")</f>
        <v/>
      </c>
      <c r="BF38" s="225"/>
      <c r="BG38" s="225"/>
      <c r="BH38" s="225"/>
      <c r="BI38" s="225"/>
      <c r="BJ38" s="225" t="str">
        <f>IFERROR(__xludf.DUMMYFUNCTION("""COMPUTED_VALUE"""),"")</f>
        <v/>
      </c>
      <c r="BK38" s="225"/>
      <c r="BL38" s="225"/>
      <c r="BM38" s="225"/>
      <c r="BN38" s="225"/>
      <c r="BO38" s="225" t="str">
        <f>IFERROR(__xludf.DUMMYFUNCTION("""COMPUTED_VALUE"""),"")</f>
        <v/>
      </c>
      <c r="BP38" s="225"/>
      <c r="BQ38" s="225" t="str">
        <f>IFERROR(__xludf.DUMMYFUNCTION("""COMPUTED_VALUE"""),"Death Wave - Damage")</f>
        <v>Death Wave - Damage</v>
      </c>
      <c r="BR38" s="225" t="str">
        <f>IFERROR(__xludf.DUMMYFUNCTION("""COMPUTED_VALUE"""),"Common")</f>
        <v>Common</v>
      </c>
      <c r="BS38" s="225" t="str">
        <f>IFERROR(__xludf.DUMMYFUNCTION("""COMPUTED_VALUE"""),"+8x")</f>
        <v>+8x</v>
      </c>
      <c r="BT38" s="226">
        <f>IFERROR(__xludf.DUMMYFUNCTION("""COMPUTED_VALUE"""),8.0)</f>
        <v>8</v>
      </c>
      <c r="BU38" s="225"/>
      <c r="BV38" s="225"/>
      <c r="BW38" s="225"/>
      <c r="BX38" s="225"/>
      <c r="BY38" s="225"/>
      <c r="BZ38" s="225"/>
    </row>
    <row r="39">
      <c r="A39" s="238" t="str">
        <f>IFERROR(__xludf.DUMMYFUNCTION("""COMPUTED_VALUE"""),"Wall Regen")</f>
        <v>Wall Regen</v>
      </c>
      <c r="B39" s="239">
        <f>IFERROR(__xludf.DUMMYFUNCTION("""COMPUTED_VALUE"""),21.0)</f>
        <v>21</v>
      </c>
      <c r="C39" s="225"/>
      <c r="D39" s="240">
        <f>IFERROR(__xludf.DUMMYFUNCTION("""COMPUTED_VALUE"""),30.0)</f>
        <v>30</v>
      </c>
      <c r="E39" s="261" t="b">
        <f>IFERROR(__xludf.DUMMYFUNCTION("""COMPUTED_VALUE"""),TRUE)</f>
        <v>1</v>
      </c>
      <c r="F39" s="238" t="str">
        <f>IFERROR(__xludf.DUMMYFUNCTION("""COMPUTED_VALUE"""),"Cash Bonus")</f>
        <v>Cash Bonus</v>
      </c>
      <c r="G39" s="239">
        <f>IFERROR(__xludf.DUMMYFUNCTION("""COMPUTED_VALUE"""),149.0)</f>
        <v>149</v>
      </c>
      <c r="H39" s="225">
        <f>IFERROR(__xludf.DUMMYFUNCTION("""COMPUTED_VALUE"""),149.0)</f>
        <v>149</v>
      </c>
      <c r="I39" s="225">
        <f>IFERROR(__xludf.DUMMYFUNCTION("""COMPUTED_VALUE"""),149.0)</f>
        <v>149</v>
      </c>
      <c r="J39" s="225">
        <f>IFERROR(__xludf.DUMMYFUNCTION("""COMPUTED_VALUE"""),149.0)</f>
        <v>149</v>
      </c>
      <c r="K39" s="244"/>
      <c r="L39" s="225"/>
      <c r="M39" s="225"/>
      <c r="N39" s="225"/>
      <c r="O39" s="225"/>
      <c r="P39" s="225"/>
      <c r="Q39" s="274">
        <f>IFERROR(__xludf.DUMMYFUNCTION("""COMPUTED_VALUE"""),149.0)</f>
        <v>149</v>
      </c>
      <c r="R39" s="234"/>
      <c r="S39" s="225"/>
      <c r="T39" s="225"/>
      <c r="U39" s="225"/>
      <c r="V39" s="225"/>
      <c r="W39" s="225"/>
      <c r="X39" s="225"/>
      <c r="Y39" s="229"/>
      <c r="Z39" s="257"/>
      <c r="AA39" s="225"/>
      <c r="AB39" s="257"/>
      <c r="AC39" s="257"/>
      <c r="AD39" s="226"/>
      <c r="AE39" s="259"/>
      <c r="AF39" s="347"/>
      <c r="AG39" s="232"/>
      <c r="AH39" s="257"/>
      <c r="AI39" s="225"/>
      <c r="AJ39" s="267"/>
      <c r="AK39" s="259"/>
      <c r="AL39" s="226"/>
      <c r="AM39" s="225" t="str">
        <f>IFERROR(__xludf.DUMMYFUNCTION("""COMPUTED_VALUE"""),"Enemy Health Level Skip")</f>
        <v>Enemy Health Level Skip</v>
      </c>
      <c r="AN39" s="257">
        <f>IFERROR(__xludf.DUMMYFUNCTION("""COMPUTED_VALUE"""),0.02)</f>
        <v>0.02</v>
      </c>
      <c r="AO39" s="254"/>
      <c r="AP39" s="238" t="str">
        <f>IFERROR(__xludf.DUMMYFUNCTION("""COMPUTED_VALUE"""),"Wall Rebuild")</f>
        <v>Wall Rebuild</v>
      </c>
      <c r="AQ39" s="305">
        <f>IFERROR(__xludf.DUMMYFUNCTION("""COMPUTED_VALUE"""),0.0)</f>
        <v>0</v>
      </c>
      <c r="AR39" s="226"/>
      <c r="AS39" s="225"/>
      <c r="AT39" s="225"/>
      <c r="AU39" s="225"/>
      <c r="AV39" s="225"/>
      <c r="AW39" s="225"/>
      <c r="AX39" s="226"/>
      <c r="AY39" s="225"/>
      <c r="AZ39" s="225"/>
      <c r="BA39" s="226"/>
      <c r="BB39" s="225"/>
      <c r="BC39" s="225"/>
      <c r="BD39" s="225"/>
      <c r="BE39" s="225"/>
      <c r="BF39" s="225"/>
      <c r="BG39" s="225"/>
      <c r="BH39" s="225"/>
      <c r="BI39" s="225"/>
      <c r="BJ39" s="225"/>
      <c r="BK39" s="225"/>
      <c r="BL39" s="225"/>
      <c r="BM39" s="225"/>
      <c r="BN39" s="225"/>
      <c r="BO39" s="225"/>
      <c r="BP39" s="225"/>
      <c r="BQ39" s="225"/>
      <c r="BR39" s="225"/>
      <c r="BS39" s="225"/>
      <c r="BT39" s="226"/>
      <c r="BU39" s="225"/>
      <c r="BV39" s="225"/>
      <c r="BW39" s="225"/>
      <c r="BX39" s="225"/>
      <c r="BY39" s="225"/>
      <c r="BZ39" s="225"/>
    </row>
    <row r="40">
      <c r="A40" s="238" t="str">
        <f>IFERROR(__xludf.DUMMYFUNCTION("""COMPUTED_VALUE"""),"Wall Thorns")</f>
        <v>Wall Thorns</v>
      </c>
      <c r="B40" s="239">
        <f>IFERROR(__xludf.DUMMYFUNCTION("""COMPUTED_VALUE"""),15.0)</f>
        <v>15</v>
      </c>
      <c r="C40" s="225"/>
      <c r="D40" s="240">
        <f>IFERROR(__xludf.DUMMYFUNCTION("""COMPUTED_VALUE"""),20.0)</f>
        <v>20</v>
      </c>
      <c r="E40" s="225"/>
      <c r="F40" s="238" t="str">
        <f>IFERROR(__xludf.DUMMYFUNCTION("""COMPUTED_VALUE"""),"Cash / Wave")</f>
        <v>Cash / Wave</v>
      </c>
      <c r="G40" s="239">
        <f>IFERROR(__xludf.DUMMYFUNCTION("""COMPUTED_VALUE"""),149.0)</f>
        <v>149</v>
      </c>
      <c r="H40" s="225">
        <f>IFERROR(__xludf.DUMMYFUNCTION("""COMPUTED_VALUE"""),149.0)</f>
        <v>149</v>
      </c>
      <c r="I40" s="225">
        <f>IFERROR(__xludf.DUMMYFUNCTION("""COMPUTED_VALUE"""),149.0)</f>
        <v>149</v>
      </c>
      <c r="J40" s="225">
        <f>IFERROR(__xludf.DUMMYFUNCTION("""COMPUTED_VALUE"""),149.0)</f>
        <v>149</v>
      </c>
      <c r="K40" s="244"/>
      <c r="L40" s="225"/>
      <c r="M40" s="225"/>
      <c r="N40" s="225"/>
      <c r="O40" s="225"/>
      <c r="P40" s="225"/>
      <c r="Q40" s="274">
        <f>IFERROR(__xludf.DUMMYFUNCTION("""COMPUTED_VALUE"""),149.0)</f>
        <v>149</v>
      </c>
      <c r="R40" s="234"/>
      <c r="S40" s="225"/>
      <c r="T40" s="225"/>
      <c r="U40" s="225"/>
      <c r="V40" s="225"/>
      <c r="W40" s="225"/>
      <c r="X40" s="225"/>
      <c r="Y40" s="229"/>
      <c r="Z40" s="257"/>
      <c r="AA40" s="225"/>
      <c r="AB40" s="257"/>
      <c r="AC40" s="257"/>
      <c r="AD40" s="226"/>
      <c r="AE40" s="267"/>
      <c r="AF40" s="347"/>
      <c r="AG40" s="232"/>
      <c r="AH40" s="257"/>
      <c r="AI40" s="225"/>
      <c r="AJ40" s="267"/>
      <c r="AK40" s="259"/>
      <c r="AL40" s="226"/>
      <c r="AM40" s="225"/>
      <c r="AN40" s="225"/>
      <c r="AO40" s="254"/>
      <c r="AP40" s="238" t="str">
        <f>IFERROR(__xludf.DUMMYFUNCTION("""COMPUTED_VALUE"""),"Utility")</f>
        <v>Utility</v>
      </c>
      <c r="AQ40" s="326"/>
      <c r="AR40" s="254"/>
      <c r="AS40" s="225"/>
      <c r="AT40" s="225"/>
      <c r="AU40" s="225"/>
      <c r="AV40" s="267"/>
      <c r="AW40" s="267"/>
      <c r="AX40" s="226"/>
      <c r="AY40" s="225"/>
      <c r="AZ40" s="225"/>
      <c r="BA40" s="226"/>
      <c r="BB40" s="225" t="str">
        <f>IFERROR(__xludf.DUMMYFUNCTION("""COMPUTED_VALUE"""),"Being Annihilator")</f>
        <v>Being Annihilator</v>
      </c>
      <c r="BC40" s="225"/>
      <c r="BD40" s="225"/>
      <c r="BE40" s="225"/>
      <c r="BF40" s="225"/>
      <c r="BG40" s="225" t="str">
        <f>IFERROR(__xludf.DUMMYFUNCTION("""COMPUTED_VALUE"""),"Negative Mass Projector")</f>
        <v>Negative Mass Projector</v>
      </c>
      <c r="BH40" s="225"/>
      <c r="BI40" s="225"/>
      <c r="BJ40" s="225"/>
      <c r="BK40" s="225"/>
      <c r="BL40" s="225" t="str">
        <f>IFERROR(__xludf.DUMMYFUNCTION("""COMPUTED_VALUE"""),"Galaxy Compressor")</f>
        <v>Galaxy Compressor</v>
      </c>
      <c r="BM40" s="225"/>
      <c r="BN40" s="225"/>
      <c r="BO40" s="225"/>
      <c r="BP40" s="225"/>
      <c r="BQ40" s="225" t="str">
        <f>IFERROR(__xludf.DUMMYFUNCTION("""COMPUTED_VALUE"""),"Dimension Core")</f>
        <v>Dimension Core</v>
      </c>
      <c r="BR40" s="225"/>
      <c r="BS40" s="225"/>
      <c r="BT40" s="226"/>
      <c r="BU40" s="225"/>
      <c r="BV40" s="225"/>
      <c r="BW40" s="225"/>
      <c r="BX40" s="225"/>
      <c r="BY40" s="225"/>
      <c r="BZ40" s="225"/>
    </row>
    <row r="41">
      <c r="A41" s="238" t="str">
        <f>IFERROR(__xludf.DUMMYFUNCTION("""COMPUTED_VALUE"""),"Wall Invincibility")</f>
        <v>Wall Invincibility</v>
      </c>
      <c r="B41" s="239">
        <f>IFERROR(__xludf.DUMMYFUNCTION("""COMPUTED_VALUE"""),0.0)</f>
        <v>0</v>
      </c>
      <c r="C41" s="225"/>
      <c r="D41" s="240">
        <f>IFERROR(__xludf.DUMMYFUNCTION("""COMPUTED_VALUE"""),10.0)</f>
        <v>10</v>
      </c>
      <c r="E41" s="261" t="b">
        <f>IFERROR(__xludf.DUMMYFUNCTION("""COMPUTED_VALUE"""),TRUE)</f>
        <v>1</v>
      </c>
      <c r="F41" s="238" t="str">
        <f>IFERROR(__xludf.DUMMYFUNCTION("""COMPUTED_VALUE"""),"Coin / Kill Bonus")</f>
        <v>Coin / Kill Bonus</v>
      </c>
      <c r="G41" s="239">
        <f>IFERROR(__xludf.DUMMYFUNCTION("""COMPUTED_VALUE"""),149.0)</f>
        <v>149</v>
      </c>
      <c r="H41" s="225">
        <f>IFERROR(__xludf.DUMMYFUNCTION("""COMPUTED_VALUE"""),149.0)</f>
        <v>149</v>
      </c>
      <c r="I41" s="225">
        <f>IFERROR(__xludf.DUMMYFUNCTION("""COMPUTED_VALUE"""),149.0)</f>
        <v>149</v>
      </c>
      <c r="J41" s="225">
        <f>IFERROR(__xludf.DUMMYFUNCTION("""COMPUTED_VALUE"""),149.0)</f>
        <v>149</v>
      </c>
      <c r="K41" s="244"/>
      <c r="L41" s="225"/>
      <c r="M41" s="225"/>
      <c r="N41" s="225"/>
      <c r="O41" s="225"/>
      <c r="P41" s="225"/>
      <c r="Q41" s="274">
        <f>IFERROR(__xludf.DUMMYFUNCTION("""COMPUTED_VALUE"""),149.0)</f>
        <v>149</v>
      </c>
      <c r="R41" s="234"/>
      <c r="S41" s="225"/>
      <c r="T41" s="225"/>
      <c r="U41" s="225"/>
      <c r="V41" s="225"/>
      <c r="W41" s="225"/>
      <c r="X41" s="225"/>
      <c r="Y41" s="229"/>
      <c r="Z41" s="257"/>
      <c r="AA41" s="225"/>
      <c r="AB41" s="257"/>
      <c r="AC41" s="257"/>
      <c r="AD41" s="226"/>
      <c r="AE41" s="267"/>
      <c r="AF41" s="347"/>
      <c r="AG41" s="232"/>
      <c r="AH41" s="257"/>
      <c r="AI41" s="225"/>
      <c r="AJ41" s="267"/>
      <c r="AK41" s="259"/>
      <c r="AL41" s="226"/>
      <c r="AM41" s="225"/>
      <c r="AN41" s="225"/>
      <c r="AO41" s="254"/>
      <c r="AP41" s="238" t="str">
        <f>IFERROR(__xludf.DUMMYFUNCTION("""COMPUTED_VALUE"""),"Cash")</f>
        <v>Cash</v>
      </c>
      <c r="AQ41" s="326">
        <f>IFERROR(__xludf.DUMMYFUNCTION("""COMPUTED_VALUE"""),0.0)</f>
        <v>0</v>
      </c>
      <c r="AR41" s="254"/>
      <c r="AS41" s="225"/>
      <c r="AT41" s="225"/>
      <c r="AU41" s="225"/>
      <c r="AV41" s="267"/>
      <c r="AW41" s="267"/>
      <c r="AX41" s="226"/>
      <c r="AY41" s="225"/>
      <c r="AZ41" s="225"/>
      <c r="BA41" s="226"/>
      <c r="BB41" s="225" t="str">
        <f>IFERROR(__xludf.DUMMYFUNCTION("""COMPUTED_VALUE"""),"Rarity")</f>
        <v>Rarity</v>
      </c>
      <c r="BC41" s="225" t="str">
        <f>IFERROR(__xludf.DUMMYFUNCTION("""COMPUTED_VALUE"""),"Level")</f>
        <v>Level</v>
      </c>
      <c r="BD41" s="225" t="str">
        <f>IFERROR(__xludf.DUMMYFUNCTION("""COMPUTED_VALUE"""),"Stat")</f>
        <v>Stat</v>
      </c>
      <c r="BE41" s="225"/>
      <c r="BF41" s="225"/>
      <c r="BG41" s="225" t="str">
        <f>IFERROR(__xludf.DUMMYFUNCTION("""COMPUTED_VALUE"""),"Rarity")</f>
        <v>Rarity</v>
      </c>
      <c r="BH41" s="225" t="str">
        <f>IFERROR(__xludf.DUMMYFUNCTION("""COMPUTED_VALUE"""),"Level")</f>
        <v>Level</v>
      </c>
      <c r="BI41" s="225" t="str">
        <f>IFERROR(__xludf.DUMMYFUNCTION("""COMPUTED_VALUE"""),"Stat")</f>
        <v>Stat</v>
      </c>
      <c r="BJ41" s="225"/>
      <c r="BK41" s="225"/>
      <c r="BL41" s="225" t="str">
        <f>IFERROR(__xludf.DUMMYFUNCTION("""COMPUTED_VALUE"""),"Rarity")</f>
        <v>Rarity</v>
      </c>
      <c r="BM41" s="225" t="str">
        <f>IFERROR(__xludf.DUMMYFUNCTION("""COMPUTED_VALUE"""),"Level")</f>
        <v>Level</v>
      </c>
      <c r="BN41" s="225" t="str">
        <f>IFERROR(__xludf.DUMMYFUNCTION("""COMPUTED_VALUE"""),"Stat")</f>
        <v>Stat</v>
      </c>
      <c r="BO41" s="225"/>
      <c r="BP41" s="225"/>
      <c r="BQ41" s="225" t="str">
        <f>IFERROR(__xludf.DUMMYFUNCTION("""COMPUTED_VALUE"""),"Rarity")</f>
        <v>Rarity</v>
      </c>
      <c r="BR41" s="225" t="str">
        <f>IFERROR(__xludf.DUMMYFUNCTION("""COMPUTED_VALUE"""),"Level")</f>
        <v>Level</v>
      </c>
      <c r="BS41" s="225" t="str">
        <f>IFERROR(__xludf.DUMMYFUNCTION("""COMPUTED_VALUE"""),"Stat")</f>
        <v>Stat</v>
      </c>
      <c r="BT41" s="226"/>
      <c r="BU41" s="225"/>
      <c r="BV41" s="225"/>
      <c r="BW41" s="225"/>
      <c r="BX41" s="225"/>
      <c r="BY41" s="225"/>
      <c r="BZ41" s="225"/>
    </row>
    <row r="42">
      <c r="A42" s="238" t="str">
        <f>IFERROR(__xludf.DUMMYFUNCTION("""COMPUTED_VALUE"""),"Wall Fortification")</f>
        <v>Wall Fortification</v>
      </c>
      <c r="B42" s="239">
        <f>IFERROR(__xludf.DUMMYFUNCTION("""COMPUTED_VALUE"""),47.0)</f>
        <v>47</v>
      </c>
      <c r="C42" s="225"/>
      <c r="D42" s="240">
        <f>IFERROR(__xludf.DUMMYFUNCTION("""COMPUTED_VALUE"""),60.0)</f>
        <v>60</v>
      </c>
      <c r="E42" s="225"/>
      <c r="F42" s="238" t="str">
        <f>IFERROR(__xludf.DUMMYFUNCTION("""COMPUTED_VALUE"""),"Coin / Wave")</f>
        <v>Coin / Wave</v>
      </c>
      <c r="G42" s="239">
        <f>IFERROR(__xludf.DUMMYFUNCTION("""COMPUTED_VALUE"""),149.0)</f>
        <v>149</v>
      </c>
      <c r="H42" s="225">
        <f>IFERROR(__xludf.DUMMYFUNCTION("""COMPUTED_VALUE"""),149.0)</f>
        <v>149</v>
      </c>
      <c r="I42" s="225">
        <f>IFERROR(__xludf.DUMMYFUNCTION("""COMPUTED_VALUE"""),149.0)</f>
        <v>149</v>
      </c>
      <c r="J42" s="225">
        <f>IFERROR(__xludf.DUMMYFUNCTION("""COMPUTED_VALUE"""),149.0)</f>
        <v>149</v>
      </c>
      <c r="K42" s="244"/>
      <c r="L42" s="225"/>
      <c r="M42" s="225"/>
      <c r="N42" s="225"/>
      <c r="O42" s="225"/>
      <c r="P42" s="225"/>
      <c r="Q42" s="274">
        <f>IFERROR(__xludf.DUMMYFUNCTION("""COMPUTED_VALUE"""),149.0)</f>
        <v>149</v>
      </c>
      <c r="R42" s="234"/>
      <c r="S42" s="225"/>
      <c r="T42" s="225"/>
      <c r="U42" s="225"/>
      <c r="V42" s="225"/>
      <c r="W42" s="225"/>
      <c r="X42" s="225"/>
      <c r="Y42" s="229"/>
      <c r="Z42" s="257"/>
      <c r="AA42" s="225"/>
      <c r="AB42" s="257"/>
      <c r="AC42" s="257"/>
      <c r="AD42" s="226"/>
      <c r="AE42" s="267"/>
      <c r="AF42" s="347"/>
      <c r="AG42" s="232"/>
      <c r="AH42" s="257"/>
      <c r="AI42" s="225"/>
      <c r="AJ42" s="267"/>
      <c r="AK42" s="259"/>
      <c r="AL42" s="226"/>
      <c r="AM42" s="225"/>
      <c r="AN42" s="225"/>
      <c r="AO42" s="254"/>
      <c r="AP42" s="238" t="str">
        <f>IFERROR(__xludf.DUMMYFUNCTION("""COMPUTED_VALUE"""),"Cash / Wave")</f>
        <v>Cash / Wave</v>
      </c>
      <c r="AQ42" s="326">
        <f>IFERROR(__xludf.DUMMYFUNCTION("""COMPUTED_VALUE"""),0.0)</f>
        <v>0</v>
      </c>
      <c r="AR42" s="254"/>
      <c r="AS42" s="225"/>
      <c r="AT42" s="225"/>
      <c r="AU42" s="225"/>
      <c r="AV42" s="267"/>
      <c r="AW42" s="267"/>
      <c r="AX42" s="226"/>
      <c r="AY42" s="225"/>
      <c r="AZ42" s="225"/>
      <c r="BA42" s="226"/>
      <c r="BB42" s="225" t="str">
        <f>IFERROR(__xludf.DUMMYFUNCTION("""COMPUTED_VALUE"""),"Ancestral")</f>
        <v>Ancestral</v>
      </c>
      <c r="BC42" s="260">
        <f>IFERROR(__xludf.DUMMYFUNCTION("""COMPUTED_VALUE"""),164.0)</f>
        <v>164</v>
      </c>
      <c r="BD42" s="285">
        <f>IFERROR(__xludf.DUMMYFUNCTION("""COMPUTED_VALUE"""),9.04)</f>
        <v>9.04</v>
      </c>
      <c r="BE42" s="225"/>
      <c r="BF42" s="225"/>
      <c r="BG42" s="225" t="str">
        <f>IFERROR(__xludf.DUMMYFUNCTION("""COMPUTED_VALUE"""),"Legendary")</f>
        <v>Legendary</v>
      </c>
      <c r="BH42" s="260">
        <f>IFERROR(__xludf.DUMMYFUNCTION("""COMPUTED_VALUE"""),100.0)</f>
        <v>100</v>
      </c>
      <c r="BI42" s="285">
        <f>IFERROR(__xludf.DUMMYFUNCTION("""COMPUTED_VALUE"""),2.27)</f>
        <v>2.27</v>
      </c>
      <c r="BJ42" s="225"/>
      <c r="BK42" s="225"/>
      <c r="BL42" s="225" t="str">
        <f>IFERROR(__xludf.DUMMYFUNCTION("""COMPUTED_VALUE"""),"Mythic+")</f>
        <v>Mythic+</v>
      </c>
      <c r="BM42" s="260">
        <f>IFERROR(__xludf.DUMMYFUNCTION("""COMPUTED_VALUE"""),160.0)</f>
        <v>160</v>
      </c>
      <c r="BN42" s="285">
        <f>IFERROR(__xludf.DUMMYFUNCTION("""COMPUTED_VALUE"""),1.665)</f>
        <v>1.665</v>
      </c>
      <c r="BO42" s="225"/>
      <c r="BP42" s="225"/>
      <c r="BQ42" s="225" t="str">
        <f>IFERROR(__xludf.DUMMYFUNCTION("""COMPUTED_VALUE"""),"Ancestral")</f>
        <v>Ancestral</v>
      </c>
      <c r="BR42" s="260">
        <f>IFERROR(__xludf.DUMMYFUNCTION("""COMPUTED_VALUE"""),159.0)</f>
        <v>159</v>
      </c>
      <c r="BS42" s="285">
        <f>IFERROR(__xludf.DUMMYFUNCTION("""COMPUTED_VALUE"""),10.9)</f>
        <v>10.9</v>
      </c>
      <c r="BT42" s="226"/>
      <c r="BU42" s="225"/>
      <c r="BV42" s="225"/>
      <c r="BW42" s="225"/>
      <c r="BX42" s="225"/>
      <c r="BY42" s="225"/>
      <c r="BZ42" s="225"/>
    </row>
    <row r="43">
      <c r="A43" s="238" t="str">
        <f>IFERROR(__xludf.DUMMYFUNCTION("""COMPUTED_VALUE"""),"Garlic Thorns")</f>
        <v>Garlic Thorns</v>
      </c>
      <c r="B43" s="239">
        <f>IFERROR(__xludf.DUMMYFUNCTION("""COMPUTED_VALUE"""),10.0)</f>
        <v>10</v>
      </c>
      <c r="C43" s="225"/>
      <c r="D43" s="240">
        <f>IFERROR(__xludf.DUMMYFUNCTION("""COMPUTED_VALUE"""),10.0)</f>
        <v>10</v>
      </c>
      <c r="E43" s="261" t="b">
        <f>IFERROR(__xludf.DUMMYFUNCTION("""COMPUTED_VALUE"""),TRUE)</f>
        <v>1</v>
      </c>
      <c r="F43" s="238" t="str">
        <f>IFERROR(__xludf.DUMMYFUNCTION("""COMPUTED_VALUE"""),"Free Attack Upgrade")</f>
        <v>Free Attack Upgrade</v>
      </c>
      <c r="G43" s="239">
        <f>IFERROR(__xludf.DUMMYFUNCTION("""COMPUTED_VALUE"""),99.0)</f>
        <v>99</v>
      </c>
      <c r="H43" s="225">
        <f>IFERROR(__xludf.DUMMYFUNCTION("""COMPUTED_VALUE"""),99.0)</f>
        <v>99</v>
      </c>
      <c r="I43" s="225">
        <f>IFERROR(__xludf.DUMMYFUNCTION("""COMPUTED_VALUE"""),99.0)</f>
        <v>99</v>
      </c>
      <c r="J43" s="225">
        <f>IFERROR(__xludf.DUMMYFUNCTION("""COMPUTED_VALUE"""),99.0)</f>
        <v>99</v>
      </c>
      <c r="K43" s="244"/>
      <c r="L43" s="225"/>
      <c r="M43" s="225"/>
      <c r="N43" s="225"/>
      <c r="O43" s="225"/>
      <c r="P43" s="225"/>
      <c r="Q43" s="274">
        <f>IFERROR(__xludf.DUMMYFUNCTION("""COMPUTED_VALUE"""),99.0)</f>
        <v>99</v>
      </c>
      <c r="R43" s="234"/>
      <c r="S43" s="225"/>
      <c r="T43" s="225"/>
      <c r="U43" s="225"/>
      <c r="V43" s="225"/>
      <c r="W43" s="225"/>
      <c r="X43" s="225"/>
      <c r="Y43" s="229"/>
      <c r="Z43" s="257"/>
      <c r="AA43" s="225"/>
      <c r="AB43" s="257"/>
      <c r="AC43" s="257"/>
      <c r="AD43" s="226"/>
      <c r="AE43" s="267"/>
      <c r="AF43" s="347"/>
      <c r="AG43" s="232"/>
      <c r="AH43" s="257"/>
      <c r="AI43" s="225"/>
      <c r="AJ43" s="267"/>
      <c r="AK43" s="259"/>
      <c r="AL43" s="226"/>
      <c r="AM43" s="225"/>
      <c r="AN43" s="225"/>
      <c r="AO43" s="254"/>
      <c r="AP43" s="238" t="str">
        <f>IFERROR(__xludf.DUMMYFUNCTION("""COMPUTED_VALUE"""),"Coins / Kill")</f>
        <v>Coins / Kill</v>
      </c>
      <c r="AQ43" s="326">
        <f>IFERROR(__xludf.DUMMYFUNCTION("""COMPUTED_VALUE"""),0.0)</f>
        <v>0</v>
      </c>
      <c r="AR43" s="254"/>
      <c r="AS43" s="225"/>
      <c r="AT43" s="225"/>
      <c r="AU43" s="225"/>
      <c r="AV43" s="267"/>
      <c r="AW43" s="267"/>
      <c r="AX43" s="226"/>
      <c r="AY43" s="225"/>
      <c r="AZ43" s="225"/>
      <c r="BA43" s="226"/>
      <c r="BB43" s="225"/>
      <c r="BC43" s="225"/>
      <c r="BD43" s="225"/>
      <c r="BE43" s="225"/>
      <c r="BF43" s="225"/>
      <c r="BG43" s="225"/>
      <c r="BH43" s="225"/>
      <c r="BI43" s="225"/>
      <c r="BJ43" s="282"/>
      <c r="BK43" s="225"/>
      <c r="BL43" s="225"/>
      <c r="BM43" s="225"/>
      <c r="BN43" s="225"/>
      <c r="BO43" s="282"/>
      <c r="BP43" s="225"/>
      <c r="BQ43" s="225"/>
      <c r="BR43" s="225"/>
      <c r="BS43" s="225"/>
      <c r="BT43" s="283"/>
      <c r="BU43" s="225"/>
      <c r="BV43" s="225"/>
      <c r="BW43" s="225"/>
      <c r="BX43" s="225"/>
      <c r="BY43" s="225"/>
      <c r="BZ43" s="225"/>
    </row>
    <row r="44">
      <c r="A44" s="238" t="str">
        <f>IFERROR(__xludf.DUMMYFUNCTION("""COMPUTED_VALUE"""),"Cash Bonus")</f>
        <v>Cash Bonus</v>
      </c>
      <c r="B44" s="239">
        <f>IFERROR(__xludf.DUMMYFUNCTION("""COMPUTED_VALUE"""),33.0)</f>
        <v>33</v>
      </c>
      <c r="C44" s="225"/>
      <c r="D44" s="240">
        <f>IFERROR(__xludf.DUMMYFUNCTION("""COMPUTED_VALUE"""),99.0)</f>
        <v>99</v>
      </c>
      <c r="E44" s="225"/>
      <c r="F44" s="238" t="str">
        <f>IFERROR(__xludf.DUMMYFUNCTION("""COMPUTED_VALUE"""),"Free Defense Upgrade")</f>
        <v>Free Defense Upgrade</v>
      </c>
      <c r="G44" s="239">
        <f>IFERROR(__xludf.DUMMYFUNCTION("""COMPUTED_VALUE"""),99.0)</f>
        <v>99</v>
      </c>
      <c r="H44" s="225">
        <f>IFERROR(__xludf.DUMMYFUNCTION("""COMPUTED_VALUE"""),99.0)</f>
        <v>99</v>
      </c>
      <c r="I44" s="225">
        <f>IFERROR(__xludf.DUMMYFUNCTION("""COMPUTED_VALUE"""),99.0)</f>
        <v>99</v>
      </c>
      <c r="J44" s="225">
        <f>IFERROR(__xludf.DUMMYFUNCTION("""COMPUTED_VALUE"""),99.0)</f>
        <v>99</v>
      </c>
      <c r="K44" s="244"/>
      <c r="L44" s="225"/>
      <c r="M44" s="225"/>
      <c r="N44" s="225"/>
      <c r="O44" s="225"/>
      <c r="P44" s="225"/>
      <c r="Q44" s="274">
        <f>IFERROR(__xludf.DUMMYFUNCTION("""COMPUTED_VALUE"""),99.0)</f>
        <v>99</v>
      </c>
      <c r="R44" s="234"/>
      <c r="S44" s="225"/>
      <c r="T44" s="225"/>
      <c r="U44" s="225"/>
      <c r="V44" s="225"/>
      <c r="W44" s="225"/>
      <c r="X44" s="225"/>
      <c r="Y44" s="229"/>
      <c r="Z44" s="257"/>
      <c r="AA44" s="225"/>
      <c r="AB44" s="257"/>
      <c r="AC44" s="257"/>
      <c r="AD44" s="226"/>
      <c r="AE44" s="267"/>
      <c r="AF44" s="347"/>
      <c r="AG44" s="232"/>
      <c r="AH44" s="257"/>
      <c r="AI44" s="225"/>
      <c r="AJ44" s="267"/>
      <c r="AK44" s="259"/>
      <c r="AL44" s="226"/>
      <c r="AM44" s="225"/>
      <c r="AN44" s="225"/>
      <c r="AO44" s="254"/>
      <c r="AP44" s="238" t="str">
        <f>IFERROR(__xludf.DUMMYFUNCTION("""COMPUTED_VALUE"""),"Coins / Wave")</f>
        <v>Coins / Wave</v>
      </c>
      <c r="AQ44" s="326">
        <f>IFERROR(__xludf.DUMMYFUNCTION("""COMPUTED_VALUE"""),0.0)</f>
        <v>0</v>
      </c>
      <c r="AR44" s="254"/>
      <c r="AS44" s="225"/>
      <c r="AT44" s="225"/>
      <c r="AU44" s="225"/>
      <c r="AV44" s="267"/>
      <c r="AW44" s="267"/>
      <c r="AX44" s="226"/>
      <c r="AY44" s="225"/>
      <c r="AZ44" s="225"/>
      <c r="BA44" s="226"/>
      <c r="BB44" s="225" t="str">
        <f>IFERROR(__xludf.DUMMYFUNCTION("""COMPUTED_VALUE"""),"Attack Speed")</f>
        <v>Attack Speed</v>
      </c>
      <c r="BC44" s="225" t="str">
        <f>IFERROR(__xludf.DUMMYFUNCTION("""COMPUTED_VALUE"""),"Mythic")</f>
        <v>Mythic</v>
      </c>
      <c r="BD44" s="225" t="str">
        <f>IFERROR(__xludf.DUMMYFUNCTION("""COMPUTED_VALUE"""),"+3")</f>
        <v>+3</v>
      </c>
      <c r="BE44" s="260">
        <f>IFERROR(__xludf.DUMMYFUNCTION("""COMPUTED_VALUE"""),3.0)</f>
        <v>3</v>
      </c>
      <c r="BF44" s="225"/>
      <c r="BG44" s="225"/>
      <c r="BH44" s="225"/>
      <c r="BI44" s="225"/>
      <c r="BJ44" s="225" t="str">
        <f>IFERROR(__xludf.DUMMYFUNCTION("""COMPUTED_VALUE"""),"")</f>
        <v/>
      </c>
      <c r="BK44" s="225"/>
      <c r="BL44" s="225" t="str">
        <f>IFERROR(__xludf.DUMMYFUNCTION("""COMPUTED_VALUE"""),"Package Chance")</f>
        <v>Package Chance</v>
      </c>
      <c r="BM44" s="225" t="str">
        <f>IFERROR(__xludf.DUMMYFUNCTION("""COMPUTED_VALUE"""),"Legendary")</f>
        <v>Legendary</v>
      </c>
      <c r="BN44" s="225" t="str">
        <f>IFERROR(__xludf.DUMMYFUNCTION("""COMPUTED_VALUE"""),"+8%")</f>
        <v>+8%</v>
      </c>
      <c r="BO44" s="260">
        <f>IFERROR(__xludf.DUMMYFUNCTION("""COMPUTED_VALUE"""),0.08)</f>
        <v>0.08</v>
      </c>
      <c r="BP44" s="225"/>
      <c r="BQ44" s="225" t="str">
        <f>IFERROR(__xludf.DUMMYFUNCTION("""COMPUTED_VALUE"""),"Chain Lightning - Chance")</f>
        <v>Chain Lightning - Chance</v>
      </c>
      <c r="BR44" s="225" t="str">
        <f>IFERROR(__xludf.DUMMYFUNCTION("""COMPUTED_VALUE"""),"Mythic")</f>
        <v>Mythic</v>
      </c>
      <c r="BS44" s="225" t="str">
        <f>IFERROR(__xludf.DUMMYFUNCTION("""COMPUTED_VALUE"""),"+12%")</f>
        <v>+12%</v>
      </c>
      <c r="BT44" s="345">
        <f>IFERROR(__xludf.DUMMYFUNCTION("""COMPUTED_VALUE"""),0.12)</f>
        <v>0.12</v>
      </c>
      <c r="BU44" s="225"/>
      <c r="BV44" s="225"/>
      <c r="BW44" s="225"/>
      <c r="BX44" s="225"/>
      <c r="BY44" s="225"/>
      <c r="BZ44" s="225"/>
    </row>
    <row r="45">
      <c r="A45" s="238" t="str">
        <f>IFERROR(__xludf.DUMMYFUNCTION("""COMPUTED_VALUE"""),"Cash / Wave")</f>
        <v>Cash / Wave</v>
      </c>
      <c r="B45" s="239">
        <f>IFERROR(__xludf.DUMMYFUNCTION("""COMPUTED_VALUE"""),8.0)</f>
        <v>8</v>
      </c>
      <c r="C45" s="225"/>
      <c r="D45" s="240">
        <f>IFERROR(__xludf.DUMMYFUNCTION("""COMPUTED_VALUE"""),99.0)</f>
        <v>99</v>
      </c>
      <c r="E45" s="225"/>
      <c r="F45" s="238" t="str">
        <f>IFERROR(__xludf.DUMMYFUNCTION("""COMPUTED_VALUE"""),"Free Utility Upgrade")</f>
        <v>Free Utility Upgrade</v>
      </c>
      <c r="G45" s="239">
        <f>IFERROR(__xludf.DUMMYFUNCTION("""COMPUTED_VALUE"""),99.0)</f>
        <v>99</v>
      </c>
      <c r="H45" s="225">
        <f>IFERROR(__xludf.DUMMYFUNCTION("""COMPUTED_VALUE"""),99.0)</f>
        <v>99</v>
      </c>
      <c r="I45" s="225">
        <f>IFERROR(__xludf.DUMMYFUNCTION("""COMPUTED_VALUE"""),99.0)</f>
        <v>99</v>
      </c>
      <c r="J45" s="225">
        <f>IFERROR(__xludf.DUMMYFUNCTION("""COMPUTED_VALUE"""),99.0)</f>
        <v>99</v>
      </c>
      <c r="K45" s="244"/>
      <c r="L45" s="225"/>
      <c r="M45" s="225"/>
      <c r="N45" s="225"/>
      <c r="O45" s="225"/>
      <c r="P45" s="225"/>
      <c r="Q45" s="274">
        <f>IFERROR(__xludf.DUMMYFUNCTION("""COMPUTED_VALUE"""),99.0)</f>
        <v>99</v>
      </c>
      <c r="R45" s="234"/>
      <c r="S45" s="225"/>
      <c r="T45" s="225"/>
      <c r="U45" s="225"/>
      <c r="V45" s="225"/>
      <c r="W45" s="225"/>
      <c r="X45" s="225"/>
      <c r="Y45" s="229"/>
      <c r="Z45" s="257"/>
      <c r="AA45" s="225"/>
      <c r="AB45" s="257"/>
      <c r="AC45" s="257"/>
      <c r="AD45" s="226"/>
      <c r="AE45" s="267"/>
      <c r="AF45" s="347"/>
      <c r="AG45" s="232"/>
      <c r="AH45" s="257"/>
      <c r="AI45" s="225"/>
      <c r="AJ45" s="267"/>
      <c r="AK45" s="259"/>
      <c r="AL45" s="226"/>
      <c r="AM45" s="225"/>
      <c r="AN45" s="225"/>
      <c r="AO45" s="254"/>
      <c r="AP45" s="238" t="str">
        <f>IFERROR(__xludf.DUMMYFUNCTION("""COMPUTED_VALUE"""),"Free Attack Upgrade")</f>
        <v>Free Attack Upgrade</v>
      </c>
      <c r="AQ45" s="326">
        <f>IFERROR(__xludf.DUMMYFUNCTION("""COMPUTED_VALUE"""),0.0)</f>
        <v>0</v>
      </c>
      <c r="AR45" s="254"/>
      <c r="AS45" s="225"/>
      <c r="AT45" s="225"/>
      <c r="AU45" s="225"/>
      <c r="AV45" s="267"/>
      <c r="AW45" s="267"/>
      <c r="AX45" s="226"/>
      <c r="AY45" s="225"/>
      <c r="AZ45" s="225"/>
      <c r="BA45" s="226"/>
      <c r="BB45" s="225" t="str">
        <f>IFERROR(__xludf.DUMMYFUNCTION("""COMPUTED_VALUE"""),"Multishot Targets")</f>
        <v>Multishot Targets</v>
      </c>
      <c r="BC45" s="225" t="str">
        <f>IFERROR(__xludf.DUMMYFUNCTION("""COMPUTED_VALUE"""),"Mythic")</f>
        <v>Mythic</v>
      </c>
      <c r="BD45" s="225" t="str">
        <f>IFERROR(__xludf.DUMMYFUNCTION("""COMPUTED_VALUE"""),"+3")</f>
        <v>+3</v>
      </c>
      <c r="BE45" s="260">
        <f>IFERROR(__xludf.DUMMYFUNCTION("""COMPUTED_VALUE"""),3.0)</f>
        <v>3</v>
      </c>
      <c r="BF45" s="225"/>
      <c r="BG45" s="225"/>
      <c r="BH45" s="225"/>
      <c r="BI45" s="225"/>
      <c r="BJ45" s="225" t="str">
        <f>IFERROR(__xludf.DUMMYFUNCTION("""COMPUTED_VALUE"""),"")</f>
        <v/>
      </c>
      <c r="BK45" s="225"/>
      <c r="BL45" s="225" t="str">
        <f>IFERROR(__xludf.DUMMYFUNCTION("""COMPUTED_VALUE"""),"Enemy Attack Level Skip")</f>
        <v>Enemy Attack Level Skip</v>
      </c>
      <c r="BM45" s="225" t="str">
        <f>IFERROR(__xludf.DUMMYFUNCTION("""COMPUTED_VALUE"""),"Legendary")</f>
        <v>Legendary</v>
      </c>
      <c r="BN45" s="225" t="str">
        <f>IFERROR(__xludf.DUMMYFUNCTION("""COMPUTED_VALUE"""),"+4%")</f>
        <v>+4%</v>
      </c>
      <c r="BO45" s="260">
        <f>IFERROR(__xludf.DUMMYFUNCTION("""COMPUTED_VALUE"""),0.04)</f>
        <v>0.04</v>
      </c>
      <c r="BP45" s="225"/>
      <c r="BQ45" s="225" t="str">
        <f>IFERROR(__xludf.DUMMYFUNCTION("""COMPUTED_VALUE"""),"Spotlight - Angle")</f>
        <v>Spotlight - Angle</v>
      </c>
      <c r="BR45" s="225" t="str">
        <f>IFERROR(__xludf.DUMMYFUNCTION("""COMPUTED_VALUE"""),"Mythic")</f>
        <v>Mythic</v>
      </c>
      <c r="BS45" s="225" t="str">
        <f>IFERROR(__xludf.DUMMYFUNCTION("""COMPUTED_VALUE"""),"+11°")</f>
        <v>+11°</v>
      </c>
      <c r="BT45" s="345">
        <f>IFERROR(__xludf.DUMMYFUNCTION("""COMPUTED_VALUE"""),11.0)</f>
        <v>11</v>
      </c>
      <c r="BU45" s="225"/>
      <c r="BV45" s="225"/>
      <c r="BW45" s="225"/>
      <c r="BX45" s="225"/>
      <c r="BY45" s="225"/>
      <c r="BZ45" s="225"/>
    </row>
    <row r="46">
      <c r="A46" s="238" t="str">
        <f>IFERROR(__xludf.DUMMYFUNCTION("""COMPUTED_VALUE"""),"Coins / Kill Bonus")</f>
        <v>Coins / Kill Bonus</v>
      </c>
      <c r="B46" s="239">
        <f>IFERROR(__xludf.DUMMYFUNCTION("""COMPUTED_VALUE"""),87.0)</f>
        <v>87</v>
      </c>
      <c r="C46" s="225"/>
      <c r="D46" s="240">
        <f>IFERROR(__xludf.DUMMYFUNCTION("""COMPUTED_VALUE"""),99.0)</f>
        <v>99</v>
      </c>
      <c r="E46" s="261" t="b">
        <f>IFERROR(__xludf.DUMMYFUNCTION("""COMPUTED_VALUE"""),TRUE)</f>
        <v>1</v>
      </c>
      <c r="F46" s="238" t="str">
        <f>IFERROR(__xludf.DUMMYFUNCTION("""COMPUTED_VALUE"""),"Interest / Wave")</f>
        <v>Interest / Wave</v>
      </c>
      <c r="G46" s="239">
        <f>IFERROR(__xludf.DUMMYFUNCTION("""COMPUTED_VALUE"""),99.0)</f>
        <v>99</v>
      </c>
      <c r="H46" s="225">
        <f>IFERROR(__xludf.DUMMYFUNCTION("""COMPUTED_VALUE"""),99.0)</f>
        <v>99</v>
      </c>
      <c r="I46" s="225">
        <f>IFERROR(__xludf.DUMMYFUNCTION("""COMPUTED_VALUE"""),99.0)</f>
        <v>99</v>
      </c>
      <c r="J46" s="225">
        <f>IFERROR(__xludf.DUMMYFUNCTION("""COMPUTED_VALUE"""),99.0)</f>
        <v>99</v>
      </c>
      <c r="K46" s="244"/>
      <c r="L46" s="225"/>
      <c r="M46" s="225"/>
      <c r="N46" s="225"/>
      <c r="O46" s="225"/>
      <c r="P46" s="225"/>
      <c r="Q46" s="274">
        <f>IFERROR(__xludf.DUMMYFUNCTION("""COMPUTED_VALUE"""),99.0)</f>
        <v>99</v>
      </c>
      <c r="R46" s="234"/>
      <c r="S46" s="225"/>
      <c r="T46" s="225"/>
      <c r="U46" s="225"/>
      <c r="V46" s="225"/>
      <c r="W46" s="225"/>
      <c r="X46" s="225"/>
      <c r="Y46" s="229"/>
      <c r="Z46" s="257"/>
      <c r="AA46" s="225"/>
      <c r="AB46" s="257"/>
      <c r="AC46" s="257"/>
      <c r="AD46" s="226"/>
      <c r="AE46" s="267"/>
      <c r="AF46" s="347"/>
      <c r="AG46" s="232"/>
      <c r="AH46" s="257"/>
      <c r="AI46" s="225"/>
      <c r="AJ46" s="267"/>
      <c r="AK46" s="259"/>
      <c r="AL46" s="226"/>
      <c r="AM46" s="225"/>
      <c r="AN46" s="225"/>
      <c r="AO46" s="254"/>
      <c r="AP46" s="238" t="str">
        <f>IFERROR(__xludf.DUMMYFUNCTION("""COMPUTED_VALUE"""),"Free Defense Upgrade")</f>
        <v>Free Defense Upgrade</v>
      </c>
      <c r="AQ46" s="326">
        <f>IFERROR(__xludf.DUMMYFUNCTION("""COMPUTED_VALUE"""),0.0)</f>
        <v>0</v>
      </c>
      <c r="AR46" s="254"/>
      <c r="AS46" s="225"/>
      <c r="AT46" s="225"/>
      <c r="AU46" s="225"/>
      <c r="AV46" s="267"/>
      <c r="AW46" s="267"/>
      <c r="AX46" s="226"/>
      <c r="AY46" s="225"/>
      <c r="AZ46" s="225"/>
      <c r="BA46" s="226"/>
      <c r="BB46" s="225" t="str">
        <f>IFERROR(__xludf.DUMMYFUNCTION("""COMPUTED_VALUE"""),"Critical Factor")</f>
        <v>Critical Factor</v>
      </c>
      <c r="BC46" s="225" t="str">
        <f>IFERROR(__xludf.DUMMYFUNCTION("""COMPUTED_VALUE"""),"Mythic")</f>
        <v>Mythic</v>
      </c>
      <c r="BD46" s="225" t="str">
        <f>IFERROR(__xludf.DUMMYFUNCTION("""COMPUTED_VALUE"""),"+12x")</f>
        <v>+12x</v>
      </c>
      <c r="BE46" s="225">
        <f>IFERROR(__xludf.DUMMYFUNCTION("""COMPUTED_VALUE"""),12.0)</f>
        <v>12</v>
      </c>
      <c r="BF46" s="225"/>
      <c r="BG46" s="225"/>
      <c r="BH46" s="225"/>
      <c r="BI46" s="225"/>
      <c r="BJ46" s="225" t="str">
        <f>IFERROR(__xludf.DUMMYFUNCTION("""COMPUTED_VALUE"""),"")</f>
        <v/>
      </c>
      <c r="BK46" s="225"/>
      <c r="BL46" s="225" t="str">
        <f>IFERROR(__xludf.DUMMYFUNCTION("""COMPUTED_VALUE"""),"Free Utility Upgrade")</f>
        <v>Free Utility Upgrade</v>
      </c>
      <c r="BM46" s="225" t="str">
        <f>IFERROR(__xludf.DUMMYFUNCTION("""COMPUTED_VALUE"""),"Legendary")</f>
        <v>Legendary</v>
      </c>
      <c r="BN46" s="225" t="str">
        <f>IFERROR(__xludf.DUMMYFUNCTION("""COMPUTED_VALUE"""),"+8%")</f>
        <v>+8%</v>
      </c>
      <c r="BO46" s="260">
        <f>IFERROR(__xludf.DUMMYFUNCTION("""COMPUTED_VALUE"""),0.08)</f>
        <v>0.08</v>
      </c>
      <c r="BP46" s="225"/>
      <c r="BQ46" s="225" t="str">
        <f>IFERROR(__xludf.DUMMYFUNCTION("""COMPUTED_VALUE"""),"Spotlight - Bonus")</f>
        <v>Spotlight - Bonus</v>
      </c>
      <c r="BR46" s="225" t="str">
        <f>IFERROR(__xludf.DUMMYFUNCTION("""COMPUTED_VALUE"""),"Mythic")</f>
        <v>Mythic</v>
      </c>
      <c r="BS46" s="225" t="str">
        <f>IFERROR(__xludf.DUMMYFUNCTION("""COMPUTED_VALUE"""),"+15x")</f>
        <v>+15x</v>
      </c>
      <c r="BT46" s="345">
        <f>IFERROR(__xludf.DUMMYFUNCTION("""COMPUTED_VALUE"""),15.0)</f>
        <v>15</v>
      </c>
      <c r="BU46" s="225"/>
      <c r="BV46" s="225"/>
      <c r="BW46" s="225"/>
      <c r="BX46" s="225"/>
      <c r="BY46" s="225"/>
      <c r="BZ46" s="225"/>
    </row>
    <row r="47">
      <c r="A47" s="238" t="str">
        <f>IFERROR(__xludf.DUMMYFUNCTION("""COMPUTED_VALUE"""),"Coins / Wave")</f>
        <v>Coins / Wave</v>
      </c>
      <c r="B47" s="239">
        <f>IFERROR(__xludf.DUMMYFUNCTION("""COMPUTED_VALUE"""),6.0)</f>
        <v>6</v>
      </c>
      <c r="C47" s="225"/>
      <c r="D47" s="240">
        <f>IFERROR(__xludf.DUMMYFUNCTION("""COMPUTED_VALUE"""),99.0)</f>
        <v>99</v>
      </c>
      <c r="E47" s="261" t="b">
        <f>IFERROR(__xludf.DUMMYFUNCTION("""COMPUTED_VALUE"""),TRUE)</f>
        <v>1</v>
      </c>
      <c r="F47" s="238" t="str">
        <f>IFERROR(__xludf.DUMMYFUNCTION("""COMPUTED_VALUE"""),"Recovery Amount")</f>
        <v>Recovery Amount</v>
      </c>
      <c r="G47" s="239">
        <f>IFERROR(__xludf.DUMMYFUNCTION("""COMPUTED_VALUE"""),300.0)</f>
        <v>300</v>
      </c>
      <c r="H47" s="225">
        <f>IFERROR(__xludf.DUMMYFUNCTION("""COMPUTED_VALUE"""),300.0)</f>
        <v>300</v>
      </c>
      <c r="I47" s="225">
        <f>IFERROR(__xludf.DUMMYFUNCTION("""COMPUTED_VALUE"""),300.0)</f>
        <v>300</v>
      </c>
      <c r="J47" s="225">
        <f>IFERROR(__xludf.DUMMYFUNCTION("""COMPUTED_VALUE"""),300.0)</f>
        <v>300</v>
      </c>
      <c r="K47" s="244"/>
      <c r="L47" s="225"/>
      <c r="M47" s="225"/>
      <c r="N47" s="225"/>
      <c r="O47" s="225"/>
      <c r="P47" s="225"/>
      <c r="Q47" s="274">
        <f>IFERROR(__xludf.DUMMYFUNCTION("""COMPUTED_VALUE"""),300.0)</f>
        <v>300</v>
      </c>
      <c r="R47" s="234"/>
      <c r="S47" s="225"/>
      <c r="T47" s="225"/>
      <c r="U47" s="225"/>
      <c r="V47" s="225"/>
      <c r="W47" s="225"/>
      <c r="X47" s="225"/>
      <c r="Y47" s="229"/>
      <c r="Z47" s="257"/>
      <c r="AA47" s="225"/>
      <c r="AB47" s="257"/>
      <c r="AC47" s="257"/>
      <c r="AD47" s="226"/>
      <c r="AE47" s="267"/>
      <c r="AF47" s="347"/>
      <c r="AG47" s="232"/>
      <c r="AH47" s="257"/>
      <c r="AI47" s="225"/>
      <c r="AJ47" s="267"/>
      <c r="AK47" s="259"/>
      <c r="AL47" s="226"/>
      <c r="AM47" s="225"/>
      <c r="AN47" s="225"/>
      <c r="AO47" s="254"/>
      <c r="AP47" s="238" t="str">
        <f>IFERROR(__xludf.DUMMYFUNCTION("""COMPUTED_VALUE"""),"Free Utility Upgrade")</f>
        <v>Free Utility Upgrade</v>
      </c>
      <c r="AQ47" s="326">
        <f>IFERROR(__xludf.DUMMYFUNCTION("""COMPUTED_VALUE"""),0.0)</f>
        <v>0</v>
      </c>
      <c r="AR47" s="254"/>
      <c r="AS47" s="225"/>
      <c r="AT47" s="225"/>
      <c r="AU47" s="225"/>
      <c r="AV47" s="267"/>
      <c r="AW47" s="267"/>
      <c r="AX47" s="226"/>
      <c r="AY47" s="225"/>
      <c r="AZ47" s="225"/>
      <c r="BA47" s="226"/>
      <c r="BB47" s="225" t="str">
        <f>IFERROR(__xludf.DUMMYFUNCTION("""COMPUTED_VALUE"""),"Bounce Shot Chance")</f>
        <v>Bounce Shot Chance</v>
      </c>
      <c r="BC47" s="225" t="str">
        <f>IFERROR(__xludf.DUMMYFUNCTION("""COMPUTED_VALUE"""),"Mythic")</f>
        <v>Mythic</v>
      </c>
      <c r="BD47" s="225" t="str">
        <f>IFERROR(__xludf.DUMMYFUNCTION("""COMPUTED_VALUE"""),"+9%")</f>
        <v>+9%</v>
      </c>
      <c r="BE47" s="225">
        <f>IFERROR(__xludf.DUMMYFUNCTION("""COMPUTED_VALUE"""),0.09)</f>
        <v>0.09</v>
      </c>
      <c r="BF47" s="225"/>
      <c r="BG47" s="225"/>
      <c r="BH47" s="225"/>
      <c r="BI47" s="225"/>
      <c r="BJ47" s="225" t="str">
        <f>IFERROR(__xludf.DUMMYFUNCTION("""COMPUTED_VALUE"""),"")</f>
        <v/>
      </c>
      <c r="BK47" s="225"/>
      <c r="BL47" s="225"/>
      <c r="BM47" s="225"/>
      <c r="BN47" s="225"/>
      <c r="BO47" s="260" t="str">
        <f>IFERROR(__xludf.DUMMYFUNCTION("""COMPUTED_VALUE"""),"")</f>
        <v/>
      </c>
      <c r="BP47" s="225"/>
      <c r="BQ47" s="225" t="str">
        <f>IFERROR(__xludf.DUMMYFUNCTION("""COMPUTED_VALUE"""),"Chain Lightning - Quantity")</f>
        <v>Chain Lightning - Quantity</v>
      </c>
      <c r="BR47" s="225" t="str">
        <f>IFERROR(__xludf.DUMMYFUNCTION("""COMPUTED_VALUE"""),"Mythic")</f>
        <v>Mythic</v>
      </c>
      <c r="BS47" s="225" t="str">
        <f>IFERROR(__xludf.DUMMYFUNCTION("""COMPUTED_VALUE"""),"+3")</f>
        <v>+3</v>
      </c>
      <c r="BT47" s="345">
        <f>IFERROR(__xludf.DUMMYFUNCTION("""COMPUTED_VALUE"""),3.0)</f>
        <v>3</v>
      </c>
      <c r="BU47" s="225"/>
      <c r="BV47" s="225"/>
      <c r="BW47" s="225"/>
      <c r="BX47" s="225"/>
      <c r="BY47" s="225"/>
      <c r="BZ47" s="225"/>
    </row>
    <row r="48">
      <c r="A48" s="238" t="str">
        <f>IFERROR(__xludf.DUMMYFUNCTION("""COMPUTED_VALUE"""),"Interest")</f>
        <v>Interest</v>
      </c>
      <c r="B48" s="239">
        <f>IFERROR(__xludf.DUMMYFUNCTION("""COMPUTED_VALUE"""),11.0)</f>
        <v>11</v>
      </c>
      <c r="C48" s="225"/>
      <c r="D48" s="240">
        <f>IFERROR(__xludf.DUMMYFUNCTION("""COMPUTED_VALUE"""),99.0)</f>
        <v>99</v>
      </c>
      <c r="E48" s="225"/>
      <c r="F48" s="238" t="str">
        <f>IFERROR(__xludf.DUMMYFUNCTION("""COMPUTED_VALUE"""),"Max Amount")</f>
        <v>Max Amount</v>
      </c>
      <c r="G48" s="239">
        <f>IFERROR(__xludf.DUMMYFUNCTION("""COMPUTED_VALUE"""),300.0)</f>
        <v>300</v>
      </c>
      <c r="H48" s="225">
        <f>IFERROR(__xludf.DUMMYFUNCTION("""COMPUTED_VALUE"""),500.0)</f>
        <v>500</v>
      </c>
      <c r="I48" s="225">
        <f>IFERROR(__xludf.DUMMYFUNCTION("""COMPUTED_VALUE"""),300.0)</f>
        <v>300</v>
      </c>
      <c r="J48" s="225">
        <f>IFERROR(__xludf.DUMMYFUNCTION("""COMPUTED_VALUE"""),500.0)</f>
        <v>500</v>
      </c>
      <c r="K48" s="244"/>
      <c r="L48" s="225"/>
      <c r="M48" s="225"/>
      <c r="N48" s="225"/>
      <c r="O48" s="225"/>
      <c r="P48" s="225"/>
      <c r="Q48" s="274">
        <f>IFERROR(__xludf.DUMMYFUNCTION("""COMPUTED_VALUE"""),500.0)</f>
        <v>500</v>
      </c>
      <c r="R48" s="234"/>
      <c r="S48" s="225"/>
      <c r="T48" s="225"/>
      <c r="U48" s="225"/>
      <c r="V48" s="225"/>
      <c r="W48" s="225"/>
      <c r="X48" s="225"/>
      <c r="Y48" s="229"/>
      <c r="Z48" s="257"/>
      <c r="AA48" s="225"/>
      <c r="AB48" s="257"/>
      <c r="AC48" s="257"/>
      <c r="AD48" s="226"/>
      <c r="AE48" s="267"/>
      <c r="AF48" s="347"/>
      <c r="AG48" s="232"/>
      <c r="AH48" s="257"/>
      <c r="AI48" s="225"/>
      <c r="AJ48" s="267"/>
      <c r="AK48" s="259"/>
      <c r="AL48" s="226"/>
      <c r="AM48" s="225"/>
      <c r="AN48" s="225"/>
      <c r="AO48" s="254"/>
      <c r="AP48" s="238" t="str">
        <f>IFERROR(__xludf.DUMMYFUNCTION("""COMPUTED_VALUE"""),"Interest / Wave")</f>
        <v>Interest / Wave</v>
      </c>
      <c r="AQ48" s="326">
        <f>IFERROR(__xludf.DUMMYFUNCTION("""COMPUTED_VALUE"""),0.0)</f>
        <v>0</v>
      </c>
      <c r="AR48" s="254"/>
      <c r="AS48" s="225"/>
      <c r="AT48" s="225"/>
      <c r="AU48" s="225"/>
      <c r="AV48" s="267"/>
      <c r="AW48" s="267"/>
      <c r="AX48" s="226"/>
      <c r="AY48" s="225"/>
      <c r="AZ48" s="225"/>
      <c r="BA48" s="226"/>
      <c r="BB48" s="225"/>
      <c r="BC48" s="225"/>
      <c r="BD48" s="225"/>
      <c r="BE48" s="225" t="str">
        <f>IFERROR(__xludf.DUMMYFUNCTION("""COMPUTED_VALUE"""),"")</f>
        <v/>
      </c>
      <c r="BF48" s="225"/>
      <c r="BG48" s="225"/>
      <c r="BH48" s="225"/>
      <c r="BI48" s="225"/>
      <c r="BJ48" s="225" t="str">
        <f>IFERROR(__xludf.DUMMYFUNCTION("""COMPUTED_VALUE"""),"")</f>
        <v/>
      </c>
      <c r="BK48" s="225"/>
      <c r="BL48" s="225"/>
      <c r="BM48" s="225"/>
      <c r="BN48" s="225"/>
      <c r="BO48" s="225" t="str">
        <f>IFERROR(__xludf.DUMMYFUNCTION("""COMPUTED_VALUE"""),"")</f>
        <v/>
      </c>
      <c r="BP48" s="225"/>
      <c r="BQ48" s="225" t="str">
        <f>IFERROR(__xludf.DUMMYFUNCTION("""COMPUTED_VALUE"""),"Chain Lightning - Damage")</f>
        <v>Chain Lightning - Damage</v>
      </c>
      <c r="BR48" s="225" t="str">
        <f>IFERROR(__xludf.DUMMYFUNCTION("""COMPUTED_VALUE"""),"Legendary")</f>
        <v>Legendary</v>
      </c>
      <c r="BS48" s="225" t="str">
        <f>IFERROR(__xludf.DUMMYFUNCTION("""COMPUTED_VALUE"""),"+50x")</f>
        <v>+50x</v>
      </c>
      <c r="BT48" s="226">
        <f>IFERROR(__xludf.DUMMYFUNCTION("""COMPUTED_VALUE"""),50.0)</f>
        <v>50</v>
      </c>
      <c r="BU48" s="225"/>
      <c r="BV48" s="225"/>
      <c r="BW48" s="225"/>
      <c r="BX48" s="225"/>
      <c r="BY48" s="225"/>
      <c r="BZ48" s="225"/>
    </row>
    <row r="49">
      <c r="A49" s="238" t="str">
        <f>IFERROR(__xludf.DUMMYFUNCTION("""COMPUTED_VALUE"""),"Max Interest")</f>
        <v>Max Interest</v>
      </c>
      <c r="B49" s="239">
        <f>IFERROR(__xludf.DUMMYFUNCTION("""COMPUTED_VALUE"""),8.0)</f>
        <v>8</v>
      </c>
      <c r="C49" s="225"/>
      <c r="D49" s="240">
        <f>IFERROR(__xludf.DUMMYFUNCTION("""COMPUTED_VALUE"""),15.0)</f>
        <v>15</v>
      </c>
      <c r="E49" s="225"/>
      <c r="F49" s="238" t="str">
        <f>IFERROR(__xludf.DUMMYFUNCTION("""COMPUTED_VALUE"""),"Package Chance")</f>
        <v>Package Chance</v>
      </c>
      <c r="G49" s="239">
        <f>IFERROR(__xludf.DUMMYFUNCTION("""COMPUTED_VALUE"""),60.0)</f>
        <v>60</v>
      </c>
      <c r="H49" s="225">
        <f>IFERROR(__xludf.DUMMYFUNCTION("""COMPUTED_VALUE"""),60.0)</f>
        <v>60</v>
      </c>
      <c r="I49" s="225">
        <f>IFERROR(__xludf.DUMMYFUNCTION("""COMPUTED_VALUE"""),60.0)</f>
        <v>60</v>
      </c>
      <c r="J49" s="225">
        <f>IFERROR(__xludf.DUMMYFUNCTION("""COMPUTED_VALUE"""),60.0)</f>
        <v>60</v>
      </c>
      <c r="K49" s="244"/>
      <c r="L49" s="225"/>
      <c r="M49" s="225"/>
      <c r="N49" s="225"/>
      <c r="O49" s="225"/>
      <c r="P49" s="225"/>
      <c r="Q49" s="274">
        <f>IFERROR(__xludf.DUMMYFUNCTION("""COMPUTED_VALUE"""),60.0)</f>
        <v>60</v>
      </c>
      <c r="R49" s="234"/>
      <c r="S49" s="225"/>
      <c r="T49" s="225"/>
      <c r="U49" s="225"/>
      <c r="V49" s="225"/>
      <c r="W49" s="225"/>
      <c r="X49" s="225"/>
      <c r="Y49" s="229"/>
      <c r="Z49" s="257"/>
      <c r="AA49" s="225"/>
      <c r="AB49" s="257"/>
      <c r="AC49" s="257"/>
      <c r="AD49" s="226"/>
      <c r="AE49" s="267"/>
      <c r="AF49" s="347"/>
      <c r="AG49" s="232"/>
      <c r="AH49" s="257"/>
      <c r="AI49" s="225"/>
      <c r="AJ49" s="267"/>
      <c r="AK49" s="259"/>
      <c r="AL49" s="226"/>
      <c r="AM49" s="225"/>
      <c r="AN49" s="225"/>
      <c r="AO49" s="254"/>
      <c r="AP49" s="238" t="str">
        <f>IFERROR(__xludf.DUMMYFUNCTION("""COMPUTED_VALUE"""),"Recovery Amount")</f>
        <v>Recovery Amount</v>
      </c>
      <c r="AQ49" s="326">
        <f>IFERROR(__xludf.DUMMYFUNCTION("""COMPUTED_VALUE"""),0.0)</f>
        <v>0</v>
      </c>
      <c r="AR49" s="254"/>
      <c r="AS49" s="225"/>
      <c r="AT49" s="225"/>
      <c r="AU49" s="225"/>
      <c r="AV49" s="267"/>
      <c r="AW49" s="267"/>
      <c r="AX49" s="226"/>
      <c r="AY49" s="225"/>
      <c r="AZ49" s="225"/>
      <c r="BA49" s="226"/>
      <c r="BB49" s="225"/>
      <c r="BC49" s="225"/>
      <c r="BD49" s="225"/>
      <c r="BE49" s="225" t="str">
        <f>IFERROR(__xludf.DUMMYFUNCTION("""COMPUTED_VALUE"""),"")</f>
        <v/>
      </c>
      <c r="BF49" s="225"/>
      <c r="BG49" s="225"/>
      <c r="BH49" s="225"/>
      <c r="BI49" s="225"/>
      <c r="BJ49" s="225" t="str">
        <f>IFERROR(__xludf.DUMMYFUNCTION("""COMPUTED_VALUE"""),"")</f>
        <v/>
      </c>
      <c r="BK49" s="225"/>
      <c r="BL49" s="225"/>
      <c r="BM49" s="225"/>
      <c r="BN49" s="225"/>
      <c r="BO49" s="225" t="str">
        <f>IFERROR(__xludf.DUMMYFUNCTION("""COMPUTED_VALUE"""),"")</f>
        <v/>
      </c>
      <c r="BP49" s="225"/>
      <c r="BQ49" s="225" t="str">
        <f>IFERROR(__xludf.DUMMYFUNCTION("""COMPUTED_VALUE"""),"Chrono Field - Cooldown")</f>
        <v>Chrono Field - Cooldown</v>
      </c>
      <c r="BR49" s="225"/>
      <c r="BS49" s="225"/>
      <c r="BT49" s="226"/>
      <c r="BU49" s="225"/>
      <c r="BV49" s="225"/>
      <c r="BW49" s="225"/>
      <c r="BX49" s="225"/>
      <c r="BY49" s="225"/>
      <c r="BZ49" s="225"/>
    </row>
    <row r="50">
      <c r="A50" s="238" t="str">
        <f>IFERROR(__xludf.DUMMYFUNCTION("""COMPUTED_VALUE"""),"Package After Boss")</f>
        <v>Package After Boss</v>
      </c>
      <c r="B50" s="239">
        <f>IFERROR(__xludf.DUMMYFUNCTION("""COMPUTED_VALUE"""),1.0)</f>
        <v>1</v>
      </c>
      <c r="C50" s="225"/>
      <c r="D50" s="240">
        <f>IFERROR(__xludf.DUMMYFUNCTION("""COMPUTED_VALUE"""),1.0)</f>
        <v>1</v>
      </c>
      <c r="E50" s="261" t="b">
        <f>IFERROR(__xludf.DUMMYFUNCTION("""COMPUTED_VALUE"""),TRUE)</f>
        <v>1</v>
      </c>
      <c r="F50" s="225" t="str">
        <f>IFERROR(__xludf.DUMMYFUNCTION("""COMPUTED_VALUE"""),"Enemy Attack Level Skip")</f>
        <v>Enemy Attack Level Skip</v>
      </c>
      <c r="G50" s="239">
        <f>IFERROR(__xludf.DUMMYFUNCTION("""COMPUTED_VALUE"""),330.0)</f>
        <v>330</v>
      </c>
      <c r="H50" s="225">
        <f>IFERROR(__xludf.DUMMYFUNCTION("""COMPUTED_VALUE"""),699.0)</f>
        <v>699</v>
      </c>
      <c r="I50" s="225">
        <f>IFERROR(__xludf.DUMMYFUNCTION("""COMPUTED_VALUE"""),330.0)</f>
        <v>330</v>
      </c>
      <c r="J50" s="225">
        <f>IFERROR(__xludf.DUMMYFUNCTION("""COMPUTED_VALUE"""),699.0)</f>
        <v>699</v>
      </c>
      <c r="K50" s="244"/>
      <c r="L50" s="225"/>
      <c r="M50" s="225"/>
      <c r="N50" s="225"/>
      <c r="O50" s="225"/>
      <c r="P50" s="225"/>
      <c r="Q50" s="274">
        <f>IFERROR(__xludf.DUMMYFUNCTION("""COMPUTED_VALUE"""),699.0)</f>
        <v>699</v>
      </c>
      <c r="R50" s="234"/>
      <c r="S50" s="225"/>
      <c r="T50" s="225"/>
      <c r="U50" s="225"/>
      <c r="V50" s="225"/>
      <c r="W50" s="225"/>
      <c r="X50" s="225"/>
      <c r="Y50" s="229"/>
      <c r="Z50" s="257"/>
      <c r="AA50" s="225"/>
      <c r="AB50" s="257"/>
      <c r="AC50" s="257"/>
      <c r="AD50" s="226"/>
      <c r="AE50" s="257"/>
      <c r="AF50" s="347"/>
      <c r="AG50" s="232"/>
      <c r="AH50" s="257"/>
      <c r="AI50" s="225"/>
      <c r="AJ50" s="267"/>
      <c r="AK50" s="259"/>
      <c r="AL50" s="226"/>
      <c r="AM50" s="225"/>
      <c r="AN50" s="225"/>
      <c r="AO50" s="254"/>
      <c r="AP50" s="238" t="str">
        <f>IFERROR(__xludf.DUMMYFUNCTION("""COMPUTED_VALUE"""),"Max Recovery")</f>
        <v>Max Recovery</v>
      </c>
      <c r="AQ50" s="278">
        <f>IFERROR(__xludf.DUMMYFUNCTION("""COMPUTED_VALUE"""),0.0)</f>
        <v>0</v>
      </c>
      <c r="AR50" s="232"/>
      <c r="AS50" s="225"/>
      <c r="AT50" s="225"/>
      <c r="AU50" s="225"/>
      <c r="AV50" s="257"/>
      <c r="AW50" s="257"/>
      <c r="AX50" s="226"/>
      <c r="AY50" s="225"/>
      <c r="AZ50" s="225"/>
      <c r="BA50" s="226"/>
      <c r="BB50" s="225"/>
      <c r="BC50" s="225"/>
      <c r="BD50" s="225"/>
      <c r="BE50" s="225" t="str">
        <f>IFERROR(__xludf.DUMMYFUNCTION("""COMPUTED_VALUE"""),"")</f>
        <v/>
      </c>
      <c r="BF50" s="225"/>
      <c r="BG50" s="225"/>
      <c r="BH50" s="225"/>
      <c r="BI50" s="225"/>
      <c r="BJ50" s="225" t="str">
        <f>IFERROR(__xludf.DUMMYFUNCTION("""COMPUTED_VALUE"""),"")</f>
        <v/>
      </c>
      <c r="BK50" s="225"/>
      <c r="BL50" s="225"/>
      <c r="BM50" s="225"/>
      <c r="BN50" s="225"/>
      <c r="BO50" s="225" t="str">
        <f>IFERROR(__xludf.DUMMYFUNCTION("""COMPUTED_VALUE"""),"")</f>
        <v/>
      </c>
      <c r="BP50" s="225"/>
      <c r="BQ50" s="225" t="str">
        <f>IFERROR(__xludf.DUMMYFUNCTION("""COMPUTED_VALUE"""),"Chrono Field - Speed Reduction")</f>
        <v>Chrono Field - Speed Reduction</v>
      </c>
      <c r="BR50" s="225"/>
      <c r="BS50" s="225"/>
      <c r="BT50" s="226"/>
      <c r="BU50" s="225"/>
      <c r="BV50" s="225"/>
      <c r="BW50" s="225"/>
      <c r="BX50" s="225"/>
      <c r="BY50" s="225"/>
      <c r="BZ50" s="225"/>
    </row>
    <row r="51">
      <c r="A51" s="238" t="str">
        <f>IFERROR(__xludf.DUMMYFUNCTION("""COMPUTED_VALUE"""),"Recovery Package Amount")</f>
        <v>Recovery Package Amount</v>
      </c>
      <c r="B51" s="239">
        <f>IFERROR(__xludf.DUMMYFUNCTION("""COMPUTED_VALUE"""),0.0)</f>
        <v>0</v>
      </c>
      <c r="C51" s="225"/>
      <c r="D51" s="240">
        <f>IFERROR(__xludf.DUMMYFUNCTION("""COMPUTED_VALUE"""),20.0)</f>
        <v>20</v>
      </c>
      <c r="E51" s="225"/>
      <c r="F51" s="225" t="str">
        <f>IFERROR(__xludf.DUMMYFUNCTION("""COMPUTED_VALUE"""),"Enemy Health Level Skip")</f>
        <v>Enemy Health Level Skip</v>
      </c>
      <c r="G51" s="239">
        <f>IFERROR(__xludf.DUMMYFUNCTION("""COMPUTED_VALUE"""),320.0)</f>
        <v>320</v>
      </c>
      <c r="H51" s="225">
        <f>IFERROR(__xludf.DUMMYFUNCTION("""COMPUTED_VALUE"""),699.0)</f>
        <v>699</v>
      </c>
      <c r="I51" s="225">
        <f>IFERROR(__xludf.DUMMYFUNCTION("""COMPUTED_VALUE"""),320.0)</f>
        <v>320</v>
      </c>
      <c r="J51" s="225">
        <f>IFERROR(__xludf.DUMMYFUNCTION("""COMPUTED_VALUE"""),699.0)</f>
        <v>699</v>
      </c>
      <c r="K51" s="244"/>
      <c r="L51" s="225"/>
      <c r="M51" s="225"/>
      <c r="N51" s="225"/>
      <c r="O51" s="225"/>
      <c r="P51" s="225"/>
      <c r="Q51" s="274">
        <f>IFERROR(__xludf.DUMMYFUNCTION("""COMPUTED_VALUE"""),699.0)</f>
        <v>699</v>
      </c>
      <c r="R51" s="234"/>
      <c r="S51" s="225"/>
      <c r="T51" s="225"/>
      <c r="U51" s="225"/>
      <c r="V51" s="225"/>
      <c r="W51" s="225"/>
      <c r="X51" s="225"/>
      <c r="Y51" s="229"/>
      <c r="Z51" s="257"/>
      <c r="AA51" s="225"/>
      <c r="AB51" s="257"/>
      <c r="AC51" s="257"/>
      <c r="AD51" s="226"/>
      <c r="AE51" s="257"/>
      <c r="AF51" s="347"/>
      <c r="AG51" s="232"/>
      <c r="AH51" s="257"/>
      <c r="AI51" s="225"/>
      <c r="AJ51" s="267"/>
      <c r="AK51" s="259"/>
      <c r="AL51" s="226"/>
      <c r="AM51" s="225"/>
      <c r="AN51" s="225"/>
      <c r="AO51" s="254"/>
      <c r="AP51" s="238" t="str">
        <f>IFERROR(__xludf.DUMMYFUNCTION("""COMPUTED_VALUE"""),"Enemy Attack Skip")</f>
        <v>Enemy Attack Skip</v>
      </c>
      <c r="AQ51" s="278">
        <f>IFERROR(__xludf.DUMMYFUNCTION("""COMPUTED_VALUE"""),0.0)</f>
        <v>0</v>
      </c>
      <c r="AR51" s="232"/>
      <c r="AS51" s="225"/>
      <c r="AT51" s="225"/>
      <c r="AU51" s="225"/>
      <c r="AV51" s="257"/>
      <c r="AW51" s="257"/>
      <c r="AX51" s="226"/>
      <c r="AY51" s="225"/>
      <c r="AZ51" s="225"/>
      <c r="BA51" s="226"/>
      <c r="BB51" s="225"/>
      <c r="BC51" s="225"/>
      <c r="BD51" s="225"/>
      <c r="BE51" s="225" t="str">
        <f>IFERROR(__xludf.DUMMYFUNCTION("""COMPUTED_VALUE"""),"")</f>
        <v/>
      </c>
      <c r="BF51" s="225"/>
      <c r="BG51" s="225"/>
      <c r="BH51" s="225"/>
      <c r="BI51" s="225"/>
      <c r="BJ51" s="225" t="str">
        <f>IFERROR(__xludf.DUMMYFUNCTION("""COMPUTED_VALUE"""),"")</f>
        <v/>
      </c>
      <c r="BK51" s="225"/>
      <c r="BL51" s="225"/>
      <c r="BM51" s="225"/>
      <c r="BN51" s="225"/>
      <c r="BO51" s="225" t="str">
        <f>IFERROR(__xludf.DUMMYFUNCTION("""COMPUTED_VALUE"""),"")</f>
        <v/>
      </c>
      <c r="BP51" s="225"/>
      <c r="BQ51" s="225"/>
      <c r="BR51" s="225"/>
      <c r="BS51" s="225"/>
      <c r="BT51" s="226" t="str">
        <f>IFERROR(__xludf.DUMMYFUNCTION("""COMPUTED_VALUE"""),"")</f>
        <v/>
      </c>
      <c r="BU51" s="225"/>
      <c r="BV51" s="225"/>
      <c r="BW51" s="225"/>
      <c r="BX51" s="225"/>
      <c r="BY51" s="225"/>
      <c r="BZ51" s="225"/>
    </row>
    <row r="52">
      <c r="A52" s="238" t="str">
        <f>IFERROR(__xludf.DUMMYFUNCTION("""COMPUTED_VALUE"""),"Recovery Package Max")</f>
        <v>Recovery Package Max</v>
      </c>
      <c r="B52" s="239">
        <f>IFERROR(__xludf.DUMMYFUNCTION("""COMPUTED_VALUE"""),0.0)</f>
        <v>0</v>
      </c>
      <c r="C52" s="225"/>
      <c r="D52" s="240">
        <f>IFERROR(__xludf.DUMMYFUNCTION("""COMPUTED_VALUE"""),20.0)</f>
        <v>20</v>
      </c>
      <c r="E52" s="225"/>
      <c r="F52" s="225"/>
      <c r="G52" s="225"/>
      <c r="H52" s="225"/>
      <c r="I52" s="225"/>
      <c r="J52" s="225"/>
      <c r="K52" s="244"/>
      <c r="L52" s="225"/>
      <c r="M52" s="225"/>
      <c r="N52" s="225"/>
      <c r="O52" s="225"/>
      <c r="P52" s="225"/>
      <c r="Q52" s="227"/>
      <c r="R52" s="234"/>
      <c r="S52" s="225"/>
      <c r="T52" s="225"/>
      <c r="U52" s="225"/>
      <c r="V52" s="225"/>
      <c r="W52" s="225"/>
      <c r="X52" s="225"/>
      <c r="Y52" s="229"/>
      <c r="Z52" s="257"/>
      <c r="AA52" s="225"/>
      <c r="AB52" s="257"/>
      <c r="AC52" s="257"/>
      <c r="AD52" s="226"/>
      <c r="AE52" s="259"/>
      <c r="AF52" s="347"/>
      <c r="AG52" s="232"/>
      <c r="AH52" s="257"/>
      <c r="AI52" s="225"/>
      <c r="AJ52" s="267"/>
      <c r="AK52" s="259"/>
      <c r="AL52" s="226"/>
      <c r="AM52" s="225"/>
      <c r="AN52" s="225"/>
      <c r="AO52" s="254"/>
      <c r="AP52" s="225" t="str">
        <f>IFERROR(__xludf.DUMMYFUNCTION("""COMPUTED_VALUE"""),"Enemy Health Skip")</f>
        <v>Enemy Health Skip</v>
      </c>
      <c r="AQ52" s="257">
        <f>IFERROR(__xludf.DUMMYFUNCTION("""COMPUTED_VALUE"""),0.0)</f>
        <v>0</v>
      </c>
      <c r="AR52" s="226"/>
      <c r="AS52" s="225"/>
      <c r="AT52" s="225"/>
      <c r="AU52" s="225"/>
      <c r="AV52" s="225"/>
      <c r="AW52" s="225"/>
      <c r="AX52" s="226"/>
      <c r="AY52" s="225"/>
      <c r="AZ52" s="225"/>
      <c r="BA52" s="226"/>
      <c r="BB52" s="225"/>
      <c r="BC52" s="225"/>
      <c r="BD52" s="225"/>
      <c r="BE52" s="225"/>
      <c r="BF52" s="225"/>
      <c r="BG52" s="225"/>
      <c r="BH52" s="225"/>
      <c r="BI52" s="225"/>
      <c r="BJ52" s="225"/>
      <c r="BK52" s="225"/>
      <c r="BL52" s="225"/>
      <c r="BM52" s="225"/>
      <c r="BN52" s="225"/>
      <c r="BO52" s="225"/>
      <c r="BP52" s="225"/>
      <c r="BQ52" s="225"/>
      <c r="BR52" s="225"/>
      <c r="BS52" s="225"/>
      <c r="BT52" s="226"/>
      <c r="BU52" s="225"/>
      <c r="BV52" s="225"/>
      <c r="BW52" s="225"/>
      <c r="BX52" s="225"/>
      <c r="BY52" s="225"/>
      <c r="BZ52" s="225"/>
    </row>
    <row r="53">
      <c r="A53" s="238" t="str">
        <f>IFERROR(__xludf.DUMMYFUNCTION("""COMPUTED_VALUE"""),"Recovery Package Chance")</f>
        <v>Recovery Package Chance</v>
      </c>
      <c r="B53" s="239">
        <f>IFERROR(__xludf.DUMMYFUNCTION("""COMPUTED_VALUE"""),20.0)</f>
        <v>20</v>
      </c>
      <c r="C53" s="225"/>
      <c r="D53" s="240">
        <f>IFERROR(__xludf.DUMMYFUNCTION("""COMPUTED_VALUE"""),20.0)</f>
        <v>20</v>
      </c>
      <c r="E53" s="225"/>
      <c r="F53" s="225"/>
      <c r="G53" s="225"/>
      <c r="H53" s="225"/>
      <c r="I53" s="225"/>
      <c r="J53" s="225"/>
      <c r="K53" s="244"/>
      <c r="L53" s="225"/>
      <c r="M53" s="225"/>
      <c r="N53" s="225"/>
      <c r="O53" s="225"/>
      <c r="P53" s="225"/>
      <c r="Q53" s="227"/>
      <c r="R53" s="234"/>
      <c r="S53" s="225"/>
      <c r="T53" s="225"/>
      <c r="U53" s="225"/>
      <c r="V53" s="225"/>
      <c r="W53" s="225"/>
      <c r="X53" s="225"/>
      <c r="Y53" s="229"/>
      <c r="Z53" s="257"/>
      <c r="AA53" s="225"/>
      <c r="AB53" s="257"/>
      <c r="AC53" s="257"/>
      <c r="AD53" s="226"/>
      <c r="AE53" s="259"/>
      <c r="AF53" s="347"/>
      <c r="AG53" s="232"/>
      <c r="AH53" s="257"/>
      <c r="AI53" s="225"/>
      <c r="AJ53" s="267"/>
      <c r="AK53" s="259"/>
      <c r="AL53" s="226"/>
      <c r="AM53" s="225"/>
      <c r="AN53" s="225"/>
      <c r="AO53" s="254"/>
      <c r="AP53" s="225" t="str">
        <f>IFERROR(__xludf.DUMMYFUNCTION("""COMPUTED_VALUE"""),"Unlocks")</f>
        <v>Unlocks</v>
      </c>
      <c r="AQ53" s="225"/>
      <c r="AR53" s="226"/>
      <c r="AS53" s="225"/>
      <c r="AT53" s="225"/>
      <c r="AU53" s="225"/>
      <c r="AV53" s="225"/>
      <c r="AW53" s="225"/>
      <c r="AX53" s="226"/>
      <c r="AY53" s="225"/>
      <c r="AZ53" s="225"/>
      <c r="BA53" s="226"/>
      <c r="BB53" s="225" t="str">
        <f>IFERROR(__xludf.DUMMYFUNCTION("""COMPUTED_VALUE"""),"Death Penalty")</f>
        <v>Death Penalty</v>
      </c>
      <c r="BC53" s="225"/>
      <c r="BD53" s="225"/>
      <c r="BE53" s="225"/>
      <c r="BF53" s="225"/>
      <c r="BG53" s="225" t="str">
        <f>IFERROR(__xludf.DUMMYFUNCTION("""COMPUTED_VALUE"""),"Space Displacer")</f>
        <v>Space Displacer</v>
      </c>
      <c r="BH53" s="225"/>
      <c r="BI53" s="225"/>
      <c r="BJ53" s="225"/>
      <c r="BK53" s="225"/>
      <c r="BL53" s="225" t="str">
        <f>IFERROR(__xludf.DUMMYFUNCTION("""COMPUTED_VALUE"""),"Singularity Harness")</f>
        <v>Singularity Harness</v>
      </c>
      <c r="BM53" s="225"/>
      <c r="BN53" s="225"/>
      <c r="BO53" s="225"/>
      <c r="BP53" s="225"/>
      <c r="BQ53" s="225" t="str">
        <f>IFERROR(__xludf.DUMMYFUNCTION("""COMPUTED_VALUE"""),"Harmony Conductor")</f>
        <v>Harmony Conductor</v>
      </c>
      <c r="BR53" s="225"/>
      <c r="BS53" s="225"/>
      <c r="BT53" s="226"/>
      <c r="BU53" s="225"/>
      <c r="BV53" s="225"/>
      <c r="BW53" s="225"/>
      <c r="BX53" s="225"/>
      <c r="BY53" s="225"/>
      <c r="BZ53" s="225"/>
    </row>
    <row r="54">
      <c r="A54" s="238" t="str">
        <f>IFERROR(__xludf.DUMMYFUNCTION("""COMPUTED_VALUE"""),"Enemy Attack Level Skip")</f>
        <v>Enemy Attack Level Skip</v>
      </c>
      <c r="B54" s="239">
        <f>IFERROR(__xludf.DUMMYFUNCTION("""COMPUTED_VALUE"""),20.0)</f>
        <v>20</v>
      </c>
      <c r="C54" s="225"/>
      <c r="D54" s="240">
        <f>IFERROR(__xludf.DUMMYFUNCTION("""COMPUTED_VALUE"""),20.0)</f>
        <v>20</v>
      </c>
      <c r="E54" s="225"/>
      <c r="F54" s="225"/>
      <c r="G54" s="225"/>
      <c r="H54" s="225"/>
      <c r="I54" s="225"/>
      <c r="J54" s="225"/>
      <c r="K54" s="244"/>
      <c r="L54" s="225"/>
      <c r="M54" s="225"/>
      <c r="N54" s="225"/>
      <c r="O54" s="225"/>
      <c r="P54" s="225"/>
      <c r="Q54" s="227"/>
      <c r="R54" s="234"/>
      <c r="S54" s="225"/>
      <c r="T54" s="225"/>
      <c r="U54" s="225"/>
      <c r="V54" s="225"/>
      <c r="W54" s="225"/>
      <c r="X54" s="225"/>
      <c r="Y54" s="229"/>
      <c r="Z54" s="257"/>
      <c r="AA54" s="225"/>
      <c r="AB54" s="257"/>
      <c r="AC54" s="257"/>
      <c r="AD54" s="226"/>
      <c r="AE54" s="259"/>
      <c r="AF54" s="347"/>
      <c r="AG54" s="232"/>
      <c r="AH54" s="257"/>
      <c r="AI54" s="225"/>
      <c r="AJ54" s="267"/>
      <c r="AK54" s="259"/>
      <c r="AL54" s="226"/>
      <c r="AM54" s="225"/>
      <c r="AN54" s="225"/>
      <c r="AO54" s="254"/>
      <c r="AP54" s="225" t="str">
        <f>IFERROR(__xludf.DUMMYFUNCTION("""COMPUTED_VALUE"""),"Demon Mode Automation")</f>
        <v>Demon Mode Automation</v>
      </c>
      <c r="AQ54" s="257" t="b">
        <f>IFERROR(__xludf.DUMMYFUNCTION("""COMPUTED_VALUE"""),FALSE)</f>
        <v>0</v>
      </c>
      <c r="AR54" s="226"/>
      <c r="AS54" s="225"/>
      <c r="AT54" s="225"/>
      <c r="AU54" s="225"/>
      <c r="AV54" s="225"/>
      <c r="AW54" s="225"/>
      <c r="AX54" s="226"/>
      <c r="AY54" s="225"/>
      <c r="AZ54" s="225"/>
      <c r="BA54" s="226"/>
      <c r="BB54" s="225" t="str">
        <f>IFERROR(__xludf.DUMMYFUNCTION("""COMPUTED_VALUE"""),"Rarity")</f>
        <v>Rarity</v>
      </c>
      <c r="BC54" s="225" t="str">
        <f>IFERROR(__xludf.DUMMYFUNCTION("""COMPUTED_VALUE"""),"Level")</f>
        <v>Level</v>
      </c>
      <c r="BD54" s="225" t="str">
        <f>IFERROR(__xludf.DUMMYFUNCTION("""COMPUTED_VALUE"""),"Stat")</f>
        <v>Stat</v>
      </c>
      <c r="BE54" s="225"/>
      <c r="BF54" s="225"/>
      <c r="BG54" s="225" t="str">
        <f>IFERROR(__xludf.DUMMYFUNCTION("""COMPUTED_VALUE"""),"Rarity")</f>
        <v>Rarity</v>
      </c>
      <c r="BH54" s="225" t="str">
        <f>IFERROR(__xludf.DUMMYFUNCTION("""COMPUTED_VALUE"""),"Level")</f>
        <v>Level</v>
      </c>
      <c r="BI54" s="225" t="str">
        <f>IFERROR(__xludf.DUMMYFUNCTION("""COMPUTED_VALUE"""),"Stat")</f>
        <v>Stat</v>
      </c>
      <c r="BJ54" s="225"/>
      <c r="BK54" s="225"/>
      <c r="BL54" s="225" t="str">
        <f>IFERROR(__xludf.DUMMYFUNCTION("""COMPUTED_VALUE"""),"Rarity")</f>
        <v>Rarity</v>
      </c>
      <c r="BM54" s="225" t="str">
        <f>IFERROR(__xludf.DUMMYFUNCTION("""COMPUTED_VALUE"""),"Level")</f>
        <v>Level</v>
      </c>
      <c r="BN54" s="225" t="str">
        <f>IFERROR(__xludf.DUMMYFUNCTION("""COMPUTED_VALUE"""),"Stat")</f>
        <v>Stat</v>
      </c>
      <c r="BO54" s="225"/>
      <c r="BP54" s="225"/>
      <c r="BQ54" s="225" t="str">
        <f>IFERROR(__xludf.DUMMYFUNCTION("""COMPUTED_VALUE"""),"Rarity")</f>
        <v>Rarity</v>
      </c>
      <c r="BR54" s="225" t="str">
        <f>IFERROR(__xludf.DUMMYFUNCTION("""COMPUTED_VALUE"""),"Level")</f>
        <v>Level</v>
      </c>
      <c r="BS54" s="225" t="str">
        <f>IFERROR(__xludf.DUMMYFUNCTION("""COMPUTED_VALUE"""),"Stat")</f>
        <v>Stat</v>
      </c>
      <c r="BT54" s="226"/>
      <c r="BU54" s="225"/>
      <c r="BV54" s="225"/>
      <c r="BW54" s="225"/>
      <c r="BX54" s="225"/>
      <c r="BY54" s="225"/>
      <c r="BZ54" s="225"/>
    </row>
    <row r="55">
      <c r="A55" s="238" t="str">
        <f>IFERROR(__xludf.DUMMYFUNCTION("""COMPUTED_VALUE"""),"Enemy Health Level Skip")</f>
        <v>Enemy Health Level Skip</v>
      </c>
      <c r="B55" s="239">
        <f>IFERROR(__xludf.DUMMYFUNCTION("""COMPUTED_VALUE"""),20.0)</f>
        <v>20</v>
      </c>
      <c r="C55" s="225"/>
      <c r="D55" s="240">
        <f>IFERROR(__xludf.DUMMYFUNCTION("""COMPUTED_VALUE"""),20.0)</f>
        <v>20</v>
      </c>
      <c r="E55" s="225"/>
      <c r="F55" s="225"/>
      <c r="G55" s="225"/>
      <c r="H55" s="225"/>
      <c r="I55" s="225"/>
      <c r="J55" s="225"/>
      <c r="K55" s="244"/>
      <c r="L55" s="225"/>
      <c r="M55" s="225"/>
      <c r="N55" s="225"/>
      <c r="O55" s="225"/>
      <c r="P55" s="225"/>
      <c r="Q55" s="227"/>
      <c r="R55" s="234"/>
      <c r="S55" s="225"/>
      <c r="T55" s="225"/>
      <c r="U55" s="225"/>
      <c r="V55" s="225"/>
      <c r="W55" s="225"/>
      <c r="X55" s="225"/>
      <c r="Y55" s="229"/>
      <c r="Z55" s="257"/>
      <c r="AA55" s="225"/>
      <c r="AB55" s="257"/>
      <c r="AC55" s="257"/>
      <c r="AD55" s="226"/>
      <c r="AE55" s="259"/>
      <c r="AF55" s="347"/>
      <c r="AG55" s="232"/>
      <c r="AH55" s="257"/>
      <c r="AI55" s="225"/>
      <c r="AJ55" s="267"/>
      <c r="AK55" s="259"/>
      <c r="AL55" s="226"/>
      <c r="AM55" s="225"/>
      <c r="AN55" s="225"/>
      <c r="AO55" s="254"/>
      <c r="AP55" s="225" t="str">
        <f>IFERROR(__xludf.DUMMYFUNCTION("""COMPUTED_VALUE"""),"Smart Demon Mode Automation")</f>
        <v>Smart Demon Mode Automation</v>
      </c>
      <c r="AQ55" s="257" t="b">
        <f>IFERROR(__xludf.DUMMYFUNCTION("""COMPUTED_VALUE"""),FALSE)</f>
        <v>0</v>
      </c>
      <c r="AR55" s="226"/>
      <c r="AS55" s="225"/>
      <c r="AT55" s="225"/>
      <c r="AU55" s="225"/>
      <c r="AV55" s="225"/>
      <c r="AW55" s="225"/>
      <c r="AX55" s="226"/>
      <c r="AY55" s="225"/>
      <c r="AZ55" s="225"/>
      <c r="BA55" s="226"/>
      <c r="BB55" s="225" t="str">
        <f>IFERROR(__xludf.DUMMYFUNCTION("""COMPUTED_VALUE"""),"Mythic+")</f>
        <v>Mythic+</v>
      </c>
      <c r="BC55" s="260">
        <f>IFERROR(__xludf.DUMMYFUNCTION("""COMPUTED_VALUE"""),160.0)</f>
        <v>160</v>
      </c>
      <c r="BD55" s="285">
        <f>IFERROR(__xludf.DUMMYFUNCTION("""COMPUTED_VALUE"""),8.19)</f>
        <v>8.19</v>
      </c>
      <c r="BE55" s="225"/>
      <c r="BF55" s="225"/>
      <c r="BG55" s="225" t="str">
        <f>IFERROR(__xludf.DUMMYFUNCTION("""COMPUTED_VALUE"""),"Ancestral 2*")</f>
        <v>Ancestral 2*</v>
      </c>
      <c r="BH55" s="260">
        <f>IFERROR(__xludf.DUMMYFUNCTION("""COMPUTED_VALUE"""),163.0)</f>
        <v>163</v>
      </c>
      <c r="BI55" s="285">
        <f>IFERROR(__xludf.DUMMYFUNCTION("""COMPUTED_VALUE"""),9.467)</f>
        <v>9.467</v>
      </c>
      <c r="BJ55" s="225"/>
      <c r="BK55" s="225"/>
      <c r="BL55" s="225" t="str">
        <f>IFERROR(__xludf.DUMMYFUNCTION("""COMPUTED_VALUE"""),"Ancestral")</f>
        <v>Ancestral</v>
      </c>
      <c r="BM55" s="260">
        <f>IFERROR(__xludf.DUMMYFUNCTION("""COMPUTED_VALUE"""),161.0)</f>
        <v>161</v>
      </c>
      <c r="BN55" s="285">
        <f>IFERROR(__xludf.DUMMYFUNCTION("""COMPUTED_VALUE"""),1.68)</f>
        <v>1.68</v>
      </c>
      <c r="BO55" s="225"/>
      <c r="BP55" s="225"/>
      <c r="BQ55" s="225" t="str">
        <f>IFERROR(__xludf.DUMMYFUNCTION("""COMPUTED_VALUE"""),"Ancestral 5*")</f>
        <v>Ancestral 5*</v>
      </c>
      <c r="BR55" s="260">
        <f>IFERROR(__xludf.DUMMYFUNCTION("""COMPUTED_VALUE"""),159.0)</f>
        <v>159</v>
      </c>
      <c r="BS55" s="285">
        <f>IFERROR(__xludf.DUMMYFUNCTION("""COMPUTED_VALUE"""),12.88)</f>
        <v>12.88</v>
      </c>
      <c r="BT55" s="226"/>
      <c r="BU55" s="225"/>
      <c r="BV55" s="225"/>
      <c r="BW55" s="225"/>
      <c r="BX55" s="225"/>
      <c r="BY55" s="225"/>
      <c r="BZ55" s="225"/>
    </row>
    <row r="56">
      <c r="A56" s="238" t="str">
        <f>IFERROR(__xludf.DUMMYFUNCTION("""COMPUTED_VALUE"""),"Missile Despawn Time")</f>
        <v>Missile Despawn Time</v>
      </c>
      <c r="B56" s="239">
        <f>IFERROR(__xludf.DUMMYFUNCTION("""COMPUTED_VALUE"""),0.0)</f>
        <v>0</v>
      </c>
      <c r="C56" s="225"/>
      <c r="D56" s="240">
        <f>IFERROR(__xludf.DUMMYFUNCTION("""COMPUTED_VALUE"""),20.0)</f>
        <v>20</v>
      </c>
      <c r="E56" s="225"/>
      <c r="F56" s="225"/>
      <c r="G56" s="225"/>
      <c r="H56" s="225"/>
      <c r="I56" s="225"/>
      <c r="J56" s="225"/>
      <c r="K56" s="244"/>
      <c r="L56" s="225"/>
      <c r="M56" s="225"/>
      <c r="N56" s="225"/>
      <c r="O56" s="225"/>
      <c r="P56" s="225"/>
      <c r="Q56" s="227"/>
      <c r="R56" s="234"/>
      <c r="S56" s="225"/>
      <c r="T56" s="225"/>
      <c r="U56" s="225"/>
      <c r="V56" s="225"/>
      <c r="W56" s="225"/>
      <c r="X56" s="225"/>
      <c r="Y56" s="229"/>
      <c r="Z56" s="257"/>
      <c r="AA56" s="225"/>
      <c r="AB56" s="257"/>
      <c r="AC56" s="257"/>
      <c r="AD56" s="226"/>
      <c r="AE56" s="259"/>
      <c r="AF56" s="347"/>
      <c r="AG56" s="232"/>
      <c r="AH56" s="257"/>
      <c r="AI56" s="225"/>
      <c r="AJ56" s="267"/>
      <c r="AK56" s="259"/>
      <c r="AL56" s="226"/>
      <c r="AM56" s="225"/>
      <c r="AN56" s="225"/>
      <c r="AO56" s="254"/>
      <c r="AP56" s="225" t="str">
        <f>IFERROR(__xludf.DUMMYFUNCTION("""COMPUTED_VALUE"""),"Free Mission Reroll")</f>
        <v>Free Mission Reroll</v>
      </c>
      <c r="AQ56" s="257" t="b">
        <f>IFERROR(__xludf.DUMMYFUNCTION("""COMPUTED_VALUE"""),FALSE)</f>
        <v>0</v>
      </c>
      <c r="AR56" s="226"/>
      <c r="AS56" s="225"/>
      <c r="AT56" s="225"/>
      <c r="AU56" s="225"/>
      <c r="AV56" s="225"/>
      <c r="AW56" s="225"/>
      <c r="AX56" s="226"/>
      <c r="AY56" s="225"/>
      <c r="AZ56" s="225"/>
      <c r="BA56" s="226"/>
      <c r="BB56" s="225"/>
      <c r="BC56" s="225"/>
      <c r="BD56" s="225"/>
      <c r="BE56" s="225"/>
      <c r="BF56" s="225"/>
      <c r="BG56" s="225"/>
      <c r="BH56" s="225"/>
      <c r="BI56" s="225"/>
      <c r="BJ56" s="225"/>
      <c r="BK56" s="225"/>
      <c r="BL56" s="225"/>
      <c r="BM56" s="225"/>
      <c r="BN56" s="225"/>
      <c r="BO56" s="225"/>
      <c r="BP56" s="225"/>
      <c r="BQ56" s="225"/>
      <c r="BR56" s="225"/>
      <c r="BS56" s="225"/>
      <c r="BT56" s="226"/>
      <c r="BU56" s="225"/>
      <c r="BV56" s="225"/>
      <c r="BW56" s="225"/>
      <c r="BX56" s="225"/>
      <c r="BY56" s="225"/>
      <c r="BZ56" s="225"/>
    </row>
    <row r="57">
      <c r="A57" s="238" t="str">
        <f>IFERROR(__xludf.DUMMYFUNCTION("""COMPUTED_VALUE"""),"Missiles Explosion")</f>
        <v>Missiles Explosion</v>
      </c>
      <c r="B57" s="239">
        <f>IFERROR(__xludf.DUMMYFUNCTION("""COMPUTED_VALUE"""),0.0)</f>
        <v>0</v>
      </c>
      <c r="C57" s="225"/>
      <c r="D57" s="240">
        <f>IFERROR(__xludf.DUMMYFUNCTION("""COMPUTED_VALUE"""),1.0)</f>
        <v>1</v>
      </c>
      <c r="E57" s="225"/>
      <c r="F57" s="225"/>
      <c r="G57" s="225"/>
      <c r="H57" s="225"/>
      <c r="I57" s="225"/>
      <c r="J57" s="225"/>
      <c r="K57" s="244"/>
      <c r="L57" s="225"/>
      <c r="M57" s="225"/>
      <c r="N57" s="225"/>
      <c r="O57" s="225"/>
      <c r="P57" s="225"/>
      <c r="Q57" s="227"/>
      <c r="R57" s="234"/>
      <c r="S57" s="225"/>
      <c r="T57" s="225"/>
      <c r="U57" s="225"/>
      <c r="V57" s="225"/>
      <c r="W57" s="225"/>
      <c r="X57" s="225"/>
      <c r="Y57" s="229"/>
      <c r="Z57" s="257"/>
      <c r="AA57" s="225"/>
      <c r="AB57" s="257"/>
      <c r="AC57" s="257"/>
      <c r="AD57" s="226"/>
      <c r="AE57" s="259"/>
      <c r="AF57" s="347"/>
      <c r="AG57" s="232"/>
      <c r="AH57" s="257"/>
      <c r="AI57" s="225"/>
      <c r="AJ57" s="267"/>
      <c r="AK57" s="259"/>
      <c r="AL57" s="226"/>
      <c r="AM57" s="225"/>
      <c r="AN57" s="225"/>
      <c r="AO57" s="254"/>
      <c r="AP57" s="225" t="str">
        <f>IFERROR(__xludf.DUMMYFUNCTION("""COMPUTED_VALUE"""),"Nuke Automation")</f>
        <v>Nuke Automation</v>
      </c>
      <c r="AQ57" s="257" t="b">
        <f>IFERROR(__xludf.DUMMYFUNCTION("""COMPUTED_VALUE"""),FALSE)</f>
        <v>0</v>
      </c>
      <c r="AR57" s="226"/>
      <c r="AS57" s="225"/>
      <c r="AT57" s="225"/>
      <c r="AU57" s="225"/>
      <c r="AV57" s="225"/>
      <c r="AW57" s="225"/>
      <c r="AX57" s="226"/>
      <c r="AY57" s="225"/>
      <c r="AZ57" s="225"/>
      <c r="BA57" s="226"/>
      <c r="BB57" s="225" t="str">
        <f>IFERROR(__xludf.DUMMYFUNCTION("""COMPUTED_VALUE"""),"MultiShot Chance")</f>
        <v>MultiShot Chance</v>
      </c>
      <c r="BC57" s="225" t="str">
        <f>IFERROR(__xludf.DUMMYFUNCTION("""COMPUTED_VALUE"""),"Mythic")</f>
        <v>Mythic</v>
      </c>
      <c r="BD57" s="225" t="str">
        <f>IFERROR(__xludf.DUMMYFUNCTION("""COMPUTED_VALUE"""),"+10%")</f>
        <v>+10%</v>
      </c>
      <c r="BE57" s="260">
        <f>IFERROR(__xludf.DUMMYFUNCTION("""COMPUTED_VALUE"""),0.1)</f>
        <v>0.1</v>
      </c>
      <c r="BF57" s="225"/>
      <c r="BG57" s="225"/>
      <c r="BH57" s="225"/>
      <c r="BI57" s="225"/>
      <c r="BJ57" s="260" t="str">
        <f>IFERROR(__xludf.DUMMYFUNCTION("""COMPUTED_VALUE"""),"")</f>
        <v/>
      </c>
      <c r="BK57" s="225"/>
      <c r="BL57" s="225" t="str">
        <f>IFERROR(__xludf.DUMMYFUNCTION("""COMPUTED_VALUE"""),"Free Utility Upgrade")</f>
        <v>Free Utility Upgrade</v>
      </c>
      <c r="BM57" s="225" t="str">
        <f>IFERROR(__xludf.DUMMYFUNCTION("""COMPUTED_VALUE"""),"Mythic")</f>
        <v>Mythic</v>
      </c>
      <c r="BN57" s="225" t="str">
        <f>IFERROR(__xludf.DUMMYFUNCTION("""COMPUTED_VALUE"""),"+10%")</f>
        <v>+10%</v>
      </c>
      <c r="BO57" s="260">
        <f>IFERROR(__xludf.DUMMYFUNCTION("""COMPUTED_VALUE"""),0.1)</f>
        <v>0.1</v>
      </c>
      <c r="BP57" s="225"/>
      <c r="BQ57" s="225"/>
      <c r="BR57" s="225"/>
      <c r="BS57" s="225"/>
      <c r="BT57" s="345" t="str">
        <f>IFERROR(__xludf.DUMMYFUNCTION("""COMPUTED_VALUE"""),"")</f>
        <v/>
      </c>
      <c r="BU57" s="225"/>
      <c r="BV57" s="225"/>
      <c r="BW57" s="225"/>
      <c r="BX57" s="225"/>
      <c r="BY57" s="225"/>
      <c r="BZ57" s="225"/>
    </row>
    <row r="58">
      <c r="A58" s="238" t="str">
        <f>IFERROR(__xludf.DUMMYFUNCTION("""COMPUTED_VALUE"""),"Missile Radius")</f>
        <v>Missile Radius</v>
      </c>
      <c r="B58" s="239">
        <f>IFERROR(__xludf.DUMMYFUNCTION("""COMPUTED_VALUE"""),0.0)</f>
        <v>0</v>
      </c>
      <c r="C58" s="225"/>
      <c r="D58" s="240">
        <f>IFERROR(__xludf.DUMMYFUNCTION("""COMPUTED_VALUE"""),20.0)</f>
        <v>20</v>
      </c>
      <c r="E58" s="225"/>
      <c r="F58" s="225"/>
      <c r="G58" s="225"/>
      <c r="H58" s="225"/>
      <c r="I58" s="225"/>
      <c r="J58" s="225"/>
      <c r="K58" s="244"/>
      <c r="L58" s="225"/>
      <c r="M58" s="225"/>
      <c r="N58" s="225"/>
      <c r="O58" s="225"/>
      <c r="P58" s="225"/>
      <c r="Q58" s="227"/>
      <c r="R58" s="234"/>
      <c r="S58" s="225"/>
      <c r="T58" s="225"/>
      <c r="U58" s="225"/>
      <c r="V58" s="225"/>
      <c r="W58" s="225"/>
      <c r="X58" s="225"/>
      <c r="Y58" s="229"/>
      <c r="Z58" s="257"/>
      <c r="AA58" s="225"/>
      <c r="AB58" s="257"/>
      <c r="AC58" s="257"/>
      <c r="AD58" s="226"/>
      <c r="AE58" s="259"/>
      <c r="AF58" s="347"/>
      <c r="AG58" s="232"/>
      <c r="AH58" s="257"/>
      <c r="AI58" s="225"/>
      <c r="AJ58" s="267"/>
      <c r="AK58" s="259"/>
      <c r="AL58" s="226"/>
      <c r="AM58" s="225"/>
      <c r="AN58" s="225"/>
      <c r="AO58" s="254"/>
      <c r="AP58" s="225" t="str">
        <f>IFERROR(__xludf.DUMMYFUNCTION("""COMPUTED_VALUE"""),"Smart Nuke Automation")</f>
        <v>Smart Nuke Automation</v>
      </c>
      <c r="AQ58" s="257" t="b">
        <f>IFERROR(__xludf.DUMMYFUNCTION("""COMPUTED_VALUE"""),FALSE)</f>
        <v>0</v>
      </c>
      <c r="AR58" s="226"/>
      <c r="AS58" s="225"/>
      <c r="AT58" s="225"/>
      <c r="AU58" s="225"/>
      <c r="AV58" s="225"/>
      <c r="AW58" s="225"/>
      <c r="AX58" s="226"/>
      <c r="AY58" s="225"/>
      <c r="AZ58" s="225"/>
      <c r="BA58" s="226"/>
      <c r="BB58" s="225" t="str">
        <f>IFERROR(__xludf.DUMMYFUNCTION("""COMPUTED_VALUE"""),"Bounce Shot Chance")</f>
        <v>Bounce Shot Chance</v>
      </c>
      <c r="BC58" s="225" t="str">
        <f>IFERROR(__xludf.DUMMYFUNCTION("""COMPUTED_VALUE"""),"Mythic")</f>
        <v>Mythic</v>
      </c>
      <c r="BD58" s="225" t="str">
        <f>IFERROR(__xludf.DUMMYFUNCTION("""COMPUTED_VALUE"""),"+9%")</f>
        <v>+9%</v>
      </c>
      <c r="BE58" s="260">
        <f>IFERROR(__xludf.DUMMYFUNCTION("""COMPUTED_VALUE"""),0.09)</f>
        <v>0.09</v>
      </c>
      <c r="BF58" s="225"/>
      <c r="BG58" s="225"/>
      <c r="BH58" s="225"/>
      <c r="BI58" s="225"/>
      <c r="BJ58" s="260" t="str">
        <f>IFERROR(__xludf.DUMMYFUNCTION("""COMPUTED_VALUE"""),"")</f>
        <v/>
      </c>
      <c r="BK58" s="225"/>
      <c r="BL58" s="225" t="str">
        <f>IFERROR(__xludf.DUMMYFUNCTION("""COMPUTED_VALUE"""),"Coins / Kill Bonus")</f>
        <v>Coins / Kill Bonus</v>
      </c>
      <c r="BM58" s="225" t="str">
        <f>IFERROR(__xludf.DUMMYFUNCTION("""COMPUTED_VALUE"""),"Mythic")</f>
        <v>Mythic</v>
      </c>
      <c r="BN58" s="225" t="str">
        <f>IFERROR(__xludf.DUMMYFUNCTION("""COMPUTED_VALUE"""),"+0.5x")</f>
        <v>+0.5x</v>
      </c>
      <c r="BO58" s="260">
        <f>IFERROR(__xludf.DUMMYFUNCTION("""COMPUTED_VALUE"""),0.5)</f>
        <v>0.5</v>
      </c>
      <c r="BP58" s="225"/>
      <c r="BQ58" s="225"/>
      <c r="BR58" s="225"/>
      <c r="BS58" s="225"/>
      <c r="BT58" s="345" t="str">
        <f>IFERROR(__xludf.DUMMYFUNCTION("""COMPUTED_VALUE"""),"")</f>
        <v/>
      </c>
      <c r="BU58" s="225"/>
      <c r="BV58" s="225"/>
      <c r="BW58" s="225"/>
      <c r="BX58" s="225"/>
      <c r="BY58" s="225"/>
      <c r="BZ58" s="225"/>
    </row>
    <row r="59">
      <c r="A59" s="238" t="str">
        <f>IFERROR(__xludf.DUMMYFUNCTION("""COMPUTED_VALUE"""),"Chrono Field Duration")</f>
        <v>Chrono Field Duration</v>
      </c>
      <c r="B59" s="239">
        <f>IFERROR(__xludf.DUMMYFUNCTION("""COMPUTED_VALUE"""),30.0)</f>
        <v>30</v>
      </c>
      <c r="C59" s="225"/>
      <c r="D59" s="240">
        <f>IFERROR(__xludf.DUMMYFUNCTION("""COMPUTED_VALUE"""),30.0)</f>
        <v>30</v>
      </c>
      <c r="E59" s="225"/>
      <c r="F59" s="225"/>
      <c r="G59" s="225"/>
      <c r="H59" s="225"/>
      <c r="I59" s="225"/>
      <c r="J59" s="225"/>
      <c r="K59" s="244"/>
      <c r="L59" s="225"/>
      <c r="M59" s="225"/>
      <c r="N59" s="225"/>
      <c r="O59" s="225"/>
      <c r="P59" s="225"/>
      <c r="Q59" s="227"/>
      <c r="R59" s="234"/>
      <c r="S59" s="225"/>
      <c r="T59" s="225"/>
      <c r="U59" s="225"/>
      <c r="V59" s="225"/>
      <c r="W59" s="225"/>
      <c r="X59" s="225"/>
      <c r="Y59" s="229"/>
      <c r="Z59" s="257"/>
      <c r="AA59" s="225"/>
      <c r="AB59" s="257"/>
      <c r="AC59" s="257"/>
      <c r="AD59" s="226"/>
      <c r="AE59" s="259"/>
      <c r="AF59" s="347"/>
      <c r="AG59" s="232"/>
      <c r="AH59" s="257"/>
      <c r="AI59" s="225"/>
      <c r="AJ59" s="267"/>
      <c r="AK59" s="259"/>
      <c r="AL59" s="226"/>
      <c r="AM59" s="225"/>
      <c r="AN59" s="225"/>
      <c r="AO59" s="254"/>
      <c r="AP59" s="225" t="str">
        <f>IFERROR(__xludf.DUMMYFUNCTION("""COMPUTED_VALUE"""),"Workshop Presets")</f>
        <v>Workshop Presets</v>
      </c>
      <c r="AQ59" s="257" t="b">
        <f>IFERROR(__xludf.DUMMYFUNCTION("""COMPUTED_VALUE"""),FALSE)</f>
        <v>0</v>
      </c>
      <c r="AR59" s="226"/>
      <c r="AS59" s="225"/>
      <c r="AT59" s="225"/>
      <c r="AU59" s="225"/>
      <c r="AV59" s="225"/>
      <c r="AW59" s="225"/>
      <c r="AX59" s="226"/>
      <c r="AY59" s="225"/>
      <c r="AZ59" s="225"/>
      <c r="BA59" s="226"/>
      <c r="BB59" s="225" t="str">
        <f>IFERROR(__xludf.DUMMYFUNCTION("""COMPUTED_VALUE"""),"Bounce Shot Targets")</f>
        <v>Bounce Shot Targets</v>
      </c>
      <c r="BC59" s="225" t="str">
        <f>IFERROR(__xludf.DUMMYFUNCTION("""COMPUTED_VALUE"""),"Mythic")</f>
        <v>Mythic</v>
      </c>
      <c r="BD59" s="225" t="str">
        <f>IFERROR(__xludf.DUMMYFUNCTION("""COMPUTED_VALUE"""),"+3")</f>
        <v>+3</v>
      </c>
      <c r="BE59" s="260">
        <f>IFERROR(__xludf.DUMMYFUNCTION("""COMPUTED_VALUE"""),3.0)</f>
        <v>3</v>
      </c>
      <c r="BF59" s="225"/>
      <c r="BG59" s="225"/>
      <c r="BH59" s="225"/>
      <c r="BI59" s="225"/>
      <c r="BJ59" s="225" t="str">
        <f>IFERROR(__xludf.DUMMYFUNCTION("""COMPUTED_VALUE"""),"")</f>
        <v/>
      </c>
      <c r="BK59" s="225"/>
      <c r="BL59" s="225" t="str">
        <f>IFERROR(__xludf.DUMMYFUNCTION("""COMPUTED_VALUE"""),"Enemy Health Level Skip")</f>
        <v>Enemy Health Level Skip</v>
      </c>
      <c r="BM59" s="225" t="str">
        <f>IFERROR(__xludf.DUMMYFUNCTION("""COMPUTED_VALUE"""),"Mythic")</f>
        <v>Mythic</v>
      </c>
      <c r="BN59" s="225" t="str">
        <f>IFERROR(__xludf.DUMMYFUNCTION("""COMPUTED_VALUE"""),"+6%")</f>
        <v>+6%</v>
      </c>
      <c r="BO59" s="225">
        <f>IFERROR(__xludf.DUMMYFUNCTION("""COMPUTED_VALUE"""),0.06)</f>
        <v>0.06</v>
      </c>
      <c r="BP59" s="225"/>
      <c r="BQ59" s="225"/>
      <c r="BR59" s="225"/>
      <c r="BS59" s="225"/>
      <c r="BT59" s="345" t="str">
        <f>IFERROR(__xludf.DUMMYFUNCTION("""COMPUTED_VALUE"""),"")</f>
        <v/>
      </c>
      <c r="BU59" s="225"/>
      <c r="BV59" s="225"/>
      <c r="BW59" s="225"/>
      <c r="BX59" s="225"/>
      <c r="BY59" s="225"/>
      <c r="BZ59" s="225"/>
    </row>
    <row r="60">
      <c r="A60" s="238" t="str">
        <f>IFERROR(__xludf.DUMMYFUNCTION("""COMPUTED_VALUE"""),"Chrono Field Damage Reduction")</f>
        <v>Chrono Field Damage Reduction</v>
      </c>
      <c r="B60" s="239">
        <f>IFERROR(__xludf.DUMMYFUNCTION("""COMPUTED_VALUE"""),1.0)</f>
        <v>1</v>
      </c>
      <c r="C60" s="225"/>
      <c r="D60" s="240">
        <f>IFERROR(__xludf.DUMMYFUNCTION("""COMPUTED_VALUE"""),1.0)</f>
        <v>1</v>
      </c>
      <c r="E60" s="225"/>
      <c r="F60" s="225"/>
      <c r="G60" s="225"/>
      <c r="H60" s="225"/>
      <c r="I60" s="225"/>
      <c r="J60" s="225"/>
      <c r="K60" s="244"/>
      <c r="L60" s="225"/>
      <c r="M60" s="225"/>
      <c r="N60" s="225"/>
      <c r="O60" s="225"/>
      <c r="P60" s="225"/>
      <c r="Q60" s="227"/>
      <c r="R60" s="234"/>
      <c r="S60" s="225"/>
      <c r="T60" s="225"/>
      <c r="U60" s="225"/>
      <c r="V60" s="225"/>
      <c r="W60" s="225"/>
      <c r="X60" s="225"/>
      <c r="Y60" s="229"/>
      <c r="Z60" s="257"/>
      <c r="AA60" s="225"/>
      <c r="AB60" s="257"/>
      <c r="AC60" s="257"/>
      <c r="AD60" s="226"/>
      <c r="AE60" s="259"/>
      <c r="AF60" s="347"/>
      <c r="AG60" s="232"/>
      <c r="AH60" s="257"/>
      <c r="AI60" s="225"/>
      <c r="AJ60" s="267"/>
      <c r="AK60" s="259"/>
      <c r="AL60" s="226"/>
      <c r="AM60" s="225"/>
      <c r="AN60" s="225"/>
      <c r="AO60" s="254"/>
      <c r="AP60" s="225" t="str">
        <f>IFERROR(__xludf.DUMMYFUNCTION("""COMPUTED_VALUE"""),"Missile Barrage Automation")</f>
        <v>Missile Barrage Automation</v>
      </c>
      <c r="AQ60" s="257" t="b">
        <f>IFERROR(__xludf.DUMMYFUNCTION("""COMPUTED_VALUE"""),FALSE)</f>
        <v>0</v>
      </c>
      <c r="AR60" s="226"/>
      <c r="AS60" s="225"/>
      <c r="AT60" s="225"/>
      <c r="AU60" s="225"/>
      <c r="AV60" s="225"/>
      <c r="AW60" s="225"/>
      <c r="AX60" s="226"/>
      <c r="AY60" s="225"/>
      <c r="AZ60" s="225"/>
      <c r="BA60" s="226"/>
      <c r="BB60" s="225" t="str">
        <f>IFERROR(__xludf.DUMMYFUNCTION("""COMPUTED_VALUE"""),"Multishot Targets")</f>
        <v>Multishot Targets</v>
      </c>
      <c r="BC60" s="225" t="str">
        <f>IFERROR(__xludf.DUMMYFUNCTION("""COMPUTED_VALUE"""),"Mythic")</f>
        <v>Mythic</v>
      </c>
      <c r="BD60" s="225" t="str">
        <f>IFERROR(__xludf.DUMMYFUNCTION("""COMPUTED_VALUE"""),"+3")</f>
        <v>+3</v>
      </c>
      <c r="BE60" s="225">
        <f>IFERROR(__xludf.DUMMYFUNCTION("""COMPUTED_VALUE"""),3.0)</f>
        <v>3</v>
      </c>
      <c r="BF60" s="225"/>
      <c r="BG60" s="225"/>
      <c r="BH60" s="225"/>
      <c r="BI60" s="225"/>
      <c r="BJ60" s="225" t="str">
        <f>IFERROR(__xludf.DUMMYFUNCTION("""COMPUTED_VALUE"""),"")</f>
        <v/>
      </c>
      <c r="BK60" s="225"/>
      <c r="BL60" s="225" t="str">
        <f>IFERROR(__xludf.DUMMYFUNCTION("""COMPUTED_VALUE"""),"Enemy Attack Level Skip")</f>
        <v>Enemy Attack Level Skip</v>
      </c>
      <c r="BM60" s="225" t="str">
        <f>IFERROR(__xludf.DUMMYFUNCTION("""COMPUTED_VALUE"""),"Ancestral")</f>
        <v>Ancestral</v>
      </c>
      <c r="BN60" s="225" t="str">
        <f>IFERROR(__xludf.DUMMYFUNCTION("""COMPUTED_VALUE"""),"+8%")</f>
        <v>+8%</v>
      </c>
      <c r="BO60" s="225">
        <f>IFERROR(__xludf.DUMMYFUNCTION("""COMPUTED_VALUE"""),0.08)</f>
        <v>0.08</v>
      </c>
      <c r="BP60" s="225"/>
      <c r="BQ60" s="225"/>
      <c r="BR60" s="225"/>
      <c r="BS60" s="225"/>
      <c r="BT60" s="345" t="str">
        <f>IFERROR(__xludf.DUMMYFUNCTION("""COMPUTED_VALUE"""),"")</f>
        <v/>
      </c>
      <c r="BU60" s="225"/>
      <c r="BV60" s="225"/>
      <c r="BW60" s="225"/>
      <c r="BX60" s="225"/>
      <c r="BY60" s="225"/>
      <c r="BZ60" s="225"/>
    </row>
    <row r="61">
      <c r="A61" s="238" t="str">
        <f>IFERROR(__xludf.DUMMYFUNCTION("""COMPUTED_VALUE"""),"Chrono Field Reduction %")</f>
        <v>Chrono Field Reduction %</v>
      </c>
      <c r="B61" s="239">
        <f>IFERROR(__xludf.DUMMYFUNCTION("""COMPUTED_VALUE"""),20.0)</f>
        <v>20</v>
      </c>
      <c r="C61" s="225"/>
      <c r="D61" s="240">
        <f>IFERROR(__xludf.DUMMYFUNCTION("""COMPUTED_VALUE"""),30.0)</f>
        <v>30</v>
      </c>
      <c r="E61" s="225"/>
      <c r="F61" s="225"/>
      <c r="G61" s="225"/>
      <c r="H61" s="225"/>
      <c r="I61" s="225"/>
      <c r="J61" s="225"/>
      <c r="K61" s="244"/>
      <c r="L61" s="225"/>
      <c r="M61" s="225"/>
      <c r="N61" s="225"/>
      <c r="O61" s="225"/>
      <c r="P61" s="225"/>
      <c r="Q61" s="227"/>
      <c r="R61" s="234"/>
      <c r="S61" s="225"/>
      <c r="T61" s="225"/>
      <c r="U61" s="225"/>
      <c r="V61" s="225"/>
      <c r="W61" s="225"/>
      <c r="X61" s="225"/>
      <c r="Y61" s="229"/>
      <c r="Z61" s="257"/>
      <c r="AA61" s="225"/>
      <c r="AB61" s="257"/>
      <c r="AC61" s="257"/>
      <c r="AD61" s="226"/>
      <c r="AE61" s="259"/>
      <c r="AF61" s="347"/>
      <c r="AG61" s="232"/>
      <c r="AH61" s="257"/>
      <c r="AI61" s="225"/>
      <c r="AJ61" s="267"/>
      <c r="AK61" s="259"/>
      <c r="AL61" s="226"/>
      <c r="AM61" s="225"/>
      <c r="AN61" s="225"/>
      <c r="AO61" s="254"/>
      <c r="AP61" s="225" t="str">
        <f>IFERROR(__xludf.DUMMYFUNCTION("""COMPUTED_VALUE"""),"Smart Missile Barrage Automation")</f>
        <v>Smart Missile Barrage Automation</v>
      </c>
      <c r="AQ61" s="257" t="b">
        <f>IFERROR(__xludf.DUMMYFUNCTION("""COMPUTED_VALUE"""),FALSE)</f>
        <v>0</v>
      </c>
      <c r="AR61" s="226"/>
      <c r="AS61" s="225"/>
      <c r="AT61" s="225"/>
      <c r="AU61" s="225"/>
      <c r="AV61" s="225"/>
      <c r="AW61" s="225"/>
      <c r="AX61" s="226"/>
      <c r="AY61" s="225"/>
      <c r="AZ61" s="225"/>
      <c r="BA61" s="226"/>
      <c r="BB61" s="225"/>
      <c r="BC61" s="225"/>
      <c r="BD61" s="225"/>
      <c r="BE61" s="225" t="str">
        <f>IFERROR(__xludf.DUMMYFUNCTION("""COMPUTED_VALUE"""),"")</f>
        <v/>
      </c>
      <c r="BF61" s="225"/>
      <c r="BG61" s="225"/>
      <c r="BH61" s="225"/>
      <c r="BI61" s="225"/>
      <c r="BJ61" s="225" t="str">
        <f>IFERROR(__xludf.DUMMYFUNCTION("""COMPUTED_VALUE"""),"")</f>
        <v/>
      </c>
      <c r="BK61" s="225"/>
      <c r="BL61" s="225" t="str">
        <f>IFERROR(__xludf.DUMMYFUNCTION("""COMPUTED_VALUE"""),"Package Chance")</f>
        <v>Package Chance</v>
      </c>
      <c r="BM61" s="225" t="str">
        <f>IFERROR(__xludf.DUMMYFUNCTION("""COMPUTED_VALUE"""),"Mythic")</f>
        <v>Mythic</v>
      </c>
      <c r="BN61" s="225" t="str">
        <f>IFERROR(__xludf.DUMMYFUNCTION("""COMPUTED_VALUE"""),"+11%")</f>
        <v>+11%</v>
      </c>
      <c r="BO61" s="225">
        <f>IFERROR(__xludf.DUMMYFUNCTION("""COMPUTED_VALUE"""),0.11)</f>
        <v>0.11</v>
      </c>
      <c r="BP61" s="225"/>
      <c r="BQ61" s="225"/>
      <c r="BR61" s="225"/>
      <c r="BS61" s="225"/>
      <c r="BT61" s="226" t="str">
        <f>IFERROR(__xludf.DUMMYFUNCTION("""COMPUTED_VALUE"""),"")</f>
        <v/>
      </c>
      <c r="BU61" s="225"/>
      <c r="BV61" s="225"/>
      <c r="BW61" s="225"/>
      <c r="BX61" s="225"/>
      <c r="BY61" s="225"/>
      <c r="BZ61" s="225"/>
    </row>
    <row r="62">
      <c r="A62" s="238" t="str">
        <f>IFERROR(__xludf.DUMMYFUNCTION("""COMPUTED_VALUE"""),"Swamp Radius")</f>
        <v>Swamp Radius</v>
      </c>
      <c r="B62" s="239">
        <f>IFERROR(__xludf.DUMMYFUNCTION("""COMPUTED_VALUE"""),0.0)</f>
        <v>0</v>
      </c>
      <c r="C62" s="225"/>
      <c r="D62" s="240">
        <f>IFERROR(__xludf.DUMMYFUNCTION("""COMPUTED_VALUE"""),30.0)</f>
        <v>30</v>
      </c>
      <c r="E62" s="225"/>
      <c r="F62" s="225"/>
      <c r="G62" s="225"/>
      <c r="H62" s="225"/>
      <c r="I62" s="225"/>
      <c r="J62" s="225"/>
      <c r="K62" s="244"/>
      <c r="L62" s="225"/>
      <c r="M62" s="225"/>
      <c r="N62" s="225"/>
      <c r="O62" s="225"/>
      <c r="P62" s="225"/>
      <c r="Q62" s="227"/>
      <c r="R62" s="234"/>
      <c r="S62" s="225"/>
      <c r="T62" s="225"/>
      <c r="U62" s="225"/>
      <c r="V62" s="225"/>
      <c r="W62" s="225"/>
      <c r="X62" s="225"/>
      <c r="Y62" s="229"/>
      <c r="Z62" s="257"/>
      <c r="AA62" s="225"/>
      <c r="AB62" s="257"/>
      <c r="AC62" s="257"/>
      <c r="AD62" s="226"/>
      <c r="AE62" s="259"/>
      <c r="AF62" s="347"/>
      <c r="AG62" s="232"/>
      <c r="AH62" s="257"/>
      <c r="AI62" s="225"/>
      <c r="AJ62" s="267"/>
      <c r="AK62" s="259"/>
      <c r="AL62" s="226"/>
      <c r="AM62" s="225"/>
      <c r="AN62" s="225"/>
      <c r="AO62" s="254"/>
      <c r="AP62" s="225" t="str">
        <f>IFERROR(__xludf.DUMMYFUNCTION("""COMPUTED_VALUE"""),"Daily Mission - Set Shard Type")</f>
        <v>Daily Mission - Set Shard Type</v>
      </c>
      <c r="AQ62" s="257" t="b">
        <f>IFERROR(__xludf.DUMMYFUNCTION("""COMPUTED_VALUE"""),FALSE)</f>
        <v>0</v>
      </c>
      <c r="AR62" s="226"/>
      <c r="AS62" s="225"/>
      <c r="AT62" s="225"/>
      <c r="AU62" s="225"/>
      <c r="AV62" s="225"/>
      <c r="AW62" s="225"/>
      <c r="AX62" s="226"/>
      <c r="AY62" s="225"/>
      <c r="AZ62" s="225"/>
      <c r="BA62" s="226"/>
      <c r="BB62" s="225"/>
      <c r="BC62" s="225"/>
      <c r="BD62" s="225"/>
      <c r="BE62" s="225" t="str">
        <f>IFERROR(__xludf.DUMMYFUNCTION("""COMPUTED_VALUE"""),"")</f>
        <v/>
      </c>
      <c r="BF62" s="225"/>
      <c r="BG62" s="225"/>
      <c r="BH62" s="225"/>
      <c r="BI62" s="225"/>
      <c r="BJ62" s="225" t="str">
        <f>IFERROR(__xludf.DUMMYFUNCTION("""COMPUTED_VALUE"""),"")</f>
        <v/>
      </c>
      <c r="BK62" s="225"/>
      <c r="BL62" s="225"/>
      <c r="BM62" s="225"/>
      <c r="BN62" s="225"/>
      <c r="BO62" s="225" t="str">
        <f>IFERROR(__xludf.DUMMYFUNCTION("""COMPUTED_VALUE"""),"")</f>
        <v/>
      </c>
      <c r="BP62" s="225"/>
      <c r="BQ62" s="225"/>
      <c r="BR62" s="225"/>
      <c r="BS62" s="225"/>
      <c r="BT62" s="226" t="str">
        <f>IFERROR(__xludf.DUMMYFUNCTION("""COMPUTED_VALUE"""),"")</f>
        <v/>
      </c>
      <c r="BU62" s="225"/>
      <c r="BV62" s="225"/>
      <c r="BW62" s="225"/>
      <c r="BX62" s="225"/>
      <c r="BY62" s="225"/>
      <c r="BZ62" s="225"/>
    </row>
    <row r="63">
      <c r="A63" s="238" t="str">
        <f>IFERROR(__xludf.DUMMYFUNCTION("""COMPUTED_VALUE"""),"Swamp Stun")</f>
        <v>Swamp Stun</v>
      </c>
      <c r="B63" s="239">
        <f>IFERROR(__xludf.DUMMYFUNCTION("""COMPUTED_VALUE"""),0.0)</f>
        <v>0</v>
      </c>
      <c r="C63" s="225"/>
      <c r="D63" s="240">
        <f>IFERROR(__xludf.DUMMYFUNCTION("""COMPUTED_VALUE"""),1.0)</f>
        <v>1</v>
      </c>
      <c r="E63" s="225"/>
      <c r="F63" s="225"/>
      <c r="G63" s="225"/>
      <c r="H63" s="225"/>
      <c r="I63" s="225"/>
      <c r="J63" s="225"/>
      <c r="K63" s="244"/>
      <c r="L63" s="225"/>
      <c r="M63" s="225"/>
      <c r="N63" s="225"/>
      <c r="O63" s="225"/>
      <c r="P63" s="225"/>
      <c r="Q63" s="227"/>
      <c r="R63" s="234"/>
      <c r="S63" s="225"/>
      <c r="T63" s="225"/>
      <c r="U63" s="225"/>
      <c r="V63" s="225"/>
      <c r="W63" s="225"/>
      <c r="X63" s="225"/>
      <c r="Y63" s="229"/>
      <c r="Z63" s="257"/>
      <c r="AA63" s="225"/>
      <c r="AB63" s="257"/>
      <c r="AC63" s="257"/>
      <c r="AD63" s="226"/>
      <c r="AE63" s="259"/>
      <c r="AF63" s="347"/>
      <c r="AG63" s="232"/>
      <c r="AH63" s="257"/>
      <c r="AI63" s="225"/>
      <c r="AJ63" s="267"/>
      <c r="AK63" s="259"/>
      <c r="AL63" s="226"/>
      <c r="AM63" s="225"/>
      <c r="AN63" s="225"/>
      <c r="AO63" s="254"/>
      <c r="AP63" s="225" t="str">
        <f>IFERROR(__xludf.DUMMYFUNCTION("""COMPUTED_VALUE"""),"Auto Shatter Rare Modules")</f>
        <v>Auto Shatter Rare Modules</v>
      </c>
      <c r="AQ63" s="257" t="b">
        <f>IFERROR(__xludf.DUMMYFUNCTION("""COMPUTED_VALUE"""),FALSE)</f>
        <v>0</v>
      </c>
      <c r="AR63" s="226"/>
      <c r="AS63" s="225"/>
      <c r="AT63" s="225"/>
      <c r="AU63" s="225"/>
      <c r="AV63" s="225"/>
      <c r="AW63" s="225"/>
      <c r="AX63" s="226"/>
      <c r="AY63" s="225"/>
      <c r="AZ63" s="225"/>
      <c r="BA63" s="226"/>
      <c r="BB63" s="225"/>
      <c r="BC63" s="225"/>
      <c r="BD63" s="225"/>
      <c r="BE63" s="225" t="str">
        <f>IFERROR(__xludf.DUMMYFUNCTION("""COMPUTED_VALUE"""),"")</f>
        <v/>
      </c>
      <c r="BF63" s="225"/>
      <c r="BG63" s="225"/>
      <c r="BH63" s="225"/>
      <c r="BI63" s="225"/>
      <c r="BJ63" s="225" t="str">
        <f>IFERROR(__xludf.DUMMYFUNCTION("""COMPUTED_VALUE"""),"")</f>
        <v/>
      </c>
      <c r="BK63" s="225"/>
      <c r="BL63" s="225"/>
      <c r="BM63" s="225"/>
      <c r="BN63" s="225"/>
      <c r="BO63" s="225" t="str">
        <f>IFERROR(__xludf.DUMMYFUNCTION("""COMPUTED_VALUE"""),"")</f>
        <v/>
      </c>
      <c r="BP63" s="225"/>
      <c r="BQ63" s="225"/>
      <c r="BR63" s="225"/>
      <c r="BS63" s="225"/>
      <c r="BT63" s="226" t="str">
        <f>IFERROR(__xludf.DUMMYFUNCTION("""COMPUTED_VALUE"""),"")</f>
        <v/>
      </c>
      <c r="BU63" s="225"/>
      <c r="BV63" s="225"/>
      <c r="BW63" s="225"/>
      <c r="BX63" s="225"/>
      <c r="BY63" s="225"/>
      <c r="BZ63" s="225"/>
    </row>
    <row r="64">
      <c r="A64" s="238" t="str">
        <f>IFERROR(__xludf.DUMMYFUNCTION("""COMPUTED_VALUE"""),"Swamp Stun Chance")</f>
        <v>Swamp Stun Chance</v>
      </c>
      <c r="B64" s="239">
        <f>IFERROR(__xludf.DUMMYFUNCTION("""COMPUTED_VALUE"""),0.0)</f>
        <v>0</v>
      </c>
      <c r="C64" s="225"/>
      <c r="D64" s="240">
        <f>IFERROR(__xludf.DUMMYFUNCTION("""COMPUTED_VALUE"""),30.0)</f>
        <v>30</v>
      </c>
      <c r="E64" s="225"/>
      <c r="F64" s="225"/>
      <c r="G64" s="225"/>
      <c r="H64" s="225"/>
      <c r="I64" s="225"/>
      <c r="J64" s="225"/>
      <c r="K64" s="244"/>
      <c r="L64" s="225"/>
      <c r="M64" s="225"/>
      <c r="N64" s="225"/>
      <c r="O64" s="225"/>
      <c r="P64" s="225"/>
      <c r="Q64" s="227"/>
      <c r="R64" s="234"/>
      <c r="S64" s="225"/>
      <c r="T64" s="225"/>
      <c r="U64" s="225"/>
      <c r="V64" s="225"/>
      <c r="W64" s="225"/>
      <c r="X64" s="225"/>
      <c r="Y64" s="229"/>
      <c r="Z64" s="257"/>
      <c r="AA64" s="225"/>
      <c r="AB64" s="257"/>
      <c r="AC64" s="257"/>
      <c r="AD64" s="226"/>
      <c r="AE64" s="259"/>
      <c r="AF64" s="347"/>
      <c r="AG64" s="232"/>
      <c r="AH64" s="257"/>
      <c r="AI64" s="225"/>
      <c r="AJ64" s="267"/>
      <c r="AK64" s="259"/>
      <c r="AL64" s="226"/>
      <c r="AM64" s="225"/>
      <c r="AN64" s="225"/>
      <c r="AO64" s="254"/>
      <c r="AP64" s="225" t="str">
        <f>IFERROR(__xludf.DUMMYFUNCTION("""COMPUTED_VALUE"""),"Auto Restart Run")</f>
        <v>Auto Restart Run</v>
      </c>
      <c r="AQ64" s="257" t="b">
        <f>IFERROR(__xludf.DUMMYFUNCTION("""COMPUTED_VALUE"""),FALSE)</f>
        <v>0</v>
      </c>
      <c r="AR64" s="226"/>
      <c r="AS64" s="225"/>
      <c r="AT64" s="225"/>
      <c r="AU64" s="225"/>
      <c r="AV64" s="225"/>
      <c r="AW64" s="225"/>
      <c r="AX64" s="226"/>
      <c r="AY64" s="225"/>
      <c r="AZ64" s="225"/>
      <c r="BA64" s="226"/>
      <c r="BB64" s="225"/>
      <c r="BC64" s="225"/>
      <c r="BD64" s="225"/>
      <c r="BE64" s="225" t="str">
        <f>IFERROR(__xludf.DUMMYFUNCTION("""COMPUTED_VALUE"""),"")</f>
        <v/>
      </c>
      <c r="BF64" s="225"/>
      <c r="BG64" s="225"/>
      <c r="BH64" s="225"/>
      <c r="BI64" s="225"/>
      <c r="BJ64" s="225" t="str">
        <f>IFERROR(__xludf.DUMMYFUNCTION("""COMPUTED_VALUE"""),"")</f>
        <v/>
      </c>
      <c r="BK64" s="225"/>
      <c r="BL64" s="225"/>
      <c r="BM64" s="225"/>
      <c r="BN64" s="225"/>
      <c r="BO64" s="225" t="str">
        <f>IFERROR(__xludf.DUMMYFUNCTION("""COMPUTED_VALUE"""),"")</f>
        <v/>
      </c>
      <c r="BP64" s="225"/>
      <c r="BQ64" s="225"/>
      <c r="BR64" s="225"/>
      <c r="BS64" s="225"/>
      <c r="BT64" s="226" t="str">
        <f>IFERROR(__xludf.DUMMYFUNCTION("""COMPUTED_VALUE"""),"")</f>
        <v/>
      </c>
      <c r="BU64" s="225"/>
      <c r="BV64" s="225"/>
      <c r="BW64" s="225"/>
      <c r="BX64" s="225"/>
      <c r="BY64" s="225"/>
      <c r="BZ64" s="225"/>
    </row>
    <row r="65">
      <c r="A65" s="238" t="str">
        <f>IFERROR(__xludf.DUMMYFUNCTION("""COMPUTED_VALUE"""),"Swamp Stun Time")</f>
        <v>Swamp Stun Time</v>
      </c>
      <c r="B65" s="239">
        <f>IFERROR(__xludf.DUMMYFUNCTION("""COMPUTED_VALUE"""),0.0)</f>
        <v>0</v>
      </c>
      <c r="C65" s="225"/>
      <c r="D65" s="240">
        <f>IFERROR(__xludf.DUMMYFUNCTION("""COMPUTED_VALUE"""),30.0)</f>
        <v>30</v>
      </c>
      <c r="E65" s="225"/>
      <c r="F65" s="225"/>
      <c r="G65" s="225"/>
      <c r="H65" s="225"/>
      <c r="I65" s="225"/>
      <c r="J65" s="225"/>
      <c r="K65" s="244"/>
      <c r="L65" s="225"/>
      <c r="M65" s="225"/>
      <c r="N65" s="225"/>
      <c r="O65" s="225"/>
      <c r="P65" s="225"/>
      <c r="Q65" s="227"/>
      <c r="R65" s="234"/>
      <c r="S65" s="225"/>
      <c r="T65" s="225"/>
      <c r="U65" s="225"/>
      <c r="V65" s="225"/>
      <c r="W65" s="225"/>
      <c r="X65" s="225"/>
      <c r="Y65" s="229"/>
      <c r="Z65" s="257"/>
      <c r="AA65" s="225"/>
      <c r="AB65" s="257"/>
      <c r="AC65" s="257"/>
      <c r="AD65" s="226"/>
      <c r="AE65" s="259"/>
      <c r="AF65" s="347"/>
      <c r="AG65" s="232"/>
      <c r="AH65" s="257"/>
      <c r="AI65" s="225"/>
      <c r="AJ65" s="267"/>
      <c r="AK65" s="259"/>
      <c r="AL65" s="226"/>
      <c r="AM65" s="225"/>
      <c r="AN65" s="225"/>
      <c r="AO65" s="254"/>
      <c r="AP65" s="225" t="str">
        <f>IFERROR(__xludf.DUMMYFUNCTION("""COMPUTED_VALUE"""),"Auto Charge Berzerker")</f>
        <v>Auto Charge Berzerker</v>
      </c>
      <c r="AQ65" s="257" t="b">
        <f>IFERROR(__xludf.DUMMYFUNCTION("""COMPUTED_VALUE"""),FALSE)</f>
        <v>0</v>
      </c>
      <c r="AR65" s="226"/>
      <c r="AS65" s="225"/>
      <c r="AT65" s="225"/>
      <c r="AU65" s="225"/>
      <c r="AV65" s="225"/>
      <c r="AW65" s="225"/>
      <c r="AX65" s="226"/>
      <c r="AY65" s="225"/>
      <c r="AZ65" s="225"/>
      <c r="BA65" s="226"/>
      <c r="BB65" s="225"/>
      <c r="BC65" s="225"/>
      <c r="BD65" s="225"/>
      <c r="BE65" s="225"/>
      <c r="BF65" s="225"/>
      <c r="BG65" s="225"/>
      <c r="BH65" s="225"/>
      <c r="BI65" s="225"/>
      <c r="BJ65" s="225"/>
      <c r="BK65" s="225"/>
      <c r="BL65" s="225"/>
      <c r="BM65" s="225"/>
      <c r="BN65" s="225"/>
      <c r="BO65" s="225"/>
      <c r="BP65" s="225"/>
      <c r="BQ65" s="225"/>
      <c r="BR65" s="225"/>
      <c r="BS65" s="225"/>
      <c r="BT65" s="226"/>
      <c r="BU65" s="225"/>
      <c r="BV65" s="225"/>
      <c r="BW65" s="225"/>
      <c r="BX65" s="225"/>
      <c r="BY65" s="225"/>
      <c r="BZ65" s="225"/>
    </row>
    <row r="66">
      <c r="A66" s="238" t="str">
        <f>IFERROR(__xludf.DUMMYFUNCTION("""COMPUTED_VALUE"""),"Golden Tower Bonus")</f>
        <v>Golden Tower Bonus</v>
      </c>
      <c r="B66" s="239">
        <f>IFERROR(__xludf.DUMMYFUNCTION("""COMPUTED_VALUE"""),22.0)</f>
        <v>22</v>
      </c>
      <c r="C66" s="225"/>
      <c r="D66" s="240">
        <f>IFERROR(__xludf.DUMMYFUNCTION("""COMPUTED_VALUE"""),25.0)</f>
        <v>25</v>
      </c>
      <c r="E66" s="225"/>
      <c r="F66" s="225"/>
      <c r="G66" s="225"/>
      <c r="H66" s="225"/>
      <c r="I66" s="225"/>
      <c r="J66" s="225"/>
      <c r="K66" s="244"/>
      <c r="L66" s="225"/>
      <c r="M66" s="225"/>
      <c r="N66" s="225"/>
      <c r="O66" s="225"/>
      <c r="P66" s="225"/>
      <c r="Q66" s="227"/>
      <c r="R66" s="234"/>
      <c r="S66" s="225"/>
      <c r="T66" s="225"/>
      <c r="U66" s="225"/>
      <c r="V66" s="225"/>
      <c r="W66" s="225"/>
      <c r="X66" s="225"/>
      <c r="Y66" s="229"/>
      <c r="Z66" s="257"/>
      <c r="AA66" s="225"/>
      <c r="AB66" s="257"/>
      <c r="AC66" s="257"/>
      <c r="AD66" s="226"/>
      <c r="AE66" s="259"/>
      <c r="AF66" s="347"/>
      <c r="AG66" s="232"/>
      <c r="AH66" s="257"/>
      <c r="AI66" s="225"/>
      <c r="AJ66" s="267"/>
      <c r="AK66" s="259"/>
      <c r="AL66" s="226"/>
      <c r="AM66" s="225"/>
      <c r="AN66" s="225"/>
      <c r="AO66" s="254"/>
      <c r="AP66" s="225" t="str">
        <f>IFERROR(__xludf.DUMMYFUNCTION("""COMPUTED_VALUE"""),"Damage Cap Slider")</f>
        <v>Damage Cap Slider</v>
      </c>
      <c r="AQ66" s="257" t="b">
        <f>IFERROR(__xludf.DUMMYFUNCTION("""COMPUTED_VALUE"""),FALSE)</f>
        <v>0</v>
      </c>
      <c r="AR66" s="226"/>
      <c r="AS66" s="225"/>
      <c r="AT66" s="225"/>
      <c r="AU66" s="225"/>
      <c r="AV66" s="225"/>
      <c r="AW66" s="225"/>
      <c r="AX66" s="226"/>
      <c r="AY66" s="225"/>
      <c r="AZ66" s="225"/>
      <c r="BA66" s="226"/>
      <c r="BB66" s="225" t="str">
        <f>IFERROR(__xludf.DUMMYFUNCTION("""COMPUTED_VALUE"""),"Havoc Bringer")</f>
        <v>Havoc Bringer</v>
      </c>
      <c r="BC66" s="225"/>
      <c r="BD66" s="225"/>
      <c r="BE66" s="225"/>
      <c r="BF66" s="225"/>
      <c r="BG66" s="225" t="str">
        <f>IFERROR(__xludf.DUMMYFUNCTION("""COMPUTED_VALUE"""),"Wormhole Redirector")</f>
        <v>Wormhole Redirector</v>
      </c>
      <c r="BH66" s="225"/>
      <c r="BI66" s="225"/>
      <c r="BJ66" s="225"/>
      <c r="BK66" s="225"/>
      <c r="BL66" s="225" t="str">
        <f>IFERROR(__xludf.DUMMYFUNCTION("""COMPUTED_VALUE"""),"Pulsar Harvester")</f>
        <v>Pulsar Harvester</v>
      </c>
      <c r="BM66" s="225"/>
      <c r="BN66" s="225"/>
      <c r="BO66" s="225"/>
      <c r="BP66" s="225"/>
      <c r="BQ66" s="225" t="str">
        <f>IFERROR(__xludf.DUMMYFUNCTION("""COMPUTED_VALUE"""),"Om Chip")</f>
        <v>Om Chip</v>
      </c>
      <c r="BR66" s="225"/>
      <c r="BS66" s="225"/>
      <c r="BT66" s="226"/>
      <c r="BU66" s="225"/>
      <c r="BV66" s="225"/>
      <c r="BW66" s="225"/>
      <c r="BX66" s="225"/>
      <c r="BY66" s="225"/>
      <c r="BZ66" s="225"/>
    </row>
    <row r="67">
      <c r="A67" s="238" t="str">
        <f>IFERROR(__xludf.DUMMYFUNCTION("""COMPUTED_VALUE"""),"Golden Tower Duration")</f>
        <v>Golden Tower Duration</v>
      </c>
      <c r="B67" s="239">
        <f>IFERROR(__xludf.DUMMYFUNCTION("""COMPUTED_VALUE"""),19.0)</f>
        <v>19</v>
      </c>
      <c r="C67" s="225"/>
      <c r="D67" s="240">
        <f>IFERROR(__xludf.DUMMYFUNCTION("""COMPUTED_VALUE"""),20.0)</f>
        <v>20</v>
      </c>
      <c r="E67" s="225"/>
      <c r="F67" s="225"/>
      <c r="G67" s="225"/>
      <c r="H67" s="225"/>
      <c r="I67" s="225"/>
      <c r="J67" s="225"/>
      <c r="K67" s="244"/>
      <c r="L67" s="225"/>
      <c r="M67" s="225"/>
      <c r="N67" s="225"/>
      <c r="O67" s="225"/>
      <c r="P67" s="225"/>
      <c r="Q67" s="227"/>
      <c r="R67" s="234"/>
      <c r="S67" s="225"/>
      <c r="T67" s="225"/>
      <c r="U67" s="225"/>
      <c r="V67" s="225"/>
      <c r="W67" s="225"/>
      <c r="X67" s="225"/>
      <c r="Y67" s="229"/>
      <c r="Z67" s="257"/>
      <c r="AA67" s="225"/>
      <c r="AB67" s="257"/>
      <c r="AC67" s="257"/>
      <c r="AD67" s="226"/>
      <c r="AE67" s="259"/>
      <c r="AF67" s="347"/>
      <c r="AG67" s="232"/>
      <c r="AH67" s="257"/>
      <c r="AI67" s="225"/>
      <c r="AJ67" s="267"/>
      <c r="AK67" s="259"/>
      <c r="AL67" s="226"/>
      <c r="AM67" s="225"/>
      <c r="AN67" s="225"/>
      <c r="AO67" s="254"/>
      <c r="AP67" s="225" t="str">
        <f>IFERROR(__xludf.DUMMYFUNCTION("""COMPUTED_VALUE"""),"Bot Presets")</f>
        <v>Bot Presets</v>
      </c>
      <c r="AQ67" s="257" t="b">
        <f>IFERROR(__xludf.DUMMYFUNCTION("""COMPUTED_VALUE"""),FALSE)</f>
        <v>0</v>
      </c>
      <c r="AR67" s="226"/>
      <c r="AS67" s="225"/>
      <c r="AT67" s="225"/>
      <c r="AU67" s="225"/>
      <c r="AV67" s="225"/>
      <c r="AW67" s="225"/>
      <c r="AX67" s="226"/>
      <c r="AY67" s="225"/>
      <c r="AZ67" s="225"/>
      <c r="BA67" s="226"/>
      <c r="BB67" s="225" t="str">
        <f>IFERROR(__xludf.DUMMYFUNCTION("""COMPUTED_VALUE"""),"Rarity")</f>
        <v>Rarity</v>
      </c>
      <c r="BC67" s="225" t="str">
        <f>IFERROR(__xludf.DUMMYFUNCTION("""COMPUTED_VALUE"""),"Level")</f>
        <v>Level</v>
      </c>
      <c r="BD67" s="225" t="str">
        <f>IFERROR(__xludf.DUMMYFUNCTION("""COMPUTED_VALUE"""),"Stat")</f>
        <v>Stat</v>
      </c>
      <c r="BE67" s="225"/>
      <c r="BF67" s="225"/>
      <c r="BG67" s="225" t="str">
        <f>IFERROR(__xludf.DUMMYFUNCTION("""COMPUTED_VALUE"""),"Rarity")</f>
        <v>Rarity</v>
      </c>
      <c r="BH67" s="225" t="str">
        <f>IFERROR(__xludf.DUMMYFUNCTION("""COMPUTED_VALUE"""),"Level")</f>
        <v>Level</v>
      </c>
      <c r="BI67" s="225" t="str">
        <f>IFERROR(__xludf.DUMMYFUNCTION("""COMPUTED_VALUE"""),"Stat")</f>
        <v>Stat</v>
      </c>
      <c r="BJ67" s="225"/>
      <c r="BK67" s="225"/>
      <c r="BL67" s="225" t="str">
        <f>IFERROR(__xludf.DUMMYFUNCTION("""COMPUTED_VALUE"""),"Rarity")</f>
        <v>Rarity</v>
      </c>
      <c r="BM67" s="225" t="str">
        <f>IFERROR(__xludf.DUMMYFUNCTION("""COMPUTED_VALUE"""),"Level")</f>
        <v>Level</v>
      </c>
      <c r="BN67" s="225" t="str">
        <f>IFERROR(__xludf.DUMMYFUNCTION("""COMPUTED_VALUE"""),"Stat")</f>
        <v>Stat</v>
      </c>
      <c r="BO67" s="225"/>
      <c r="BP67" s="225"/>
      <c r="BQ67" s="225" t="str">
        <f>IFERROR(__xludf.DUMMYFUNCTION("""COMPUTED_VALUE"""),"Rarity")</f>
        <v>Rarity</v>
      </c>
      <c r="BR67" s="225" t="str">
        <f>IFERROR(__xludf.DUMMYFUNCTION("""COMPUTED_VALUE"""),"Level")</f>
        <v>Level</v>
      </c>
      <c r="BS67" s="225" t="str">
        <f>IFERROR(__xludf.DUMMYFUNCTION("""COMPUTED_VALUE"""),"Stat")</f>
        <v>Stat</v>
      </c>
      <c r="BT67" s="226"/>
      <c r="BU67" s="225"/>
      <c r="BV67" s="225"/>
      <c r="BW67" s="225"/>
      <c r="BX67" s="225"/>
      <c r="BY67" s="225"/>
      <c r="BZ67" s="225"/>
    </row>
    <row r="68">
      <c r="A68" s="238" t="str">
        <f>IFERROR(__xludf.DUMMYFUNCTION("""COMPUTED_VALUE"""),"Chain Lightning Shock")</f>
        <v>Chain Lightning Shock</v>
      </c>
      <c r="B68" s="239">
        <f>IFERROR(__xludf.DUMMYFUNCTION("""COMPUTED_VALUE"""),1.0)</f>
        <v>1</v>
      </c>
      <c r="C68" s="225"/>
      <c r="D68" s="240">
        <f>IFERROR(__xludf.DUMMYFUNCTION("""COMPUTED_VALUE"""),1.0)</f>
        <v>1</v>
      </c>
      <c r="E68" s="225"/>
      <c r="F68" s="225"/>
      <c r="G68" s="225"/>
      <c r="H68" s="225"/>
      <c r="I68" s="225"/>
      <c r="J68" s="225"/>
      <c r="K68" s="244"/>
      <c r="L68" s="225"/>
      <c r="M68" s="225"/>
      <c r="N68" s="225"/>
      <c r="O68" s="225"/>
      <c r="P68" s="225"/>
      <c r="Q68" s="227"/>
      <c r="R68" s="234"/>
      <c r="S68" s="225"/>
      <c r="T68" s="225"/>
      <c r="U68" s="225"/>
      <c r="V68" s="225"/>
      <c r="W68" s="225"/>
      <c r="X68" s="225"/>
      <c r="Y68" s="229"/>
      <c r="Z68" s="257"/>
      <c r="AA68" s="225"/>
      <c r="AB68" s="257"/>
      <c r="AC68" s="257"/>
      <c r="AD68" s="226"/>
      <c r="AE68" s="259"/>
      <c r="AF68" s="347"/>
      <c r="AG68" s="232"/>
      <c r="AH68" s="257"/>
      <c r="AI68" s="225"/>
      <c r="AJ68" s="267"/>
      <c r="AK68" s="259"/>
      <c r="AL68" s="226"/>
      <c r="AM68" s="225"/>
      <c r="AN68" s="225"/>
      <c r="AO68" s="254"/>
      <c r="AP68" s="225" t="str">
        <f>IFERROR(__xludf.DUMMYFUNCTION("""COMPUTED_VALUE"""),"Workshop Orb Adjuster")</f>
        <v>Workshop Orb Adjuster</v>
      </c>
      <c r="AQ68" s="257" t="b">
        <f>IFERROR(__xludf.DUMMYFUNCTION("""COMPUTED_VALUE"""),FALSE)</f>
        <v>0</v>
      </c>
      <c r="AR68" s="226"/>
      <c r="AS68" s="225"/>
      <c r="AT68" s="225"/>
      <c r="AU68" s="225"/>
      <c r="AV68" s="225"/>
      <c r="AW68" s="225"/>
      <c r="AX68" s="226"/>
      <c r="AY68" s="225"/>
      <c r="AZ68" s="225"/>
      <c r="BA68" s="226"/>
      <c r="BB68" s="225" t="str">
        <f>IFERROR(__xludf.DUMMYFUNCTION("""COMPUTED_VALUE"""),"Ancestral")</f>
        <v>Ancestral</v>
      </c>
      <c r="BC68" s="260">
        <f>IFERROR(__xludf.DUMMYFUNCTION("""COMPUTED_VALUE"""),164.0)</f>
        <v>164</v>
      </c>
      <c r="BD68" s="285">
        <f>IFERROR(__xludf.DUMMYFUNCTION("""COMPUTED_VALUE"""),9.04)</f>
        <v>9.04</v>
      </c>
      <c r="BE68" s="225"/>
      <c r="BF68" s="225"/>
      <c r="BG68" s="225" t="str">
        <f>IFERROR(__xludf.DUMMYFUNCTION("""COMPUTED_VALUE"""),"Mythic+")</f>
        <v>Mythic+</v>
      </c>
      <c r="BH68" s="260">
        <f>IFERROR(__xludf.DUMMYFUNCTION("""COMPUTED_VALUE"""),160.0)</f>
        <v>160</v>
      </c>
      <c r="BI68" s="285">
        <f>IFERROR(__xludf.DUMMYFUNCTION("""COMPUTED_VALUE"""),8.19)</f>
        <v>8.19</v>
      </c>
      <c r="BJ68" s="225"/>
      <c r="BK68" s="225"/>
      <c r="BL68" s="225" t="str">
        <f>IFERROR(__xludf.DUMMYFUNCTION("""COMPUTED_VALUE"""),"Ancestral 1*")</f>
        <v>Ancestral 1*</v>
      </c>
      <c r="BM68" s="260">
        <f>IFERROR(__xludf.DUMMYFUNCTION("""COMPUTED_VALUE"""),161.0)</f>
        <v>161</v>
      </c>
      <c r="BN68" s="285">
        <f>IFERROR(__xludf.DUMMYFUNCTION("""COMPUTED_VALUE"""),1.707)</f>
        <v>1.707</v>
      </c>
      <c r="BO68" s="225"/>
      <c r="BP68" s="225"/>
      <c r="BQ68" s="225" t="str">
        <f>IFERROR(__xludf.DUMMYFUNCTION("""COMPUTED_VALUE"""),"Ancestral")</f>
        <v>Ancestral</v>
      </c>
      <c r="BR68" s="260">
        <f>IFERROR(__xludf.DUMMYFUNCTION("""COMPUTED_VALUE"""),159.0)</f>
        <v>159</v>
      </c>
      <c r="BS68" s="285">
        <f>IFERROR(__xludf.DUMMYFUNCTION("""COMPUTED_VALUE"""),10.9)</f>
        <v>10.9</v>
      </c>
      <c r="BT68" s="226"/>
      <c r="BU68" s="225"/>
      <c r="BV68" s="225"/>
      <c r="BW68" s="225"/>
      <c r="BX68" s="225"/>
      <c r="BY68" s="225"/>
      <c r="BZ68" s="225"/>
    </row>
    <row r="69">
      <c r="A69" s="238" t="str">
        <f>IFERROR(__xludf.DUMMYFUNCTION("""COMPUTED_VALUE"""),"Shock Chance")</f>
        <v>Shock Chance</v>
      </c>
      <c r="B69" s="239">
        <f>IFERROR(__xludf.DUMMYFUNCTION("""COMPUTED_VALUE"""),14.0)</f>
        <v>14</v>
      </c>
      <c r="C69" s="225"/>
      <c r="D69" s="240">
        <f>IFERROR(__xludf.DUMMYFUNCTION("""COMPUTED_VALUE"""),30.0)</f>
        <v>30</v>
      </c>
      <c r="E69" s="225"/>
      <c r="F69" s="225"/>
      <c r="G69" s="225"/>
      <c r="H69" s="225"/>
      <c r="I69" s="225"/>
      <c r="J69" s="225"/>
      <c r="K69" s="244"/>
      <c r="L69" s="225"/>
      <c r="M69" s="225"/>
      <c r="N69" s="225"/>
      <c r="O69" s="225"/>
      <c r="P69" s="225"/>
      <c r="Q69" s="227"/>
      <c r="R69" s="234"/>
      <c r="S69" s="225"/>
      <c r="T69" s="225"/>
      <c r="U69" s="225"/>
      <c r="V69" s="225"/>
      <c r="W69" s="225"/>
      <c r="X69" s="225"/>
      <c r="Y69" s="229"/>
      <c r="Z69" s="257"/>
      <c r="AA69" s="225"/>
      <c r="AB69" s="257"/>
      <c r="AC69" s="257"/>
      <c r="AD69" s="226"/>
      <c r="AE69" s="259"/>
      <c r="AF69" s="347"/>
      <c r="AG69" s="232"/>
      <c r="AH69" s="257"/>
      <c r="AI69" s="225"/>
      <c r="AJ69" s="267"/>
      <c r="AK69" s="259"/>
      <c r="AL69" s="226"/>
      <c r="AM69" s="225"/>
      <c r="AN69" s="225"/>
      <c r="AO69" s="254"/>
      <c r="AP69" s="225" t="str">
        <f>IFERROR(__xludf.DUMMYFUNCTION("""COMPUTED_VALUE"""),"Bot Cooldown Sliders")</f>
        <v>Bot Cooldown Sliders</v>
      </c>
      <c r="AQ69" s="257" t="b">
        <f>IFERROR(__xludf.DUMMYFUNCTION("""COMPUTED_VALUE"""),FALSE)</f>
        <v>0</v>
      </c>
      <c r="AR69" s="226"/>
      <c r="AS69" s="225"/>
      <c r="AT69" s="225"/>
      <c r="AU69" s="225"/>
      <c r="AV69" s="225"/>
      <c r="AW69" s="225"/>
      <c r="AX69" s="226"/>
      <c r="AY69" s="225"/>
      <c r="AZ69" s="225"/>
      <c r="BA69" s="226"/>
      <c r="BB69" s="225"/>
      <c r="BC69" s="225"/>
      <c r="BD69" s="225"/>
      <c r="BE69" s="225"/>
      <c r="BF69" s="225"/>
      <c r="BG69" s="225"/>
      <c r="BH69" s="225"/>
      <c r="BI69" s="225"/>
      <c r="BJ69" s="225"/>
      <c r="BK69" s="225"/>
      <c r="BL69" s="225"/>
      <c r="BM69" s="225"/>
      <c r="BN69" s="225"/>
      <c r="BO69" s="225"/>
      <c r="BP69" s="225"/>
      <c r="BQ69" s="225"/>
      <c r="BR69" s="225"/>
      <c r="BS69" s="225"/>
      <c r="BT69" s="226"/>
      <c r="BU69" s="225"/>
      <c r="BV69" s="225"/>
      <c r="BW69" s="225"/>
      <c r="BX69" s="225"/>
      <c r="BY69" s="225"/>
      <c r="BZ69" s="225"/>
    </row>
    <row r="70">
      <c r="A70" s="238" t="str">
        <f>IFERROR(__xludf.DUMMYFUNCTION("""COMPUTED_VALUE"""),"Shock Multiplier")</f>
        <v>Shock Multiplier</v>
      </c>
      <c r="B70" s="239">
        <f>IFERROR(__xludf.DUMMYFUNCTION("""COMPUTED_VALUE"""),14.0)</f>
        <v>14</v>
      </c>
      <c r="C70" s="225"/>
      <c r="D70" s="240">
        <f>IFERROR(__xludf.DUMMYFUNCTION("""COMPUTED_VALUE"""),14.0)</f>
        <v>14</v>
      </c>
      <c r="E70" s="225"/>
      <c r="F70" s="225"/>
      <c r="G70" s="225"/>
      <c r="H70" s="225"/>
      <c r="I70" s="225"/>
      <c r="J70" s="225"/>
      <c r="K70" s="244"/>
      <c r="L70" s="225"/>
      <c r="M70" s="225"/>
      <c r="N70" s="225"/>
      <c r="O70" s="225"/>
      <c r="P70" s="225"/>
      <c r="Q70" s="227"/>
      <c r="R70" s="234"/>
      <c r="S70" s="225"/>
      <c r="T70" s="225"/>
      <c r="U70" s="225"/>
      <c r="V70" s="225"/>
      <c r="W70" s="225"/>
      <c r="X70" s="225"/>
      <c r="Y70" s="229"/>
      <c r="Z70" s="257"/>
      <c r="AA70" s="225"/>
      <c r="AB70" s="257"/>
      <c r="AC70" s="257"/>
      <c r="AD70" s="226"/>
      <c r="AE70" s="259"/>
      <c r="AF70" s="347"/>
      <c r="AG70" s="232"/>
      <c r="AH70" s="257"/>
      <c r="AI70" s="225"/>
      <c r="AJ70" s="267"/>
      <c r="AK70" s="259"/>
      <c r="AL70" s="226"/>
      <c r="AM70" s="225"/>
      <c r="AN70" s="225"/>
      <c r="AO70" s="254"/>
      <c r="AP70" s="225"/>
      <c r="AQ70" s="225"/>
      <c r="AR70" s="226"/>
      <c r="AS70" s="225"/>
      <c r="AT70" s="225"/>
      <c r="AU70" s="225"/>
      <c r="AV70" s="225"/>
      <c r="AW70" s="225"/>
      <c r="AX70" s="226"/>
      <c r="AY70" s="225"/>
      <c r="AZ70" s="225"/>
      <c r="BA70" s="226"/>
      <c r="BB70" s="225"/>
      <c r="BC70" s="225"/>
      <c r="BD70" s="225"/>
      <c r="BE70" s="260" t="str">
        <f>IFERROR(__xludf.DUMMYFUNCTION("""COMPUTED_VALUE"""),"")</f>
        <v/>
      </c>
      <c r="BF70" s="225"/>
      <c r="BG70" s="225" t="str">
        <f>IFERROR(__xludf.DUMMYFUNCTION("""COMPUTED_VALUE"""),"Defense %")</f>
        <v>Defense %</v>
      </c>
      <c r="BH70" s="225" t="str">
        <f>IFERROR(__xludf.DUMMYFUNCTION("""COMPUTED_VALUE"""),"Legendary")</f>
        <v>Legendary</v>
      </c>
      <c r="BI70" s="225" t="str">
        <f>IFERROR(__xludf.DUMMYFUNCTION("""COMPUTED_VALUE"""),"+5%")</f>
        <v>+5%</v>
      </c>
      <c r="BJ70" s="260">
        <f>IFERROR(__xludf.DUMMYFUNCTION("""COMPUTED_VALUE"""),0.05)</f>
        <v>0.05</v>
      </c>
      <c r="BK70" s="225"/>
      <c r="BL70" s="225" t="str">
        <f>IFERROR(__xludf.DUMMYFUNCTION("""COMPUTED_VALUE"""),"Free Utility Upgrade")</f>
        <v>Free Utility Upgrade</v>
      </c>
      <c r="BM70" s="225" t="str">
        <f>IFERROR(__xludf.DUMMYFUNCTION("""COMPUTED_VALUE"""),"Ancestral")</f>
        <v>Ancestral</v>
      </c>
      <c r="BN70" s="225" t="str">
        <f>IFERROR(__xludf.DUMMYFUNCTION("""COMPUTED_VALUE"""),"+12%")</f>
        <v>+12%</v>
      </c>
      <c r="BO70" s="260">
        <f>IFERROR(__xludf.DUMMYFUNCTION("""COMPUTED_VALUE"""),0.12)</f>
        <v>0.12</v>
      </c>
      <c r="BP70" s="225"/>
      <c r="BQ70" s="225" t="str">
        <f>IFERROR(__xludf.DUMMYFUNCTION("""COMPUTED_VALUE"""),"Chrono Field - Duration")</f>
        <v>Chrono Field - Duration</v>
      </c>
      <c r="BR70" s="225" t="str">
        <f>IFERROR(__xludf.DUMMYFUNCTION("""COMPUTED_VALUE"""),"Mythic")</f>
        <v>Mythic</v>
      </c>
      <c r="BS70" s="225" t="str">
        <f>IFERROR(__xludf.DUMMYFUNCTION("""COMPUTED_VALUE"""),"+7s")</f>
        <v>+7s</v>
      </c>
      <c r="BT70" s="345">
        <f>IFERROR(__xludf.DUMMYFUNCTION("""COMPUTED_VALUE"""),7.0)</f>
        <v>7</v>
      </c>
      <c r="BU70" s="225"/>
      <c r="BV70" s="225"/>
      <c r="BW70" s="225"/>
      <c r="BX70" s="225"/>
      <c r="BY70" s="225"/>
      <c r="BZ70" s="225"/>
    </row>
    <row r="71">
      <c r="A71" s="238" t="str">
        <f>IFERROR(__xludf.DUMMYFUNCTION("""COMPUTED_VALUE"""),"Death Wave Health")</f>
        <v>Death Wave Health</v>
      </c>
      <c r="B71" s="239">
        <f>IFERROR(__xludf.DUMMYFUNCTION("""COMPUTED_VALUE"""),30.0)</f>
        <v>30</v>
      </c>
      <c r="C71" s="225"/>
      <c r="D71" s="240">
        <f>IFERROR(__xludf.DUMMYFUNCTION("""COMPUTED_VALUE"""),30.0)</f>
        <v>30</v>
      </c>
      <c r="E71" s="225"/>
      <c r="F71" s="225"/>
      <c r="G71" s="225"/>
      <c r="H71" s="225"/>
      <c r="I71" s="225"/>
      <c r="J71" s="225"/>
      <c r="K71" s="244"/>
      <c r="L71" s="225"/>
      <c r="M71" s="225"/>
      <c r="N71" s="225"/>
      <c r="O71" s="225"/>
      <c r="P71" s="225"/>
      <c r="Q71" s="227"/>
      <c r="R71" s="234"/>
      <c r="S71" s="225"/>
      <c r="T71" s="225"/>
      <c r="U71" s="225"/>
      <c r="V71" s="225"/>
      <c r="W71" s="225"/>
      <c r="X71" s="225"/>
      <c r="Y71" s="229"/>
      <c r="Z71" s="257"/>
      <c r="AA71" s="225"/>
      <c r="AB71" s="257"/>
      <c r="AC71" s="257"/>
      <c r="AD71" s="226"/>
      <c r="AE71" s="259"/>
      <c r="AF71" s="347"/>
      <c r="AG71" s="232"/>
      <c r="AH71" s="257"/>
      <c r="AI71" s="225"/>
      <c r="AJ71" s="267"/>
      <c r="AK71" s="259"/>
      <c r="AL71" s="226"/>
      <c r="AM71" s="225"/>
      <c r="AN71" s="225"/>
      <c r="AO71" s="254"/>
      <c r="AP71" s="225"/>
      <c r="AQ71" s="225"/>
      <c r="AR71" s="226"/>
      <c r="AS71" s="225"/>
      <c r="AT71" s="225"/>
      <c r="AU71" s="225"/>
      <c r="AV71" s="225"/>
      <c r="AW71" s="225"/>
      <c r="AX71" s="226"/>
      <c r="AY71" s="225"/>
      <c r="AZ71" s="225"/>
      <c r="BA71" s="226"/>
      <c r="BB71" s="225"/>
      <c r="BC71" s="225"/>
      <c r="BD71" s="225"/>
      <c r="BE71" s="260" t="str">
        <f>IFERROR(__xludf.DUMMYFUNCTION("""COMPUTED_VALUE"""),"")</f>
        <v/>
      </c>
      <c r="BF71" s="225"/>
      <c r="BG71" s="225" t="str">
        <f>IFERROR(__xludf.DUMMYFUNCTION("""COMPUTED_VALUE"""),"Wall Health")</f>
        <v>Wall Health</v>
      </c>
      <c r="BH71" s="225" t="str">
        <f>IFERROR(__xludf.DUMMYFUNCTION("""COMPUTED_VALUE"""),"Legendary")</f>
        <v>Legendary</v>
      </c>
      <c r="BI71" s="225" t="str">
        <f>IFERROR(__xludf.DUMMYFUNCTION("""COMPUTED_VALUE"""),"+40%")</f>
        <v>+40%</v>
      </c>
      <c r="BJ71" s="260">
        <f>IFERROR(__xludf.DUMMYFUNCTION("""COMPUTED_VALUE"""),0.4)</f>
        <v>0.4</v>
      </c>
      <c r="BK71" s="225"/>
      <c r="BL71" s="225" t="str">
        <f>IFERROR(__xludf.DUMMYFUNCTION("""COMPUTED_VALUE"""),"Enemy Attack Level Skip")</f>
        <v>Enemy Attack Level Skip</v>
      </c>
      <c r="BM71" s="225" t="str">
        <f>IFERROR(__xludf.DUMMYFUNCTION("""COMPUTED_VALUE"""),"Ancestral")</f>
        <v>Ancestral</v>
      </c>
      <c r="BN71" s="225" t="str">
        <f>IFERROR(__xludf.DUMMYFUNCTION("""COMPUTED_VALUE"""),"+8%")</f>
        <v>+8%</v>
      </c>
      <c r="BO71" s="260">
        <f>IFERROR(__xludf.DUMMYFUNCTION("""COMPUTED_VALUE"""),0.08)</f>
        <v>0.08</v>
      </c>
      <c r="BP71" s="225"/>
      <c r="BQ71" s="225" t="str">
        <f>IFERROR(__xludf.DUMMYFUNCTION("""COMPUTED_VALUE"""),"Spotlight - Bonus")</f>
        <v>Spotlight - Bonus</v>
      </c>
      <c r="BR71" s="225" t="str">
        <f>IFERROR(__xludf.DUMMYFUNCTION("""COMPUTED_VALUE"""),"Mythic")</f>
        <v>Mythic</v>
      </c>
      <c r="BS71" s="225" t="str">
        <f>IFERROR(__xludf.DUMMYFUNCTION("""COMPUTED_VALUE"""),"+15x")</f>
        <v>+15x</v>
      </c>
      <c r="BT71" s="345">
        <f>IFERROR(__xludf.DUMMYFUNCTION("""COMPUTED_VALUE"""),15.0)</f>
        <v>15</v>
      </c>
      <c r="BU71" s="225"/>
      <c r="BV71" s="225"/>
      <c r="BW71" s="225"/>
      <c r="BX71" s="225"/>
      <c r="BY71" s="225"/>
      <c r="BZ71" s="225"/>
    </row>
    <row r="72">
      <c r="A72" s="238" t="str">
        <f>IFERROR(__xludf.DUMMYFUNCTION("""COMPUTED_VALUE"""),"Death Wave Coin Bonus")</f>
        <v>Death Wave Coin Bonus</v>
      </c>
      <c r="B72" s="239">
        <f>IFERROR(__xludf.DUMMYFUNCTION("""COMPUTED_VALUE"""),20.0)</f>
        <v>20</v>
      </c>
      <c r="C72" s="225"/>
      <c r="D72" s="240">
        <f>IFERROR(__xludf.DUMMYFUNCTION("""COMPUTED_VALUE"""),20.0)</f>
        <v>20</v>
      </c>
      <c r="E72" s="225"/>
      <c r="F72" s="225"/>
      <c r="G72" s="225"/>
      <c r="H72" s="225"/>
      <c r="I72" s="225"/>
      <c r="J72" s="225"/>
      <c r="K72" s="244"/>
      <c r="L72" s="225"/>
      <c r="M72" s="225"/>
      <c r="N72" s="225"/>
      <c r="O72" s="225"/>
      <c r="P72" s="225"/>
      <c r="Q72" s="227"/>
      <c r="R72" s="234"/>
      <c r="S72" s="225"/>
      <c r="T72" s="225"/>
      <c r="U72" s="225"/>
      <c r="V72" s="225"/>
      <c r="W72" s="225"/>
      <c r="X72" s="225"/>
      <c r="Y72" s="229"/>
      <c r="Z72" s="257"/>
      <c r="AA72" s="225"/>
      <c r="AB72" s="257"/>
      <c r="AC72" s="257"/>
      <c r="AD72" s="226"/>
      <c r="AE72" s="259"/>
      <c r="AF72" s="347"/>
      <c r="AG72" s="232"/>
      <c r="AH72" s="257"/>
      <c r="AI72" s="225"/>
      <c r="AJ72" s="267"/>
      <c r="AK72" s="259"/>
      <c r="AL72" s="226"/>
      <c r="AM72" s="225"/>
      <c r="AN72" s="225"/>
      <c r="AO72" s="254"/>
      <c r="AP72" s="225"/>
      <c r="AQ72" s="225"/>
      <c r="AR72" s="226"/>
      <c r="AS72" s="225"/>
      <c r="AT72" s="225"/>
      <c r="AU72" s="225"/>
      <c r="AV72" s="225"/>
      <c r="AW72" s="225"/>
      <c r="AX72" s="226"/>
      <c r="AY72" s="225"/>
      <c r="AZ72" s="225"/>
      <c r="BA72" s="226"/>
      <c r="BB72" s="225"/>
      <c r="BC72" s="225"/>
      <c r="BD72" s="225"/>
      <c r="BE72" s="260" t="str">
        <f>IFERROR(__xludf.DUMMYFUNCTION("""COMPUTED_VALUE"""),"")</f>
        <v/>
      </c>
      <c r="BF72" s="225"/>
      <c r="BG72" s="225" t="str">
        <f>IFERROR(__xludf.DUMMYFUNCTION("""COMPUTED_VALUE"""),"Health Regen")</f>
        <v>Health Regen</v>
      </c>
      <c r="BH72" s="225" t="str">
        <f>IFERROR(__xludf.DUMMYFUNCTION("""COMPUTED_VALUE"""),"Legendary")</f>
        <v>Legendary</v>
      </c>
      <c r="BI72" s="225" t="str">
        <f>IFERROR(__xludf.DUMMYFUNCTION("""COMPUTED_VALUE"""),"+100%")</f>
        <v>+100%</v>
      </c>
      <c r="BJ72" s="260">
        <f>IFERROR(__xludf.DUMMYFUNCTION("""COMPUTED_VALUE"""),1.0)</f>
        <v>1</v>
      </c>
      <c r="BK72" s="225"/>
      <c r="BL72" s="225" t="str">
        <f>IFERROR(__xludf.DUMMYFUNCTION("""COMPUTED_VALUE"""),"Coins / Kill Bonus")</f>
        <v>Coins / Kill Bonus</v>
      </c>
      <c r="BM72" s="225" t="str">
        <f>IFERROR(__xludf.DUMMYFUNCTION("""COMPUTED_VALUE"""),"Ancestral")</f>
        <v>Ancestral</v>
      </c>
      <c r="BN72" s="225" t="str">
        <f>IFERROR(__xludf.DUMMYFUNCTION("""COMPUTED_VALUE"""),"+0.6x")</f>
        <v>+0.6x</v>
      </c>
      <c r="BO72" s="225">
        <f>IFERROR(__xludf.DUMMYFUNCTION("""COMPUTED_VALUE"""),0.6)</f>
        <v>0.6</v>
      </c>
      <c r="BP72" s="225"/>
      <c r="BQ72" s="225" t="str">
        <f>IFERROR(__xludf.DUMMYFUNCTION("""COMPUTED_VALUE"""),"Spotlight - Angle")</f>
        <v>Spotlight - Angle</v>
      </c>
      <c r="BR72" s="225" t="str">
        <f>IFERROR(__xludf.DUMMYFUNCTION("""COMPUTED_VALUE"""),"Epic")</f>
        <v>Epic</v>
      </c>
      <c r="BS72" s="225" t="str">
        <f>IFERROR(__xludf.DUMMYFUNCTION("""COMPUTED_VALUE"""),"+3°")</f>
        <v>+3°</v>
      </c>
      <c r="BT72" s="226">
        <f>IFERROR(__xludf.DUMMYFUNCTION("""COMPUTED_VALUE"""),3.0)</f>
        <v>3</v>
      </c>
      <c r="BU72" s="225"/>
      <c r="BV72" s="225"/>
      <c r="BW72" s="225"/>
      <c r="BX72" s="225"/>
      <c r="BY72" s="225"/>
      <c r="BZ72" s="225"/>
    </row>
    <row r="73">
      <c r="A73" s="238" t="str">
        <f>IFERROR(__xludf.DUMMYFUNCTION("""COMPUTED_VALUE"""),"Inner Mine Blast Radius")</f>
        <v>Inner Mine Blast Radius</v>
      </c>
      <c r="B73" s="239">
        <f>IFERROR(__xludf.DUMMYFUNCTION("""COMPUTED_VALUE"""),0.0)</f>
        <v>0</v>
      </c>
      <c r="C73" s="225"/>
      <c r="D73" s="240">
        <f>IFERROR(__xludf.DUMMYFUNCTION("""COMPUTED_VALUE"""),20.0)</f>
        <v>20</v>
      </c>
      <c r="E73" s="225"/>
      <c r="F73" s="225"/>
      <c r="G73" s="225"/>
      <c r="H73" s="225"/>
      <c r="I73" s="225"/>
      <c r="J73" s="225"/>
      <c r="K73" s="244"/>
      <c r="L73" s="225"/>
      <c r="M73" s="225"/>
      <c r="N73" s="225"/>
      <c r="O73" s="225"/>
      <c r="P73" s="225"/>
      <c r="Q73" s="227"/>
      <c r="R73" s="234"/>
      <c r="S73" s="225"/>
      <c r="T73" s="225"/>
      <c r="U73" s="225"/>
      <c r="V73" s="225"/>
      <c r="W73" s="225"/>
      <c r="X73" s="225"/>
      <c r="Y73" s="229"/>
      <c r="Z73" s="257"/>
      <c r="AA73" s="225"/>
      <c r="AB73" s="257"/>
      <c r="AC73" s="257"/>
      <c r="AD73" s="226"/>
      <c r="AE73" s="259"/>
      <c r="AF73" s="347"/>
      <c r="AG73" s="232"/>
      <c r="AH73" s="257"/>
      <c r="AI73" s="225"/>
      <c r="AJ73" s="267"/>
      <c r="AK73" s="259"/>
      <c r="AL73" s="226"/>
      <c r="AM73" s="225"/>
      <c r="AN73" s="225"/>
      <c r="AO73" s="254"/>
      <c r="AP73" s="225"/>
      <c r="AQ73" s="225"/>
      <c r="AR73" s="226"/>
      <c r="AS73" s="225"/>
      <c r="AT73" s="225"/>
      <c r="AU73" s="225"/>
      <c r="AV73" s="225"/>
      <c r="AW73" s="225"/>
      <c r="AX73" s="226"/>
      <c r="AY73" s="225"/>
      <c r="AZ73" s="225"/>
      <c r="BA73" s="226"/>
      <c r="BB73" s="225"/>
      <c r="BC73" s="225"/>
      <c r="BD73" s="225"/>
      <c r="BE73" s="225" t="str">
        <f>IFERROR(__xludf.DUMMYFUNCTION("""COMPUTED_VALUE"""),"")</f>
        <v/>
      </c>
      <c r="BF73" s="225"/>
      <c r="BG73" s="225"/>
      <c r="BH73" s="225"/>
      <c r="BI73" s="225"/>
      <c r="BJ73" s="225" t="str">
        <f>IFERROR(__xludf.DUMMYFUNCTION("""COMPUTED_VALUE"""),"")</f>
        <v/>
      </c>
      <c r="BK73" s="225"/>
      <c r="BL73" s="225" t="str">
        <f>IFERROR(__xludf.DUMMYFUNCTION("""COMPUTED_VALUE"""),"Enemy Health Level Skip")</f>
        <v>Enemy Health Level Skip</v>
      </c>
      <c r="BM73" s="225" t="str">
        <f>IFERROR(__xludf.DUMMYFUNCTION("""COMPUTED_VALUE"""),"Ancestral")</f>
        <v>Ancestral</v>
      </c>
      <c r="BN73" s="225" t="str">
        <f>IFERROR(__xludf.DUMMYFUNCTION("""COMPUTED_VALUE"""),"+8%")</f>
        <v>+8%</v>
      </c>
      <c r="BO73" s="225">
        <f>IFERROR(__xludf.DUMMYFUNCTION("""COMPUTED_VALUE"""),0.08)</f>
        <v>0.08</v>
      </c>
      <c r="BP73" s="225"/>
      <c r="BQ73" s="225" t="str">
        <f>IFERROR(__xludf.DUMMYFUNCTION("""COMPUTED_VALUE"""),"Chain Lightning - Chance")</f>
        <v>Chain Lightning - Chance</v>
      </c>
      <c r="BR73" s="225" t="str">
        <f>IFERROR(__xludf.DUMMYFUNCTION("""COMPUTED_VALUE"""),"Rare")</f>
        <v>Rare</v>
      </c>
      <c r="BS73" s="225" t="str">
        <f>IFERROR(__xludf.DUMMYFUNCTION("""COMPUTED_VALUE"""),"+4%")</f>
        <v>+4%</v>
      </c>
      <c r="BT73" s="226">
        <f>IFERROR(__xludf.DUMMYFUNCTION("""COMPUTED_VALUE"""),0.04)</f>
        <v>0.04</v>
      </c>
      <c r="BU73" s="225"/>
      <c r="BV73" s="225"/>
      <c r="BW73" s="225"/>
      <c r="BX73" s="225"/>
      <c r="BY73" s="225"/>
      <c r="BZ73" s="225"/>
    </row>
    <row r="74">
      <c r="A74" s="238" t="str">
        <f>IFERROR(__xludf.DUMMYFUNCTION("""COMPUTED_VALUE"""),"Inner Mine Rotation Speed")</f>
        <v>Inner Mine Rotation Speed</v>
      </c>
      <c r="B74" s="239">
        <f>IFERROR(__xludf.DUMMYFUNCTION("""COMPUTED_VALUE"""),0.0)</f>
        <v>0</v>
      </c>
      <c r="C74" s="225"/>
      <c r="D74" s="240">
        <f>IFERROR(__xludf.DUMMYFUNCTION("""COMPUTED_VALUE"""),20.0)</f>
        <v>20</v>
      </c>
      <c r="E74" s="225"/>
      <c r="F74" s="225"/>
      <c r="G74" s="225"/>
      <c r="H74" s="225"/>
      <c r="I74" s="225"/>
      <c r="J74" s="225"/>
      <c r="K74" s="244"/>
      <c r="L74" s="225"/>
      <c r="M74" s="225"/>
      <c r="N74" s="225"/>
      <c r="O74" s="225"/>
      <c r="P74" s="225"/>
      <c r="Q74" s="227"/>
      <c r="R74" s="234"/>
      <c r="S74" s="225"/>
      <c r="T74" s="225"/>
      <c r="U74" s="225"/>
      <c r="V74" s="225"/>
      <c r="W74" s="225"/>
      <c r="X74" s="225"/>
      <c r="Y74" s="229"/>
      <c r="Z74" s="257"/>
      <c r="AA74" s="225"/>
      <c r="AB74" s="257"/>
      <c r="AC74" s="257"/>
      <c r="AD74" s="226"/>
      <c r="AE74" s="259"/>
      <c r="AF74" s="347"/>
      <c r="AG74" s="232"/>
      <c r="AH74" s="257"/>
      <c r="AI74" s="225"/>
      <c r="AJ74" s="267"/>
      <c r="AK74" s="259"/>
      <c r="AL74" s="226"/>
      <c r="AM74" s="225"/>
      <c r="AN74" s="225"/>
      <c r="AO74" s="254"/>
      <c r="AP74" s="225"/>
      <c r="AQ74" s="225"/>
      <c r="AR74" s="226"/>
      <c r="AS74" s="225"/>
      <c r="AT74" s="225"/>
      <c r="AU74" s="225"/>
      <c r="AV74" s="225"/>
      <c r="AW74" s="225"/>
      <c r="AX74" s="226"/>
      <c r="AY74" s="225"/>
      <c r="AZ74" s="225"/>
      <c r="BA74" s="226"/>
      <c r="BB74" s="225"/>
      <c r="BC74" s="225"/>
      <c r="BD74" s="225"/>
      <c r="BE74" s="225" t="str">
        <f>IFERROR(__xludf.DUMMYFUNCTION("""COMPUTED_VALUE"""),"")</f>
        <v/>
      </c>
      <c r="BF74" s="225"/>
      <c r="BG74" s="225"/>
      <c r="BH74" s="225"/>
      <c r="BI74" s="225"/>
      <c r="BJ74" s="225" t="str">
        <f>IFERROR(__xludf.DUMMYFUNCTION("""COMPUTED_VALUE"""),"")</f>
        <v/>
      </c>
      <c r="BK74" s="225"/>
      <c r="BL74" s="225" t="str">
        <f>IFERROR(__xludf.DUMMYFUNCTION("""COMPUTED_VALUE"""),"Package Chance")</f>
        <v>Package Chance</v>
      </c>
      <c r="BM74" s="225" t="str">
        <f>IFERROR(__xludf.DUMMYFUNCTION("""COMPUTED_VALUE"""),"Epic")</f>
        <v>Epic</v>
      </c>
      <c r="BN74" s="225" t="str">
        <f>IFERROR(__xludf.DUMMYFUNCTION("""COMPUTED_VALUE"""),"+5%")</f>
        <v>+5%</v>
      </c>
      <c r="BO74" s="225">
        <f>IFERROR(__xludf.DUMMYFUNCTION("""COMPUTED_VALUE"""),0.05)</f>
        <v>0.05</v>
      </c>
      <c r="BP74" s="225"/>
      <c r="BQ74" s="225"/>
      <c r="BR74" s="225"/>
      <c r="BS74" s="225"/>
      <c r="BT74" s="226" t="str">
        <f>IFERROR(__xludf.DUMMYFUNCTION("""COMPUTED_VALUE"""),"")</f>
        <v/>
      </c>
      <c r="BU74" s="225"/>
      <c r="BV74" s="225"/>
      <c r="BW74" s="225"/>
      <c r="BX74" s="225"/>
      <c r="BY74" s="225"/>
      <c r="BZ74" s="225"/>
    </row>
    <row r="75">
      <c r="A75" s="238" t="str">
        <f>IFERROR(__xludf.DUMMYFUNCTION("""COMPUTED_VALUE"""),"Chrono Field Range")</f>
        <v>Chrono Field Range</v>
      </c>
      <c r="B75" s="239">
        <f>IFERROR(__xludf.DUMMYFUNCTION("""COMPUTED_VALUE"""),17.0)</f>
        <v>17</v>
      </c>
      <c r="C75" s="225"/>
      <c r="D75" s="240">
        <f>IFERROR(__xludf.DUMMYFUNCTION("""COMPUTED_VALUE"""),20.0)</f>
        <v>20</v>
      </c>
      <c r="E75" s="225"/>
      <c r="F75" s="225"/>
      <c r="G75" s="225"/>
      <c r="H75" s="225"/>
      <c r="I75" s="225"/>
      <c r="J75" s="225"/>
      <c r="K75" s="244"/>
      <c r="L75" s="225"/>
      <c r="M75" s="225"/>
      <c r="N75" s="225"/>
      <c r="O75" s="225"/>
      <c r="P75" s="225"/>
      <c r="Q75" s="227"/>
      <c r="R75" s="234"/>
      <c r="S75" s="225"/>
      <c r="T75" s="225"/>
      <c r="U75" s="225"/>
      <c r="V75" s="225"/>
      <c r="W75" s="225"/>
      <c r="X75" s="225"/>
      <c r="Y75" s="229"/>
      <c r="Z75" s="257"/>
      <c r="AA75" s="225"/>
      <c r="AB75" s="257"/>
      <c r="AC75" s="257"/>
      <c r="AD75" s="226"/>
      <c r="AE75" s="259"/>
      <c r="AF75" s="347"/>
      <c r="AG75" s="232"/>
      <c r="AH75" s="257"/>
      <c r="AI75" s="225"/>
      <c r="AJ75" s="267"/>
      <c r="AK75" s="259"/>
      <c r="AL75" s="226"/>
      <c r="AM75" s="225"/>
      <c r="AN75" s="225"/>
      <c r="AO75" s="254"/>
      <c r="AP75" s="225"/>
      <c r="AQ75" s="225"/>
      <c r="AR75" s="226"/>
      <c r="AS75" s="225"/>
      <c r="AT75" s="225"/>
      <c r="AU75" s="225"/>
      <c r="AV75" s="225"/>
      <c r="AW75" s="225"/>
      <c r="AX75" s="226"/>
      <c r="AY75" s="225"/>
      <c r="AZ75" s="225"/>
      <c r="BA75" s="226"/>
      <c r="BB75" s="225"/>
      <c r="BC75" s="225"/>
      <c r="BD75" s="225"/>
      <c r="BE75" s="225" t="str">
        <f>IFERROR(__xludf.DUMMYFUNCTION("""COMPUTED_VALUE"""),"")</f>
        <v/>
      </c>
      <c r="BF75" s="225"/>
      <c r="BG75" s="225"/>
      <c r="BH75" s="225"/>
      <c r="BI75" s="225"/>
      <c r="BJ75" s="225" t="str">
        <f>IFERROR(__xludf.DUMMYFUNCTION("""COMPUTED_VALUE"""),"")</f>
        <v/>
      </c>
      <c r="BK75" s="225"/>
      <c r="BL75" s="225"/>
      <c r="BM75" s="225"/>
      <c r="BN75" s="225"/>
      <c r="BO75" s="225" t="str">
        <f>IFERROR(__xludf.DUMMYFUNCTION("""COMPUTED_VALUE"""),"")</f>
        <v/>
      </c>
      <c r="BP75" s="225"/>
      <c r="BQ75" s="225"/>
      <c r="BR75" s="225"/>
      <c r="BS75" s="225"/>
      <c r="BT75" s="226" t="str">
        <f>IFERROR(__xludf.DUMMYFUNCTION("""COMPUTED_VALUE"""),"")</f>
        <v/>
      </c>
      <c r="BU75" s="225"/>
      <c r="BV75" s="225"/>
      <c r="BW75" s="225"/>
      <c r="BX75" s="225"/>
      <c r="BY75" s="225"/>
      <c r="BZ75" s="225"/>
    </row>
    <row r="76">
      <c r="A76" s="238" t="str">
        <f>IFERROR(__xludf.DUMMYFUNCTION("""COMPUTED_VALUE"""),"Missile Amplifier")</f>
        <v>Missile Amplifier</v>
      </c>
      <c r="B76" s="239">
        <f>IFERROR(__xludf.DUMMYFUNCTION("""COMPUTED_VALUE"""),0.0)</f>
        <v>0</v>
      </c>
      <c r="C76" s="225"/>
      <c r="D76" s="240">
        <f>IFERROR(__xludf.DUMMYFUNCTION("""COMPUTED_VALUE"""),25.0)</f>
        <v>25</v>
      </c>
      <c r="E76" s="225"/>
      <c r="F76" s="225"/>
      <c r="G76" s="225"/>
      <c r="H76" s="225"/>
      <c r="I76" s="225"/>
      <c r="J76" s="225"/>
      <c r="K76" s="244"/>
      <c r="L76" s="225"/>
      <c r="M76" s="225"/>
      <c r="N76" s="225"/>
      <c r="O76" s="225"/>
      <c r="P76" s="225"/>
      <c r="Q76" s="227"/>
      <c r="R76" s="234"/>
      <c r="S76" s="225"/>
      <c r="T76" s="225"/>
      <c r="U76" s="225"/>
      <c r="V76" s="225"/>
      <c r="W76" s="225"/>
      <c r="X76" s="225"/>
      <c r="Y76" s="229"/>
      <c r="Z76" s="257"/>
      <c r="AA76" s="225"/>
      <c r="AB76" s="257"/>
      <c r="AC76" s="257"/>
      <c r="AD76" s="226"/>
      <c r="AE76" s="259"/>
      <c r="AF76" s="347"/>
      <c r="AG76" s="232"/>
      <c r="AH76" s="257"/>
      <c r="AI76" s="225"/>
      <c r="AJ76" s="267"/>
      <c r="AK76" s="259"/>
      <c r="AL76" s="226"/>
      <c r="AM76" s="225"/>
      <c r="AN76" s="225"/>
      <c r="AO76" s="254"/>
      <c r="AP76" s="225"/>
      <c r="AQ76" s="225"/>
      <c r="AR76" s="226"/>
      <c r="AS76" s="225"/>
      <c r="AT76" s="225"/>
      <c r="AU76" s="225"/>
      <c r="AV76" s="225"/>
      <c r="AW76" s="225"/>
      <c r="AX76" s="226"/>
      <c r="AY76" s="225"/>
      <c r="AZ76" s="225"/>
      <c r="BA76" s="226"/>
      <c r="BB76" s="225"/>
      <c r="BC76" s="225"/>
      <c r="BD76" s="225"/>
      <c r="BE76" s="225" t="str">
        <f>IFERROR(__xludf.DUMMYFUNCTION("""COMPUTED_VALUE"""),"")</f>
        <v/>
      </c>
      <c r="BF76" s="225"/>
      <c r="BG76" s="225"/>
      <c r="BH76" s="225"/>
      <c r="BI76" s="225"/>
      <c r="BJ76" s="225" t="str">
        <f>IFERROR(__xludf.DUMMYFUNCTION("""COMPUTED_VALUE"""),"")</f>
        <v/>
      </c>
      <c r="BK76" s="225"/>
      <c r="BL76" s="225"/>
      <c r="BM76" s="225"/>
      <c r="BN76" s="225"/>
      <c r="BO76" s="225" t="str">
        <f>IFERROR(__xludf.DUMMYFUNCTION("""COMPUTED_VALUE"""),"")</f>
        <v/>
      </c>
      <c r="BP76" s="225"/>
      <c r="BQ76" s="225"/>
      <c r="BR76" s="225"/>
      <c r="BS76" s="225"/>
      <c r="BT76" s="226" t="str">
        <f>IFERROR(__xludf.DUMMYFUNCTION("""COMPUTED_VALUE"""),"")</f>
        <v/>
      </c>
      <c r="BU76" s="225"/>
      <c r="BV76" s="225"/>
      <c r="BW76" s="225"/>
      <c r="BX76" s="225"/>
      <c r="BY76" s="225"/>
      <c r="BZ76" s="225"/>
    </row>
    <row r="77">
      <c r="A77" s="238" t="str">
        <f>IFERROR(__xludf.DUMMYFUNCTION("""COMPUTED_VALUE"""),"Missile Barrage")</f>
        <v>Missile Barrage</v>
      </c>
      <c r="B77" s="239">
        <f>IFERROR(__xludf.DUMMYFUNCTION("""COMPUTED_VALUE"""),0.0)</f>
        <v>0</v>
      </c>
      <c r="C77" s="225"/>
      <c r="D77" s="240">
        <f>IFERROR(__xludf.DUMMYFUNCTION("""COMPUTED_VALUE"""),1.0)</f>
        <v>1</v>
      </c>
      <c r="E77" s="225"/>
      <c r="F77" s="225"/>
      <c r="G77" s="225"/>
      <c r="H77" s="225"/>
      <c r="I77" s="225"/>
      <c r="J77" s="225"/>
      <c r="K77" s="244"/>
      <c r="L77" s="225"/>
      <c r="M77" s="225"/>
      <c r="N77" s="225"/>
      <c r="O77" s="225"/>
      <c r="P77" s="225"/>
      <c r="Q77" s="227"/>
      <c r="R77" s="234"/>
      <c r="S77" s="225"/>
      <c r="T77" s="225"/>
      <c r="U77" s="225"/>
      <c r="V77" s="225"/>
      <c r="W77" s="225"/>
      <c r="X77" s="225"/>
      <c r="Y77" s="229"/>
      <c r="Z77" s="257"/>
      <c r="AA77" s="225"/>
      <c r="AB77" s="257"/>
      <c r="AC77" s="257"/>
      <c r="AD77" s="226"/>
      <c r="AE77" s="259"/>
      <c r="AF77" s="347"/>
      <c r="AG77" s="232"/>
      <c r="AH77" s="257"/>
      <c r="AI77" s="225"/>
      <c r="AJ77" s="267"/>
      <c r="AK77" s="259"/>
      <c r="AL77" s="226"/>
      <c r="AM77" s="225"/>
      <c r="AN77" s="225"/>
      <c r="AO77" s="254"/>
      <c r="AP77" s="225"/>
      <c r="AQ77" s="225"/>
      <c r="AR77" s="226"/>
      <c r="AS77" s="225"/>
      <c r="AT77" s="225"/>
      <c r="AU77" s="225"/>
      <c r="AV77" s="225"/>
      <c r="AW77" s="225"/>
      <c r="AX77" s="226"/>
      <c r="AY77" s="225"/>
      <c r="AZ77" s="225"/>
      <c r="BA77" s="226"/>
      <c r="BB77" s="225"/>
      <c r="BC77" s="225"/>
      <c r="BD77" s="225"/>
      <c r="BE77" s="225" t="str">
        <f>IFERROR(__xludf.DUMMYFUNCTION("""COMPUTED_VALUE"""),"")</f>
        <v/>
      </c>
      <c r="BF77" s="225"/>
      <c r="BG77" s="225"/>
      <c r="BH77" s="225"/>
      <c r="BI77" s="225"/>
      <c r="BJ77" s="225" t="str">
        <f>IFERROR(__xludf.DUMMYFUNCTION("""COMPUTED_VALUE"""),"")</f>
        <v/>
      </c>
      <c r="BK77" s="225"/>
      <c r="BL77" s="225"/>
      <c r="BM77" s="225"/>
      <c r="BN77" s="225"/>
      <c r="BO77" s="225" t="str">
        <f>IFERROR(__xludf.DUMMYFUNCTION("""COMPUTED_VALUE"""),"")</f>
        <v/>
      </c>
      <c r="BP77" s="225"/>
      <c r="BQ77" s="225"/>
      <c r="BR77" s="225"/>
      <c r="BS77" s="225"/>
      <c r="BT77" s="226" t="str">
        <f>IFERROR(__xludf.DUMMYFUNCTION("""COMPUTED_VALUE"""),"")</f>
        <v/>
      </c>
      <c r="BU77" s="225"/>
      <c r="BV77" s="225"/>
      <c r="BW77" s="225"/>
      <c r="BX77" s="225"/>
      <c r="BY77" s="225"/>
      <c r="BZ77" s="225"/>
    </row>
    <row r="78">
      <c r="A78" s="238" t="str">
        <f>IFERROR(__xludf.DUMMYFUNCTION("""COMPUTED_VALUE"""),"Missile Barrage Quantity")</f>
        <v>Missile Barrage Quantity</v>
      </c>
      <c r="B78" s="239">
        <f>IFERROR(__xludf.DUMMYFUNCTION("""COMPUTED_VALUE"""),0.0)</f>
        <v>0</v>
      </c>
      <c r="C78" s="225"/>
      <c r="D78" s="240">
        <f>IFERROR(__xludf.DUMMYFUNCTION("""COMPUTED_VALUE"""),6.0)</f>
        <v>6</v>
      </c>
      <c r="E78" s="225"/>
      <c r="F78" s="225"/>
      <c r="G78" s="225"/>
      <c r="H78" s="225"/>
      <c r="I78" s="225"/>
      <c r="J78" s="225"/>
      <c r="K78" s="244"/>
      <c r="L78" s="225"/>
      <c r="M78" s="225"/>
      <c r="N78" s="225"/>
      <c r="O78" s="225"/>
      <c r="P78" s="225"/>
      <c r="Q78" s="227"/>
      <c r="R78" s="234"/>
      <c r="S78" s="225"/>
      <c r="T78" s="225"/>
      <c r="U78" s="225"/>
      <c r="V78" s="225"/>
      <c r="W78" s="225"/>
      <c r="X78" s="225"/>
      <c r="Y78" s="229"/>
      <c r="Z78" s="257"/>
      <c r="AA78" s="225"/>
      <c r="AB78" s="257"/>
      <c r="AC78" s="257"/>
      <c r="AD78" s="226"/>
      <c r="AE78" s="259"/>
      <c r="AF78" s="347"/>
      <c r="AG78" s="232"/>
      <c r="AH78" s="257"/>
      <c r="AI78" s="225"/>
      <c r="AJ78" s="267"/>
      <c r="AK78" s="259"/>
      <c r="AL78" s="226"/>
      <c r="AM78" s="225"/>
      <c r="AN78" s="225"/>
      <c r="AO78" s="254"/>
      <c r="AP78" s="225"/>
      <c r="AQ78" s="225"/>
      <c r="AR78" s="226"/>
      <c r="AS78" s="225"/>
      <c r="AT78" s="225"/>
      <c r="AU78" s="225"/>
      <c r="AV78" s="225"/>
      <c r="AW78" s="225"/>
      <c r="AX78" s="226"/>
      <c r="AY78" s="225"/>
      <c r="AZ78" s="225"/>
      <c r="BA78" s="226"/>
      <c r="BB78" s="225"/>
      <c r="BC78" s="225"/>
      <c r="BD78" s="225"/>
      <c r="BE78" s="225"/>
      <c r="BF78" s="225"/>
      <c r="BG78" s="225"/>
      <c r="BH78" s="225"/>
      <c r="BI78" s="225"/>
      <c r="BJ78" s="225"/>
      <c r="BK78" s="225"/>
      <c r="BL78" s="225"/>
      <c r="BM78" s="225"/>
      <c r="BN78" s="225"/>
      <c r="BO78" s="225"/>
      <c r="BP78" s="225"/>
      <c r="BQ78" s="225"/>
      <c r="BR78" s="225"/>
      <c r="BS78" s="225"/>
      <c r="BT78" s="226"/>
      <c r="BU78" s="225"/>
      <c r="BV78" s="225"/>
      <c r="BW78" s="225"/>
      <c r="BX78" s="225"/>
      <c r="BY78" s="225"/>
      <c r="BZ78" s="225"/>
    </row>
    <row r="79">
      <c r="A79" s="238" t="str">
        <f>IFERROR(__xludf.DUMMYFUNCTION("""COMPUTED_VALUE"""),"Inner Mine Stun")</f>
        <v>Inner Mine Stun</v>
      </c>
      <c r="B79" s="239">
        <f>IFERROR(__xludf.DUMMYFUNCTION("""COMPUTED_VALUE"""),0.0)</f>
        <v>0</v>
      </c>
      <c r="C79" s="225"/>
      <c r="D79" s="240">
        <f>IFERROR(__xludf.DUMMYFUNCTION("""COMPUTED_VALUE"""),1.0)</f>
        <v>1</v>
      </c>
      <c r="E79" s="225"/>
      <c r="F79" s="225"/>
      <c r="G79" s="225"/>
      <c r="H79" s="225"/>
      <c r="I79" s="225"/>
      <c r="J79" s="225"/>
      <c r="K79" s="244"/>
      <c r="L79" s="225"/>
      <c r="M79" s="225"/>
      <c r="N79" s="225"/>
      <c r="O79" s="225"/>
      <c r="P79" s="225"/>
      <c r="Q79" s="227"/>
      <c r="R79" s="234"/>
      <c r="S79" s="225"/>
      <c r="T79" s="225"/>
      <c r="U79" s="225"/>
      <c r="V79" s="225"/>
      <c r="W79" s="225"/>
      <c r="X79" s="225"/>
      <c r="Y79" s="229"/>
      <c r="Z79" s="257"/>
      <c r="AA79" s="225"/>
      <c r="AB79" s="257"/>
      <c r="AC79" s="257"/>
      <c r="AD79" s="226"/>
      <c r="AE79" s="259"/>
      <c r="AF79" s="347"/>
      <c r="AG79" s="232"/>
      <c r="AH79" s="257"/>
      <c r="AI79" s="225"/>
      <c r="AJ79" s="267"/>
      <c r="AK79" s="259"/>
      <c r="AL79" s="226"/>
      <c r="AM79" s="225"/>
      <c r="AN79" s="225"/>
      <c r="AO79" s="254"/>
      <c r="AP79" s="225"/>
      <c r="AQ79" s="225"/>
      <c r="AR79" s="226"/>
      <c r="AS79" s="225"/>
      <c r="AT79" s="225"/>
      <c r="AU79" s="225"/>
      <c r="AV79" s="225"/>
      <c r="AW79" s="225"/>
      <c r="AX79" s="226"/>
      <c r="AY79" s="225"/>
      <c r="AZ79" s="225"/>
      <c r="BA79" s="226"/>
      <c r="BB79" s="225" t="str">
        <f>IFERROR(__xludf.DUMMYFUNCTION("""COMPUTED_VALUE"""),"Shrink Ray")</f>
        <v>Shrink Ray</v>
      </c>
      <c r="BC79" s="225"/>
      <c r="BD79" s="225"/>
      <c r="BE79" s="225"/>
      <c r="BF79" s="225"/>
      <c r="BG79" s="225" t="str">
        <f>IFERROR(__xludf.DUMMYFUNCTION("""COMPUTED_VALUE"""),"Sharp Fortitude")</f>
        <v>Sharp Fortitude</v>
      </c>
      <c r="BH79" s="225"/>
      <c r="BI79" s="225"/>
      <c r="BJ79" s="225"/>
      <c r="BK79" s="225"/>
      <c r="BL79" s="225" t="str">
        <f>IFERROR(__xludf.DUMMYFUNCTION("""COMPUTED_VALUE"""),"Project Funding")</f>
        <v>Project Funding</v>
      </c>
      <c r="BM79" s="225"/>
      <c r="BN79" s="225"/>
      <c r="BO79" s="225"/>
      <c r="BP79" s="225"/>
      <c r="BQ79" s="225" t="str">
        <f>IFERROR(__xludf.DUMMYFUNCTION("""COMPUTED_VALUE"""),"Magnetic Hook")</f>
        <v>Magnetic Hook</v>
      </c>
      <c r="BR79" s="225"/>
      <c r="BS79" s="225"/>
      <c r="BT79" s="226"/>
      <c r="BU79" s="225"/>
      <c r="BV79" s="225"/>
      <c r="BW79" s="225"/>
      <c r="BX79" s="225"/>
      <c r="BY79" s="225"/>
      <c r="BZ79" s="225"/>
    </row>
    <row r="80">
      <c r="A80" s="238" t="str">
        <f>IFERROR(__xludf.DUMMYFUNCTION("""COMPUTED_VALUE"""),"Black Hole Damage")</f>
        <v>Black Hole Damage</v>
      </c>
      <c r="B80" s="239">
        <f>IFERROR(__xludf.DUMMYFUNCTION("""COMPUTED_VALUE"""),10.0)</f>
        <v>10</v>
      </c>
      <c r="C80" s="225"/>
      <c r="D80" s="240">
        <f>IFERROR(__xludf.DUMMYFUNCTION("""COMPUTED_VALUE"""),10.0)</f>
        <v>10</v>
      </c>
      <c r="E80" s="225"/>
      <c r="F80" s="225"/>
      <c r="G80" s="225"/>
      <c r="H80" s="225"/>
      <c r="I80" s="225"/>
      <c r="J80" s="225"/>
      <c r="K80" s="244"/>
      <c r="L80" s="225"/>
      <c r="M80" s="225"/>
      <c r="N80" s="225"/>
      <c r="O80" s="225"/>
      <c r="P80" s="225"/>
      <c r="Q80" s="227"/>
      <c r="R80" s="234"/>
      <c r="S80" s="225"/>
      <c r="T80" s="225"/>
      <c r="U80" s="225"/>
      <c r="V80" s="225"/>
      <c r="W80" s="225"/>
      <c r="X80" s="225"/>
      <c r="Y80" s="229"/>
      <c r="Z80" s="257"/>
      <c r="AA80" s="225"/>
      <c r="AB80" s="257"/>
      <c r="AC80" s="257"/>
      <c r="AD80" s="226"/>
      <c r="AE80" s="259"/>
      <c r="AF80" s="347"/>
      <c r="AG80" s="232"/>
      <c r="AH80" s="257"/>
      <c r="AI80" s="225"/>
      <c r="AJ80" s="267"/>
      <c r="AK80" s="259"/>
      <c r="AL80" s="226"/>
      <c r="AM80" s="225"/>
      <c r="AN80" s="225"/>
      <c r="AO80" s="254"/>
      <c r="AP80" s="225"/>
      <c r="AQ80" s="225"/>
      <c r="AR80" s="226"/>
      <c r="AS80" s="225"/>
      <c r="AT80" s="225"/>
      <c r="AU80" s="225"/>
      <c r="AV80" s="225"/>
      <c r="AW80" s="225"/>
      <c r="AX80" s="226"/>
      <c r="AY80" s="225"/>
      <c r="AZ80" s="225"/>
      <c r="BA80" s="226"/>
      <c r="BB80" s="225" t="str">
        <f>IFERROR(__xludf.DUMMYFUNCTION("""COMPUTED_VALUE"""),"Rarity")</f>
        <v>Rarity</v>
      </c>
      <c r="BC80" s="225" t="str">
        <f>IFERROR(__xludf.DUMMYFUNCTION("""COMPUTED_VALUE"""),"Level")</f>
        <v>Level</v>
      </c>
      <c r="BD80" s="225" t="str">
        <f>IFERROR(__xludf.DUMMYFUNCTION("""COMPUTED_VALUE"""),"Stat")</f>
        <v>Stat</v>
      </c>
      <c r="BE80" s="225"/>
      <c r="BF80" s="225"/>
      <c r="BG80" s="225" t="str">
        <f>IFERROR(__xludf.DUMMYFUNCTION("""COMPUTED_VALUE"""),"Rarity")</f>
        <v>Rarity</v>
      </c>
      <c r="BH80" s="225" t="str">
        <f>IFERROR(__xludf.DUMMYFUNCTION("""COMPUTED_VALUE"""),"Level")</f>
        <v>Level</v>
      </c>
      <c r="BI80" s="225" t="str">
        <f>IFERROR(__xludf.DUMMYFUNCTION("""COMPUTED_VALUE"""),"Stat")</f>
        <v>Stat</v>
      </c>
      <c r="BJ80" s="225"/>
      <c r="BK80" s="225"/>
      <c r="BL80" s="225" t="str">
        <f>IFERROR(__xludf.DUMMYFUNCTION("""COMPUTED_VALUE"""),"Rarity")</f>
        <v>Rarity</v>
      </c>
      <c r="BM80" s="225" t="str">
        <f>IFERROR(__xludf.DUMMYFUNCTION("""COMPUTED_VALUE"""),"Level")</f>
        <v>Level</v>
      </c>
      <c r="BN80" s="225" t="str">
        <f>IFERROR(__xludf.DUMMYFUNCTION("""COMPUTED_VALUE"""),"Stat")</f>
        <v>Stat</v>
      </c>
      <c r="BO80" s="225"/>
      <c r="BP80" s="225"/>
      <c r="BQ80" s="225" t="str">
        <f>IFERROR(__xludf.DUMMYFUNCTION("""COMPUTED_VALUE"""),"Rarity")</f>
        <v>Rarity</v>
      </c>
      <c r="BR80" s="225" t="str">
        <f>IFERROR(__xludf.DUMMYFUNCTION("""COMPUTED_VALUE"""),"Level")</f>
        <v>Level</v>
      </c>
      <c r="BS80" s="225" t="str">
        <f>IFERROR(__xludf.DUMMYFUNCTION("""COMPUTED_VALUE"""),"Stat")</f>
        <v>Stat</v>
      </c>
      <c r="BT80" s="226"/>
      <c r="BU80" s="225"/>
      <c r="BV80" s="225"/>
      <c r="BW80" s="225"/>
      <c r="BX80" s="225"/>
      <c r="BY80" s="225"/>
      <c r="BZ80" s="225"/>
    </row>
    <row r="81">
      <c r="A81" s="238" t="str">
        <f>IFERROR(__xludf.DUMMYFUNCTION("""COMPUTED_VALUE"""),"Extra Black Hole")</f>
        <v>Extra Black Hole</v>
      </c>
      <c r="B81" s="239">
        <f>IFERROR(__xludf.DUMMYFUNCTION("""COMPUTED_VALUE"""),1.0)</f>
        <v>1</v>
      </c>
      <c r="C81" s="225"/>
      <c r="D81" s="240">
        <f>IFERROR(__xludf.DUMMYFUNCTION("""COMPUTED_VALUE"""),1.0)</f>
        <v>1</v>
      </c>
      <c r="E81" s="225"/>
      <c r="F81" s="225"/>
      <c r="G81" s="225"/>
      <c r="H81" s="225"/>
      <c r="I81" s="225"/>
      <c r="J81" s="225"/>
      <c r="K81" s="244"/>
      <c r="L81" s="225"/>
      <c r="M81" s="225"/>
      <c r="N81" s="225"/>
      <c r="O81" s="225"/>
      <c r="P81" s="225"/>
      <c r="Q81" s="227"/>
      <c r="R81" s="234"/>
      <c r="S81" s="225"/>
      <c r="T81" s="225"/>
      <c r="U81" s="225"/>
      <c r="V81" s="225"/>
      <c r="W81" s="225"/>
      <c r="X81" s="225"/>
      <c r="Y81" s="229"/>
      <c r="Z81" s="257"/>
      <c r="AA81" s="225"/>
      <c r="AB81" s="257"/>
      <c r="AC81" s="257"/>
      <c r="AD81" s="226"/>
      <c r="AE81" s="259"/>
      <c r="AF81" s="347"/>
      <c r="AG81" s="232"/>
      <c r="AH81" s="257"/>
      <c r="AI81" s="225"/>
      <c r="AJ81" s="267"/>
      <c r="AK81" s="259"/>
      <c r="AL81" s="226"/>
      <c r="AM81" s="225"/>
      <c r="AN81" s="225"/>
      <c r="AO81" s="254"/>
      <c r="AP81" s="225"/>
      <c r="AQ81" s="225"/>
      <c r="AR81" s="226"/>
      <c r="AS81" s="225"/>
      <c r="AT81" s="225"/>
      <c r="AU81" s="225"/>
      <c r="AV81" s="225"/>
      <c r="AW81" s="225"/>
      <c r="AX81" s="226"/>
      <c r="AY81" s="225"/>
      <c r="AZ81" s="225"/>
      <c r="BA81" s="226"/>
      <c r="BB81" s="225" t="str">
        <f>IFERROR(__xludf.DUMMYFUNCTION("""COMPUTED_VALUE"""),"Legendary")</f>
        <v>Legendary</v>
      </c>
      <c r="BC81" s="260">
        <f>IFERROR(__xludf.DUMMYFUNCTION("""COMPUTED_VALUE"""),100.0)</f>
        <v>100</v>
      </c>
      <c r="BD81" s="285">
        <f>IFERROR(__xludf.DUMMYFUNCTION("""COMPUTED_VALUE"""),2.27)</f>
        <v>2.27</v>
      </c>
      <c r="BE81" s="225"/>
      <c r="BF81" s="225"/>
      <c r="BG81" s="225" t="str">
        <f>IFERROR(__xludf.DUMMYFUNCTION("""COMPUTED_VALUE"""),"Ancestral")</f>
        <v>Ancestral</v>
      </c>
      <c r="BH81" s="260">
        <f>IFERROR(__xludf.DUMMYFUNCTION("""COMPUTED_VALUE"""),163.0)</f>
        <v>163</v>
      </c>
      <c r="BI81" s="285">
        <f>IFERROR(__xludf.DUMMYFUNCTION("""COMPUTED_VALUE"""),8.84)</f>
        <v>8.84</v>
      </c>
      <c r="BJ81" s="225"/>
      <c r="BK81" s="225"/>
      <c r="BL81" s="225" t="str">
        <f>IFERROR(__xludf.DUMMYFUNCTION("""COMPUTED_VALUE"""),"Mythic+")</f>
        <v>Mythic+</v>
      </c>
      <c r="BM81" s="260">
        <f>IFERROR(__xludf.DUMMYFUNCTION("""COMPUTED_VALUE"""),160.0)</f>
        <v>160</v>
      </c>
      <c r="BN81" s="285">
        <f>IFERROR(__xludf.DUMMYFUNCTION("""COMPUTED_VALUE"""),1.665)</f>
        <v>1.665</v>
      </c>
      <c r="BO81" s="225"/>
      <c r="BP81" s="225"/>
      <c r="BQ81" s="225" t="str">
        <f>IFERROR(__xludf.DUMMYFUNCTION("""COMPUTED_VALUE"""),"Ancestral")</f>
        <v>Ancestral</v>
      </c>
      <c r="BR81" s="260">
        <f>IFERROR(__xludf.DUMMYFUNCTION("""COMPUTED_VALUE"""),159.0)</f>
        <v>159</v>
      </c>
      <c r="BS81" s="285">
        <f>IFERROR(__xludf.DUMMYFUNCTION("""COMPUTED_VALUE"""),10.9)</f>
        <v>10.9</v>
      </c>
      <c r="BT81" s="226"/>
      <c r="BU81" s="225"/>
      <c r="BV81" s="225"/>
      <c r="BW81" s="225"/>
      <c r="BX81" s="225"/>
      <c r="BY81" s="225"/>
      <c r="BZ81" s="225"/>
    </row>
    <row r="82">
      <c r="A82" s="238" t="str">
        <f>IFERROR(__xludf.DUMMYFUNCTION("""COMPUTED_VALUE"""),"Black Hole Coin Bonus")</f>
        <v>Black Hole Coin Bonus</v>
      </c>
      <c r="B82" s="239">
        <f>IFERROR(__xludf.DUMMYFUNCTION("""COMPUTED_VALUE"""),20.0)</f>
        <v>20</v>
      </c>
      <c r="C82" s="225"/>
      <c r="D82" s="240">
        <f>IFERROR(__xludf.DUMMYFUNCTION("""COMPUTED_VALUE"""),20.0)</f>
        <v>20</v>
      </c>
      <c r="E82" s="225"/>
      <c r="F82" s="225"/>
      <c r="G82" s="225"/>
      <c r="H82" s="225"/>
      <c r="I82" s="225"/>
      <c r="J82" s="225"/>
      <c r="K82" s="244"/>
      <c r="L82" s="225"/>
      <c r="M82" s="225"/>
      <c r="N82" s="225"/>
      <c r="O82" s="225"/>
      <c r="P82" s="225"/>
      <c r="Q82" s="227"/>
      <c r="R82" s="234"/>
      <c r="S82" s="225"/>
      <c r="T82" s="225"/>
      <c r="U82" s="225"/>
      <c r="V82" s="225"/>
      <c r="W82" s="225"/>
      <c r="X82" s="225"/>
      <c r="Y82" s="229"/>
      <c r="Z82" s="257"/>
      <c r="AA82" s="225"/>
      <c r="AB82" s="257"/>
      <c r="AC82" s="257"/>
      <c r="AD82" s="226"/>
      <c r="AE82" s="259"/>
      <c r="AF82" s="347"/>
      <c r="AG82" s="232"/>
      <c r="AH82" s="257"/>
      <c r="AI82" s="225"/>
      <c r="AJ82" s="267"/>
      <c r="AK82" s="259"/>
      <c r="AL82" s="226"/>
      <c r="AM82" s="225"/>
      <c r="AN82" s="225"/>
      <c r="AO82" s="254"/>
      <c r="AP82" s="225"/>
      <c r="AQ82" s="225"/>
      <c r="AR82" s="226"/>
      <c r="AS82" s="225"/>
      <c r="AT82" s="225"/>
      <c r="AU82" s="225"/>
      <c r="AV82" s="225"/>
      <c r="AW82" s="225"/>
      <c r="AX82" s="226"/>
      <c r="AY82" s="225"/>
      <c r="AZ82" s="225"/>
      <c r="BA82" s="226"/>
      <c r="BB82" s="225"/>
      <c r="BC82" s="225"/>
      <c r="BD82" s="225"/>
      <c r="BE82" s="225"/>
      <c r="BF82" s="225"/>
      <c r="BG82" s="225"/>
      <c r="BH82" s="225"/>
      <c r="BI82" s="225"/>
      <c r="BJ82" s="225"/>
      <c r="BK82" s="225"/>
      <c r="BL82" s="225"/>
      <c r="BM82" s="225"/>
      <c r="BN82" s="225"/>
      <c r="BO82" s="225"/>
      <c r="BP82" s="225"/>
      <c r="BQ82" s="225"/>
      <c r="BR82" s="225"/>
      <c r="BS82" s="225"/>
      <c r="BT82" s="226"/>
      <c r="BU82" s="225"/>
      <c r="BV82" s="225"/>
      <c r="BW82" s="225"/>
      <c r="BX82" s="225"/>
      <c r="BY82" s="225"/>
      <c r="BZ82" s="225"/>
    </row>
    <row r="83">
      <c r="A83" s="238" t="str">
        <f>IFERROR(__xludf.DUMMYFUNCTION("""COMPUTED_VALUE"""),"Spotlight Coin Bonus")</f>
        <v>Spotlight Coin Bonus</v>
      </c>
      <c r="B83" s="239">
        <f>IFERROR(__xludf.DUMMYFUNCTION("""COMPUTED_VALUE"""),20.0)</f>
        <v>20</v>
      </c>
      <c r="C83" s="225"/>
      <c r="D83" s="240">
        <f>IFERROR(__xludf.DUMMYFUNCTION("""COMPUTED_VALUE"""),20.0)</f>
        <v>20</v>
      </c>
      <c r="E83" s="225"/>
      <c r="F83" s="225"/>
      <c r="G83" s="225"/>
      <c r="H83" s="225"/>
      <c r="I83" s="225"/>
      <c r="J83" s="225"/>
      <c r="K83" s="244"/>
      <c r="L83" s="225"/>
      <c r="M83" s="225"/>
      <c r="N83" s="225"/>
      <c r="O83" s="225"/>
      <c r="P83" s="225"/>
      <c r="Q83" s="227"/>
      <c r="R83" s="234"/>
      <c r="S83" s="225"/>
      <c r="T83" s="225"/>
      <c r="U83" s="225"/>
      <c r="V83" s="225"/>
      <c r="W83" s="225"/>
      <c r="X83" s="225"/>
      <c r="Y83" s="229"/>
      <c r="Z83" s="257"/>
      <c r="AA83" s="225"/>
      <c r="AB83" s="257"/>
      <c r="AC83" s="257"/>
      <c r="AD83" s="226"/>
      <c r="AE83" s="259"/>
      <c r="AF83" s="347"/>
      <c r="AG83" s="232"/>
      <c r="AH83" s="257"/>
      <c r="AI83" s="225"/>
      <c r="AJ83" s="267"/>
      <c r="AK83" s="259"/>
      <c r="AL83" s="226"/>
      <c r="AM83" s="225"/>
      <c r="AN83" s="225"/>
      <c r="AO83" s="254"/>
      <c r="AP83" s="225"/>
      <c r="AQ83" s="225"/>
      <c r="AR83" s="226"/>
      <c r="AS83" s="225"/>
      <c r="AT83" s="225"/>
      <c r="AU83" s="225"/>
      <c r="AV83" s="225"/>
      <c r="AW83" s="225"/>
      <c r="AX83" s="226"/>
      <c r="AY83" s="225"/>
      <c r="AZ83" s="225"/>
      <c r="BA83" s="226"/>
      <c r="BB83" s="225"/>
      <c r="BC83" s="225"/>
      <c r="BD83" s="225"/>
      <c r="BE83" s="225" t="str">
        <f>IFERROR(__xludf.DUMMYFUNCTION("""COMPUTED_VALUE"""),"")</f>
        <v/>
      </c>
      <c r="BF83" s="225"/>
      <c r="BG83" s="225" t="str">
        <f>IFERROR(__xludf.DUMMYFUNCTION("""COMPUTED_VALUE"""),"Health Regen")</f>
        <v>Health Regen</v>
      </c>
      <c r="BH83" s="225" t="str">
        <f>IFERROR(__xludf.DUMMYFUNCTION("""COMPUTED_VALUE"""),"Ancestral")</f>
        <v>Ancestral</v>
      </c>
      <c r="BI83" s="225" t="str">
        <f>IFERROR(__xludf.DUMMYFUNCTION("""COMPUTED_VALUE"""),"+400%")</f>
        <v>+400%</v>
      </c>
      <c r="BJ83" s="260">
        <f>IFERROR(__xludf.DUMMYFUNCTION("""COMPUTED_VALUE"""),4.0)</f>
        <v>4</v>
      </c>
      <c r="BK83" s="225"/>
      <c r="BL83" s="225" t="str">
        <f>IFERROR(__xludf.DUMMYFUNCTION("""COMPUTED_VALUE"""),"Enemy Attack Level Skip")</f>
        <v>Enemy Attack Level Skip</v>
      </c>
      <c r="BM83" s="225" t="str">
        <f>IFERROR(__xludf.DUMMYFUNCTION("""COMPUTED_VALUE"""),"Mythic")</f>
        <v>Mythic</v>
      </c>
      <c r="BN83" s="225" t="str">
        <f>IFERROR(__xludf.DUMMYFUNCTION("""COMPUTED_VALUE"""),"+6%")</f>
        <v>+6%</v>
      </c>
      <c r="BO83" s="260">
        <f>IFERROR(__xludf.DUMMYFUNCTION("""COMPUTED_VALUE"""),0.06)</f>
        <v>0.06</v>
      </c>
      <c r="BP83" s="225"/>
      <c r="BQ83" s="225"/>
      <c r="BR83" s="225"/>
      <c r="BS83" s="225"/>
      <c r="BT83" s="226" t="str">
        <f>IFERROR(__xludf.DUMMYFUNCTION("""COMPUTED_VALUE"""),"")</f>
        <v/>
      </c>
      <c r="BU83" s="225"/>
      <c r="BV83" s="225"/>
      <c r="BW83" s="225"/>
      <c r="BX83" s="225"/>
      <c r="BY83" s="225"/>
      <c r="BZ83" s="225"/>
    </row>
    <row r="84">
      <c r="A84" s="238" t="str">
        <f>IFERROR(__xludf.DUMMYFUNCTION("""COMPUTED_VALUE"""),"Spotlight Missiles")</f>
        <v>Spotlight Missiles</v>
      </c>
      <c r="B84" s="239">
        <f>IFERROR(__xludf.DUMMYFUNCTION("""COMPUTED_VALUE"""),1.0)</f>
        <v>1</v>
      </c>
      <c r="C84" s="225"/>
      <c r="D84" s="240">
        <f>IFERROR(__xludf.DUMMYFUNCTION("""COMPUTED_VALUE"""),18.0)</f>
        <v>18</v>
      </c>
      <c r="E84" s="225"/>
      <c r="F84" s="225"/>
      <c r="G84" s="225"/>
      <c r="H84" s="225"/>
      <c r="I84" s="225"/>
      <c r="J84" s="225"/>
      <c r="K84" s="244"/>
      <c r="L84" s="225"/>
      <c r="M84" s="225"/>
      <c r="N84" s="225"/>
      <c r="O84" s="225"/>
      <c r="P84" s="225"/>
      <c r="Q84" s="227"/>
      <c r="R84" s="234"/>
      <c r="S84" s="225"/>
      <c r="T84" s="225"/>
      <c r="U84" s="225"/>
      <c r="V84" s="225"/>
      <c r="W84" s="225"/>
      <c r="X84" s="225"/>
      <c r="Y84" s="229"/>
      <c r="Z84" s="257"/>
      <c r="AA84" s="225"/>
      <c r="AB84" s="257"/>
      <c r="AC84" s="257"/>
      <c r="AD84" s="226"/>
      <c r="AE84" s="259"/>
      <c r="AF84" s="347"/>
      <c r="AG84" s="232"/>
      <c r="AH84" s="257"/>
      <c r="AI84" s="225"/>
      <c r="AJ84" s="267"/>
      <c r="AK84" s="259"/>
      <c r="AL84" s="226"/>
      <c r="AM84" s="225"/>
      <c r="AN84" s="225"/>
      <c r="AO84" s="254"/>
      <c r="AP84" s="225"/>
      <c r="AQ84" s="225"/>
      <c r="AR84" s="226"/>
      <c r="AS84" s="225"/>
      <c r="AT84" s="225"/>
      <c r="AU84" s="225"/>
      <c r="AV84" s="225"/>
      <c r="AW84" s="225"/>
      <c r="AX84" s="226"/>
      <c r="AY84" s="225"/>
      <c r="AZ84" s="225"/>
      <c r="BA84" s="226"/>
      <c r="BB84" s="225"/>
      <c r="BC84" s="225"/>
      <c r="BD84" s="225"/>
      <c r="BE84" s="225" t="str">
        <f>IFERROR(__xludf.DUMMYFUNCTION("""COMPUTED_VALUE"""),"")</f>
        <v/>
      </c>
      <c r="BF84" s="225"/>
      <c r="BG84" s="225" t="str">
        <f>IFERROR(__xludf.DUMMYFUNCTION("""COMPUTED_VALUE"""),"Knockback Force")</f>
        <v>Knockback Force</v>
      </c>
      <c r="BH84" s="225" t="str">
        <f>IFERROR(__xludf.DUMMYFUNCTION("""COMPUTED_VALUE"""),"Mythic")</f>
        <v>Mythic</v>
      </c>
      <c r="BI84" s="225" t="str">
        <f>IFERROR(__xludf.DUMMYFUNCTION("""COMPUTED_VALUE"""),"+0.9")</f>
        <v>+0.9</v>
      </c>
      <c r="BJ84" s="260">
        <f>IFERROR(__xludf.DUMMYFUNCTION("""COMPUTED_VALUE"""),0.9)</f>
        <v>0.9</v>
      </c>
      <c r="BK84" s="225"/>
      <c r="BL84" s="225" t="str">
        <f>IFERROR(__xludf.DUMMYFUNCTION("""COMPUTED_VALUE"""),"Enemy Health Level Skip")</f>
        <v>Enemy Health Level Skip</v>
      </c>
      <c r="BM84" s="225" t="str">
        <f>IFERROR(__xludf.DUMMYFUNCTION("""COMPUTED_VALUE"""),"Mythic")</f>
        <v>Mythic</v>
      </c>
      <c r="BN84" s="225" t="str">
        <f>IFERROR(__xludf.DUMMYFUNCTION("""COMPUTED_VALUE"""),"+6%")</f>
        <v>+6%</v>
      </c>
      <c r="BO84" s="260">
        <f>IFERROR(__xludf.DUMMYFUNCTION("""COMPUTED_VALUE"""),0.06)</f>
        <v>0.06</v>
      </c>
      <c r="BP84" s="225"/>
      <c r="BQ84" s="225"/>
      <c r="BR84" s="225"/>
      <c r="BS84" s="225"/>
      <c r="BT84" s="226" t="str">
        <f>IFERROR(__xludf.DUMMYFUNCTION("""COMPUTED_VALUE"""),"")</f>
        <v/>
      </c>
      <c r="BU84" s="225"/>
      <c r="BV84" s="225"/>
      <c r="BW84" s="225"/>
      <c r="BX84" s="225"/>
      <c r="BY84" s="225"/>
      <c r="BZ84" s="225"/>
    </row>
    <row r="85">
      <c r="A85" s="238" t="str">
        <f>IFERROR(__xludf.DUMMYFUNCTION("""COMPUTED_VALUE"""),"Black Hole Disable Ranged Enemies")</f>
        <v>Black Hole Disable Ranged Enemies</v>
      </c>
      <c r="B85" s="239">
        <f>IFERROR(__xludf.DUMMYFUNCTION("""COMPUTED_VALUE"""),1.0)</f>
        <v>1</v>
      </c>
      <c r="C85" s="225"/>
      <c r="D85" s="240">
        <f>IFERROR(__xludf.DUMMYFUNCTION("""COMPUTED_VALUE"""),1.0)</f>
        <v>1</v>
      </c>
      <c r="E85" s="225"/>
      <c r="F85" s="225"/>
      <c r="G85" s="225"/>
      <c r="H85" s="225"/>
      <c r="I85" s="225"/>
      <c r="J85" s="225"/>
      <c r="K85" s="244"/>
      <c r="L85" s="225"/>
      <c r="M85" s="225"/>
      <c r="N85" s="225"/>
      <c r="O85" s="225"/>
      <c r="P85" s="225"/>
      <c r="Q85" s="227"/>
      <c r="R85" s="234"/>
      <c r="S85" s="225"/>
      <c r="T85" s="225"/>
      <c r="U85" s="225"/>
      <c r="V85" s="225"/>
      <c r="W85" s="225"/>
      <c r="X85" s="225"/>
      <c r="Y85" s="229"/>
      <c r="Z85" s="257"/>
      <c r="AA85" s="225"/>
      <c r="AB85" s="257"/>
      <c r="AC85" s="257"/>
      <c r="AD85" s="226"/>
      <c r="AE85" s="259"/>
      <c r="AF85" s="347"/>
      <c r="AG85" s="232"/>
      <c r="AH85" s="257"/>
      <c r="AI85" s="225"/>
      <c r="AJ85" s="267"/>
      <c r="AK85" s="259"/>
      <c r="AL85" s="226"/>
      <c r="AM85" s="225"/>
      <c r="AN85" s="225"/>
      <c r="AO85" s="254"/>
      <c r="AP85" s="225"/>
      <c r="AQ85" s="225"/>
      <c r="AR85" s="226"/>
      <c r="AS85" s="225"/>
      <c r="AT85" s="225"/>
      <c r="AU85" s="225"/>
      <c r="AV85" s="225"/>
      <c r="AW85" s="225"/>
      <c r="AX85" s="226"/>
      <c r="AY85" s="225"/>
      <c r="AZ85" s="225"/>
      <c r="BA85" s="226"/>
      <c r="BB85" s="225"/>
      <c r="BC85" s="225"/>
      <c r="BD85" s="225"/>
      <c r="BE85" s="225" t="str">
        <f>IFERROR(__xludf.DUMMYFUNCTION("""COMPUTED_VALUE"""),"")</f>
        <v/>
      </c>
      <c r="BF85" s="225"/>
      <c r="BG85" s="225" t="str">
        <f>IFERROR(__xludf.DUMMYFUNCTION("""COMPUTED_VALUE"""),"Defense %")</f>
        <v>Defense %</v>
      </c>
      <c r="BH85" s="225" t="str">
        <f>IFERROR(__xludf.DUMMYFUNCTION("""COMPUTED_VALUE"""),"Ancestral")</f>
        <v>Ancestral</v>
      </c>
      <c r="BI85" s="225" t="str">
        <f>IFERROR(__xludf.DUMMYFUNCTION("""COMPUTED_VALUE"""),"+8%")</f>
        <v>+8%</v>
      </c>
      <c r="BJ85" s="260">
        <f>IFERROR(__xludf.DUMMYFUNCTION("""COMPUTED_VALUE"""),0.08)</f>
        <v>0.08</v>
      </c>
      <c r="BK85" s="225"/>
      <c r="BL85" s="225" t="str">
        <f>IFERROR(__xludf.DUMMYFUNCTION("""COMPUTED_VALUE"""),"Free Utility Upgrade")</f>
        <v>Free Utility Upgrade</v>
      </c>
      <c r="BM85" s="225" t="str">
        <f>IFERROR(__xludf.DUMMYFUNCTION("""COMPUTED_VALUE"""),"Mythic")</f>
        <v>Mythic</v>
      </c>
      <c r="BN85" s="225" t="str">
        <f>IFERROR(__xludf.DUMMYFUNCTION("""COMPUTED_VALUE"""),"+10%")</f>
        <v>+10%</v>
      </c>
      <c r="BO85" s="260">
        <f>IFERROR(__xludf.DUMMYFUNCTION("""COMPUTED_VALUE"""),0.1)</f>
        <v>0.1</v>
      </c>
      <c r="BP85" s="225"/>
      <c r="BQ85" s="225"/>
      <c r="BR85" s="225"/>
      <c r="BS85" s="225"/>
      <c r="BT85" s="226" t="str">
        <f>IFERROR(__xludf.DUMMYFUNCTION("""COMPUTED_VALUE"""),"")</f>
        <v/>
      </c>
      <c r="BU85" s="225"/>
      <c r="BV85" s="225"/>
      <c r="BW85" s="225"/>
      <c r="BX85" s="225"/>
      <c r="BY85" s="225"/>
      <c r="BZ85" s="225"/>
    </row>
    <row r="86">
      <c r="A86" s="238" t="str">
        <f>IFERROR(__xludf.DUMMYFUNCTION("""COMPUTED_VALUE"""),"Recharge Missile Barrage")</f>
        <v>Recharge Missile Barrage</v>
      </c>
      <c r="B86" s="239">
        <f>IFERROR(__xludf.DUMMYFUNCTION("""COMPUTED_VALUE"""),0.0)</f>
        <v>0</v>
      </c>
      <c r="C86" s="225"/>
      <c r="D86" s="240">
        <f>IFERROR(__xludf.DUMMYFUNCTION("""COMPUTED_VALUE"""),7.0)</f>
        <v>7</v>
      </c>
      <c r="E86" s="225"/>
      <c r="F86" s="225"/>
      <c r="G86" s="225"/>
      <c r="H86" s="225"/>
      <c r="I86" s="225"/>
      <c r="J86" s="225"/>
      <c r="K86" s="244"/>
      <c r="L86" s="225"/>
      <c r="M86" s="225"/>
      <c r="N86" s="225"/>
      <c r="O86" s="225"/>
      <c r="P86" s="225"/>
      <c r="Q86" s="227"/>
      <c r="R86" s="234"/>
      <c r="S86" s="225"/>
      <c r="T86" s="225"/>
      <c r="U86" s="225"/>
      <c r="V86" s="225"/>
      <c r="W86" s="225"/>
      <c r="X86" s="225"/>
      <c r="Y86" s="229"/>
      <c r="Z86" s="257"/>
      <c r="AA86" s="225"/>
      <c r="AB86" s="257"/>
      <c r="AC86" s="257"/>
      <c r="AD86" s="226"/>
      <c r="AE86" s="259"/>
      <c r="AF86" s="347"/>
      <c r="AG86" s="232"/>
      <c r="AH86" s="257"/>
      <c r="AI86" s="225"/>
      <c r="AJ86" s="267"/>
      <c r="AK86" s="259"/>
      <c r="AL86" s="226"/>
      <c r="AM86" s="225"/>
      <c r="AN86" s="225"/>
      <c r="AO86" s="254"/>
      <c r="AP86" s="225"/>
      <c r="AQ86" s="225"/>
      <c r="AR86" s="226"/>
      <c r="AS86" s="225"/>
      <c r="AT86" s="225"/>
      <c r="AU86" s="225"/>
      <c r="AV86" s="225"/>
      <c r="AW86" s="225"/>
      <c r="AX86" s="226"/>
      <c r="AY86" s="225"/>
      <c r="AZ86" s="225"/>
      <c r="BA86" s="226"/>
      <c r="BB86" s="225"/>
      <c r="BC86" s="225"/>
      <c r="BD86" s="225"/>
      <c r="BE86" s="225" t="str">
        <f>IFERROR(__xludf.DUMMYFUNCTION("""COMPUTED_VALUE"""),"")</f>
        <v/>
      </c>
      <c r="BF86" s="225"/>
      <c r="BG86" s="225" t="str">
        <f>IFERROR(__xludf.DUMMYFUNCTION("""COMPUTED_VALUE"""),"Wall Health")</f>
        <v>Wall Health</v>
      </c>
      <c r="BH86" s="225" t="str">
        <f>IFERROR(__xludf.DUMMYFUNCTION("""COMPUTED_VALUE"""),"Ancestral")</f>
        <v>Ancestral</v>
      </c>
      <c r="BI86" s="225" t="str">
        <f>IFERROR(__xludf.DUMMYFUNCTION("""COMPUTED_VALUE"""),"+120%")</f>
        <v>+120%</v>
      </c>
      <c r="BJ86" s="260">
        <f>IFERROR(__xludf.DUMMYFUNCTION("""COMPUTED_VALUE"""),1.2)</f>
        <v>1.2</v>
      </c>
      <c r="BK86" s="225"/>
      <c r="BL86" s="225" t="str">
        <f>IFERROR(__xludf.DUMMYFUNCTION("""COMPUTED_VALUE"""),"Free Defense Upgrade")</f>
        <v>Free Defense Upgrade</v>
      </c>
      <c r="BM86" s="225" t="str">
        <f>IFERROR(__xludf.DUMMYFUNCTION("""COMPUTED_VALUE"""),"Epic")</f>
        <v>Epic</v>
      </c>
      <c r="BN86" s="225" t="str">
        <f>IFERROR(__xludf.DUMMYFUNCTION("""COMPUTED_VALUE"""),"+6%")</f>
        <v>+6%</v>
      </c>
      <c r="BO86" s="225">
        <f>IFERROR(__xludf.DUMMYFUNCTION("""COMPUTED_VALUE"""),0.06)</f>
        <v>0.06</v>
      </c>
      <c r="BP86" s="225"/>
      <c r="BQ86" s="225"/>
      <c r="BR86" s="225"/>
      <c r="BS86" s="225"/>
      <c r="BT86" s="226" t="str">
        <f>IFERROR(__xludf.DUMMYFUNCTION("""COMPUTED_VALUE"""),"")</f>
        <v/>
      </c>
      <c r="BU86" s="225"/>
      <c r="BV86" s="225"/>
      <c r="BW86" s="225"/>
      <c r="BX86" s="225"/>
      <c r="BY86" s="225"/>
      <c r="BZ86" s="225"/>
    </row>
    <row r="87">
      <c r="A87" s="238" t="str">
        <f>IFERROR(__xludf.DUMMYFUNCTION("""COMPUTED_VALUE"""),"Swamp Rend")</f>
        <v>Swamp Rend</v>
      </c>
      <c r="B87" s="239">
        <f>IFERROR(__xludf.DUMMYFUNCTION("""COMPUTED_VALUE"""),0.0)</f>
        <v>0</v>
      </c>
      <c r="C87" s="225"/>
      <c r="D87" s="240">
        <f>IFERROR(__xludf.DUMMYFUNCTION("""COMPUTED_VALUE"""),30.0)</f>
        <v>30</v>
      </c>
      <c r="E87" s="225"/>
      <c r="F87" s="225"/>
      <c r="G87" s="225"/>
      <c r="H87" s="225"/>
      <c r="I87" s="225"/>
      <c r="J87" s="225"/>
      <c r="K87" s="244"/>
      <c r="L87" s="225"/>
      <c r="M87" s="225"/>
      <c r="N87" s="225"/>
      <c r="O87" s="225"/>
      <c r="P87" s="225"/>
      <c r="Q87" s="227"/>
      <c r="R87" s="234"/>
      <c r="S87" s="225"/>
      <c r="T87" s="225"/>
      <c r="U87" s="225"/>
      <c r="V87" s="225"/>
      <c r="W87" s="225"/>
      <c r="X87" s="225"/>
      <c r="Y87" s="229"/>
      <c r="Z87" s="257"/>
      <c r="AA87" s="225"/>
      <c r="AB87" s="257"/>
      <c r="AC87" s="257"/>
      <c r="AD87" s="226"/>
      <c r="AE87" s="259"/>
      <c r="AF87" s="347"/>
      <c r="AG87" s="232"/>
      <c r="AH87" s="257"/>
      <c r="AI87" s="225"/>
      <c r="AJ87" s="267"/>
      <c r="AK87" s="259"/>
      <c r="AL87" s="226"/>
      <c r="AM87" s="225"/>
      <c r="AN87" s="225"/>
      <c r="AO87" s="254"/>
      <c r="AP87" s="225"/>
      <c r="AQ87" s="225"/>
      <c r="AR87" s="226"/>
      <c r="AS87" s="225"/>
      <c r="AT87" s="225"/>
      <c r="AU87" s="225"/>
      <c r="AV87" s="225"/>
      <c r="AW87" s="225"/>
      <c r="AX87" s="226"/>
      <c r="AY87" s="225"/>
      <c r="AZ87" s="225"/>
      <c r="BA87" s="226"/>
      <c r="BB87" s="225"/>
      <c r="BC87" s="225"/>
      <c r="BD87" s="225"/>
      <c r="BE87" s="225" t="str">
        <f>IFERROR(__xludf.DUMMYFUNCTION("""COMPUTED_VALUE"""),"")</f>
        <v/>
      </c>
      <c r="BF87" s="225"/>
      <c r="BG87" s="225" t="str">
        <f>IFERROR(__xludf.DUMMYFUNCTION("""COMPUTED_VALUE"""),"Thorns Damage")</f>
        <v>Thorns Damage</v>
      </c>
      <c r="BH87" s="225" t="str">
        <f>IFERROR(__xludf.DUMMYFUNCTION("""COMPUTED_VALUE"""),"Ancestral")</f>
        <v>Ancestral</v>
      </c>
      <c r="BI87" s="225" t="str">
        <f>IFERROR(__xludf.DUMMYFUNCTION("""COMPUTED_VALUE"""),"+10%")</f>
        <v>+10%</v>
      </c>
      <c r="BJ87" s="225">
        <f>IFERROR(__xludf.DUMMYFUNCTION("""COMPUTED_VALUE"""),0.1)</f>
        <v>0.1</v>
      </c>
      <c r="BK87" s="225"/>
      <c r="BL87" s="225" t="str">
        <f>IFERROR(__xludf.DUMMYFUNCTION("""COMPUTED_VALUE"""),"Package Chance")</f>
        <v>Package Chance</v>
      </c>
      <c r="BM87" s="225" t="str">
        <f>IFERROR(__xludf.DUMMYFUNCTION("""COMPUTED_VALUE"""),"Mythic")</f>
        <v>Mythic</v>
      </c>
      <c r="BN87" s="225" t="str">
        <f>IFERROR(__xludf.DUMMYFUNCTION("""COMPUTED_VALUE"""),"+11%")</f>
        <v>+11%</v>
      </c>
      <c r="BO87" s="225">
        <f>IFERROR(__xludf.DUMMYFUNCTION("""COMPUTED_VALUE"""),0.11)</f>
        <v>0.11</v>
      </c>
      <c r="BP87" s="225"/>
      <c r="BQ87" s="225"/>
      <c r="BR87" s="225"/>
      <c r="BS87" s="225"/>
      <c r="BT87" s="226" t="str">
        <f>IFERROR(__xludf.DUMMYFUNCTION("""COMPUTED_VALUE"""),"")</f>
        <v/>
      </c>
      <c r="BU87" s="225"/>
      <c r="BV87" s="225"/>
      <c r="BW87" s="225"/>
      <c r="BX87" s="225"/>
      <c r="BY87" s="225"/>
      <c r="BZ87" s="225"/>
    </row>
    <row r="88">
      <c r="A88" s="238" t="str">
        <f>IFERROR(__xludf.DUMMYFUNCTION("""COMPUTED_VALUE"""),"Swamp Rend - Additional Enemies")</f>
        <v>Swamp Rend - Additional Enemies</v>
      </c>
      <c r="B88" s="239">
        <f>IFERROR(__xludf.DUMMYFUNCTION("""COMPUTED_VALUE"""),0.0)</f>
        <v>0</v>
      </c>
      <c r="C88" s="225"/>
      <c r="D88" s="240">
        <f>IFERROR(__xludf.DUMMYFUNCTION("""COMPUTED_VALUE"""),6.0)</f>
        <v>6</v>
      </c>
      <c r="E88" s="225"/>
      <c r="F88" s="225"/>
      <c r="G88" s="225"/>
      <c r="H88" s="225"/>
      <c r="I88" s="225"/>
      <c r="J88" s="225"/>
      <c r="K88" s="244"/>
      <c r="L88" s="225"/>
      <c r="M88" s="225"/>
      <c r="N88" s="225"/>
      <c r="O88" s="225"/>
      <c r="P88" s="225"/>
      <c r="Q88" s="227"/>
      <c r="R88" s="234"/>
      <c r="S88" s="225"/>
      <c r="T88" s="225"/>
      <c r="U88" s="225"/>
      <c r="V88" s="225"/>
      <c r="W88" s="225"/>
      <c r="X88" s="225"/>
      <c r="Y88" s="229"/>
      <c r="Z88" s="257"/>
      <c r="AA88" s="225"/>
      <c r="AB88" s="257"/>
      <c r="AC88" s="257"/>
      <c r="AD88" s="226"/>
      <c r="AE88" s="259"/>
      <c r="AF88" s="347"/>
      <c r="AG88" s="232"/>
      <c r="AH88" s="257"/>
      <c r="AI88" s="225"/>
      <c r="AJ88" s="267"/>
      <c r="AK88" s="259"/>
      <c r="AL88" s="226"/>
      <c r="AM88" s="225"/>
      <c r="AN88" s="225"/>
      <c r="AO88" s="254"/>
      <c r="AP88" s="225"/>
      <c r="AQ88" s="225"/>
      <c r="AR88" s="226"/>
      <c r="AS88" s="225"/>
      <c r="AT88" s="225"/>
      <c r="AU88" s="225"/>
      <c r="AV88" s="225"/>
      <c r="AW88" s="225"/>
      <c r="AX88" s="226"/>
      <c r="AY88" s="225"/>
      <c r="AZ88" s="225"/>
      <c r="BA88" s="226"/>
      <c r="BB88" s="225"/>
      <c r="BC88" s="225"/>
      <c r="BD88" s="225"/>
      <c r="BE88" s="225" t="str">
        <f>IFERROR(__xludf.DUMMYFUNCTION("""COMPUTED_VALUE"""),"")</f>
        <v/>
      </c>
      <c r="BF88" s="225"/>
      <c r="BG88" s="225" t="str">
        <f>IFERROR(__xludf.DUMMYFUNCTION("""COMPUTED_VALUE"""),"Orb Speed")</f>
        <v>Orb Speed</v>
      </c>
      <c r="BH88" s="225" t="str">
        <f>IFERROR(__xludf.DUMMYFUNCTION("""COMPUTED_VALUE"""),"Epic")</f>
        <v>Epic</v>
      </c>
      <c r="BI88" s="225" t="str">
        <f>IFERROR(__xludf.DUMMYFUNCTION("""COMPUTED_VALUE"""),"+1")</f>
        <v>+1</v>
      </c>
      <c r="BJ88" s="225">
        <f>IFERROR(__xludf.DUMMYFUNCTION("""COMPUTED_VALUE"""),1.0)</f>
        <v>1</v>
      </c>
      <c r="BK88" s="225"/>
      <c r="BL88" s="225"/>
      <c r="BM88" s="225"/>
      <c r="BN88" s="225"/>
      <c r="BO88" s="225" t="str">
        <f>IFERROR(__xludf.DUMMYFUNCTION("""COMPUTED_VALUE"""),"")</f>
        <v/>
      </c>
      <c r="BP88" s="225"/>
      <c r="BQ88" s="225"/>
      <c r="BR88" s="225"/>
      <c r="BS88" s="225"/>
      <c r="BT88" s="226" t="str">
        <f>IFERROR(__xludf.DUMMYFUNCTION("""COMPUTED_VALUE"""),"")</f>
        <v/>
      </c>
      <c r="BU88" s="225"/>
      <c r="BV88" s="225"/>
      <c r="BW88" s="225"/>
      <c r="BX88" s="225"/>
      <c r="BY88" s="225"/>
      <c r="BZ88" s="225"/>
    </row>
    <row r="89">
      <c r="A89" s="238" t="str">
        <f>IFERROR(__xludf.DUMMYFUNCTION("""COMPUTED_VALUE"""),"Chain Thunder")</f>
        <v>Chain Thunder</v>
      </c>
      <c r="B89" s="239">
        <f>IFERROR(__xludf.DUMMYFUNCTION("""COMPUTED_VALUE"""),12.0)</f>
        <v>12</v>
      </c>
      <c r="C89" s="225"/>
      <c r="D89" s="240">
        <f>IFERROR(__xludf.DUMMYFUNCTION("""COMPUTED_VALUE"""),30.0)</f>
        <v>30</v>
      </c>
      <c r="E89" s="225"/>
      <c r="F89" s="225"/>
      <c r="G89" s="225"/>
      <c r="H89" s="225"/>
      <c r="I89" s="225"/>
      <c r="J89" s="225"/>
      <c r="K89" s="244"/>
      <c r="L89" s="225"/>
      <c r="M89" s="225"/>
      <c r="N89" s="225"/>
      <c r="O89" s="225"/>
      <c r="P89" s="225"/>
      <c r="Q89" s="227"/>
      <c r="R89" s="234"/>
      <c r="S89" s="225"/>
      <c r="T89" s="225"/>
      <c r="U89" s="225"/>
      <c r="V89" s="225"/>
      <c r="W89" s="225"/>
      <c r="X89" s="225"/>
      <c r="Y89" s="229"/>
      <c r="Z89" s="257"/>
      <c r="AA89" s="225"/>
      <c r="AB89" s="257"/>
      <c r="AC89" s="257"/>
      <c r="AD89" s="226"/>
      <c r="AE89" s="259"/>
      <c r="AF89" s="347"/>
      <c r="AG89" s="232"/>
      <c r="AH89" s="257"/>
      <c r="AI89" s="225"/>
      <c r="AJ89" s="267"/>
      <c r="AK89" s="259"/>
      <c r="AL89" s="226"/>
      <c r="AM89" s="225"/>
      <c r="AN89" s="225"/>
      <c r="AO89" s="254"/>
      <c r="AP89" s="225"/>
      <c r="AQ89" s="225"/>
      <c r="AR89" s="226"/>
      <c r="AS89" s="225"/>
      <c r="AT89" s="225"/>
      <c r="AU89" s="225"/>
      <c r="AV89" s="225"/>
      <c r="AW89" s="225"/>
      <c r="AX89" s="226"/>
      <c r="AY89" s="225"/>
      <c r="AZ89" s="225"/>
      <c r="BA89" s="226"/>
      <c r="BB89" s="225"/>
      <c r="BC89" s="225"/>
      <c r="BD89" s="225"/>
      <c r="BE89" s="225" t="str">
        <f>IFERROR(__xludf.DUMMYFUNCTION("""COMPUTED_VALUE"""),"")</f>
        <v/>
      </c>
      <c r="BF89" s="225"/>
      <c r="BG89" s="225"/>
      <c r="BH89" s="225"/>
      <c r="BI89" s="225"/>
      <c r="BJ89" s="225" t="str">
        <f>IFERROR(__xludf.DUMMYFUNCTION("""COMPUTED_VALUE"""),"")</f>
        <v/>
      </c>
      <c r="BK89" s="225"/>
      <c r="BL89" s="225"/>
      <c r="BM89" s="225"/>
      <c r="BN89" s="225"/>
      <c r="BO89" s="225" t="str">
        <f>IFERROR(__xludf.DUMMYFUNCTION("""COMPUTED_VALUE"""),"")</f>
        <v/>
      </c>
      <c r="BP89" s="225"/>
      <c r="BQ89" s="225"/>
      <c r="BR89" s="225"/>
      <c r="BS89" s="225"/>
      <c r="BT89" s="226" t="str">
        <f>IFERROR(__xludf.DUMMYFUNCTION("""COMPUTED_VALUE"""),"")</f>
        <v/>
      </c>
      <c r="BU89" s="225"/>
      <c r="BV89" s="225"/>
      <c r="BW89" s="225"/>
      <c r="BX89" s="225"/>
      <c r="BY89" s="225"/>
      <c r="BZ89" s="225"/>
    </row>
    <row r="90">
      <c r="A90" s="238" t="str">
        <f>IFERROR(__xludf.DUMMYFUNCTION("""COMPUTED_VALUE"""),"Lightning Amplifier - Scatter")</f>
        <v>Lightning Amplifier - Scatter</v>
      </c>
      <c r="B90" s="239">
        <f>IFERROR(__xludf.DUMMYFUNCTION("""COMPUTED_VALUE"""),9.0)</f>
        <v>9</v>
      </c>
      <c r="C90" s="225"/>
      <c r="D90" s="240">
        <f>IFERROR(__xludf.DUMMYFUNCTION("""COMPUTED_VALUE"""),30.0)</f>
        <v>30</v>
      </c>
      <c r="E90" s="225"/>
      <c r="F90" s="225"/>
      <c r="G90" s="225"/>
      <c r="H90" s="225"/>
      <c r="I90" s="225"/>
      <c r="J90" s="225"/>
      <c r="K90" s="244"/>
      <c r="L90" s="225"/>
      <c r="M90" s="225"/>
      <c r="N90" s="225"/>
      <c r="O90" s="225"/>
      <c r="P90" s="225"/>
      <c r="Q90" s="227"/>
      <c r="R90" s="234"/>
      <c r="S90" s="225"/>
      <c r="T90" s="225"/>
      <c r="U90" s="225"/>
      <c r="V90" s="225"/>
      <c r="W90" s="225"/>
      <c r="X90" s="225"/>
      <c r="Y90" s="229"/>
      <c r="Z90" s="257"/>
      <c r="AA90" s="225"/>
      <c r="AB90" s="257"/>
      <c r="AC90" s="257"/>
      <c r="AD90" s="226"/>
      <c r="AE90" s="259"/>
      <c r="AF90" s="347"/>
      <c r="AG90" s="232"/>
      <c r="AH90" s="257"/>
      <c r="AI90" s="225"/>
      <c r="AJ90" s="267"/>
      <c r="AK90" s="259"/>
      <c r="AL90" s="226"/>
      <c r="AM90" s="225"/>
      <c r="AN90" s="225"/>
      <c r="AO90" s="254"/>
      <c r="AP90" s="225"/>
      <c r="AQ90" s="225"/>
      <c r="AR90" s="226"/>
      <c r="AS90" s="225"/>
      <c r="AT90" s="225"/>
      <c r="AU90" s="225"/>
      <c r="AV90" s="225"/>
      <c r="AW90" s="225"/>
      <c r="AX90" s="226"/>
      <c r="AY90" s="225"/>
      <c r="AZ90" s="225"/>
      <c r="BA90" s="226"/>
      <c r="BB90" s="225"/>
      <c r="BC90" s="225"/>
      <c r="BD90" s="225"/>
      <c r="BE90" s="225" t="str">
        <f>IFERROR(__xludf.DUMMYFUNCTION("""COMPUTED_VALUE"""),"")</f>
        <v/>
      </c>
      <c r="BF90" s="225"/>
      <c r="BG90" s="225"/>
      <c r="BH90" s="225"/>
      <c r="BI90" s="225"/>
      <c r="BJ90" s="225" t="str">
        <f>IFERROR(__xludf.DUMMYFUNCTION("""COMPUTED_VALUE"""),"")</f>
        <v/>
      </c>
      <c r="BK90" s="225"/>
      <c r="BL90" s="225"/>
      <c r="BM90" s="225"/>
      <c r="BN90" s="225"/>
      <c r="BO90" s="225" t="str">
        <f>IFERROR(__xludf.DUMMYFUNCTION("""COMPUTED_VALUE"""),"")</f>
        <v/>
      </c>
      <c r="BP90" s="225"/>
      <c r="BQ90" s="225"/>
      <c r="BR90" s="225"/>
      <c r="BS90" s="225"/>
      <c r="BT90" s="226" t="str">
        <f>IFERROR(__xludf.DUMMYFUNCTION("""COMPUTED_VALUE"""),"")</f>
        <v/>
      </c>
      <c r="BU90" s="225"/>
      <c r="BV90" s="225"/>
      <c r="BW90" s="225"/>
      <c r="BX90" s="225"/>
      <c r="BY90" s="225"/>
      <c r="BZ90" s="225"/>
    </row>
    <row r="91">
      <c r="A91" s="238" t="str">
        <f>IFERROR(__xludf.DUMMYFUNCTION("""COMPUTED_VALUE"""),"Death Wave Cells Bonus")</f>
        <v>Death Wave Cells Bonus</v>
      </c>
      <c r="B91" s="239">
        <f>IFERROR(__xludf.DUMMYFUNCTION("""COMPUTED_VALUE"""),20.0)</f>
        <v>20</v>
      </c>
      <c r="C91" s="225"/>
      <c r="D91" s="240">
        <f>IFERROR(__xludf.DUMMYFUNCTION("""COMPUTED_VALUE"""),20.0)</f>
        <v>20</v>
      </c>
      <c r="E91" s="225"/>
      <c r="F91" s="225"/>
      <c r="G91" s="225"/>
      <c r="H91" s="225"/>
      <c r="I91" s="225"/>
      <c r="J91" s="225"/>
      <c r="K91" s="244"/>
      <c r="L91" s="225"/>
      <c r="M91" s="225"/>
      <c r="N91" s="225"/>
      <c r="O91" s="225"/>
      <c r="P91" s="225"/>
      <c r="Q91" s="227"/>
      <c r="R91" s="234"/>
      <c r="S91" s="225"/>
      <c r="T91" s="225"/>
      <c r="U91" s="225"/>
      <c r="V91" s="225"/>
      <c r="W91" s="225"/>
      <c r="X91" s="225"/>
      <c r="Y91" s="229"/>
      <c r="Z91" s="257"/>
      <c r="AA91" s="225"/>
      <c r="AB91" s="257"/>
      <c r="AC91" s="257"/>
      <c r="AD91" s="226"/>
      <c r="AE91" s="259"/>
      <c r="AF91" s="347"/>
      <c r="AG91" s="232"/>
      <c r="AH91" s="257"/>
      <c r="AI91" s="225"/>
      <c r="AJ91" s="267"/>
      <c r="AK91" s="259"/>
      <c r="AL91" s="226"/>
      <c r="AM91" s="225"/>
      <c r="AN91" s="225"/>
      <c r="AO91" s="254"/>
      <c r="AP91" s="225"/>
      <c r="AQ91" s="225"/>
      <c r="AR91" s="226"/>
      <c r="AS91" s="225"/>
      <c r="AT91" s="225"/>
      <c r="AU91" s="225"/>
      <c r="AV91" s="225"/>
      <c r="AW91" s="225"/>
      <c r="AX91" s="226"/>
      <c r="AY91" s="225"/>
      <c r="AZ91" s="225"/>
      <c r="BA91" s="226"/>
      <c r="BB91" s="225"/>
      <c r="BC91" s="225"/>
      <c r="BD91" s="225"/>
      <c r="BE91" s="225"/>
      <c r="BF91" s="225"/>
      <c r="BG91" s="225"/>
      <c r="BH91" s="225"/>
      <c r="BI91" s="225"/>
      <c r="BJ91" s="225"/>
      <c r="BK91" s="225"/>
      <c r="BL91" s="225"/>
      <c r="BM91" s="225"/>
      <c r="BN91" s="225"/>
      <c r="BO91" s="225"/>
      <c r="BP91" s="225"/>
      <c r="BQ91" s="225"/>
      <c r="BR91" s="225"/>
      <c r="BS91" s="225"/>
      <c r="BT91" s="226"/>
      <c r="BU91" s="225"/>
      <c r="BV91" s="225"/>
      <c r="BW91" s="225"/>
      <c r="BX91" s="225"/>
      <c r="BY91" s="225"/>
      <c r="BZ91" s="225"/>
    </row>
    <row r="92">
      <c r="A92" s="288" t="str">
        <f>IFERROR(__xludf.DUMMYFUNCTION("""COMPUTED_VALUE"""),"Death Wave Damage Amplifier")</f>
        <v>Death Wave Damage Amplifier</v>
      </c>
      <c r="B92" s="239">
        <f>IFERROR(__xludf.DUMMYFUNCTION("""COMPUTED_VALUE"""),2.0)</f>
        <v>2</v>
      </c>
      <c r="C92" s="225"/>
      <c r="D92" s="240">
        <f>IFERROR(__xludf.DUMMYFUNCTION("""COMPUTED_VALUE"""),30.0)</f>
        <v>30</v>
      </c>
      <c r="E92" s="225"/>
      <c r="F92" s="225"/>
      <c r="G92" s="225"/>
      <c r="H92" s="225"/>
      <c r="I92" s="225"/>
      <c r="J92" s="225"/>
      <c r="K92" s="244"/>
      <c r="L92" s="225"/>
      <c r="M92" s="225"/>
      <c r="N92" s="225"/>
      <c r="O92" s="225"/>
      <c r="P92" s="225"/>
      <c r="Q92" s="227"/>
      <c r="R92" s="234"/>
      <c r="S92" s="225"/>
      <c r="T92" s="225"/>
      <c r="U92" s="225"/>
      <c r="V92" s="225"/>
      <c r="W92" s="225"/>
      <c r="X92" s="225"/>
      <c r="Y92" s="229"/>
      <c r="Z92" s="257"/>
      <c r="AA92" s="225"/>
      <c r="AB92" s="257"/>
      <c r="AC92" s="257"/>
      <c r="AD92" s="226"/>
      <c r="AE92" s="259"/>
      <c r="AF92" s="347"/>
      <c r="AG92" s="232"/>
      <c r="AH92" s="257"/>
      <c r="AI92" s="225"/>
      <c r="AJ92" s="267"/>
      <c r="AK92" s="259"/>
      <c r="AL92" s="226"/>
      <c r="AM92" s="225"/>
      <c r="AN92" s="225"/>
      <c r="AO92" s="254"/>
      <c r="AP92" s="225"/>
      <c r="AQ92" s="225"/>
      <c r="AR92" s="226"/>
      <c r="AS92" s="225"/>
      <c r="AT92" s="225"/>
      <c r="AU92" s="225"/>
      <c r="AV92" s="225"/>
      <c r="AW92" s="225"/>
      <c r="AX92" s="226"/>
      <c r="AY92" s="225"/>
      <c r="AZ92" s="225"/>
      <c r="BA92" s="226"/>
      <c r="BB92" s="225" t="str">
        <f>IFERROR(__xludf.DUMMYFUNCTION("""COMPUTED_VALUE"""),"Amplifying Strike")</f>
        <v>Amplifying Strike</v>
      </c>
      <c r="BC92" s="225"/>
      <c r="BD92" s="225"/>
      <c r="BE92" s="225"/>
      <c r="BF92" s="225"/>
      <c r="BG92" s="225" t="str">
        <f>IFERROR(__xludf.DUMMYFUNCTION("""COMPUTED_VALUE"""),"Orbital Augment")</f>
        <v>Orbital Augment</v>
      </c>
      <c r="BH92" s="225"/>
      <c r="BI92" s="225"/>
      <c r="BJ92" s="225"/>
      <c r="BK92" s="225"/>
      <c r="BL92" s="225" t="str">
        <f>IFERROR(__xludf.DUMMYFUNCTION("""COMPUTED_VALUE"""),"Restorative Bonus")</f>
        <v>Restorative Bonus</v>
      </c>
      <c r="BM92" s="225"/>
      <c r="BN92" s="225"/>
      <c r="BO92" s="225"/>
      <c r="BP92" s="225"/>
      <c r="BQ92" s="225" t="str">
        <f>IFERROR(__xludf.DUMMYFUNCTION("""COMPUTED_VALUE"""),"Primordial Collapse")</f>
        <v>Primordial Collapse</v>
      </c>
      <c r="BR92" s="225"/>
      <c r="BS92" s="225"/>
      <c r="BT92" s="226"/>
      <c r="BU92" s="225"/>
      <c r="BV92" s="225"/>
      <c r="BW92" s="225"/>
      <c r="BX92" s="225"/>
      <c r="BY92" s="225"/>
      <c r="BZ92" s="225"/>
    </row>
    <row r="93">
      <c r="A93" s="238" t="str">
        <f>IFERROR(__xludf.DUMMYFUNCTION("""COMPUTED_VALUE"""),"Death Wave Armor Stripping")</f>
        <v>Death Wave Armor Stripping</v>
      </c>
      <c r="B93" s="239">
        <f>IFERROR(__xludf.DUMMYFUNCTION("""COMPUTED_VALUE"""),0.0)</f>
        <v>0</v>
      </c>
      <c r="C93" s="225"/>
      <c r="D93" s="240">
        <f>IFERROR(__xludf.DUMMYFUNCTION("""COMPUTED_VALUE"""),10.0)</f>
        <v>10</v>
      </c>
      <c r="E93" s="225"/>
      <c r="F93" s="225"/>
      <c r="G93" s="225"/>
      <c r="H93" s="225"/>
      <c r="I93" s="225"/>
      <c r="J93" s="225"/>
      <c r="K93" s="244"/>
      <c r="L93" s="225"/>
      <c r="M93" s="225"/>
      <c r="N93" s="225"/>
      <c r="O93" s="225"/>
      <c r="P93" s="225"/>
      <c r="Q93" s="227"/>
      <c r="R93" s="234"/>
      <c r="S93" s="225"/>
      <c r="T93" s="225"/>
      <c r="U93" s="225"/>
      <c r="V93" s="225"/>
      <c r="W93" s="225"/>
      <c r="X93" s="225"/>
      <c r="Y93" s="229"/>
      <c r="Z93" s="257"/>
      <c r="AA93" s="225"/>
      <c r="AB93" s="257"/>
      <c r="AC93" s="257"/>
      <c r="AD93" s="226"/>
      <c r="AE93" s="259"/>
      <c r="AF93" s="347"/>
      <c r="AG93" s="232"/>
      <c r="AH93" s="257"/>
      <c r="AI93" s="225"/>
      <c r="AJ93" s="267"/>
      <c r="AK93" s="259"/>
      <c r="AL93" s="226"/>
      <c r="AM93" s="225"/>
      <c r="AN93" s="225"/>
      <c r="AO93" s="254"/>
      <c r="AP93" s="225"/>
      <c r="AQ93" s="225"/>
      <c r="AR93" s="226"/>
      <c r="AS93" s="225"/>
      <c r="AT93" s="225"/>
      <c r="AU93" s="225"/>
      <c r="AV93" s="225"/>
      <c r="AW93" s="225"/>
      <c r="AX93" s="226"/>
      <c r="AY93" s="225"/>
      <c r="AZ93" s="225"/>
      <c r="BA93" s="226"/>
      <c r="BB93" s="225" t="str">
        <f>IFERROR(__xludf.DUMMYFUNCTION("""COMPUTED_VALUE"""),"Rarity")</f>
        <v>Rarity</v>
      </c>
      <c r="BC93" s="225" t="str">
        <f>IFERROR(__xludf.DUMMYFUNCTION("""COMPUTED_VALUE"""),"Level")</f>
        <v>Level</v>
      </c>
      <c r="BD93" s="225" t="str">
        <f>IFERROR(__xludf.DUMMYFUNCTION("""COMPUTED_VALUE"""),"Stat")</f>
        <v>Stat</v>
      </c>
      <c r="BE93" s="225"/>
      <c r="BF93" s="225"/>
      <c r="BG93" s="225" t="str">
        <f>IFERROR(__xludf.DUMMYFUNCTION("""COMPUTED_VALUE"""),"Rarity")</f>
        <v>Rarity</v>
      </c>
      <c r="BH93" s="225" t="str">
        <f>IFERROR(__xludf.DUMMYFUNCTION("""COMPUTED_VALUE"""),"Level")</f>
        <v>Level</v>
      </c>
      <c r="BI93" s="225" t="str">
        <f>IFERROR(__xludf.DUMMYFUNCTION("""COMPUTED_VALUE"""),"Stat")</f>
        <v>Stat</v>
      </c>
      <c r="BJ93" s="225"/>
      <c r="BK93" s="225"/>
      <c r="BL93" s="225" t="str">
        <f>IFERROR(__xludf.DUMMYFUNCTION("""COMPUTED_VALUE"""),"Rarity")</f>
        <v>Rarity</v>
      </c>
      <c r="BM93" s="225" t="str">
        <f>IFERROR(__xludf.DUMMYFUNCTION("""COMPUTED_VALUE"""),"Level")</f>
        <v>Level</v>
      </c>
      <c r="BN93" s="225" t="str">
        <f>IFERROR(__xludf.DUMMYFUNCTION("""COMPUTED_VALUE"""),"Stat")</f>
        <v>Stat</v>
      </c>
      <c r="BO93" s="225"/>
      <c r="BP93" s="225"/>
      <c r="BQ93" s="225" t="str">
        <f>IFERROR(__xludf.DUMMYFUNCTION("""COMPUTED_VALUE"""),"Rarity")</f>
        <v>Rarity</v>
      </c>
      <c r="BR93" s="225" t="str">
        <f>IFERROR(__xludf.DUMMYFUNCTION("""COMPUTED_VALUE"""),"Level")</f>
        <v>Level</v>
      </c>
      <c r="BS93" s="225" t="str">
        <f>IFERROR(__xludf.DUMMYFUNCTION("""COMPUTED_VALUE"""),"Stat")</f>
        <v>Stat</v>
      </c>
      <c r="BT93" s="226"/>
      <c r="BU93" s="225"/>
      <c r="BV93" s="225"/>
      <c r="BW93" s="225"/>
      <c r="BX93" s="225"/>
      <c r="BY93" s="225"/>
      <c r="BZ93" s="225"/>
    </row>
    <row r="94">
      <c r="A94" s="288" t="str">
        <f>IFERROR(__xludf.DUMMYFUNCTION("""COMPUTED_VALUE"""),"Inner Land Mine - Chrono Jump")</f>
        <v>Inner Land Mine - Chrono Jump</v>
      </c>
      <c r="B94" s="239">
        <f>IFERROR(__xludf.DUMMYFUNCTION("""COMPUTED_VALUE"""),0.0)</f>
        <v>0</v>
      </c>
      <c r="C94" s="225"/>
      <c r="D94" s="240">
        <f>IFERROR(__xludf.DUMMYFUNCTION("""COMPUTED_VALUE"""),10.0)</f>
        <v>10</v>
      </c>
      <c r="E94" s="225"/>
      <c r="F94" s="225"/>
      <c r="G94" s="225"/>
      <c r="H94" s="225"/>
      <c r="I94" s="225"/>
      <c r="J94" s="225"/>
      <c r="K94" s="244"/>
      <c r="L94" s="225"/>
      <c r="M94" s="225"/>
      <c r="N94" s="225"/>
      <c r="O94" s="225"/>
      <c r="P94" s="225"/>
      <c r="Q94" s="227"/>
      <c r="R94" s="234"/>
      <c r="S94" s="225"/>
      <c r="T94" s="225"/>
      <c r="U94" s="225"/>
      <c r="V94" s="225"/>
      <c r="W94" s="225"/>
      <c r="X94" s="225"/>
      <c r="Y94" s="229"/>
      <c r="Z94" s="257"/>
      <c r="AA94" s="225"/>
      <c r="AB94" s="257"/>
      <c r="AC94" s="257"/>
      <c r="AD94" s="226"/>
      <c r="AE94" s="259"/>
      <c r="AF94" s="347"/>
      <c r="AG94" s="232"/>
      <c r="AH94" s="257"/>
      <c r="AI94" s="225"/>
      <c r="AJ94" s="267"/>
      <c r="AK94" s="259"/>
      <c r="AL94" s="226"/>
      <c r="AM94" s="225"/>
      <c r="AN94" s="225"/>
      <c r="AO94" s="254"/>
      <c r="AP94" s="225"/>
      <c r="AQ94" s="225"/>
      <c r="AR94" s="226"/>
      <c r="AS94" s="225"/>
      <c r="AT94" s="225"/>
      <c r="AU94" s="225"/>
      <c r="AV94" s="225"/>
      <c r="AW94" s="225"/>
      <c r="AX94" s="226"/>
      <c r="AY94" s="225"/>
      <c r="AZ94" s="225"/>
      <c r="BA94" s="226"/>
      <c r="BB94" s="225" t="str">
        <f>IFERROR(__xludf.DUMMYFUNCTION("""COMPUTED_VALUE"""),"Ancestral")</f>
        <v>Ancestral</v>
      </c>
      <c r="BC94" s="225">
        <f>IFERROR(__xludf.DUMMYFUNCTION("""COMPUTED_VALUE"""),164.0)</f>
        <v>164</v>
      </c>
      <c r="BD94" s="282">
        <f>IFERROR(__xludf.DUMMYFUNCTION("""COMPUTED_VALUE"""),9.04)</f>
        <v>9.04</v>
      </c>
      <c r="BE94" s="225"/>
      <c r="BF94" s="225"/>
      <c r="BG94" s="225" t="str">
        <f>IFERROR(__xludf.DUMMYFUNCTION("""COMPUTED_VALUE"""),"Ancestral 1*")</f>
        <v>Ancestral 1*</v>
      </c>
      <c r="BH94" s="225">
        <f>IFERROR(__xludf.DUMMYFUNCTION("""COMPUTED_VALUE"""),163.0)</f>
        <v>163</v>
      </c>
      <c r="BI94" s="282">
        <f>IFERROR(__xludf.DUMMYFUNCTION("""COMPUTED_VALUE"""),9.154)</f>
        <v>9.154</v>
      </c>
      <c r="BJ94" s="225"/>
      <c r="BK94" s="225"/>
      <c r="BL94" s="225" t="str">
        <f>IFERROR(__xludf.DUMMYFUNCTION("""COMPUTED_VALUE"""),"Mythic+")</f>
        <v>Mythic+</v>
      </c>
      <c r="BM94" s="225">
        <f>IFERROR(__xludf.DUMMYFUNCTION("""COMPUTED_VALUE"""),160.0)</f>
        <v>160</v>
      </c>
      <c r="BN94" s="282">
        <f>IFERROR(__xludf.DUMMYFUNCTION("""COMPUTED_VALUE"""),1.665)</f>
        <v>1.665</v>
      </c>
      <c r="BO94" s="225"/>
      <c r="BP94" s="225"/>
      <c r="BQ94" s="225" t="str">
        <f>IFERROR(__xludf.DUMMYFUNCTION("""COMPUTED_VALUE"""),"Ancestral 2*")</f>
        <v>Ancestral 2*</v>
      </c>
      <c r="BR94" s="225">
        <f>IFERROR(__xludf.DUMMYFUNCTION("""COMPUTED_VALUE"""),159.0)</f>
        <v>159</v>
      </c>
      <c r="BS94" s="282">
        <f>IFERROR(__xludf.DUMMYFUNCTION("""COMPUTED_VALUE"""),11.692)</f>
        <v>11.692</v>
      </c>
      <c r="BT94" s="226"/>
      <c r="BU94" s="225"/>
      <c r="BV94" s="225"/>
      <c r="BW94" s="225"/>
      <c r="BX94" s="225"/>
      <c r="BY94" s="225"/>
      <c r="BZ94" s="225"/>
    </row>
    <row r="95">
      <c r="A95" s="238" t="str">
        <f>IFERROR(__xludf.DUMMYFUNCTION("""COMPUTED_VALUE"""),"Second Wind Blast")</f>
        <v>Second Wind Blast</v>
      </c>
      <c r="B95" s="239">
        <f>IFERROR(__xludf.DUMMYFUNCTION("""COMPUTED_VALUE"""),4.0)</f>
        <v>4</v>
      </c>
      <c r="C95" s="225"/>
      <c r="D95" s="240">
        <f>IFERROR(__xludf.DUMMYFUNCTION("""COMPUTED_VALUE"""),4.0)</f>
        <v>4</v>
      </c>
      <c r="E95" s="225"/>
      <c r="F95" s="225"/>
      <c r="G95" s="225"/>
      <c r="H95" s="225"/>
      <c r="I95" s="225"/>
      <c r="J95" s="225"/>
      <c r="K95" s="244"/>
      <c r="L95" s="225"/>
      <c r="M95" s="225"/>
      <c r="N95" s="225"/>
      <c r="O95" s="225"/>
      <c r="P95" s="225"/>
      <c r="Q95" s="227"/>
      <c r="R95" s="234"/>
      <c r="S95" s="225"/>
      <c r="T95" s="225"/>
      <c r="U95" s="225"/>
      <c r="V95" s="225"/>
      <c r="W95" s="225"/>
      <c r="X95" s="225"/>
      <c r="Y95" s="229"/>
      <c r="Z95" s="257"/>
      <c r="AA95" s="225"/>
      <c r="AB95" s="257"/>
      <c r="AC95" s="257"/>
      <c r="AD95" s="226"/>
      <c r="AE95" s="259"/>
      <c r="AF95" s="347"/>
      <c r="AG95" s="232"/>
      <c r="AH95" s="257"/>
      <c r="AI95" s="225"/>
      <c r="AJ95" s="267"/>
      <c r="AK95" s="259"/>
      <c r="AL95" s="226"/>
      <c r="AM95" s="225"/>
      <c r="AN95" s="225"/>
      <c r="AO95" s="254"/>
      <c r="AP95" s="225"/>
      <c r="AQ95" s="225"/>
      <c r="AR95" s="226"/>
      <c r="AS95" s="225"/>
      <c r="AT95" s="225"/>
      <c r="AU95" s="225"/>
      <c r="AV95" s="225"/>
      <c r="AW95" s="225"/>
      <c r="AX95" s="226"/>
      <c r="AY95" s="225"/>
      <c r="AZ95" s="225"/>
      <c r="BA95" s="226"/>
      <c r="BB95" s="225"/>
      <c r="BC95" s="225"/>
      <c r="BD95" s="225"/>
      <c r="BE95" s="225"/>
      <c r="BF95" s="225"/>
      <c r="BG95" s="225"/>
      <c r="BH95" s="225"/>
      <c r="BI95" s="225"/>
      <c r="BJ95" s="225"/>
      <c r="BK95" s="225"/>
      <c r="BL95" s="225"/>
      <c r="BM95" s="225"/>
      <c r="BN95" s="225"/>
      <c r="BO95" s="225"/>
      <c r="BP95" s="225"/>
      <c r="BQ95" s="225"/>
      <c r="BR95" s="225"/>
      <c r="BS95" s="225"/>
      <c r="BT95" s="226"/>
      <c r="BU95" s="225"/>
      <c r="BV95" s="225"/>
      <c r="BW95" s="225"/>
      <c r="BX95" s="225"/>
      <c r="BY95" s="225"/>
      <c r="BZ95" s="225"/>
    </row>
    <row r="96">
      <c r="A96" s="238" t="str">
        <f>IFERROR(__xludf.DUMMYFUNCTION("""COMPUTED_VALUE"""),"Double Death Ray")</f>
        <v>Double Death Ray</v>
      </c>
      <c r="B96" s="239">
        <f>IFERROR(__xludf.DUMMYFUNCTION("""COMPUTED_VALUE"""),6.0)</f>
        <v>6</v>
      </c>
      <c r="C96" s="225"/>
      <c r="D96" s="240">
        <f>IFERROR(__xludf.DUMMYFUNCTION("""COMPUTED_VALUE"""),30.0)</f>
        <v>30</v>
      </c>
      <c r="E96" s="225"/>
      <c r="F96" s="225"/>
      <c r="G96" s="225"/>
      <c r="H96" s="225"/>
      <c r="I96" s="225"/>
      <c r="J96" s="225"/>
      <c r="K96" s="244"/>
      <c r="L96" s="225"/>
      <c r="M96" s="225"/>
      <c r="N96" s="225"/>
      <c r="O96" s="225"/>
      <c r="P96" s="225"/>
      <c r="Q96" s="227"/>
      <c r="R96" s="234"/>
      <c r="S96" s="225"/>
      <c r="T96" s="225"/>
      <c r="U96" s="225"/>
      <c r="V96" s="225"/>
      <c r="W96" s="225"/>
      <c r="X96" s="225"/>
      <c r="Y96" s="229"/>
      <c r="Z96" s="257"/>
      <c r="AA96" s="225"/>
      <c r="AB96" s="257"/>
      <c r="AC96" s="257"/>
      <c r="AD96" s="226"/>
      <c r="AE96" s="259"/>
      <c r="AF96" s="347"/>
      <c r="AG96" s="232"/>
      <c r="AH96" s="257"/>
      <c r="AI96" s="225"/>
      <c r="AJ96" s="267"/>
      <c r="AK96" s="259"/>
      <c r="AL96" s="226"/>
      <c r="AM96" s="225"/>
      <c r="AN96" s="225"/>
      <c r="AO96" s="254"/>
      <c r="AP96" s="225"/>
      <c r="AQ96" s="225"/>
      <c r="AR96" s="226"/>
      <c r="AS96" s="225"/>
      <c r="AT96" s="225"/>
      <c r="AU96" s="225"/>
      <c r="AV96" s="225"/>
      <c r="AW96" s="225"/>
      <c r="AX96" s="226"/>
      <c r="AY96" s="225"/>
      <c r="AZ96" s="225"/>
      <c r="BA96" s="226"/>
      <c r="BB96" s="225" t="str">
        <f>IFERROR(__xludf.DUMMYFUNCTION("""COMPUTED_VALUE"""),"Bounce Shot Chance")</f>
        <v>Bounce Shot Chance</v>
      </c>
      <c r="BC96" s="225" t="str">
        <f>IFERROR(__xludf.DUMMYFUNCTION("""COMPUTED_VALUE"""),"Mythic")</f>
        <v>Mythic</v>
      </c>
      <c r="BD96" s="225" t="str">
        <f>IFERROR(__xludf.DUMMYFUNCTION("""COMPUTED_VALUE"""),"+9%")</f>
        <v>+9%</v>
      </c>
      <c r="BE96" s="225">
        <f>IFERROR(__xludf.DUMMYFUNCTION("""COMPUTED_VALUE"""),0.09)</f>
        <v>0.09</v>
      </c>
      <c r="BF96" s="225"/>
      <c r="BG96" s="225" t="str">
        <f>IFERROR(__xludf.DUMMYFUNCTION("""COMPUTED_VALUE"""),"Defense %")</f>
        <v>Defense %</v>
      </c>
      <c r="BH96" s="225" t="str">
        <f>IFERROR(__xludf.DUMMYFUNCTION("""COMPUTED_VALUE"""),"Ancestral")</f>
        <v>Ancestral</v>
      </c>
      <c r="BI96" s="225" t="str">
        <f>IFERROR(__xludf.DUMMYFUNCTION("""COMPUTED_VALUE"""),"+8%")</f>
        <v>+8%</v>
      </c>
      <c r="BJ96" s="225">
        <f>IFERROR(__xludf.DUMMYFUNCTION("""COMPUTED_VALUE"""),0.08)</f>
        <v>0.08</v>
      </c>
      <c r="BK96" s="225"/>
      <c r="BL96" s="225" t="str">
        <f>IFERROR(__xludf.DUMMYFUNCTION("""COMPUTED_VALUE"""),"Enemy Health Level Skip")</f>
        <v>Enemy Health Level Skip</v>
      </c>
      <c r="BM96" s="225" t="str">
        <f>IFERROR(__xludf.DUMMYFUNCTION("""COMPUTED_VALUE"""),"Mythic")</f>
        <v>Mythic</v>
      </c>
      <c r="BN96" s="225" t="str">
        <f>IFERROR(__xludf.DUMMYFUNCTION("""COMPUTED_VALUE"""),"+6%")</f>
        <v>+6%</v>
      </c>
      <c r="BO96" s="225">
        <f>IFERROR(__xludf.DUMMYFUNCTION("""COMPUTED_VALUE"""),0.06)</f>
        <v>0.06</v>
      </c>
      <c r="BP96" s="225"/>
      <c r="BQ96" s="225" t="str">
        <f>IFERROR(__xludf.DUMMYFUNCTION("""COMPUTED_VALUE"""),"Black Hole - Duration")</f>
        <v>Black Hole - Duration</v>
      </c>
      <c r="BR96" s="225" t="str">
        <f>IFERROR(__xludf.DUMMYFUNCTION("""COMPUTED_VALUE"""),"Ancestral")</f>
        <v>Ancestral</v>
      </c>
      <c r="BS96" s="225" t="str">
        <f>IFERROR(__xludf.DUMMYFUNCTION("""COMPUTED_VALUE"""),"+4s")</f>
        <v>+4s</v>
      </c>
      <c r="BT96" s="226">
        <f>IFERROR(__xludf.DUMMYFUNCTION("""COMPUTED_VALUE"""),4.0)</f>
        <v>4</v>
      </c>
      <c r="BU96" s="225"/>
      <c r="BV96" s="225"/>
      <c r="BW96" s="225"/>
      <c r="BX96" s="225"/>
      <c r="BY96" s="225"/>
      <c r="BZ96" s="225"/>
    </row>
    <row r="97">
      <c r="A97" s="238" t="str">
        <f>IFERROR(__xludf.DUMMYFUNCTION("""COMPUTED_VALUE"""),"Extra Orb Adjuster")</f>
        <v>Extra Orb Adjuster</v>
      </c>
      <c r="B97" s="239">
        <f>IFERROR(__xludf.DUMMYFUNCTION("""COMPUTED_VALUE"""),1.0)</f>
        <v>1</v>
      </c>
      <c r="C97" s="225"/>
      <c r="D97" s="240">
        <f>IFERROR(__xludf.DUMMYFUNCTION("""COMPUTED_VALUE"""),1.0)</f>
        <v>1</v>
      </c>
      <c r="E97" s="225"/>
      <c r="F97" s="225"/>
      <c r="G97" s="225"/>
      <c r="H97" s="225"/>
      <c r="I97" s="225"/>
      <c r="J97" s="225"/>
      <c r="K97" s="244"/>
      <c r="L97" s="225"/>
      <c r="M97" s="225"/>
      <c r="N97" s="225"/>
      <c r="O97" s="225"/>
      <c r="P97" s="225"/>
      <c r="Q97" s="227"/>
      <c r="R97" s="234"/>
      <c r="S97" s="225"/>
      <c r="T97" s="225"/>
      <c r="U97" s="225"/>
      <c r="V97" s="225"/>
      <c r="W97" s="225"/>
      <c r="X97" s="225"/>
      <c r="Y97" s="229"/>
      <c r="Z97" s="257"/>
      <c r="AA97" s="225"/>
      <c r="AB97" s="257"/>
      <c r="AC97" s="257"/>
      <c r="AD97" s="226"/>
      <c r="AE97" s="259"/>
      <c r="AF97" s="347"/>
      <c r="AG97" s="232"/>
      <c r="AH97" s="257"/>
      <c r="AI97" s="225"/>
      <c r="AJ97" s="267"/>
      <c r="AK97" s="259"/>
      <c r="AL97" s="226"/>
      <c r="AM97" s="225"/>
      <c r="AN97" s="225"/>
      <c r="AO97" s="254"/>
      <c r="AP97" s="225"/>
      <c r="AQ97" s="225"/>
      <c r="AR97" s="226"/>
      <c r="AS97" s="225"/>
      <c r="AT97" s="225"/>
      <c r="AU97" s="225"/>
      <c r="AV97" s="225"/>
      <c r="AW97" s="225"/>
      <c r="AX97" s="226"/>
      <c r="AY97" s="225"/>
      <c r="AZ97" s="225"/>
      <c r="BA97" s="226"/>
      <c r="BB97" s="225" t="str">
        <f>IFERROR(__xludf.DUMMYFUNCTION("""COMPUTED_VALUE"""),"Attack Speed")</f>
        <v>Attack Speed</v>
      </c>
      <c r="BC97" s="225" t="str">
        <f>IFERROR(__xludf.DUMMYFUNCTION("""COMPUTED_VALUE"""),"Mythic")</f>
        <v>Mythic</v>
      </c>
      <c r="BD97" s="225" t="str">
        <f>IFERROR(__xludf.DUMMYFUNCTION("""COMPUTED_VALUE"""),"+3")</f>
        <v>+3</v>
      </c>
      <c r="BE97" s="225">
        <f>IFERROR(__xludf.DUMMYFUNCTION("""COMPUTED_VALUE"""),3.0)</f>
        <v>3</v>
      </c>
      <c r="BF97" s="225"/>
      <c r="BG97" s="225" t="str">
        <f>IFERROR(__xludf.DUMMYFUNCTION("""COMPUTED_VALUE"""),"Health Regen")</f>
        <v>Health Regen</v>
      </c>
      <c r="BH97" s="225" t="str">
        <f>IFERROR(__xludf.DUMMYFUNCTION("""COMPUTED_VALUE"""),"Ancestral")</f>
        <v>Ancestral</v>
      </c>
      <c r="BI97" s="225" t="str">
        <f>IFERROR(__xludf.DUMMYFUNCTION("""COMPUTED_VALUE"""),"+400%")</f>
        <v>+400%</v>
      </c>
      <c r="BJ97" s="225">
        <f>IFERROR(__xludf.DUMMYFUNCTION("""COMPUTED_VALUE"""),4.0)</f>
        <v>4</v>
      </c>
      <c r="BK97" s="225"/>
      <c r="BL97" s="225" t="str">
        <f>IFERROR(__xludf.DUMMYFUNCTION("""COMPUTED_VALUE"""),"Enemy Attack Level Skip")</f>
        <v>Enemy Attack Level Skip</v>
      </c>
      <c r="BM97" s="225" t="str">
        <f>IFERROR(__xludf.DUMMYFUNCTION("""COMPUTED_VALUE"""),"Mythic")</f>
        <v>Mythic</v>
      </c>
      <c r="BN97" s="225" t="str">
        <f>IFERROR(__xludf.DUMMYFUNCTION("""COMPUTED_VALUE"""),"+6%")</f>
        <v>+6%</v>
      </c>
      <c r="BO97" s="225">
        <f>IFERROR(__xludf.DUMMYFUNCTION("""COMPUTED_VALUE"""),0.06)</f>
        <v>0.06</v>
      </c>
      <c r="BP97" s="225"/>
      <c r="BQ97" s="225" t="str">
        <f>IFERROR(__xludf.DUMMYFUNCTION("""COMPUTED_VALUE"""),"Black Hole - Cooldown")</f>
        <v>Black Hole - Cooldown</v>
      </c>
      <c r="BR97" s="225" t="str">
        <f>IFERROR(__xludf.DUMMYFUNCTION("""COMPUTED_VALUE"""),"Ancestral")</f>
        <v>Ancestral</v>
      </c>
      <c r="BS97" s="225" t="str">
        <f>IFERROR(__xludf.DUMMYFUNCTION("""COMPUTED_VALUE"""),"-4s")</f>
        <v>-4s</v>
      </c>
      <c r="BT97" s="226">
        <f>IFERROR(__xludf.DUMMYFUNCTION("""COMPUTED_VALUE"""),-4.0)</f>
        <v>-4</v>
      </c>
      <c r="BU97" s="225"/>
      <c r="BV97" s="225"/>
      <c r="BW97" s="225"/>
      <c r="BX97" s="225"/>
      <c r="BY97" s="225"/>
      <c r="BZ97" s="225"/>
    </row>
    <row r="98">
      <c r="A98" s="238" t="str">
        <f>IFERROR(__xludf.DUMMYFUNCTION("""COMPUTED_VALUE"""),"Extra Extra Orbs")</f>
        <v>Extra Extra Orbs</v>
      </c>
      <c r="B98" s="239">
        <f>IFERROR(__xludf.DUMMYFUNCTION("""COMPUTED_VALUE"""),2.0)</f>
        <v>2</v>
      </c>
      <c r="C98" s="225"/>
      <c r="D98" s="240">
        <f>IFERROR(__xludf.DUMMYFUNCTION("""COMPUTED_VALUE"""),2.0)</f>
        <v>2</v>
      </c>
      <c r="E98" s="225"/>
      <c r="F98" s="225"/>
      <c r="G98" s="225"/>
      <c r="H98" s="225"/>
      <c r="I98" s="225"/>
      <c r="J98" s="225"/>
      <c r="K98" s="244"/>
      <c r="L98" s="225"/>
      <c r="M98" s="225"/>
      <c r="N98" s="225"/>
      <c r="O98" s="225"/>
      <c r="P98" s="225"/>
      <c r="Q98" s="227"/>
      <c r="R98" s="234"/>
      <c r="S98" s="225"/>
      <c r="T98" s="225"/>
      <c r="U98" s="225"/>
      <c r="V98" s="225"/>
      <c r="W98" s="225"/>
      <c r="X98" s="225"/>
      <c r="Y98" s="229"/>
      <c r="Z98" s="257"/>
      <c r="AA98" s="225"/>
      <c r="AB98" s="257"/>
      <c r="AC98" s="257"/>
      <c r="AD98" s="226"/>
      <c r="AE98" s="259"/>
      <c r="AF98" s="347"/>
      <c r="AG98" s="232"/>
      <c r="AH98" s="257"/>
      <c r="AI98" s="225"/>
      <c r="AJ98" s="267"/>
      <c r="AK98" s="259"/>
      <c r="AL98" s="226"/>
      <c r="AM98" s="225"/>
      <c r="AN98" s="225"/>
      <c r="AO98" s="254"/>
      <c r="AP98" s="225"/>
      <c r="AQ98" s="225"/>
      <c r="AR98" s="226"/>
      <c r="AS98" s="225"/>
      <c r="AT98" s="225"/>
      <c r="AU98" s="225"/>
      <c r="AV98" s="225"/>
      <c r="AW98" s="225"/>
      <c r="AX98" s="226"/>
      <c r="AY98" s="225"/>
      <c r="AZ98" s="225"/>
      <c r="BA98" s="226"/>
      <c r="BB98" s="225" t="str">
        <f>IFERROR(__xludf.DUMMYFUNCTION("""COMPUTED_VALUE"""),"Multishot Targets")</f>
        <v>Multishot Targets</v>
      </c>
      <c r="BC98" s="225" t="str">
        <f>IFERROR(__xludf.DUMMYFUNCTION("""COMPUTED_VALUE"""),"Ancestral")</f>
        <v>Ancestral</v>
      </c>
      <c r="BD98" s="225" t="str">
        <f>IFERROR(__xludf.DUMMYFUNCTION("""COMPUTED_VALUE"""),"+4")</f>
        <v>+4</v>
      </c>
      <c r="BE98" s="225">
        <f>IFERROR(__xludf.DUMMYFUNCTION("""COMPUTED_VALUE"""),4.0)</f>
        <v>4</v>
      </c>
      <c r="BF98" s="225"/>
      <c r="BG98" s="225" t="str">
        <f>IFERROR(__xludf.DUMMYFUNCTION("""COMPUTED_VALUE"""),"Wall Health")</f>
        <v>Wall Health</v>
      </c>
      <c r="BH98" s="225" t="str">
        <f>IFERROR(__xludf.DUMMYFUNCTION("""COMPUTED_VALUE"""),"Ancestral")</f>
        <v>Ancestral</v>
      </c>
      <c r="BI98" s="225" t="str">
        <f>IFERROR(__xludf.DUMMYFUNCTION("""COMPUTED_VALUE"""),"+120%")</f>
        <v>+120%</v>
      </c>
      <c r="BJ98" s="225">
        <f>IFERROR(__xludf.DUMMYFUNCTION("""COMPUTED_VALUE"""),1.2)</f>
        <v>1.2</v>
      </c>
      <c r="BK98" s="225"/>
      <c r="BL98" s="225" t="str">
        <f>IFERROR(__xludf.DUMMYFUNCTION("""COMPUTED_VALUE"""),"Free Utility Upgrade")</f>
        <v>Free Utility Upgrade</v>
      </c>
      <c r="BM98" s="225" t="str">
        <f>IFERROR(__xludf.DUMMYFUNCTION("""COMPUTED_VALUE"""),"Legendary")</f>
        <v>Legendary</v>
      </c>
      <c r="BN98" s="225" t="str">
        <f>IFERROR(__xludf.DUMMYFUNCTION("""COMPUTED_VALUE"""),"+8%")</f>
        <v>+8%</v>
      </c>
      <c r="BO98" s="225">
        <f>IFERROR(__xludf.DUMMYFUNCTION("""COMPUTED_VALUE"""),0.08)</f>
        <v>0.08</v>
      </c>
      <c r="BP98" s="225"/>
      <c r="BQ98" s="225" t="str">
        <f>IFERROR(__xludf.DUMMYFUNCTION("""COMPUTED_VALUE"""),"Death Wave - Quantity")</f>
        <v>Death Wave - Quantity</v>
      </c>
      <c r="BR98" s="225" t="str">
        <f>IFERROR(__xludf.DUMMYFUNCTION("""COMPUTED_VALUE"""),"Mythic")</f>
        <v>Mythic</v>
      </c>
      <c r="BS98" s="225" t="str">
        <f>IFERROR(__xludf.DUMMYFUNCTION("""COMPUTED_VALUE"""),"+2")</f>
        <v>+2</v>
      </c>
      <c r="BT98" s="226">
        <f>IFERROR(__xludf.DUMMYFUNCTION("""COMPUTED_VALUE"""),2.0)</f>
        <v>2</v>
      </c>
      <c r="BU98" s="225"/>
      <c r="BV98" s="225"/>
      <c r="BW98" s="225"/>
      <c r="BX98" s="225"/>
      <c r="BY98" s="225"/>
      <c r="BZ98" s="225"/>
    </row>
    <row r="99">
      <c r="A99" s="238" t="str">
        <f>IFERROR(__xludf.DUMMYFUNCTION("""COMPUTED_VALUE"""),"Energy Shield Extra Hit")</f>
        <v>Energy Shield Extra Hit</v>
      </c>
      <c r="B99" s="239">
        <f>IFERROR(__xludf.DUMMYFUNCTION("""COMPUTED_VALUE"""),2.0)</f>
        <v>2</v>
      </c>
      <c r="C99" s="225"/>
      <c r="D99" s="240">
        <f>IFERROR(__xludf.DUMMYFUNCTION("""COMPUTED_VALUE"""),2.0)</f>
        <v>2</v>
      </c>
      <c r="E99" s="225"/>
      <c r="F99" s="225"/>
      <c r="G99" s="225"/>
      <c r="H99" s="225"/>
      <c r="I99" s="225"/>
      <c r="J99" s="225"/>
      <c r="K99" s="244"/>
      <c r="L99" s="225"/>
      <c r="M99" s="225"/>
      <c r="N99" s="225"/>
      <c r="O99" s="225"/>
      <c r="P99" s="225"/>
      <c r="Q99" s="227"/>
      <c r="R99" s="234"/>
      <c r="S99" s="225"/>
      <c r="T99" s="225"/>
      <c r="U99" s="225"/>
      <c r="V99" s="225"/>
      <c r="W99" s="225"/>
      <c r="X99" s="225"/>
      <c r="Y99" s="229"/>
      <c r="Z99" s="257"/>
      <c r="AA99" s="225"/>
      <c r="AB99" s="257"/>
      <c r="AC99" s="257"/>
      <c r="AD99" s="226"/>
      <c r="AE99" s="259"/>
      <c r="AF99" s="347"/>
      <c r="AG99" s="232"/>
      <c r="AH99" s="257"/>
      <c r="AI99" s="225"/>
      <c r="AJ99" s="267"/>
      <c r="AK99" s="259"/>
      <c r="AL99" s="226"/>
      <c r="AM99" s="225"/>
      <c r="AN99" s="225"/>
      <c r="AO99" s="254"/>
      <c r="AP99" s="225"/>
      <c r="AQ99" s="225"/>
      <c r="AR99" s="226"/>
      <c r="AS99" s="225"/>
      <c r="AT99" s="225"/>
      <c r="AU99" s="225"/>
      <c r="AV99" s="225"/>
      <c r="AW99" s="225"/>
      <c r="AX99" s="226"/>
      <c r="AY99" s="225"/>
      <c r="AZ99" s="225"/>
      <c r="BA99" s="226"/>
      <c r="BB99" s="225" t="str">
        <f>IFERROR(__xludf.DUMMYFUNCTION("""COMPUTED_VALUE"""),"Critical Factor")</f>
        <v>Critical Factor</v>
      </c>
      <c r="BC99" s="225" t="str">
        <f>IFERROR(__xludf.DUMMYFUNCTION("""COMPUTED_VALUE"""),"Ancestral")</f>
        <v>Ancestral</v>
      </c>
      <c r="BD99" s="225" t="str">
        <f>IFERROR(__xludf.DUMMYFUNCTION("""COMPUTED_VALUE"""),"+15x")</f>
        <v>+15x</v>
      </c>
      <c r="BE99" s="225">
        <f>IFERROR(__xludf.DUMMYFUNCTION("""COMPUTED_VALUE"""),15.0)</f>
        <v>15</v>
      </c>
      <c r="BF99" s="225"/>
      <c r="BG99" s="225" t="str">
        <f>IFERROR(__xludf.DUMMYFUNCTION("""COMPUTED_VALUE"""),"Thorns Damage")</f>
        <v>Thorns Damage</v>
      </c>
      <c r="BH99" s="225" t="str">
        <f>IFERROR(__xludf.DUMMYFUNCTION("""COMPUTED_VALUE"""),"Ancestral")</f>
        <v>Ancestral</v>
      </c>
      <c r="BI99" s="225" t="str">
        <f>IFERROR(__xludf.DUMMYFUNCTION("""COMPUTED_VALUE"""),"+10%")</f>
        <v>+10%</v>
      </c>
      <c r="BJ99" s="225">
        <f>IFERROR(__xludf.DUMMYFUNCTION("""COMPUTED_VALUE"""),0.1)</f>
        <v>0.1</v>
      </c>
      <c r="BK99" s="225"/>
      <c r="BL99" s="225" t="str">
        <f>IFERROR(__xludf.DUMMYFUNCTION("""COMPUTED_VALUE"""),"Package Chance")</f>
        <v>Package Chance</v>
      </c>
      <c r="BM99" s="225" t="str">
        <f>IFERROR(__xludf.DUMMYFUNCTION("""COMPUTED_VALUE"""),"Mythic")</f>
        <v>Mythic</v>
      </c>
      <c r="BN99" s="225" t="str">
        <f>IFERROR(__xludf.DUMMYFUNCTION("""COMPUTED_VALUE"""),"+11%")</f>
        <v>+11%</v>
      </c>
      <c r="BO99" s="225">
        <f>IFERROR(__xludf.DUMMYFUNCTION("""COMPUTED_VALUE"""),0.11)</f>
        <v>0.11</v>
      </c>
      <c r="BP99" s="225"/>
      <c r="BQ99" s="225" t="str">
        <f>IFERROR(__xludf.DUMMYFUNCTION("""COMPUTED_VALUE"""),"Spotlight - Angle")</f>
        <v>Spotlight - Angle</v>
      </c>
      <c r="BR99" s="225" t="str">
        <f>IFERROR(__xludf.DUMMYFUNCTION("""COMPUTED_VALUE"""),"Ancestral")</f>
        <v>Ancestral</v>
      </c>
      <c r="BS99" s="225" t="str">
        <f>IFERROR(__xludf.DUMMYFUNCTION("""COMPUTED_VALUE"""),"+15°")</f>
        <v>+15°</v>
      </c>
      <c r="BT99" s="226">
        <f>IFERROR(__xludf.DUMMYFUNCTION("""COMPUTED_VALUE"""),15.0)</f>
        <v>15</v>
      </c>
      <c r="BU99" s="225"/>
      <c r="BV99" s="225"/>
      <c r="BW99" s="225"/>
      <c r="BX99" s="225"/>
      <c r="BY99" s="225"/>
      <c r="BZ99" s="225"/>
    </row>
    <row r="100">
      <c r="A100" s="238" t="str">
        <f>IFERROR(__xludf.DUMMYFUNCTION("""COMPUTED_VALUE"""),"Super Tower Bonus")</f>
        <v>Super Tower Bonus</v>
      </c>
      <c r="B100" s="239">
        <f>IFERROR(__xludf.DUMMYFUNCTION("""COMPUTED_VALUE"""),0.0)</f>
        <v>0</v>
      </c>
      <c r="C100" s="225"/>
      <c r="D100" s="240">
        <f>IFERROR(__xludf.DUMMYFUNCTION("""COMPUTED_VALUE"""),30.0)</f>
        <v>30</v>
      </c>
      <c r="E100" s="225"/>
      <c r="F100" s="225"/>
      <c r="G100" s="225"/>
      <c r="H100" s="225"/>
      <c r="I100" s="225"/>
      <c r="J100" s="225"/>
      <c r="K100" s="244"/>
      <c r="L100" s="225"/>
      <c r="M100" s="225"/>
      <c r="N100" s="225"/>
      <c r="O100" s="225"/>
      <c r="P100" s="225"/>
      <c r="Q100" s="227"/>
      <c r="R100" s="234"/>
      <c r="S100" s="225"/>
      <c r="T100" s="225"/>
      <c r="U100" s="225"/>
      <c r="V100" s="225"/>
      <c r="W100" s="225"/>
      <c r="X100" s="225"/>
      <c r="Y100" s="229"/>
      <c r="Z100" s="257"/>
      <c r="AA100" s="225"/>
      <c r="AB100" s="257"/>
      <c r="AC100" s="257"/>
      <c r="AD100" s="226"/>
      <c r="AE100" s="259"/>
      <c r="AF100" s="347"/>
      <c r="AG100" s="232"/>
      <c r="AH100" s="257"/>
      <c r="AI100" s="225"/>
      <c r="AJ100" s="267"/>
      <c r="AK100" s="259"/>
      <c r="AL100" s="226"/>
      <c r="AM100" s="225"/>
      <c r="AN100" s="225"/>
      <c r="AO100" s="254"/>
      <c r="AP100" s="225"/>
      <c r="AQ100" s="225"/>
      <c r="AR100" s="226"/>
      <c r="AS100" s="225"/>
      <c r="AT100" s="225"/>
      <c r="AU100" s="225"/>
      <c r="AV100" s="225"/>
      <c r="AW100" s="225"/>
      <c r="AX100" s="226"/>
      <c r="AY100" s="225"/>
      <c r="AZ100" s="225"/>
      <c r="BA100" s="226"/>
      <c r="BB100" s="225" t="str">
        <f>IFERROR(__xludf.DUMMYFUNCTION("""COMPUTED_VALUE"""),"Super Crit Multi")</f>
        <v>Super Crit Multi</v>
      </c>
      <c r="BC100" s="225" t="str">
        <f>IFERROR(__xludf.DUMMYFUNCTION("""COMPUTED_VALUE"""),"Mythic")</f>
        <v>Mythic</v>
      </c>
      <c r="BD100" s="225" t="str">
        <f>IFERROR(__xludf.DUMMYFUNCTION("""COMPUTED_VALUE"""),"+5x")</f>
        <v>+5x</v>
      </c>
      <c r="BE100" s="225">
        <f>IFERROR(__xludf.DUMMYFUNCTION("""COMPUTED_VALUE"""),5.0)</f>
        <v>5</v>
      </c>
      <c r="BF100" s="225"/>
      <c r="BG100" s="225"/>
      <c r="BH100" s="225"/>
      <c r="BI100" s="225"/>
      <c r="BJ100" s="225" t="str">
        <f>IFERROR(__xludf.DUMMYFUNCTION("""COMPUTED_VALUE"""),"")</f>
        <v/>
      </c>
      <c r="BK100" s="225"/>
      <c r="BL100" s="225"/>
      <c r="BM100" s="225"/>
      <c r="BN100" s="225"/>
      <c r="BO100" s="225" t="str">
        <f>IFERROR(__xludf.DUMMYFUNCTION("""COMPUTED_VALUE"""),"")</f>
        <v/>
      </c>
      <c r="BP100" s="225"/>
      <c r="BQ100" s="225"/>
      <c r="BR100" s="225"/>
      <c r="BS100" s="225"/>
      <c r="BT100" s="226" t="str">
        <f>IFERROR(__xludf.DUMMYFUNCTION("""COMPUTED_VALUE"""),"")</f>
        <v/>
      </c>
      <c r="BU100" s="225"/>
      <c r="BV100" s="225"/>
      <c r="BW100" s="225"/>
      <c r="BX100" s="225"/>
      <c r="BY100" s="225"/>
      <c r="BZ100" s="225"/>
    </row>
    <row r="101">
      <c r="A101" s="238" t="str">
        <f>IFERROR(__xludf.DUMMYFUNCTION("""COMPUTED_VALUE"""),"Recharge Second Wind")</f>
        <v>Recharge Second Wind</v>
      </c>
      <c r="B101" s="239">
        <f>IFERROR(__xludf.DUMMYFUNCTION("""COMPUTED_VALUE"""),7.0)</f>
        <v>7</v>
      </c>
      <c r="C101" s="225"/>
      <c r="D101" s="240">
        <f>IFERROR(__xludf.DUMMYFUNCTION("""COMPUTED_VALUE"""),7.0)</f>
        <v>7</v>
      </c>
      <c r="E101" s="225"/>
      <c r="F101" s="225"/>
      <c r="G101" s="225"/>
      <c r="H101" s="225"/>
      <c r="I101" s="225"/>
      <c r="J101" s="225"/>
      <c r="K101" s="244"/>
      <c r="L101" s="225"/>
      <c r="M101" s="225"/>
      <c r="N101" s="225"/>
      <c r="O101" s="225"/>
      <c r="P101" s="225"/>
      <c r="Q101" s="227"/>
      <c r="R101" s="234"/>
      <c r="S101" s="225"/>
      <c r="T101" s="225"/>
      <c r="U101" s="225"/>
      <c r="V101" s="225"/>
      <c r="W101" s="225"/>
      <c r="X101" s="225"/>
      <c r="Y101" s="229"/>
      <c r="Z101" s="257"/>
      <c r="AA101" s="225"/>
      <c r="AB101" s="257"/>
      <c r="AC101" s="257"/>
      <c r="AD101" s="226"/>
      <c r="AE101" s="259"/>
      <c r="AF101" s="347"/>
      <c r="AG101" s="232"/>
      <c r="AH101" s="257"/>
      <c r="AI101" s="225"/>
      <c r="AJ101" s="267"/>
      <c r="AK101" s="259"/>
      <c r="AL101" s="226"/>
      <c r="AM101" s="225"/>
      <c r="AN101" s="225"/>
      <c r="AO101" s="254"/>
      <c r="AP101" s="225"/>
      <c r="AQ101" s="225"/>
      <c r="AR101" s="226"/>
      <c r="AS101" s="225"/>
      <c r="AT101" s="225"/>
      <c r="AU101" s="225"/>
      <c r="AV101" s="225"/>
      <c r="AW101" s="225"/>
      <c r="AX101" s="226"/>
      <c r="AY101" s="225"/>
      <c r="AZ101" s="225"/>
      <c r="BA101" s="226"/>
      <c r="BB101" s="225"/>
      <c r="BC101" s="225"/>
      <c r="BD101" s="225"/>
      <c r="BE101" s="225" t="str">
        <f>IFERROR(__xludf.DUMMYFUNCTION("""COMPUTED_VALUE"""),"")</f>
        <v/>
      </c>
      <c r="BF101" s="225"/>
      <c r="BG101" s="225"/>
      <c r="BH101" s="225"/>
      <c r="BI101" s="225"/>
      <c r="BJ101" s="225" t="str">
        <f>IFERROR(__xludf.DUMMYFUNCTION("""COMPUTED_VALUE"""),"")</f>
        <v/>
      </c>
      <c r="BK101" s="225"/>
      <c r="BL101" s="225"/>
      <c r="BM101" s="225"/>
      <c r="BN101" s="225"/>
      <c r="BO101" s="225" t="str">
        <f>IFERROR(__xludf.DUMMYFUNCTION("""COMPUTED_VALUE"""),"")</f>
        <v/>
      </c>
      <c r="BP101" s="225"/>
      <c r="BQ101" s="225"/>
      <c r="BR101" s="225"/>
      <c r="BS101" s="225"/>
      <c r="BT101" s="226" t="str">
        <f>IFERROR(__xludf.DUMMYFUNCTION("""COMPUTED_VALUE"""),"")</f>
        <v/>
      </c>
      <c r="BU101" s="225"/>
      <c r="BV101" s="225"/>
      <c r="BW101" s="225"/>
      <c r="BX101" s="225"/>
      <c r="BY101" s="225"/>
      <c r="BZ101" s="225"/>
    </row>
    <row r="102">
      <c r="A102" s="238" t="str">
        <f>IFERROR(__xludf.DUMMYFUNCTION("""COMPUTED_VALUE"""),"Recharge Demon Mode")</f>
        <v>Recharge Demon Mode</v>
      </c>
      <c r="B102" s="239">
        <f>IFERROR(__xludf.DUMMYFUNCTION("""COMPUTED_VALUE"""),4.0)</f>
        <v>4</v>
      </c>
      <c r="C102" s="225"/>
      <c r="D102" s="240">
        <f>IFERROR(__xludf.DUMMYFUNCTION("""COMPUTED_VALUE"""),7.0)</f>
        <v>7</v>
      </c>
      <c r="E102" s="225"/>
      <c r="F102" s="225"/>
      <c r="G102" s="225"/>
      <c r="H102" s="225"/>
      <c r="I102" s="225"/>
      <c r="J102" s="225"/>
      <c r="K102" s="244"/>
      <c r="L102" s="225"/>
      <c r="M102" s="225"/>
      <c r="N102" s="225"/>
      <c r="O102" s="225"/>
      <c r="P102" s="225"/>
      <c r="Q102" s="227"/>
      <c r="R102" s="234"/>
      <c r="S102" s="225"/>
      <c r="T102" s="225"/>
      <c r="U102" s="225"/>
      <c r="V102" s="225"/>
      <c r="W102" s="225"/>
      <c r="X102" s="225"/>
      <c r="Y102" s="229"/>
      <c r="Z102" s="257"/>
      <c r="AA102" s="225"/>
      <c r="AB102" s="257"/>
      <c r="AC102" s="257"/>
      <c r="AD102" s="226"/>
      <c r="AE102" s="259"/>
      <c r="AF102" s="347"/>
      <c r="AG102" s="232"/>
      <c r="AH102" s="257"/>
      <c r="AI102" s="225"/>
      <c r="AJ102" s="267"/>
      <c r="AK102" s="259"/>
      <c r="AL102" s="226"/>
      <c r="AM102" s="225"/>
      <c r="AN102" s="225"/>
      <c r="AO102" s="254"/>
      <c r="AP102" s="225"/>
      <c r="AQ102" s="225"/>
      <c r="AR102" s="226"/>
      <c r="AS102" s="225"/>
      <c r="AT102" s="225"/>
      <c r="AU102" s="225"/>
      <c r="AV102" s="225"/>
      <c r="AW102" s="225"/>
      <c r="AX102" s="226"/>
      <c r="AY102" s="225"/>
      <c r="AZ102" s="225"/>
      <c r="BA102" s="226"/>
      <c r="BB102" s="225"/>
      <c r="BC102" s="225"/>
      <c r="BD102" s="225"/>
      <c r="BE102" s="225" t="str">
        <f>IFERROR(__xludf.DUMMYFUNCTION("""COMPUTED_VALUE"""),"")</f>
        <v/>
      </c>
      <c r="BF102" s="225"/>
      <c r="BG102" s="225"/>
      <c r="BH102" s="225"/>
      <c r="BI102" s="225"/>
      <c r="BJ102" s="225" t="str">
        <f>IFERROR(__xludf.DUMMYFUNCTION("""COMPUTED_VALUE"""),"")</f>
        <v/>
      </c>
      <c r="BK102" s="225"/>
      <c r="BL102" s="225"/>
      <c r="BM102" s="225"/>
      <c r="BN102" s="225"/>
      <c r="BO102" s="225" t="str">
        <f>IFERROR(__xludf.DUMMYFUNCTION("""COMPUTED_VALUE"""),"")</f>
        <v/>
      </c>
      <c r="BP102" s="225"/>
      <c r="BQ102" s="225"/>
      <c r="BR102" s="225"/>
      <c r="BS102" s="225"/>
      <c r="BT102" s="226" t="str">
        <f>IFERROR(__xludf.DUMMYFUNCTION("""COMPUTED_VALUE"""),"")</f>
        <v/>
      </c>
      <c r="BU102" s="225"/>
      <c r="BV102" s="225"/>
      <c r="BW102" s="225"/>
      <c r="BX102" s="225"/>
      <c r="BY102" s="225"/>
      <c r="BZ102" s="225"/>
    </row>
    <row r="103">
      <c r="A103" s="238" t="str">
        <f>IFERROR(__xludf.DUMMYFUNCTION("""COMPUTED_VALUE"""),"Recharge Nuke")</f>
        <v>Recharge Nuke</v>
      </c>
      <c r="B103" s="239">
        <f>IFERROR(__xludf.DUMMYFUNCTION("""COMPUTED_VALUE"""),2.0)</f>
        <v>2</v>
      </c>
      <c r="C103" s="225"/>
      <c r="D103" s="240">
        <f>IFERROR(__xludf.DUMMYFUNCTION("""COMPUTED_VALUE"""),7.0)</f>
        <v>7</v>
      </c>
      <c r="E103" s="225"/>
      <c r="F103" s="225"/>
      <c r="G103" s="225"/>
      <c r="H103" s="225"/>
      <c r="I103" s="225"/>
      <c r="J103" s="225"/>
      <c r="K103" s="244"/>
      <c r="L103" s="225"/>
      <c r="M103" s="225"/>
      <c r="N103" s="225"/>
      <c r="O103" s="225"/>
      <c r="P103" s="225"/>
      <c r="Q103" s="227"/>
      <c r="R103" s="234"/>
      <c r="S103" s="225"/>
      <c r="T103" s="225"/>
      <c r="U103" s="225"/>
      <c r="V103" s="225"/>
      <c r="W103" s="225"/>
      <c r="X103" s="225"/>
      <c r="Y103" s="229"/>
      <c r="Z103" s="257"/>
      <c r="AA103" s="225"/>
      <c r="AB103" s="257"/>
      <c r="AC103" s="257"/>
      <c r="AD103" s="226"/>
      <c r="AE103" s="259"/>
      <c r="AF103" s="347"/>
      <c r="AG103" s="232"/>
      <c r="AH103" s="257"/>
      <c r="AI103" s="225"/>
      <c r="AJ103" s="267"/>
      <c r="AK103" s="259"/>
      <c r="AL103" s="226"/>
      <c r="AM103" s="225"/>
      <c r="AN103" s="225"/>
      <c r="AO103" s="254"/>
      <c r="AP103" s="225"/>
      <c r="AQ103" s="225"/>
      <c r="AR103" s="226"/>
      <c r="AS103" s="225"/>
      <c r="AT103" s="225"/>
      <c r="AU103" s="225"/>
      <c r="AV103" s="225"/>
      <c r="AW103" s="225"/>
      <c r="AX103" s="226"/>
      <c r="AY103" s="225"/>
      <c r="AZ103" s="225"/>
      <c r="BA103" s="226"/>
      <c r="BB103" s="225"/>
      <c r="BC103" s="225"/>
      <c r="BD103" s="225"/>
      <c r="BE103" s="225" t="str">
        <f>IFERROR(__xludf.DUMMYFUNCTION("""COMPUTED_VALUE"""),"")</f>
        <v/>
      </c>
      <c r="BF103" s="225"/>
      <c r="BG103" s="225"/>
      <c r="BH103" s="225"/>
      <c r="BI103" s="225"/>
      <c r="BJ103" s="225" t="str">
        <f>IFERROR(__xludf.DUMMYFUNCTION("""COMPUTED_VALUE"""),"")</f>
        <v/>
      </c>
      <c r="BK103" s="225"/>
      <c r="BL103" s="225"/>
      <c r="BM103" s="225"/>
      <c r="BN103" s="225"/>
      <c r="BO103" s="225" t="str">
        <f>IFERROR(__xludf.DUMMYFUNCTION("""COMPUTED_VALUE"""),"")</f>
        <v/>
      </c>
      <c r="BP103" s="225"/>
      <c r="BQ103" s="225"/>
      <c r="BR103" s="225"/>
      <c r="BS103" s="225"/>
      <c r="BT103" s="226" t="str">
        <f>IFERROR(__xludf.DUMMYFUNCTION("""COMPUTED_VALUE"""),"")</f>
        <v/>
      </c>
      <c r="BU103" s="225"/>
      <c r="BV103" s="225"/>
      <c r="BW103" s="225"/>
      <c r="BX103" s="225"/>
      <c r="BY103" s="225"/>
      <c r="BZ103" s="225"/>
    </row>
    <row r="104">
      <c r="A104" s="238" t="str">
        <f>IFERROR(__xludf.DUMMYFUNCTION("""COMPUTED_VALUE"""),"Unlock Perks")</f>
        <v>Unlock Perks</v>
      </c>
      <c r="B104" s="239">
        <f>IFERROR(__xludf.DUMMYFUNCTION("""COMPUTED_VALUE"""),1.0)</f>
        <v>1</v>
      </c>
      <c r="C104" s="225"/>
      <c r="D104" s="240">
        <f>IFERROR(__xludf.DUMMYFUNCTION("""COMPUTED_VALUE"""),1.0)</f>
        <v>1</v>
      </c>
      <c r="E104" s="225"/>
      <c r="F104" s="225"/>
      <c r="G104" s="225"/>
      <c r="H104" s="225"/>
      <c r="I104" s="225"/>
      <c r="J104" s="225"/>
      <c r="K104" s="244"/>
      <c r="L104" s="225"/>
      <c r="M104" s="225"/>
      <c r="N104" s="225"/>
      <c r="O104" s="225"/>
      <c r="P104" s="225"/>
      <c r="Q104" s="227"/>
      <c r="R104" s="234"/>
      <c r="S104" s="225"/>
      <c r="T104" s="225"/>
      <c r="U104" s="225"/>
      <c r="V104" s="225"/>
      <c r="W104" s="225"/>
      <c r="X104" s="225"/>
      <c r="Y104" s="229"/>
      <c r="Z104" s="257"/>
      <c r="AA104" s="225"/>
      <c r="AB104" s="257"/>
      <c r="AC104" s="257"/>
      <c r="AD104" s="226"/>
      <c r="AE104" s="259"/>
      <c r="AF104" s="347"/>
      <c r="AG104" s="232"/>
      <c r="AH104" s="257"/>
      <c r="AI104" s="225"/>
      <c r="AJ104" s="267"/>
      <c r="AK104" s="259"/>
      <c r="AL104" s="226"/>
      <c r="AM104" s="225"/>
      <c r="AN104" s="225"/>
      <c r="AO104" s="254"/>
      <c r="AP104" s="225"/>
      <c r="AQ104" s="225"/>
      <c r="AR104" s="226"/>
      <c r="AS104" s="225"/>
      <c r="AT104" s="225"/>
      <c r="AU104" s="225"/>
      <c r="AV104" s="225"/>
      <c r="AW104" s="225"/>
      <c r="AX104" s="226"/>
      <c r="AY104" s="225"/>
      <c r="AZ104" s="225"/>
      <c r="BA104" s="226"/>
      <c r="BB104" s="225"/>
      <c r="BC104" s="225"/>
      <c r="BD104" s="225"/>
      <c r="BE104" s="225"/>
      <c r="BF104" s="225"/>
      <c r="BG104" s="225"/>
      <c r="BH104" s="225"/>
      <c r="BI104" s="225"/>
      <c r="BJ104" s="225"/>
      <c r="BK104" s="225"/>
      <c r="BL104" s="225"/>
      <c r="BM104" s="225"/>
      <c r="BN104" s="225"/>
      <c r="BO104" s="225"/>
      <c r="BP104" s="225"/>
      <c r="BQ104" s="225"/>
      <c r="BR104" s="225"/>
      <c r="BS104" s="225"/>
      <c r="BT104" s="226"/>
      <c r="BU104" s="225"/>
      <c r="BV104" s="225"/>
      <c r="BW104" s="225"/>
      <c r="BX104" s="225"/>
      <c r="BY104" s="225"/>
      <c r="BZ104" s="225"/>
    </row>
    <row r="105">
      <c r="A105" s="238" t="str">
        <f>IFERROR(__xludf.DUMMYFUNCTION("""COMPUTED_VALUE"""),"Waves Required")</f>
        <v>Waves Required</v>
      </c>
      <c r="B105" s="239">
        <f>IFERROR(__xludf.DUMMYFUNCTION("""COMPUTED_VALUE"""),13.0)</f>
        <v>13</v>
      </c>
      <c r="C105" s="225">
        <f>IFERROR(__xludf.DUMMYFUNCTION("""COMPUTED_VALUE"""),17.0)</f>
        <v>17</v>
      </c>
      <c r="D105" s="240">
        <f>IFERROR(__xludf.DUMMYFUNCTION("""COMPUTED_VALUE"""),100.0)</f>
        <v>100</v>
      </c>
      <c r="E105" s="225"/>
      <c r="F105" s="225"/>
      <c r="G105" s="225"/>
      <c r="H105" s="225"/>
      <c r="I105" s="225"/>
      <c r="J105" s="225"/>
      <c r="K105" s="244"/>
      <c r="L105" s="225"/>
      <c r="M105" s="225"/>
      <c r="N105" s="225"/>
      <c r="O105" s="225"/>
      <c r="P105" s="225"/>
      <c r="Q105" s="227"/>
      <c r="R105" s="234"/>
      <c r="S105" s="225"/>
      <c r="T105" s="225"/>
      <c r="U105" s="225"/>
      <c r="V105" s="225"/>
      <c r="W105" s="225"/>
      <c r="X105" s="225"/>
      <c r="Y105" s="229"/>
      <c r="Z105" s="257"/>
      <c r="AA105" s="225"/>
      <c r="AB105" s="257"/>
      <c r="AC105" s="257"/>
      <c r="AD105" s="226"/>
      <c r="AE105" s="259"/>
      <c r="AF105" s="347"/>
      <c r="AG105" s="232"/>
      <c r="AH105" s="257"/>
      <c r="AI105" s="225"/>
      <c r="AJ105" s="267"/>
      <c r="AK105" s="259"/>
      <c r="AL105" s="226"/>
      <c r="AM105" s="225"/>
      <c r="AN105" s="225"/>
      <c r="AO105" s="254"/>
      <c r="AP105" s="225"/>
      <c r="AQ105" s="225"/>
      <c r="AR105" s="226"/>
      <c r="AS105" s="225"/>
      <c r="AT105" s="225"/>
      <c r="AU105" s="225"/>
      <c r="AV105" s="225"/>
      <c r="AW105" s="225"/>
      <c r="AX105" s="226"/>
      <c r="AY105" s="225"/>
      <c r="AZ105" s="225"/>
      <c r="BA105" s="226"/>
      <c r="BB105" s="225" t="str">
        <f>IFERROR(__xludf.DUMMYFUNCTION("""COMPUTED_VALUE"""),"Any Other")</f>
        <v>Any Other</v>
      </c>
      <c r="BC105" s="225"/>
      <c r="BD105" s="225"/>
      <c r="BE105" s="225"/>
      <c r="BF105" s="225"/>
      <c r="BG105" s="225" t="str">
        <f>IFERROR(__xludf.DUMMYFUNCTION("""COMPUTED_VALUE"""),"Any Other")</f>
        <v>Any Other</v>
      </c>
      <c r="BH105" s="225"/>
      <c r="BI105" s="225"/>
      <c r="BJ105" s="225"/>
      <c r="BK105" s="225"/>
      <c r="BL105" s="225" t="str">
        <f>IFERROR(__xludf.DUMMYFUNCTION("""COMPUTED_VALUE"""),"Any Other")</f>
        <v>Any Other</v>
      </c>
      <c r="BM105" s="225"/>
      <c r="BN105" s="225"/>
      <c r="BO105" s="225"/>
      <c r="BP105" s="225"/>
      <c r="BQ105" s="225" t="str">
        <f>IFERROR(__xludf.DUMMYFUNCTION("""COMPUTED_VALUE"""),"Any Other")</f>
        <v>Any Other</v>
      </c>
      <c r="BR105" s="225"/>
      <c r="BS105" s="225"/>
      <c r="BT105" s="226"/>
      <c r="BU105" s="225"/>
      <c r="BV105" s="225"/>
      <c r="BW105" s="225"/>
      <c r="BX105" s="225"/>
      <c r="BY105" s="225"/>
      <c r="BZ105" s="225"/>
    </row>
    <row r="106">
      <c r="A106" s="238" t="str">
        <f>IFERROR(__xludf.DUMMYFUNCTION("""COMPUTED_VALUE"""),"Auto Pick Perks")</f>
        <v>Auto Pick Perks</v>
      </c>
      <c r="B106" s="239">
        <f>IFERROR(__xludf.DUMMYFUNCTION("""COMPUTED_VALUE"""),1.0)</f>
        <v>1</v>
      </c>
      <c r="C106" s="225"/>
      <c r="D106" s="240">
        <f>IFERROR(__xludf.DUMMYFUNCTION("""COMPUTED_VALUE"""),1.0)</f>
        <v>1</v>
      </c>
      <c r="E106" s="225"/>
      <c r="F106" s="225"/>
      <c r="G106" s="225"/>
      <c r="H106" s="225"/>
      <c r="I106" s="225"/>
      <c r="J106" s="225"/>
      <c r="K106" s="244"/>
      <c r="L106" s="225"/>
      <c r="M106" s="225"/>
      <c r="N106" s="225"/>
      <c r="O106" s="225"/>
      <c r="P106" s="225"/>
      <c r="Q106" s="227"/>
      <c r="R106" s="234"/>
      <c r="S106" s="225"/>
      <c r="T106" s="225"/>
      <c r="U106" s="225"/>
      <c r="V106" s="225"/>
      <c r="W106" s="225"/>
      <c r="X106" s="225"/>
      <c r="Y106" s="229"/>
      <c r="Z106" s="257"/>
      <c r="AA106" s="225"/>
      <c r="AB106" s="257"/>
      <c r="AC106" s="257"/>
      <c r="AD106" s="226"/>
      <c r="AE106" s="259"/>
      <c r="AF106" s="347"/>
      <c r="AG106" s="232"/>
      <c r="AH106" s="257"/>
      <c r="AI106" s="225"/>
      <c r="AJ106" s="267"/>
      <c r="AK106" s="259"/>
      <c r="AL106" s="226"/>
      <c r="AM106" s="225"/>
      <c r="AN106" s="225"/>
      <c r="AO106" s="254"/>
      <c r="AP106" s="225"/>
      <c r="AQ106" s="225"/>
      <c r="AR106" s="226"/>
      <c r="AS106" s="225"/>
      <c r="AT106" s="225"/>
      <c r="AU106" s="225"/>
      <c r="AV106" s="225"/>
      <c r="AW106" s="225"/>
      <c r="AX106" s="226"/>
      <c r="AY106" s="225"/>
      <c r="AZ106" s="225"/>
      <c r="BA106" s="226"/>
      <c r="BB106" s="225" t="str">
        <f>IFERROR(__xludf.DUMMYFUNCTION("""COMPUTED_VALUE"""),"Rarity")</f>
        <v>Rarity</v>
      </c>
      <c r="BC106" s="225" t="str">
        <f>IFERROR(__xludf.DUMMYFUNCTION("""COMPUTED_VALUE"""),"Level")</f>
        <v>Level</v>
      </c>
      <c r="BD106" s="225" t="str">
        <f>IFERROR(__xludf.DUMMYFUNCTION("""COMPUTED_VALUE"""),"Stat")</f>
        <v>Stat</v>
      </c>
      <c r="BE106" s="225"/>
      <c r="BF106" s="225"/>
      <c r="BG106" s="225" t="str">
        <f>IFERROR(__xludf.DUMMYFUNCTION("""COMPUTED_VALUE"""),"Rarity")</f>
        <v>Rarity</v>
      </c>
      <c r="BH106" s="225" t="str">
        <f>IFERROR(__xludf.DUMMYFUNCTION("""COMPUTED_VALUE"""),"Level")</f>
        <v>Level</v>
      </c>
      <c r="BI106" s="225" t="str">
        <f>IFERROR(__xludf.DUMMYFUNCTION("""COMPUTED_VALUE"""),"Stat")</f>
        <v>Stat</v>
      </c>
      <c r="BJ106" s="225"/>
      <c r="BK106" s="225"/>
      <c r="BL106" s="225" t="str">
        <f>IFERROR(__xludf.DUMMYFUNCTION("""COMPUTED_VALUE"""),"Rarity")</f>
        <v>Rarity</v>
      </c>
      <c r="BM106" s="225" t="str">
        <f>IFERROR(__xludf.DUMMYFUNCTION("""COMPUTED_VALUE"""),"Level")</f>
        <v>Level</v>
      </c>
      <c r="BN106" s="225" t="str">
        <f>IFERROR(__xludf.DUMMYFUNCTION("""COMPUTED_VALUE"""),"Stat")</f>
        <v>Stat</v>
      </c>
      <c r="BO106" s="225"/>
      <c r="BP106" s="225"/>
      <c r="BQ106" s="225" t="str">
        <f>IFERROR(__xludf.DUMMYFUNCTION("""COMPUTED_VALUE"""),"Rarity")</f>
        <v>Rarity</v>
      </c>
      <c r="BR106" s="225" t="str">
        <f>IFERROR(__xludf.DUMMYFUNCTION("""COMPUTED_VALUE"""),"Level")</f>
        <v>Level</v>
      </c>
      <c r="BS106" s="225" t="str">
        <f>IFERROR(__xludf.DUMMYFUNCTION("""COMPUTED_VALUE"""),"Stat")</f>
        <v>Stat</v>
      </c>
      <c r="BT106" s="226"/>
      <c r="BU106" s="225"/>
      <c r="BV106" s="225"/>
      <c r="BW106" s="225"/>
      <c r="BX106" s="225"/>
      <c r="BY106" s="225"/>
      <c r="BZ106" s="225"/>
    </row>
    <row r="107">
      <c r="A107" s="238" t="str">
        <f>IFERROR(__xludf.DUMMYFUNCTION("""COMPUTED_VALUE"""),"Standard Perks Bonus")</f>
        <v>Standard Perks Bonus</v>
      </c>
      <c r="B107" s="239">
        <f>IFERROR(__xludf.DUMMYFUNCTION("""COMPUTED_VALUE"""),25.0)</f>
        <v>25</v>
      </c>
      <c r="C107" s="225"/>
      <c r="D107" s="240">
        <f>IFERROR(__xludf.DUMMYFUNCTION("""COMPUTED_VALUE"""),25.0)</f>
        <v>25</v>
      </c>
      <c r="E107" s="225"/>
      <c r="F107" s="225"/>
      <c r="G107" s="225"/>
      <c r="H107" s="225"/>
      <c r="I107" s="225"/>
      <c r="J107" s="225"/>
      <c r="K107" s="244"/>
      <c r="L107" s="225"/>
      <c r="M107" s="225"/>
      <c r="N107" s="225"/>
      <c r="O107" s="225"/>
      <c r="P107" s="225"/>
      <c r="Q107" s="227"/>
      <c r="R107" s="234"/>
      <c r="S107" s="225"/>
      <c r="T107" s="225"/>
      <c r="U107" s="225"/>
      <c r="V107" s="225"/>
      <c r="W107" s="225"/>
      <c r="X107" s="225"/>
      <c r="Y107" s="229"/>
      <c r="Z107" s="257"/>
      <c r="AA107" s="225"/>
      <c r="AB107" s="257"/>
      <c r="AC107" s="257"/>
      <c r="AD107" s="226"/>
      <c r="AE107" s="259"/>
      <c r="AF107" s="347"/>
      <c r="AG107" s="232"/>
      <c r="AH107" s="257"/>
      <c r="AI107" s="225"/>
      <c r="AJ107" s="267"/>
      <c r="AK107" s="259"/>
      <c r="AL107" s="226"/>
      <c r="AM107" s="225"/>
      <c r="AN107" s="225"/>
      <c r="AO107" s="254"/>
      <c r="AP107" s="225"/>
      <c r="AQ107" s="225"/>
      <c r="AR107" s="226"/>
      <c r="AS107" s="225"/>
      <c r="AT107" s="225"/>
      <c r="AU107" s="225"/>
      <c r="AV107" s="225"/>
      <c r="AW107" s="225"/>
      <c r="AX107" s="226"/>
      <c r="AY107" s="225"/>
      <c r="AZ107" s="225"/>
      <c r="BA107" s="226"/>
      <c r="BB107" s="225" t="str">
        <f>IFERROR(__xludf.DUMMYFUNCTION("""COMPUTED_VALUE"""),"Epic")</f>
        <v>Epic</v>
      </c>
      <c r="BC107" s="260">
        <f>IFERROR(__xludf.DUMMYFUNCTION("""COMPUTED_VALUE"""),60.0)</f>
        <v>60</v>
      </c>
      <c r="BD107" s="285">
        <f>IFERROR(__xludf.DUMMYFUNCTION("""COMPUTED_VALUE"""),1.37)</f>
        <v>1.37</v>
      </c>
      <c r="BE107" s="225"/>
      <c r="BF107" s="225"/>
      <c r="BG107" s="225" t="str">
        <f>IFERROR(__xludf.DUMMYFUNCTION("""COMPUTED_VALUE"""),"Epic")</f>
        <v>Epic</v>
      </c>
      <c r="BH107" s="260">
        <f>IFERROR(__xludf.DUMMYFUNCTION("""COMPUTED_VALUE"""),60.0)</f>
        <v>60</v>
      </c>
      <c r="BI107" s="285">
        <f>IFERROR(__xludf.DUMMYFUNCTION("""COMPUTED_VALUE"""),1.37)</f>
        <v>1.37</v>
      </c>
      <c r="BJ107" s="225"/>
      <c r="BK107" s="225"/>
      <c r="BL107" s="225" t="str">
        <f>IFERROR(__xludf.DUMMYFUNCTION("""COMPUTED_VALUE"""),"Legendary")</f>
        <v>Legendary</v>
      </c>
      <c r="BM107" s="260">
        <f>IFERROR(__xludf.DUMMYFUNCTION("""COMPUTED_VALUE"""),100.0)</f>
        <v>100</v>
      </c>
      <c r="BN107" s="285">
        <f>IFERROR(__xludf.DUMMYFUNCTION("""COMPUTED_VALUE"""),1.275)</f>
        <v>1.275</v>
      </c>
      <c r="BO107" s="225"/>
      <c r="BP107" s="225"/>
      <c r="BQ107" s="225" t="str">
        <f>IFERROR(__xludf.DUMMYFUNCTION("""COMPUTED_VALUE"""),"Epic")</f>
        <v>Epic</v>
      </c>
      <c r="BR107" s="260">
        <f>IFERROR(__xludf.DUMMYFUNCTION("""COMPUTED_VALUE"""),60.0)</f>
        <v>60</v>
      </c>
      <c r="BS107" s="285">
        <f>IFERROR(__xludf.DUMMYFUNCTION("""COMPUTED_VALUE"""),2.17)</f>
        <v>2.17</v>
      </c>
      <c r="BT107" s="226"/>
      <c r="BU107" s="225"/>
      <c r="BV107" s="225"/>
      <c r="BW107" s="225"/>
      <c r="BX107" s="225"/>
      <c r="BY107" s="225"/>
      <c r="BZ107" s="225"/>
    </row>
    <row r="108">
      <c r="A108" s="238" t="str">
        <f>IFERROR(__xludf.DUMMYFUNCTION("""COMPUTED_VALUE"""),"Perk Option Quantity")</f>
        <v>Perk Option Quantity</v>
      </c>
      <c r="B108" s="239">
        <f>IFERROR(__xludf.DUMMYFUNCTION("""COMPUTED_VALUE"""),2.0)</f>
        <v>2</v>
      </c>
      <c r="C108" s="225"/>
      <c r="D108" s="240">
        <f>IFERROR(__xludf.DUMMYFUNCTION("""COMPUTED_VALUE"""),2.0)</f>
        <v>2</v>
      </c>
      <c r="E108" s="225"/>
      <c r="F108" s="225"/>
      <c r="G108" s="225"/>
      <c r="H108" s="225"/>
      <c r="I108" s="225"/>
      <c r="J108" s="225"/>
      <c r="K108" s="244"/>
      <c r="L108" s="225"/>
      <c r="M108" s="225"/>
      <c r="N108" s="225"/>
      <c r="O108" s="225"/>
      <c r="P108" s="225"/>
      <c r="Q108" s="227"/>
      <c r="R108" s="234"/>
      <c r="S108" s="225"/>
      <c r="T108" s="225"/>
      <c r="U108" s="225"/>
      <c r="V108" s="225"/>
      <c r="W108" s="225"/>
      <c r="X108" s="225"/>
      <c r="Y108" s="229"/>
      <c r="Z108" s="257"/>
      <c r="AA108" s="225"/>
      <c r="AB108" s="257"/>
      <c r="AC108" s="257"/>
      <c r="AD108" s="226"/>
      <c r="AE108" s="259"/>
      <c r="AF108" s="347"/>
      <c r="AG108" s="232"/>
      <c r="AH108" s="257"/>
      <c r="AI108" s="225"/>
      <c r="AJ108" s="267"/>
      <c r="AK108" s="259"/>
      <c r="AL108" s="226"/>
      <c r="AM108" s="225"/>
      <c r="AN108" s="225"/>
      <c r="AO108" s="254"/>
      <c r="AP108" s="225"/>
      <c r="AQ108" s="225"/>
      <c r="AR108" s="226"/>
      <c r="AS108" s="225"/>
      <c r="AT108" s="225"/>
      <c r="AU108" s="225"/>
      <c r="AV108" s="225"/>
      <c r="AW108" s="225"/>
      <c r="AX108" s="226"/>
      <c r="AY108" s="225"/>
      <c r="AZ108" s="225"/>
      <c r="BA108" s="226"/>
      <c r="BB108" s="225"/>
      <c r="BC108" s="225"/>
      <c r="BD108" s="225"/>
      <c r="BE108" s="225"/>
      <c r="BF108" s="225"/>
      <c r="BG108" s="225"/>
      <c r="BH108" s="225"/>
      <c r="BI108" s="225"/>
      <c r="BJ108" s="225"/>
      <c r="BK108" s="225"/>
      <c r="BL108" s="225"/>
      <c r="BM108" s="225"/>
      <c r="BN108" s="225"/>
      <c r="BO108" s="225"/>
      <c r="BP108" s="225"/>
      <c r="BQ108" s="225"/>
      <c r="BR108" s="225"/>
      <c r="BS108" s="225"/>
      <c r="BT108" s="226"/>
      <c r="BU108" s="225"/>
      <c r="BV108" s="225"/>
      <c r="BW108" s="225"/>
      <c r="BX108" s="225"/>
      <c r="BY108" s="225"/>
      <c r="BZ108" s="225"/>
    </row>
    <row r="109">
      <c r="A109" s="238" t="str">
        <f>IFERROR(__xludf.DUMMYFUNCTION("""COMPUTED_VALUE"""),"First Perk Choice")</f>
        <v>First Perk Choice</v>
      </c>
      <c r="B109" s="239">
        <f>IFERROR(__xludf.DUMMYFUNCTION("""COMPUTED_VALUE"""),1.0)</f>
        <v>1</v>
      </c>
      <c r="C109" s="225"/>
      <c r="D109" s="240">
        <f>IFERROR(__xludf.DUMMYFUNCTION("""COMPUTED_VALUE"""),1.0)</f>
        <v>1</v>
      </c>
      <c r="E109" s="225"/>
      <c r="F109" s="225"/>
      <c r="G109" s="225"/>
      <c r="H109" s="225"/>
      <c r="I109" s="225"/>
      <c r="J109" s="225"/>
      <c r="K109" s="244"/>
      <c r="L109" s="225"/>
      <c r="M109" s="225"/>
      <c r="N109" s="225"/>
      <c r="O109" s="225"/>
      <c r="P109" s="225"/>
      <c r="Q109" s="227"/>
      <c r="R109" s="234"/>
      <c r="S109" s="225"/>
      <c r="T109" s="225"/>
      <c r="U109" s="225"/>
      <c r="V109" s="225"/>
      <c r="W109" s="225"/>
      <c r="X109" s="225"/>
      <c r="Y109" s="229"/>
      <c r="Z109" s="257"/>
      <c r="AA109" s="225"/>
      <c r="AB109" s="257"/>
      <c r="AC109" s="257"/>
      <c r="AD109" s="226"/>
      <c r="AE109" s="259"/>
      <c r="AF109" s="347"/>
      <c r="AG109" s="232"/>
      <c r="AH109" s="257"/>
      <c r="AI109" s="225"/>
      <c r="AJ109" s="267"/>
      <c r="AK109" s="259"/>
      <c r="AL109" s="226"/>
      <c r="AM109" s="225"/>
      <c r="AN109" s="225"/>
      <c r="AO109" s="254"/>
      <c r="AP109" s="225"/>
      <c r="AQ109" s="225"/>
      <c r="AR109" s="226"/>
      <c r="AS109" s="225"/>
      <c r="AT109" s="225"/>
      <c r="AU109" s="225"/>
      <c r="AV109" s="225"/>
      <c r="AW109" s="225"/>
      <c r="AX109" s="226"/>
      <c r="AY109" s="225"/>
      <c r="AZ109" s="225"/>
      <c r="BA109" s="226"/>
      <c r="BB109" s="225"/>
      <c r="BC109" s="225"/>
      <c r="BD109" s="225"/>
      <c r="BE109" s="225" t="str">
        <f>IFERROR(__xludf.DUMMYFUNCTION("""COMPUTED_VALUE"""),"")</f>
        <v/>
      </c>
      <c r="BF109" s="225"/>
      <c r="BG109" s="225"/>
      <c r="BH109" s="225"/>
      <c r="BI109" s="225"/>
      <c r="BJ109" s="225" t="str">
        <f>IFERROR(__xludf.DUMMYFUNCTION("""COMPUTED_VALUE"""),"")</f>
        <v/>
      </c>
      <c r="BK109" s="225"/>
      <c r="BL109" s="225" t="str">
        <f>IFERROR(__xludf.DUMMYFUNCTION("""COMPUTED_VALUE"""),"Enemy Attack Level Skip")</f>
        <v>Enemy Attack Level Skip</v>
      </c>
      <c r="BM109" s="225" t="str">
        <f>IFERROR(__xludf.DUMMYFUNCTION("""COMPUTED_VALUE"""),"Legendary")</f>
        <v>Legendary</v>
      </c>
      <c r="BN109" s="225" t="str">
        <f>IFERROR(__xludf.DUMMYFUNCTION("""COMPUTED_VALUE"""),"+4%")</f>
        <v>+4%</v>
      </c>
      <c r="BO109" s="225">
        <f>IFERROR(__xludf.DUMMYFUNCTION("""COMPUTED_VALUE"""),0.04)</f>
        <v>0.04</v>
      </c>
      <c r="BP109" s="225"/>
      <c r="BQ109" s="225"/>
      <c r="BR109" s="225"/>
      <c r="BS109" s="225"/>
      <c r="BT109" s="226" t="str">
        <f>IFERROR(__xludf.DUMMYFUNCTION("""COMPUTED_VALUE"""),"")</f>
        <v/>
      </c>
      <c r="BU109" s="225"/>
      <c r="BV109" s="225"/>
      <c r="BW109" s="225"/>
      <c r="BX109" s="225"/>
      <c r="BY109" s="225"/>
      <c r="BZ109" s="225"/>
    </row>
    <row r="110">
      <c r="A110" s="238" t="str">
        <f>IFERROR(__xludf.DUMMYFUNCTION("""COMPUTED_VALUE"""),"Ban Perks")</f>
        <v>Ban Perks</v>
      </c>
      <c r="B110" s="239">
        <f>IFERROR(__xludf.DUMMYFUNCTION("""COMPUTED_VALUE"""),6.0)</f>
        <v>6</v>
      </c>
      <c r="C110" s="225"/>
      <c r="D110" s="240">
        <f>IFERROR(__xludf.DUMMYFUNCTION("""COMPUTED_VALUE"""),8.0)</f>
        <v>8</v>
      </c>
      <c r="E110" s="225"/>
      <c r="F110" s="225"/>
      <c r="G110" s="225"/>
      <c r="H110" s="225"/>
      <c r="I110" s="225"/>
      <c r="J110" s="225"/>
      <c r="K110" s="244"/>
      <c r="L110" s="225"/>
      <c r="M110" s="225"/>
      <c r="N110" s="225"/>
      <c r="O110" s="225"/>
      <c r="P110" s="225"/>
      <c r="Q110" s="227"/>
      <c r="R110" s="234"/>
      <c r="S110" s="225"/>
      <c r="T110" s="225"/>
      <c r="U110" s="225"/>
      <c r="V110" s="225"/>
      <c r="W110" s="225"/>
      <c r="X110" s="225"/>
      <c r="Y110" s="229"/>
      <c r="Z110" s="257"/>
      <c r="AA110" s="225"/>
      <c r="AB110" s="257"/>
      <c r="AC110" s="257"/>
      <c r="AD110" s="226"/>
      <c r="AE110" s="259"/>
      <c r="AF110" s="347"/>
      <c r="AG110" s="232"/>
      <c r="AH110" s="257"/>
      <c r="AI110" s="225"/>
      <c r="AJ110" s="267"/>
      <c r="AK110" s="259"/>
      <c r="AL110" s="226"/>
      <c r="AM110" s="225"/>
      <c r="AN110" s="225"/>
      <c r="AO110" s="254"/>
      <c r="AP110" s="225"/>
      <c r="AQ110" s="225"/>
      <c r="AR110" s="226"/>
      <c r="AS110" s="225"/>
      <c r="AT110" s="225"/>
      <c r="AU110" s="225"/>
      <c r="AV110" s="225"/>
      <c r="AW110" s="225"/>
      <c r="AX110" s="226"/>
      <c r="AY110" s="225"/>
      <c r="AZ110" s="225"/>
      <c r="BA110" s="226"/>
      <c r="BB110" s="225"/>
      <c r="BC110" s="225"/>
      <c r="BD110" s="225"/>
      <c r="BE110" s="225" t="str">
        <f>IFERROR(__xludf.DUMMYFUNCTION("""COMPUTED_VALUE"""),"")</f>
        <v/>
      </c>
      <c r="BF110" s="225"/>
      <c r="BG110" s="225"/>
      <c r="BH110" s="225"/>
      <c r="BI110" s="225"/>
      <c r="BJ110" s="225" t="str">
        <f>IFERROR(__xludf.DUMMYFUNCTION("""COMPUTED_VALUE"""),"")</f>
        <v/>
      </c>
      <c r="BK110" s="225"/>
      <c r="BL110" s="225" t="str">
        <f>IFERROR(__xludf.DUMMYFUNCTION("""COMPUTED_VALUE"""),"Coins / Kill Bonus")</f>
        <v>Coins / Kill Bonus</v>
      </c>
      <c r="BM110" s="225" t="str">
        <f>IFERROR(__xludf.DUMMYFUNCTION("""COMPUTED_VALUE"""),"Epic")</f>
        <v>Epic</v>
      </c>
      <c r="BN110" s="225" t="str">
        <f>IFERROR(__xludf.DUMMYFUNCTION("""COMPUTED_VALUE"""),"+0.3x")</f>
        <v>+0.3x</v>
      </c>
      <c r="BO110" s="225">
        <f>IFERROR(__xludf.DUMMYFUNCTION("""COMPUTED_VALUE"""),0.3)</f>
        <v>0.3</v>
      </c>
      <c r="BP110" s="225"/>
      <c r="BQ110" s="225"/>
      <c r="BR110" s="225"/>
      <c r="BS110" s="225"/>
      <c r="BT110" s="226" t="str">
        <f>IFERROR(__xludf.DUMMYFUNCTION("""COMPUTED_VALUE"""),"")</f>
        <v/>
      </c>
      <c r="BU110" s="225"/>
      <c r="BV110" s="225"/>
      <c r="BW110" s="225"/>
      <c r="BX110" s="225"/>
      <c r="BY110" s="225"/>
      <c r="BZ110" s="225"/>
    </row>
    <row r="111">
      <c r="A111" s="238" t="str">
        <f>IFERROR(__xludf.DUMMYFUNCTION("""COMPUTED_VALUE"""),"Improve Trade-off Perks")</f>
        <v>Improve Trade-off Perks</v>
      </c>
      <c r="B111" s="239">
        <f>IFERROR(__xludf.DUMMYFUNCTION("""COMPUTED_VALUE"""),10.0)</f>
        <v>10</v>
      </c>
      <c r="C111" s="225"/>
      <c r="D111" s="240">
        <f>IFERROR(__xludf.DUMMYFUNCTION("""COMPUTED_VALUE"""),10.0)</f>
        <v>10</v>
      </c>
      <c r="E111" s="225"/>
      <c r="F111" s="225"/>
      <c r="G111" s="225"/>
      <c r="H111" s="225"/>
      <c r="I111" s="225"/>
      <c r="J111" s="225"/>
      <c r="K111" s="244"/>
      <c r="L111" s="225"/>
      <c r="M111" s="225"/>
      <c r="N111" s="225"/>
      <c r="O111" s="225"/>
      <c r="P111" s="225"/>
      <c r="Q111" s="227"/>
      <c r="R111" s="234"/>
      <c r="S111" s="225"/>
      <c r="T111" s="225"/>
      <c r="U111" s="225"/>
      <c r="V111" s="225"/>
      <c r="W111" s="225"/>
      <c r="X111" s="225"/>
      <c r="Y111" s="229"/>
      <c r="Z111" s="257"/>
      <c r="AA111" s="225"/>
      <c r="AB111" s="257"/>
      <c r="AC111" s="257"/>
      <c r="AD111" s="226"/>
      <c r="AE111" s="259"/>
      <c r="AF111" s="347"/>
      <c r="AG111" s="232"/>
      <c r="AH111" s="257"/>
      <c r="AI111" s="225"/>
      <c r="AJ111" s="267"/>
      <c r="AK111" s="259"/>
      <c r="AL111" s="226"/>
      <c r="AM111" s="225"/>
      <c r="AN111" s="225"/>
      <c r="AO111" s="254"/>
      <c r="AP111" s="225"/>
      <c r="AQ111" s="225"/>
      <c r="AR111" s="226"/>
      <c r="AS111" s="225"/>
      <c r="AT111" s="225"/>
      <c r="AU111" s="225"/>
      <c r="AV111" s="225"/>
      <c r="AW111" s="225"/>
      <c r="AX111" s="226"/>
      <c r="AY111" s="225"/>
      <c r="AZ111" s="225"/>
      <c r="BA111" s="226"/>
      <c r="BB111" s="225"/>
      <c r="BC111" s="225"/>
      <c r="BD111" s="225"/>
      <c r="BE111" s="225" t="str">
        <f>IFERROR(__xludf.DUMMYFUNCTION("""COMPUTED_VALUE"""),"")</f>
        <v/>
      </c>
      <c r="BF111" s="225"/>
      <c r="BG111" s="225"/>
      <c r="BH111" s="225"/>
      <c r="BI111" s="225"/>
      <c r="BJ111" s="225" t="str">
        <f>IFERROR(__xludf.DUMMYFUNCTION("""COMPUTED_VALUE"""),"")</f>
        <v/>
      </c>
      <c r="BK111" s="225"/>
      <c r="BL111" s="225" t="str">
        <f>IFERROR(__xludf.DUMMYFUNCTION("""COMPUTED_VALUE"""),"Free Utility Upgrade")</f>
        <v>Free Utility Upgrade</v>
      </c>
      <c r="BM111" s="225" t="str">
        <f>IFERROR(__xludf.DUMMYFUNCTION("""COMPUTED_VALUE"""),"Legendary")</f>
        <v>Legendary</v>
      </c>
      <c r="BN111" s="225" t="str">
        <f>IFERROR(__xludf.DUMMYFUNCTION("""COMPUTED_VALUE"""),"+8%")</f>
        <v>+8%</v>
      </c>
      <c r="BO111" s="225">
        <f>IFERROR(__xludf.DUMMYFUNCTION("""COMPUTED_VALUE"""),0.08)</f>
        <v>0.08</v>
      </c>
      <c r="BP111" s="225"/>
      <c r="BQ111" s="225"/>
      <c r="BR111" s="225"/>
      <c r="BS111" s="225"/>
      <c r="BT111" s="226" t="str">
        <f>IFERROR(__xludf.DUMMYFUNCTION("""COMPUTED_VALUE"""),"")</f>
        <v/>
      </c>
      <c r="BU111" s="225"/>
      <c r="BV111" s="225"/>
      <c r="BW111" s="225"/>
      <c r="BX111" s="225"/>
      <c r="BY111" s="225"/>
      <c r="BZ111" s="225"/>
    </row>
    <row r="112">
      <c r="A112" s="238" t="str">
        <f>IFERROR(__xludf.DUMMYFUNCTION("""COMPUTED_VALUE"""),"Auto Pick Ranking")</f>
        <v>Auto Pick Ranking</v>
      </c>
      <c r="B112" s="239">
        <f>IFERROR(__xludf.DUMMYFUNCTION("""COMPUTED_VALUE"""),12.0)</f>
        <v>12</v>
      </c>
      <c r="C112" s="225"/>
      <c r="D112" s="240">
        <f>IFERROR(__xludf.DUMMYFUNCTION("""COMPUTED_VALUE"""),32.0)</f>
        <v>32</v>
      </c>
      <c r="E112" s="225"/>
      <c r="F112" s="225"/>
      <c r="G112" s="225"/>
      <c r="H112" s="225"/>
      <c r="I112" s="225"/>
      <c r="J112" s="225"/>
      <c r="K112" s="244"/>
      <c r="L112" s="225"/>
      <c r="M112" s="225"/>
      <c r="N112" s="225"/>
      <c r="O112" s="225"/>
      <c r="P112" s="225"/>
      <c r="Q112" s="227"/>
      <c r="R112" s="234"/>
      <c r="S112" s="225"/>
      <c r="T112" s="225"/>
      <c r="U112" s="225"/>
      <c r="V112" s="225"/>
      <c r="W112" s="225"/>
      <c r="X112" s="225"/>
      <c r="Y112" s="229"/>
      <c r="Z112" s="257"/>
      <c r="AA112" s="225"/>
      <c r="AB112" s="257"/>
      <c r="AC112" s="257"/>
      <c r="AD112" s="226"/>
      <c r="AE112" s="259"/>
      <c r="AF112" s="347"/>
      <c r="AG112" s="232"/>
      <c r="AH112" s="257"/>
      <c r="AI112" s="225"/>
      <c r="AJ112" s="267"/>
      <c r="AK112" s="259"/>
      <c r="AL112" s="226"/>
      <c r="AM112" s="225"/>
      <c r="AN112" s="225"/>
      <c r="AO112" s="254"/>
      <c r="AP112" s="225"/>
      <c r="AQ112" s="225"/>
      <c r="AR112" s="226"/>
      <c r="AS112" s="225"/>
      <c r="AT112" s="225"/>
      <c r="AU112" s="225"/>
      <c r="AV112" s="225"/>
      <c r="AW112" s="225"/>
      <c r="AX112" s="226"/>
      <c r="AY112" s="225"/>
      <c r="AZ112" s="225"/>
      <c r="BA112" s="226"/>
      <c r="BB112" s="225"/>
      <c r="BC112" s="225"/>
      <c r="BD112" s="225"/>
      <c r="BE112" s="225" t="str">
        <f>IFERROR(__xludf.DUMMYFUNCTION("""COMPUTED_VALUE"""),"")</f>
        <v/>
      </c>
      <c r="BF112" s="225"/>
      <c r="BG112" s="225"/>
      <c r="BH112" s="225"/>
      <c r="BI112" s="225"/>
      <c r="BJ112" s="225" t="str">
        <f>IFERROR(__xludf.DUMMYFUNCTION("""COMPUTED_VALUE"""),"")</f>
        <v/>
      </c>
      <c r="BK112" s="225"/>
      <c r="BL112" s="225" t="str">
        <f>IFERROR(__xludf.DUMMYFUNCTION("""COMPUTED_VALUE"""),"Free Attack Upgrade")</f>
        <v>Free Attack Upgrade</v>
      </c>
      <c r="BM112" s="225" t="str">
        <f>IFERROR(__xludf.DUMMYFUNCTION("""COMPUTED_VALUE"""),"Legendary")</f>
        <v>Legendary</v>
      </c>
      <c r="BN112" s="225" t="str">
        <f>IFERROR(__xludf.DUMMYFUNCTION("""COMPUTED_VALUE"""),"+8%")</f>
        <v>+8%</v>
      </c>
      <c r="BO112" s="225">
        <f>IFERROR(__xludf.DUMMYFUNCTION("""COMPUTED_VALUE"""),0.08)</f>
        <v>0.08</v>
      </c>
      <c r="BP112" s="225"/>
      <c r="BQ112" s="225"/>
      <c r="BR112" s="225"/>
      <c r="BS112" s="225"/>
      <c r="BT112" s="226" t="str">
        <f>IFERROR(__xludf.DUMMYFUNCTION("""COMPUTED_VALUE"""),"")</f>
        <v/>
      </c>
      <c r="BU112" s="225"/>
      <c r="BV112" s="225"/>
      <c r="BW112" s="225"/>
      <c r="BX112" s="225"/>
      <c r="BY112" s="225"/>
      <c r="BZ112" s="225"/>
    </row>
    <row r="113">
      <c r="A113" s="238" t="str">
        <f>IFERROR(__xludf.DUMMYFUNCTION("""COMPUTED_VALUE"""),"Flame Bot - Cooldown")</f>
        <v>Flame Bot - Cooldown</v>
      </c>
      <c r="B113" s="239">
        <f>IFERROR(__xludf.DUMMYFUNCTION("""COMPUTED_VALUE"""),25.0)</f>
        <v>25</v>
      </c>
      <c r="C113" s="225"/>
      <c r="D113" s="240">
        <f>IFERROR(__xludf.DUMMYFUNCTION("""COMPUTED_VALUE"""),25.0)</f>
        <v>25</v>
      </c>
      <c r="E113" s="225"/>
      <c r="F113" s="225"/>
      <c r="G113" s="225"/>
      <c r="H113" s="225"/>
      <c r="I113" s="225"/>
      <c r="J113" s="225"/>
      <c r="K113" s="244"/>
      <c r="L113" s="225"/>
      <c r="M113" s="225"/>
      <c r="N113" s="225"/>
      <c r="O113" s="225"/>
      <c r="P113" s="225"/>
      <c r="Q113" s="227"/>
      <c r="R113" s="234"/>
      <c r="S113" s="225"/>
      <c r="T113" s="225"/>
      <c r="U113" s="225"/>
      <c r="V113" s="225"/>
      <c r="W113" s="225"/>
      <c r="X113" s="225"/>
      <c r="Y113" s="229"/>
      <c r="Z113" s="257"/>
      <c r="AA113" s="225"/>
      <c r="AB113" s="257"/>
      <c r="AC113" s="257"/>
      <c r="AD113" s="226"/>
      <c r="AE113" s="259"/>
      <c r="AF113" s="347"/>
      <c r="AG113" s="232"/>
      <c r="AH113" s="257"/>
      <c r="AI113" s="225"/>
      <c r="AJ113" s="267"/>
      <c r="AK113" s="259"/>
      <c r="AL113" s="226"/>
      <c r="AM113" s="225"/>
      <c r="AN113" s="225"/>
      <c r="AO113" s="254"/>
      <c r="AP113" s="225"/>
      <c r="AQ113" s="225"/>
      <c r="AR113" s="226"/>
      <c r="AS113" s="225"/>
      <c r="AT113" s="225"/>
      <c r="AU113" s="225"/>
      <c r="AV113" s="225"/>
      <c r="AW113" s="225"/>
      <c r="AX113" s="226"/>
      <c r="AY113" s="225"/>
      <c r="AZ113" s="225"/>
      <c r="BA113" s="226"/>
      <c r="BB113" s="225"/>
      <c r="BC113" s="225"/>
      <c r="BD113" s="225"/>
      <c r="BE113" s="225" t="str">
        <f>IFERROR(__xludf.DUMMYFUNCTION("""COMPUTED_VALUE"""),"")</f>
        <v/>
      </c>
      <c r="BF113" s="225"/>
      <c r="BG113" s="225"/>
      <c r="BH113" s="225"/>
      <c r="BI113" s="225"/>
      <c r="BJ113" s="225" t="str">
        <f>IFERROR(__xludf.DUMMYFUNCTION("""COMPUTED_VALUE"""),"")</f>
        <v/>
      </c>
      <c r="BK113" s="225"/>
      <c r="BL113" s="225"/>
      <c r="BM113" s="225"/>
      <c r="BN113" s="225"/>
      <c r="BO113" s="225" t="str">
        <f>IFERROR(__xludf.DUMMYFUNCTION("""COMPUTED_VALUE"""),"")</f>
        <v/>
      </c>
      <c r="BP113" s="225"/>
      <c r="BQ113" s="225"/>
      <c r="BR113" s="225"/>
      <c r="BS113" s="225"/>
      <c r="BT113" s="226" t="str">
        <f>IFERROR(__xludf.DUMMYFUNCTION("""COMPUTED_VALUE"""),"")</f>
        <v/>
      </c>
      <c r="BU113" s="225"/>
      <c r="BV113" s="225"/>
      <c r="BW113" s="225"/>
      <c r="BX113" s="225"/>
      <c r="BY113" s="225"/>
      <c r="BZ113" s="225"/>
    </row>
    <row r="114">
      <c r="A114" s="238" t="str">
        <f>IFERROR(__xludf.DUMMYFUNCTION("""COMPUTED_VALUE"""),"Thunder Bot - Cooldown")</f>
        <v>Thunder Bot - Cooldown</v>
      </c>
      <c r="B114" s="239">
        <f>IFERROR(__xludf.DUMMYFUNCTION("""COMPUTED_VALUE"""),0.0)</f>
        <v>0</v>
      </c>
      <c r="C114" s="225"/>
      <c r="D114" s="240">
        <f>IFERROR(__xludf.DUMMYFUNCTION("""COMPUTED_VALUE"""),25.0)</f>
        <v>25</v>
      </c>
      <c r="E114" s="225"/>
      <c r="F114" s="225"/>
      <c r="G114" s="225"/>
      <c r="H114" s="225"/>
      <c r="I114" s="225"/>
      <c r="J114" s="225"/>
      <c r="K114" s="244"/>
      <c r="L114" s="225"/>
      <c r="M114" s="225"/>
      <c r="N114" s="225"/>
      <c r="O114" s="225"/>
      <c r="P114" s="225"/>
      <c r="Q114" s="227"/>
      <c r="R114" s="234"/>
      <c r="S114" s="225"/>
      <c r="T114" s="225"/>
      <c r="U114" s="225"/>
      <c r="V114" s="225"/>
      <c r="W114" s="225"/>
      <c r="X114" s="225"/>
      <c r="Y114" s="229"/>
      <c r="Z114" s="257"/>
      <c r="AA114" s="225"/>
      <c r="AB114" s="257"/>
      <c r="AC114" s="257"/>
      <c r="AD114" s="226"/>
      <c r="AE114" s="259"/>
      <c r="AF114" s="347"/>
      <c r="AG114" s="232"/>
      <c r="AH114" s="257"/>
      <c r="AI114" s="225"/>
      <c r="AJ114" s="267"/>
      <c r="AK114" s="259"/>
      <c r="AL114" s="226"/>
      <c r="AM114" s="225"/>
      <c r="AN114" s="225"/>
      <c r="AO114" s="254"/>
      <c r="AP114" s="225"/>
      <c r="AQ114" s="225"/>
      <c r="AR114" s="226"/>
      <c r="AS114" s="225"/>
      <c r="AT114" s="225"/>
      <c r="AU114" s="225"/>
      <c r="AV114" s="225"/>
      <c r="AW114" s="225"/>
      <c r="AX114" s="226"/>
      <c r="AY114" s="225"/>
      <c r="AZ114" s="225"/>
      <c r="BA114" s="226"/>
      <c r="BB114" s="225"/>
      <c r="BC114" s="225"/>
      <c r="BD114" s="225"/>
      <c r="BE114" s="225" t="str">
        <f>IFERROR(__xludf.DUMMYFUNCTION("""COMPUTED_VALUE"""),"")</f>
        <v/>
      </c>
      <c r="BF114" s="225"/>
      <c r="BG114" s="225"/>
      <c r="BH114" s="225"/>
      <c r="BI114" s="225"/>
      <c r="BJ114" s="225" t="str">
        <f>IFERROR(__xludf.DUMMYFUNCTION("""COMPUTED_VALUE"""),"")</f>
        <v/>
      </c>
      <c r="BK114" s="225"/>
      <c r="BL114" s="225"/>
      <c r="BM114" s="225"/>
      <c r="BN114" s="225"/>
      <c r="BO114" s="225" t="str">
        <f>IFERROR(__xludf.DUMMYFUNCTION("""COMPUTED_VALUE"""),"")</f>
        <v/>
      </c>
      <c r="BP114" s="225"/>
      <c r="BQ114" s="225"/>
      <c r="BR114" s="225"/>
      <c r="BS114" s="225"/>
      <c r="BT114" s="226" t="str">
        <f>IFERROR(__xludf.DUMMYFUNCTION("""COMPUTED_VALUE"""),"")</f>
        <v/>
      </c>
      <c r="BU114" s="225"/>
      <c r="BV114" s="225"/>
      <c r="BW114" s="225"/>
      <c r="BX114" s="225"/>
      <c r="BY114" s="225"/>
      <c r="BZ114" s="225"/>
    </row>
    <row r="115">
      <c r="A115" s="238" t="str">
        <f>IFERROR(__xludf.DUMMYFUNCTION("""COMPUTED_VALUE"""),"Gold Bot - Cooldown")</f>
        <v>Gold Bot - Cooldown</v>
      </c>
      <c r="B115" s="239">
        <f>IFERROR(__xludf.DUMMYFUNCTION("""COMPUTED_VALUE"""),21.0)</f>
        <v>21</v>
      </c>
      <c r="C115" s="225"/>
      <c r="D115" s="240">
        <f>IFERROR(__xludf.DUMMYFUNCTION("""COMPUTED_VALUE"""),25.0)</f>
        <v>25</v>
      </c>
      <c r="E115" s="225"/>
      <c r="F115" s="225"/>
      <c r="G115" s="225"/>
      <c r="H115" s="225"/>
      <c r="I115" s="225"/>
      <c r="J115" s="225"/>
      <c r="K115" s="244"/>
      <c r="L115" s="225"/>
      <c r="M115" s="225"/>
      <c r="N115" s="225"/>
      <c r="O115" s="225"/>
      <c r="P115" s="225"/>
      <c r="Q115" s="227"/>
      <c r="R115" s="234"/>
      <c r="S115" s="225"/>
      <c r="T115" s="225"/>
      <c r="U115" s="225"/>
      <c r="V115" s="225"/>
      <c r="W115" s="225"/>
      <c r="X115" s="225"/>
      <c r="Y115" s="229"/>
      <c r="Z115" s="257"/>
      <c r="AA115" s="225"/>
      <c r="AB115" s="257"/>
      <c r="AC115" s="257"/>
      <c r="AD115" s="226"/>
      <c r="AE115" s="259"/>
      <c r="AF115" s="347"/>
      <c r="AG115" s="232"/>
      <c r="AH115" s="257"/>
      <c r="AI115" s="225"/>
      <c r="AJ115" s="267"/>
      <c r="AK115" s="259"/>
      <c r="AL115" s="226"/>
      <c r="AM115" s="225"/>
      <c r="AN115" s="225"/>
      <c r="AO115" s="254"/>
      <c r="AP115" s="225"/>
      <c r="AQ115" s="225"/>
      <c r="AR115" s="226"/>
      <c r="AS115" s="225"/>
      <c r="AT115" s="225"/>
      <c r="AU115" s="225"/>
      <c r="AV115" s="225"/>
      <c r="AW115" s="225"/>
      <c r="AX115" s="226"/>
      <c r="AY115" s="225"/>
      <c r="AZ115" s="225"/>
      <c r="BA115" s="226"/>
      <c r="BB115" s="225"/>
      <c r="BC115" s="225"/>
      <c r="BD115" s="225"/>
      <c r="BE115" s="225" t="str">
        <f>IFERROR(__xludf.DUMMYFUNCTION("""COMPUTED_VALUE"""),"")</f>
        <v/>
      </c>
      <c r="BF115" s="225"/>
      <c r="BG115" s="225"/>
      <c r="BH115" s="225"/>
      <c r="BI115" s="225"/>
      <c r="BJ115" s="225" t="str">
        <f>IFERROR(__xludf.DUMMYFUNCTION("""COMPUTED_VALUE"""),"")</f>
        <v/>
      </c>
      <c r="BK115" s="225"/>
      <c r="BL115" s="225"/>
      <c r="BM115" s="225"/>
      <c r="BN115" s="225"/>
      <c r="BO115" s="225" t="str">
        <f>IFERROR(__xludf.DUMMYFUNCTION("""COMPUTED_VALUE"""),"")</f>
        <v/>
      </c>
      <c r="BP115" s="225"/>
      <c r="BQ115" s="225"/>
      <c r="BR115" s="225"/>
      <c r="BS115" s="225"/>
      <c r="BT115" s="226" t="str">
        <f>IFERROR(__xludf.DUMMYFUNCTION("""COMPUTED_VALUE"""),"")</f>
        <v/>
      </c>
      <c r="BU115" s="225"/>
      <c r="BV115" s="225"/>
      <c r="BW115" s="225"/>
      <c r="BX115" s="225"/>
      <c r="BY115" s="225"/>
      <c r="BZ115" s="225"/>
    </row>
    <row r="116">
      <c r="A116" s="238" t="str">
        <f>IFERROR(__xludf.DUMMYFUNCTION("""COMPUTED_VALUE"""),"Amp Bot - Cooldown")</f>
        <v>Amp Bot - Cooldown</v>
      </c>
      <c r="B116" s="239">
        <f>IFERROR(__xludf.DUMMYFUNCTION("""COMPUTED_VALUE"""),0.0)</f>
        <v>0</v>
      </c>
      <c r="C116" s="225"/>
      <c r="D116" s="240">
        <f>IFERROR(__xludf.DUMMYFUNCTION("""COMPUTED_VALUE"""),25.0)</f>
        <v>25</v>
      </c>
      <c r="E116" s="225"/>
      <c r="F116" s="225"/>
      <c r="G116" s="225"/>
      <c r="H116" s="225"/>
      <c r="I116" s="225"/>
      <c r="J116" s="225"/>
      <c r="K116" s="244"/>
      <c r="L116" s="225"/>
      <c r="M116" s="225"/>
      <c r="N116" s="225"/>
      <c r="O116" s="225"/>
      <c r="P116" s="225"/>
      <c r="Q116" s="227"/>
      <c r="R116" s="234"/>
      <c r="S116" s="225"/>
      <c r="T116" s="225"/>
      <c r="U116" s="225"/>
      <c r="V116" s="225"/>
      <c r="W116" s="225"/>
      <c r="X116" s="225"/>
      <c r="Y116" s="229"/>
      <c r="Z116" s="257"/>
      <c r="AA116" s="225"/>
      <c r="AB116" s="257"/>
      <c r="AC116" s="257"/>
      <c r="AD116" s="226"/>
      <c r="AE116" s="259"/>
      <c r="AF116" s="347"/>
      <c r="AG116" s="232"/>
      <c r="AH116" s="257"/>
      <c r="AI116" s="225"/>
      <c r="AJ116" s="267"/>
      <c r="AK116" s="259"/>
      <c r="AL116" s="226"/>
      <c r="AM116" s="225"/>
      <c r="AN116" s="225"/>
      <c r="AO116" s="254"/>
      <c r="AP116" s="225"/>
      <c r="AQ116" s="225"/>
      <c r="AR116" s="226"/>
      <c r="AS116" s="225"/>
      <c r="AT116" s="225"/>
      <c r="AU116" s="225"/>
      <c r="AV116" s="225"/>
      <c r="AW116" s="225"/>
      <c r="AX116" s="226"/>
      <c r="AY116" s="225"/>
      <c r="AZ116" s="225"/>
      <c r="BA116" s="226"/>
      <c r="BB116" s="225"/>
      <c r="BC116" s="225"/>
      <c r="BD116" s="225"/>
      <c r="BE116" s="225" t="str">
        <f>IFERROR(__xludf.DUMMYFUNCTION("""COMPUTED_VALUE"""),"")</f>
        <v/>
      </c>
      <c r="BF116" s="225"/>
      <c r="BG116" s="225"/>
      <c r="BH116" s="225"/>
      <c r="BI116" s="225"/>
      <c r="BJ116" s="225" t="str">
        <f>IFERROR(__xludf.DUMMYFUNCTION("""COMPUTED_VALUE"""),"")</f>
        <v/>
      </c>
      <c r="BK116" s="225"/>
      <c r="BL116" s="225"/>
      <c r="BM116" s="225"/>
      <c r="BN116" s="225"/>
      <c r="BO116" s="225" t="str">
        <f>IFERROR(__xludf.DUMMYFUNCTION("""COMPUTED_VALUE"""),"")</f>
        <v/>
      </c>
      <c r="BP116" s="225"/>
      <c r="BQ116" s="225"/>
      <c r="BR116" s="225"/>
      <c r="BS116" s="225"/>
      <c r="BT116" s="226" t="str">
        <f>IFERROR(__xludf.DUMMYFUNCTION("""COMPUTED_VALUE"""),"")</f>
        <v/>
      </c>
      <c r="BU116" s="225"/>
      <c r="BV116" s="225"/>
      <c r="BW116" s="225"/>
      <c r="BX116" s="225"/>
      <c r="BY116" s="225"/>
      <c r="BZ116" s="225"/>
    </row>
    <row r="117">
      <c r="A117" s="238" t="str">
        <f>IFERROR(__xludf.DUMMYFUNCTION("""COMPUTED_VALUE"""),"Flame Bot - Burn Stack")</f>
        <v>Flame Bot - Burn Stack</v>
      </c>
      <c r="B117" s="239">
        <f>IFERROR(__xludf.DUMMYFUNCTION("""COMPUTED_VALUE"""),0.0)</f>
        <v>0</v>
      </c>
      <c r="C117" s="225"/>
      <c r="D117" s="240">
        <f>IFERROR(__xludf.DUMMYFUNCTION("""COMPUTED_VALUE"""),5.0)</f>
        <v>5</v>
      </c>
      <c r="E117" s="225"/>
      <c r="F117" s="225"/>
      <c r="G117" s="225"/>
      <c r="H117" s="225"/>
      <c r="I117" s="225"/>
      <c r="J117" s="225"/>
      <c r="K117" s="244"/>
      <c r="L117" s="225"/>
      <c r="M117" s="225"/>
      <c r="N117" s="225"/>
      <c r="O117" s="225"/>
      <c r="P117" s="225"/>
      <c r="Q117" s="227"/>
      <c r="R117" s="234"/>
      <c r="S117" s="225"/>
      <c r="T117" s="225"/>
      <c r="U117" s="225"/>
      <c r="V117" s="225"/>
      <c r="W117" s="225"/>
      <c r="X117" s="225"/>
      <c r="Y117" s="229"/>
      <c r="Z117" s="257"/>
      <c r="AA117" s="225"/>
      <c r="AB117" s="257"/>
      <c r="AC117" s="257"/>
      <c r="AD117" s="226"/>
      <c r="AE117" s="259"/>
      <c r="AF117" s="347"/>
      <c r="AG117" s="232"/>
      <c r="AH117" s="257"/>
      <c r="AI117" s="225"/>
      <c r="AJ117" s="267"/>
      <c r="AK117" s="259"/>
      <c r="AL117" s="226"/>
      <c r="AM117" s="225"/>
      <c r="AN117" s="225"/>
      <c r="AO117" s="254"/>
      <c r="AP117" s="225"/>
      <c r="AQ117" s="225"/>
      <c r="AR117" s="226"/>
      <c r="AS117" s="225"/>
      <c r="AT117" s="225"/>
      <c r="AU117" s="225"/>
      <c r="AV117" s="225"/>
      <c r="AW117" s="225"/>
      <c r="AX117" s="226"/>
      <c r="AY117" s="225"/>
      <c r="AZ117" s="225"/>
      <c r="BA117" s="226"/>
      <c r="BB117" s="225"/>
      <c r="BC117" s="225"/>
      <c r="BD117" s="225"/>
      <c r="BE117" s="225"/>
      <c r="BF117" s="225"/>
      <c r="BG117" s="225"/>
      <c r="BH117" s="225"/>
      <c r="BI117" s="225"/>
      <c r="BJ117" s="225"/>
      <c r="BK117" s="225"/>
      <c r="BL117" s="225"/>
      <c r="BM117" s="225"/>
      <c r="BN117" s="225"/>
      <c r="BO117" s="225"/>
      <c r="BP117" s="225"/>
      <c r="BQ117" s="225"/>
      <c r="BR117" s="225"/>
      <c r="BS117" s="225"/>
      <c r="BT117" s="226"/>
      <c r="BU117" s="225"/>
      <c r="BV117" s="225"/>
      <c r="BW117" s="225"/>
      <c r="BX117" s="225"/>
      <c r="BY117" s="225"/>
      <c r="BZ117" s="225"/>
    </row>
    <row r="118">
      <c r="A118" s="238" t="str">
        <f>IFERROR(__xludf.DUMMYFUNCTION("""COMPUTED_VALUE"""),"Thunder Bot - Linger Time")</f>
        <v>Thunder Bot - Linger Time</v>
      </c>
      <c r="B118" s="239">
        <f>IFERROR(__xludf.DUMMYFUNCTION("""COMPUTED_VALUE"""),0.0)</f>
        <v>0</v>
      </c>
      <c r="C118" s="225"/>
      <c r="D118" s="240">
        <f>IFERROR(__xludf.DUMMYFUNCTION("""COMPUTED_VALUE"""),20.0)</f>
        <v>20</v>
      </c>
      <c r="E118" s="225"/>
      <c r="F118" s="225"/>
      <c r="G118" s="225"/>
      <c r="H118" s="225"/>
      <c r="I118" s="225"/>
      <c r="J118" s="225"/>
      <c r="K118" s="244"/>
      <c r="L118" s="225"/>
      <c r="M118" s="225"/>
      <c r="N118" s="225"/>
      <c r="O118" s="225"/>
      <c r="P118" s="225"/>
      <c r="Q118" s="227"/>
      <c r="R118" s="234"/>
      <c r="S118" s="225"/>
      <c r="T118" s="225"/>
      <c r="U118" s="225"/>
      <c r="V118" s="225"/>
      <c r="W118" s="225"/>
      <c r="X118" s="225"/>
      <c r="Y118" s="229"/>
      <c r="Z118" s="257"/>
      <c r="AA118" s="225"/>
      <c r="AB118" s="257"/>
      <c r="AC118" s="257"/>
      <c r="AD118" s="226"/>
      <c r="AE118" s="259"/>
      <c r="AF118" s="347"/>
      <c r="AG118" s="232"/>
      <c r="AH118" s="257"/>
      <c r="AI118" s="225"/>
      <c r="AJ118" s="267"/>
      <c r="AK118" s="259"/>
      <c r="AL118" s="226"/>
      <c r="AM118" s="225"/>
      <c r="AN118" s="225"/>
      <c r="AO118" s="254"/>
      <c r="AP118" s="225"/>
      <c r="AQ118" s="225"/>
      <c r="AR118" s="226"/>
      <c r="AS118" s="225"/>
      <c r="AT118" s="225"/>
      <c r="AU118" s="225"/>
      <c r="AV118" s="225"/>
      <c r="AW118" s="225"/>
      <c r="AX118" s="226"/>
      <c r="AY118" s="225"/>
      <c r="AZ118" s="225"/>
      <c r="BA118" s="226"/>
      <c r="BB118" s="225" t="str">
        <f>IFERROR(__xludf.DUMMYFUNCTION("""COMPUTED_VALUE"""),"Any Other 2")</f>
        <v>Any Other 2</v>
      </c>
      <c r="BC118" s="225"/>
      <c r="BD118" s="225"/>
      <c r="BE118" s="225"/>
      <c r="BF118" s="225"/>
      <c r="BG118" s="225" t="str">
        <f>IFERROR(__xludf.DUMMYFUNCTION("""COMPUTED_VALUE"""),"Any Other 2")</f>
        <v>Any Other 2</v>
      </c>
      <c r="BH118" s="225"/>
      <c r="BI118" s="225"/>
      <c r="BJ118" s="225"/>
      <c r="BK118" s="225"/>
      <c r="BL118" s="225" t="str">
        <f>IFERROR(__xludf.DUMMYFUNCTION("""COMPUTED_VALUE"""),"Any Other 2")</f>
        <v>Any Other 2</v>
      </c>
      <c r="BM118" s="225"/>
      <c r="BN118" s="225"/>
      <c r="BO118" s="225"/>
      <c r="BP118" s="225"/>
      <c r="BQ118" s="225" t="str">
        <f>IFERROR(__xludf.DUMMYFUNCTION("""COMPUTED_VALUE"""),"Any Other 2")</f>
        <v>Any Other 2</v>
      </c>
      <c r="BR118" s="225"/>
      <c r="BS118" s="225"/>
      <c r="BT118" s="226"/>
      <c r="BU118" s="225"/>
      <c r="BV118" s="225"/>
      <c r="BW118" s="225"/>
      <c r="BX118" s="225"/>
      <c r="BY118" s="225"/>
      <c r="BZ118" s="225"/>
    </row>
    <row r="119">
      <c r="A119" s="238" t="str">
        <f>IFERROR(__xludf.DUMMYFUNCTION("""COMPUTED_VALUE"""),"Gold Bot - Duration")</f>
        <v>Gold Bot - Duration</v>
      </c>
      <c r="B119" s="239">
        <f>IFERROR(__xludf.DUMMYFUNCTION("""COMPUTED_VALUE"""),12.0)</f>
        <v>12</v>
      </c>
      <c r="C119" s="225"/>
      <c r="D119" s="240">
        <f>IFERROR(__xludf.DUMMYFUNCTION("""COMPUTED_VALUE"""),20.0)</f>
        <v>20</v>
      </c>
      <c r="E119" s="225"/>
      <c r="F119" s="225"/>
      <c r="G119" s="225"/>
      <c r="H119" s="225"/>
      <c r="I119" s="225"/>
      <c r="J119" s="225"/>
      <c r="K119" s="244"/>
      <c r="L119" s="225"/>
      <c r="M119" s="225"/>
      <c r="N119" s="225"/>
      <c r="O119" s="225"/>
      <c r="P119" s="225"/>
      <c r="Q119" s="227"/>
      <c r="R119" s="234"/>
      <c r="S119" s="225"/>
      <c r="T119" s="225"/>
      <c r="U119" s="225"/>
      <c r="V119" s="225"/>
      <c r="W119" s="225"/>
      <c r="X119" s="225"/>
      <c r="Y119" s="229"/>
      <c r="Z119" s="257"/>
      <c r="AA119" s="225"/>
      <c r="AB119" s="257"/>
      <c r="AC119" s="257"/>
      <c r="AD119" s="226"/>
      <c r="AE119" s="259"/>
      <c r="AF119" s="347"/>
      <c r="AG119" s="232"/>
      <c r="AH119" s="257"/>
      <c r="AI119" s="225"/>
      <c r="AJ119" s="267"/>
      <c r="AK119" s="259"/>
      <c r="AL119" s="226"/>
      <c r="AM119" s="225"/>
      <c r="AN119" s="225"/>
      <c r="AO119" s="254"/>
      <c r="AP119" s="225"/>
      <c r="AQ119" s="225"/>
      <c r="AR119" s="226"/>
      <c r="AS119" s="225"/>
      <c r="AT119" s="225"/>
      <c r="AU119" s="225"/>
      <c r="AV119" s="225"/>
      <c r="AW119" s="225"/>
      <c r="AX119" s="226"/>
      <c r="AY119" s="225"/>
      <c r="AZ119" s="225"/>
      <c r="BA119" s="226"/>
      <c r="BB119" s="225" t="str">
        <f>IFERROR(__xludf.DUMMYFUNCTION("""COMPUTED_VALUE"""),"Rarity")</f>
        <v>Rarity</v>
      </c>
      <c r="BC119" s="225" t="str">
        <f>IFERROR(__xludf.DUMMYFUNCTION("""COMPUTED_VALUE"""),"Level")</f>
        <v>Level</v>
      </c>
      <c r="BD119" s="225" t="str">
        <f>IFERROR(__xludf.DUMMYFUNCTION("""COMPUTED_VALUE"""),"Stat")</f>
        <v>Stat</v>
      </c>
      <c r="BE119" s="225"/>
      <c r="BF119" s="225"/>
      <c r="BG119" s="225" t="str">
        <f>IFERROR(__xludf.DUMMYFUNCTION("""COMPUTED_VALUE"""),"Rarity")</f>
        <v>Rarity</v>
      </c>
      <c r="BH119" s="225" t="str">
        <f>IFERROR(__xludf.DUMMYFUNCTION("""COMPUTED_VALUE"""),"Level")</f>
        <v>Level</v>
      </c>
      <c r="BI119" s="225" t="str">
        <f>IFERROR(__xludf.DUMMYFUNCTION("""COMPUTED_VALUE"""),"Stat")</f>
        <v>Stat</v>
      </c>
      <c r="BJ119" s="225"/>
      <c r="BK119" s="225"/>
      <c r="BL119" s="225" t="str">
        <f>IFERROR(__xludf.DUMMYFUNCTION("""COMPUTED_VALUE"""),"Rarity")</f>
        <v>Rarity</v>
      </c>
      <c r="BM119" s="225" t="str">
        <f>IFERROR(__xludf.DUMMYFUNCTION("""COMPUTED_VALUE"""),"Level")</f>
        <v>Level</v>
      </c>
      <c r="BN119" s="225" t="str">
        <f>IFERROR(__xludf.DUMMYFUNCTION("""COMPUTED_VALUE"""),"Stat")</f>
        <v>Stat</v>
      </c>
      <c r="BO119" s="225"/>
      <c r="BP119" s="225"/>
      <c r="BQ119" s="225" t="str">
        <f>IFERROR(__xludf.DUMMYFUNCTION("""COMPUTED_VALUE"""),"Rarity")</f>
        <v>Rarity</v>
      </c>
      <c r="BR119" s="225" t="str">
        <f>IFERROR(__xludf.DUMMYFUNCTION("""COMPUTED_VALUE"""),"Level")</f>
        <v>Level</v>
      </c>
      <c r="BS119" s="225" t="str">
        <f>IFERROR(__xludf.DUMMYFUNCTION("""COMPUTED_VALUE"""),"Stat")</f>
        <v>Stat</v>
      </c>
      <c r="BT119" s="226"/>
      <c r="BU119" s="225"/>
      <c r="BV119" s="225"/>
      <c r="BW119" s="225"/>
      <c r="BX119" s="225"/>
      <c r="BY119" s="225"/>
      <c r="BZ119" s="225"/>
    </row>
    <row r="120">
      <c r="A120" s="238" t="str">
        <f>IFERROR(__xludf.DUMMYFUNCTION("""COMPUTED_VALUE"""),"Amp Bot - Duration")</f>
        <v>Amp Bot - Duration</v>
      </c>
      <c r="B120" s="239">
        <f>IFERROR(__xludf.DUMMYFUNCTION("""COMPUTED_VALUE"""),0.0)</f>
        <v>0</v>
      </c>
      <c r="C120" s="225"/>
      <c r="D120" s="240">
        <f>IFERROR(__xludf.DUMMYFUNCTION("""COMPUTED_VALUE"""),20.0)</f>
        <v>20</v>
      </c>
      <c r="E120" s="225"/>
      <c r="F120" s="225"/>
      <c r="G120" s="225"/>
      <c r="H120" s="225"/>
      <c r="I120" s="225"/>
      <c r="J120" s="225"/>
      <c r="K120" s="244"/>
      <c r="L120" s="225"/>
      <c r="M120" s="225"/>
      <c r="N120" s="225"/>
      <c r="O120" s="225"/>
      <c r="P120" s="225"/>
      <c r="Q120" s="227"/>
      <c r="R120" s="234"/>
      <c r="S120" s="225"/>
      <c r="T120" s="225"/>
      <c r="U120" s="225"/>
      <c r="V120" s="225"/>
      <c r="W120" s="225"/>
      <c r="X120" s="225"/>
      <c r="Y120" s="229"/>
      <c r="Z120" s="257"/>
      <c r="AA120" s="225"/>
      <c r="AB120" s="257"/>
      <c r="AC120" s="257"/>
      <c r="AD120" s="226"/>
      <c r="AE120" s="259"/>
      <c r="AF120" s="347"/>
      <c r="AG120" s="232"/>
      <c r="AH120" s="257"/>
      <c r="AI120" s="225"/>
      <c r="AJ120" s="267"/>
      <c r="AK120" s="259"/>
      <c r="AL120" s="226"/>
      <c r="AM120" s="225"/>
      <c r="AN120" s="225"/>
      <c r="AO120" s="254"/>
      <c r="AP120" s="225"/>
      <c r="AQ120" s="225"/>
      <c r="AR120" s="226"/>
      <c r="AS120" s="225"/>
      <c r="AT120" s="225"/>
      <c r="AU120" s="225"/>
      <c r="AV120" s="225"/>
      <c r="AW120" s="225"/>
      <c r="AX120" s="226"/>
      <c r="AY120" s="225"/>
      <c r="AZ120" s="225"/>
      <c r="BA120" s="226"/>
      <c r="BB120" s="225" t="str">
        <f>IFERROR(__xludf.DUMMYFUNCTION("""COMPUTED_VALUE"""),"Common")</f>
        <v>Common</v>
      </c>
      <c r="BC120" s="225">
        <f>IFERROR(__xludf.DUMMYFUNCTION("""COMPUTED_VALUE"""),20.0)</f>
        <v>20</v>
      </c>
      <c r="BD120" s="282">
        <f>IFERROR(__xludf.DUMMYFUNCTION("""COMPUTED_VALUE"""),1.05)</f>
        <v>1.05</v>
      </c>
      <c r="BE120" s="225"/>
      <c r="BF120" s="225"/>
      <c r="BG120" s="225" t="str">
        <f>IFERROR(__xludf.DUMMYFUNCTION("""COMPUTED_VALUE"""),"Common")</f>
        <v>Common</v>
      </c>
      <c r="BH120" s="225">
        <f>IFERROR(__xludf.DUMMYFUNCTION("""COMPUTED_VALUE"""),20.0)</f>
        <v>20</v>
      </c>
      <c r="BI120" s="282">
        <f>IFERROR(__xludf.DUMMYFUNCTION("""COMPUTED_VALUE"""),1.05)</f>
        <v>1.05</v>
      </c>
      <c r="BJ120" s="225"/>
      <c r="BK120" s="225"/>
      <c r="BL120" s="225" t="str">
        <f>IFERROR(__xludf.DUMMYFUNCTION("""COMPUTED_VALUE"""),"Common")</f>
        <v>Common</v>
      </c>
      <c r="BM120" s="225">
        <f>IFERROR(__xludf.DUMMYFUNCTION("""COMPUTED_VALUE"""),20.0)</f>
        <v>20</v>
      </c>
      <c r="BN120" s="282">
        <f>IFERROR(__xludf.DUMMYFUNCTION("""COMPUTED_VALUE"""),1.03)</f>
        <v>1.03</v>
      </c>
      <c r="BO120" s="225"/>
      <c r="BP120" s="225"/>
      <c r="BQ120" s="225" t="str">
        <f>IFERROR(__xludf.DUMMYFUNCTION("""COMPUTED_VALUE"""),"Common")</f>
        <v>Common</v>
      </c>
      <c r="BR120" s="225">
        <f>IFERROR(__xludf.DUMMYFUNCTION("""COMPUTED_VALUE"""),20.0)</f>
        <v>20</v>
      </c>
      <c r="BS120" s="282">
        <f>IFERROR(__xludf.DUMMYFUNCTION("""COMPUTED_VALUE"""),1.23)</f>
        <v>1.23</v>
      </c>
      <c r="BT120" s="226"/>
      <c r="BU120" s="225"/>
      <c r="BV120" s="225"/>
      <c r="BW120" s="225"/>
      <c r="BX120" s="225"/>
      <c r="BY120" s="225"/>
      <c r="BZ120" s="225"/>
    </row>
    <row r="121">
      <c r="A121" s="238" t="str">
        <f>IFERROR(__xludf.DUMMYFUNCTION("""COMPUTED_VALUE"""),"Common Enemy Health")</f>
        <v>Common Enemy Health</v>
      </c>
      <c r="B121" s="239">
        <f>IFERROR(__xludf.DUMMYFUNCTION("""COMPUTED_VALUE"""),0.0)</f>
        <v>0</v>
      </c>
      <c r="C121" s="225"/>
      <c r="D121" s="240">
        <f>IFERROR(__xludf.DUMMYFUNCTION("""COMPUTED_VALUE"""),30.0)</f>
        <v>30</v>
      </c>
      <c r="E121" s="225"/>
      <c r="F121" s="225"/>
      <c r="G121" s="225"/>
      <c r="H121" s="225"/>
      <c r="I121" s="225"/>
      <c r="J121" s="225"/>
      <c r="K121" s="244"/>
      <c r="L121" s="225"/>
      <c r="M121" s="225"/>
      <c r="N121" s="225"/>
      <c r="O121" s="225"/>
      <c r="P121" s="225"/>
      <c r="Q121" s="227"/>
      <c r="R121" s="234"/>
      <c r="S121" s="225"/>
      <c r="T121" s="225"/>
      <c r="U121" s="225"/>
      <c r="V121" s="225"/>
      <c r="W121" s="225"/>
      <c r="X121" s="225"/>
      <c r="Y121" s="229"/>
      <c r="Z121" s="257"/>
      <c r="AA121" s="225"/>
      <c r="AB121" s="257"/>
      <c r="AC121" s="257"/>
      <c r="AD121" s="226"/>
      <c r="AE121" s="259"/>
      <c r="AF121" s="347"/>
      <c r="AG121" s="232"/>
      <c r="AH121" s="257"/>
      <c r="AI121" s="225"/>
      <c r="AJ121" s="267"/>
      <c r="AK121" s="259"/>
      <c r="AL121" s="226"/>
      <c r="AM121" s="225"/>
      <c r="AN121" s="225"/>
      <c r="AO121" s="254"/>
      <c r="AP121" s="225"/>
      <c r="AQ121" s="225"/>
      <c r="AR121" s="226"/>
      <c r="AS121" s="225"/>
      <c r="AT121" s="225"/>
      <c r="AU121" s="225"/>
      <c r="AV121" s="225"/>
      <c r="AW121" s="225"/>
      <c r="AX121" s="226"/>
      <c r="AY121" s="225"/>
      <c r="AZ121" s="225"/>
      <c r="BA121" s="226"/>
      <c r="BB121" s="225"/>
      <c r="BC121" s="225"/>
      <c r="BD121" s="225"/>
      <c r="BE121" s="225"/>
      <c r="BF121" s="225"/>
      <c r="BG121" s="225"/>
      <c r="BH121" s="225"/>
      <c r="BI121" s="225"/>
      <c r="BJ121" s="225"/>
      <c r="BK121" s="225"/>
      <c r="BL121" s="225"/>
      <c r="BM121" s="225"/>
      <c r="BN121" s="225"/>
      <c r="BO121" s="225"/>
      <c r="BP121" s="225"/>
      <c r="BQ121" s="225"/>
      <c r="BR121" s="225"/>
      <c r="BS121" s="225"/>
      <c r="BT121" s="226"/>
      <c r="BU121" s="225"/>
      <c r="BV121" s="225"/>
      <c r="BW121" s="225"/>
      <c r="BX121" s="225"/>
      <c r="BY121" s="225"/>
      <c r="BZ121" s="225"/>
    </row>
    <row r="122">
      <c r="A122" s="238" t="str">
        <f>IFERROR(__xludf.DUMMYFUNCTION("""COMPUTED_VALUE"""),"Common Enemy Attack")</f>
        <v>Common Enemy Attack</v>
      </c>
      <c r="B122" s="239">
        <f>IFERROR(__xludf.DUMMYFUNCTION("""COMPUTED_VALUE"""),0.0)</f>
        <v>0</v>
      </c>
      <c r="C122" s="225"/>
      <c r="D122" s="240">
        <f>IFERROR(__xludf.DUMMYFUNCTION("""COMPUTED_VALUE"""),30.0)</f>
        <v>30</v>
      </c>
      <c r="E122" s="225"/>
      <c r="F122" s="225"/>
      <c r="G122" s="225"/>
      <c r="H122" s="225"/>
      <c r="I122" s="225"/>
      <c r="J122" s="225"/>
      <c r="K122" s="244"/>
      <c r="L122" s="225"/>
      <c r="M122" s="225"/>
      <c r="N122" s="225"/>
      <c r="O122" s="225"/>
      <c r="P122" s="225"/>
      <c r="Q122" s="227"/>
      <c r="R122" s="234"/>
      <c r="S122" s="225"/>
      <c r="T122" s="225"/>
      <c r="U122" s="225"/>
      <c r="V122" s="225"/>
      <c r="W122" s="225"/>
      <c r="X122" s="225"/>
      <c r="Y122" s="229"/>
      <c r="Z122" s="257"/>
      <c r="AA122" s="225"/>
      <c r="AB122" s="257"/>
      <c r="AC122" s="257"/>
      <c r="AD122" s="226"/>
      <c r="AE122" s="259"/>
      <c r="AF122" s="347"/>
      <c r="AG122" s="232"/>
      <c r="AH122" s="257"/>
      <c r="AI122" s="225"/>
      <c r="AJ122" s="267"/>
      <c r="AK122" s="259"/>
      <c r="AL122" s="226"/>
      <c r="AM122" s="225"/>
      <c r="AN122" s="225"/>
      <c r="AO122" s="254"/>
      <c r="AP122" s="225"/>
      <c r="AQ122" s="225"/>
      <c r="AR122" s="226"/>
      <c r="AS122" s="225"/>
      <c r="AT122" s="225"/>
      <c r="AU122" s="225"/>
      <c r="AV122" s="225"/>
      <c r="AW122" s="225"/>
      <c r="AX122" s="226"/>
      <c r="AY122" s="225"/>
      <c r="AZ122" s="225"/>
      <c r="BA122" s="226"/>
      <c r="BB122" s="225"/>
      <c r="BC122" s="225"/>
      <c r="BD122" s="225"/>
      <c r="BE122" s="225" t="str">
        <f>IFERROR(__xludf.DUMMYFUNCTION("""COMPUTED_VALUE"""),"")</f>
        <v/>
      </c>
      <c r="BF122" s="225"/>
      <c r="BG122" s="225"/>
      <c r="BH122" s="225"/>
      <c r="BI122" s="225"/>
      <c r="BJ122" s="225" t="str">
        <f>IFERROR(__xludf.DUMMYFUNCTION("""COMPUTED_VALUE"""),"")</f>
        <v/>
      </c>
      <c r="BK122" s="225"/>
      <c r="BL122" s="225"/>
      <c r="BM122" s="225"/>
      <c r="BN122" s="225"/>
      <c r="BO122" s="225" t="str">
        <f>IFERROR(__xludf.DUMMYFUNCTION("""COMPUTED_VALUE"""),"")</f>
        <v/>
      </c>
      <c r="BP122" s="225"/>
      <c r="BQ122" s="225"/>
      <c r="BR122" s="225"/>
      <c r="BS122" s="225"/>
      <c r="BT122" s="226" t="str">
        <f>IFERROR(__xludf.DUMMYFUNCTION("""COMPUTED_VALUE"""),"")</f>
        <v/>
      </c>
      <c r="BU122" s="225"/>
      <c r="BV122" s="225"/>
      <c r="BW122" s="225"/>
      <c r="BX122" s="225"/>
      <c r="BY122" s="225"/>
      <c r="BZ122" s="225"/>
    </row>
    <row r="123">
      <c r="A123" s="238" t="str">
        <f>IFERROR(__xludf.DUMMYFUNCTION("""COMPUTED_VALUE"""),"Fast Enemy Health")</f>
        <v>Fast Enemy Health</v>
      </c>
      <c r="B123" s="239">
        <f>IFERROR(__xludf.DUMMYFUNCTION("""COMPUTED_VALUE"""),0.0)</f>
        <v>0</v>
      </c>
      <c r="C123" s="225"/>
      <c r="D123" s="240">
        <f>IFERROR(__xludf.DUMMYFUNCTION("""COMPUTED_VALUE"""),30.0)</f>
        <v>30</v>
      </c>
      <c r="E123" s="225"/>
      <c r="F123" s="225"/>
      <c r="G123" s="225"/>
      <c r="H123" s="225"/>
      <c r="I123" s="225"/>
      <c r="J123" s="225"/>
      <c r="K123" s="244"/>
      <c r="L123" s="225"/>
      <c r="M123" s="225"/>
      <c r="N123" s="225"/>
      <c r="O123" s="225"/>
      <c r="P123" s="225"/>
      <c r="Q123" s="227"/>
      <c r="R123" s="234"/>
      <c r="S123" s="225"/>
      <c r="T123" s="225"/>
      <c r="U123" s="225"/>
      <c r="V123" s="225"/>
      <c r="W123" s="225"/>
      <c r="X123" s="225"/>
      <c r="Y123" s="229"/>
      <c r="Z123" s="257"/>
      <c r="AA123" s="225"/>
      <c r="AB123" s="257"/>
      <c r="AC123" s="257"/>
      <c r="AD123" s="226"/>
      <c r="AE123" s="259"/>
      <c r="AF123" s="347"/>
      <c r="AG123" s="232"/>
      <c r="AH123" s="257"/>
      <c r="AI123" s="225"/>
      <c r="AJ123" s="267"/>
      <c r="AK123" s="259"/>
      <c r="AL123" s="226"/>
      <c r="AM123" s="225"/>
      <c r="AN123" s="225"/>
      <c r="AO123" s="254"/>
      <c r="AP123" s="225"/>
      <c r="AQ123" s="225"/>
      <c r="AR123" s="226"/>
      <c r="AS123" s="225"/>
      <c r="AT123" s="225"/>
      <c r="AU123" s="225"/>
      <c r="AV123" s="225"/>
      <c r="AW123" s="225"/>
      <c r="AX123" s="226"/>
      <c r="AY123" s="225"/>
      <c r="AZ123" s="225"/>
      <c r="BA123" s="226"/>
      <c r="BB123" s="225"/>
      <c r="BC123" s="225"/>
      <c r="BD123" s="225"/>
      <c r="BE123" s="225" t="str">
        <f>IFERROR(__xludf.DUMMYFUNCTION("""COMPUTED_VALUE"""),"")</f>
        <v/>
      </c>
      <c r="BF123" s="225"/>
      <c r="BG123" s="225"/>
      <c r="BH123" s="225"/>
      <c r="BI123" s="225"/>
      <c r="BJ123" s="225" t="str">
        <f>IFERROR(__xludf.DUMMYFUNCTION("""COMPUTED_VALUE"""),"")</f>
        <v/>
      </c>
      <c r="BK123" s="225"/>
      <c r="BL123" s="225"/>
      <c r="BM123" s="225"/>
      <c r="BN123" s="225"/>
      <c r="BO123" s="225" t="str">
        <f>IFERROR(__xludf.DUMMYFUNCTION("""COMPUTED_VALUE"""),"")</f>
        <v/>
      </c>
      <c r="BP123" s="225"/>
      <c r="BQ123" s="225"/>
      <c r="BR123" s="225"/>
      <c r="BS123" s="225"/>
      <c r="BT123" s="226" t="str">
        <f>IFERROR(__xludf.DUMMYFUNCTION("""COMPUTED_VALUE"""),"")</f>
        <v/>
      </c>
      <c r="BU123" s="225"/>
      <c r="BV123" s="225"/>
      <c r="BW123" s="225"/>
      <c r="BX123" s="225"/>
      <c r="BY123" s="225"/>
      <c r="BZ123" s="225"/>
    </row>
    <row r="124">
      <c r="A124" s="238" t="str">
        <f>IFERROR(__xludf.DUMMYFUNCTION("""COMPUTED_VALUE"""),"Fast Enemy Attack")</f>
        <v>Fast Enemy Attack</v>
      </c>
      <c r="B124" s="239">
        <f>IFERROR(__xludf.DUMMYFUNCTION("""COMPUTED_VALUE"""),0.0)</f>
        <v>0</v>
      </c>
      <c r="C124" s="225"/>
      <c r="D124" s="240">
        <f>IFERROR(__xludf.DUMMYFUNCTION("""COMPUTED_VALUE"""),30.0)</f>
        <v>30</v>
      </c>
      <c r="E124" s="225"/>
      <c r="F124" s="225"/>
      <c r="G124" s="225"/>
      <c r="H124" s="225"/>
      <c r="I124" s="225"/>
      <c r="J124" s="225"/>
      <c r="K124" s="244"/>
      <c r="L124" s="225"/>
      <c r="M124" s="225"/>
      <c r="N124" s="225"/>
      <c r="O124" s="225"/>
      <c r="P124" s="225"/>
      <c r="Q124" s="227"/>
      <c r="R124" s="234"/>
      <c r="S124" s="225"/>
      <c r="T124" s="225"/>
      <c r="U124" s="225"/>
      <c r="V124" s="225"/>
      <c r="W124" s="225"/>
      <c r="X124" s="225"/>
      <c r="Y124" s="229"/>
      <c r="Z124" s="257"/>
      <c r="AA124" s="225"/>
      <c r="AB124" s="257"/>
      <c r="AC124" s="257"/>
      <c r="AD124" s="226"/>
      <c r="AE124" s="259"/>
      <c r="AF124" s="347"/>
      <c r="AG124" s="232"/>
      <c r="AH124" s="257"/>
      <c r="AI124" s="225"/>
      <c r="AJ124" s="267"/>
      <c r="AK124" s="259"/>
      <c r="AL124" s="226"/>
      <c r="AM124" s="225"/>
      <c r="AN124" s="225"/>
      <c r="AO124" s="254"/>
      <c r="AP124" s="225"/>
      <c r="AQ124" s="225"/>
      <c r="AR124" s="226"/>
      <c r="AS124" s="225"/>
      <c r="AT124" s="225"/>
      <c r="AU124" s="225"/>
      <c r="AV124" s="225"/>
      <c r="AW124" s="225"/>
      <c r="AX124" s="226"/>
      <c r="AY124" s="225"/>
      <c r="AZ124" s="225"/>
      <c r="BA124" s="226"/>
      <c r="BB124" s="225"/>
      <c r="BC124" s="225"/>
      <c r="BD124" s="225"/>
      <c r="BE124" s="225" t="str">
        <f>IFERROR(__xludf.DUMMYFUNCTION("""COMPUTED_VALUE"""),"")</f>
        <v/>
      </c>
      <c r="BF124" s="225"/>
      <c r="BG124" s="225"/>
      <c r="BH124" s="225"/>
      <c r="BI124" s="225"/>
      <c r="BJ124" s="225" t="str">
        <f>IFERROR(__xludf.DUMMYFUNCTION("""COMPUTED_VALUE"""),"")</f>
        <v/>
      </c>
      <c r="BK124" s="225"/>
      <c r="BL124" s="225"/>
      <c r="BM124" s="225"/>
      <c r="BN124" s="225"/>
      <c r="BO124" s="225" t="str">
        <f>IFERROR(__xludf.DUMMYFUNCTION("""COMPUTED_VALUE"""),"")</f>
        <v/>
      </c>
      <c r="BP124" s="225"/>
      <c r="BQ124" s="225"/>
      <c r="BR124" s="225"/>
      <c r="BS124" s="225"/>
      <c r="BT124" s="226" t="str">
        <f>IFERROR(__xludf.DUMMYFUNCTION("""COMPUTED_VALUE"""),"")</f>
        <v/>
      </c>
      <c r="BU124" s="225"/>
      <c r="BV124" s="225"/>
      <c r="BW124" s="225"/>
      <c r="BX124" s="225"/>
      <c r="BY124" s="225"/>
      <c r="BZ124" s="225"/>
    </row>
    <row r="125">
      <c r="A125" s="238" t="str">
        <f>IFERROR(__xludf.DUMMYFUNCTION("""COMPUTED_VALUE"""),"Fast Enemy Speed")</f>
        <v>Fast Enemy Speed</v>
      </c>
      <c r="B125" s="239">
        <f>IFERROR(__xludf.DUMMYFUNCTION("""COMPUTED_VALUE"""),0.0)</f>
        <v>0</v>
      </c>
      <c r="C125" s="225"/>
      <c r="D125" s="240">
        <f>IFERROR(__xludf.DUMMYFUNCTION("""COMPUTED_VALUE"""),30.0)</f>
        <v>30</v>
      </c>
      <c r="E125" s="225"/>
      <c r="F125" s="225"/>
      <c r="G125" s="225"/>
      <c r="H125" s="225"/>
      <c r="I125" s="225"/>
      <c r="J125" s="225"/>
      <c r="K125" s="244"/>
      <c r="L125" s="225"/>
      <c r="M125" s="225"/>
      <c r="N125" s="225"/>
      <c r="O125" s="225"/>
      <c r="P125" s="225"/>
      <c r="Q125" s="227"/>
      <c r="R125" s="234"/>
      <c r="S125" s="225"/>
      <c r="T125" s="225"/>
      <c r="U125" s="225"/>
      <c r="V125" s="225"/>
      <c r="W125" s="225"/>
      <c r="X125" s="225"/>
      <c r="Y125" s="229"/>
      <c r="Z125" s="257"/>
      <c r="AA125" s="225"/>
      <c r="AB125" s="257"/>
      <c r="AC125" s="257"/>
      <c r="AD125" s="226"/>
      <c r="AE125" s="259"/>
      <c r="AF125" s="347"/>
      <c r="AG125" s="232"/>
      <c r="AH125" s="257"/>
      <c r="AI125" s="225"/>
      <c r="AJ125" s="267"/>
      <c r="AK125" s="259"/>
      <c r="AL125" s="226"/>
      <c r="AM125" s="225"/>
      <c r="AN125" s="225"/>
      <c r="AO125" s="254"/>
      <c r="AP125" s="225"/>
      <c r="AQ125" s="225"/>
      <c r="AR125" s="226"/>
      <c r="AS125" s="225"/>
      <c r="AT125" s="225"/>
      <c r="AU125" s="225"/>
      <c r="AV125" s="225"/>
      <c r="AW125" s="225"/>
      <c r="AX125" s="226"/>
      <c r="AY125" s="225"/>
      <c r="AZ125" s="225"/>
      <c r="BA125" s="226"/>
      <c r="BB125" s="225"/>
      <c r="BC125" s="225"/>
      <c r="BD125" s="225"/>
      <c r="BE125" s="225" t="str">
        <f>IFERROR(__xludf.DUMMYFUNCTION("""COMPUTED_VALUE"""),"")</f>
        <v/>
      </c>
      <c r="BF125" s="225"/>
      <c r="BG125" s="225"/>
      <c r="BH125" s="225"/>
      <c r="BI125" s="225"/>
      <c r="BJ125" s="225" t="str">
        <f>IFERROR(__xludf.DUMMYFUNCTION("""COMPUTED_VALUE"""),"")</f>
        <v/>
      </c>
      <c r="BK125" s="225"/>
      <c r="BL125" s="225"/>
      <c r="BM125" s="225"/>
      <c r="BN125" s="225"/>
      <c r="BO125" s="225" t="str">
        <f>IFERROR(__xludf.DUMMYFUNCTION("""COMPUTED_VALUE"""),"")</f>
        <v/>
      </c>
      <c r="BP125" s="225"/>
      <c r="BQ125" s="225"/>
      <c r="BR125" s="225"/>
      <c r="BS125" s="225"/>
      <c r="BT125" s="226" t="str">
        <f>IFERROR(__xludf.DUMMYFUNCTION("""COMPUTED_VALUE"""),"")</f>
        <v/>
      </c>
      <c r="BU125" s="225"/>
      <c r="BV125" s="225"/>
      <c r="BW125" s="225"/>
      <c r="BX125" s="225"/>
      <c r="BY125" s="225"/>
      <c r="BZ125" s="225"/>
    </row>
    <row r="126">
      <c r="A126" s="238" t="str">
        <f>IFERROR(__xludf.DUMMYFUNCTION("""COMPUTED_VALUE"""),"Tank Enemy Health")</f>
        <v>Tank Enemy Health</v>
      </c>
      <c r="B126" s="239">
        <f>IFERROR(__xludf.DUMMYFUNCTION("""COMPUTED_VALUE"""),0.0)</f>
        <v>0</v>
      </c>
      <c r="C126" s="225"/>
      <c r="D126" s="240">
        <f>IFERROR(__xludf.DUMMYFUNCTION("""COMPUTED_VALUE"""),30.0)</f>
        <v>30</v>
      </c>
      <c r="E126" s="225"/>
      <c r="F126" s="225"/>
      <c r="G126" s="225"/>
      <c r="H126" s="225"/>
      <c r="I126" s="225"/>
      <c r="J126" s="225"/>
      <c r="K126" s="244"/>
      <c r="L126" s="225"/>
      <c r="M126" s="225"/>
      <c r="N126" s="225"/>
      <c r="O126" s="225"/>
      <c r="P126" s="225"/>
      <c r="Q126" s="227"/>
      <c r="R126" s="234"/>
      <c r="S126" s="225"/>
      <c r="T126" s="225"/>
      <c r="U126" s="225"/>
      <c r="V126" s="225"/>
      <c r="W126" s="225"/>
      <c r="X126" s="225"/>
      <c r="Y126" s="229"/>
      <c r="Z126" s="257"/>
      <c r="AA126" s="225"/>
      <c r="AB126" s="257"/>
      <c r="AC126" s="257"/>
      <c r="AD126" s="226"/>
      <c r="AE126" s="259"/>
      <c r="AF126" s="347"/>
      <c r="AG126" s="232"/>
      <c r="AH126" s="257"/>
      <c r="AI126" s="225"/>
      <c r="AJ126" s="267"/>
      <c r="AK126" s="259"/>
      <c r="AL126" s="226"/>
      <c r="AM126" s="225"/>
      <c r="AN126" s="225"/>
      <c r="AO126" s="254"/>
      <c r="AP126" s="225"/>
      <c r="AQ126" s="225"/>
      <c r="AR126" s="226"/>
      <c r="AS126" s="225"/>
      <c r="AT126" s="225"/>
      <c r="AU126" s="225"/>
      <c r="AV126" s="225"/>
      <c r="AW126" s="225"/>
      <c r="AX126" s="226"/>
      <c r="AY126" s="225"/>
      <c r="AZ126" s="225"/>
      <c r="BA126" s="226"/>
      <c r="BB126" s="225"/>
      <c r="BC126" s="225"/>
      <c r="BD126" s="225"/>
      <c r="BE126" s="225" t="str">
        <f>IFERROR(__xludf.DUMMYFUNCTION("""COMPUTED_VALUE"""),"")</f>
        <v/>
      </c>
      <c r="BF126" s="225"/>
      <c r="BG126" s="225"/>
      <c r="BH126" s="225"/>
      <c r="BI126" s="225"/>
      <c r="BJ126" s="225" t="str">
        <f>IFERROR(__xludf.DUMMYFUNCTION("""COMPUTED_VALUE"""),"")</f>
        <v/>
      </c>
      <c r="BK126" s="225"/>
      <c r="BL126" s="225"/>
      <c r="BM126" s="225"/>
      <c r="BN126" s="225"/>
      <c r="BO126" s="225" t="str">
        <f>IFERROR(__xludf.DUMMYFUNCTION("""COMPUTED_VALUE"""),"")</f>
        <v/>
      </c>
      <c r="BP126" s="225"/>
      <c r="BQ126" s="225"/>
      <c r="BR126" s="225"/>
      <c r="BS126" s="225"/>
      <c r="BT126" s="226" t="str">
        <f>IFERROR(__xludf.DUMMYFUNCTION("""COMPUTED_VALUE"""),"")</f>
        <v/>
      </c>
      <c r="BU126" s="225"/>
      <c r="BV126" s="225"/>
      <c r="BW126" s="225"/>
      <c r="BX126" s="225"/>
      <c r="BY126" s="225"/>
      <c r="BZ126" s="225"/>
    </row>
    <row r="127">
      <c r="A127" s="238" t="str">
        <f>IFERROR(__xludf.DUMMYFUNCTION("""COMPUTED_VALUE"""),"Tank Enemy Attack")</f>
        <v>Tank Enemy Attack</v>
      </c>
      <c r="B127" s="239">
        <f>IFERROR(__xludf.DUMMYFUNCTION("""COMPUTED_VALUE"""),0.0)</f>
        <v>0</v>
      </c>
      <c r="C127" s="225"/>
      <c r="D127" s="240">
        <f>IFERROR(__xludf.DUMMYFUNCTION("""COMPUTED_VALUE"""),30.0)</f>
        <v>30</v>
      </c>
      <c r="E127" s="225"/>
      <c r="F127" s="225"/>
      <c r="G127" s="225"/>
      <c r="H127" s="225"/>
      <c r="I127" s="225"/>
      <c r="J127" s="225"/>
      <c r="K127" s="244"/>
      <c r="L127" s="225"/>
      <c r="M127" s="225"/>
      <c r="N127" s="225"/>
      <c r="O127" s="225"/>
      <c r="P127" s="225"/>
      <c r="Q127" s="227"/>
      <c r="R127" s="234"/>
      <c r="S127" s="225"/>
      <c r="T127" s="225"/>
      <c r="U127" s="225"/>
      <c r="V127" s="225"/>
      <c r="W127" s="225"/>
      <c r="X127" s="225"/>
      <c r="Y127" s="229"/>
      <c r="Z127" s="257"/>
      <c r="AA127" s="225"/>
      <c r="AB127" s="257"/>
      <c r="AC127" s="257"/>
      <c r="AD127" s="226"/>
      <c r="AE127" s="259"/>
      <c r="AF127" s="347"/>
      <c r="AG127" s="232"/>
      <c r="AH127" s="257"/>
      <c r="AI127" s="225"/>
      <c r="AJ127" s="267"/>
      <c r="AK127" s="259"/>
      <c r="AL127" s="226"/>
      <c r="AM127" s="225"/>
      <c r="AN127" s="225"/>
      <c r="AO127" s="254"/>
      <c r="AP127" s="225"/>
      <c r="AQ127" s="225"/>
      <c r="AR127" s="226"/>
      <c r="AS127" s="225"/>
      <c r="AT127" s="225"/>
      <c r="AU127" s="225"/>
      <c r="AV127" s="225"/>
      <c r="AW127" s="225"/>
      <c r="AX127" s="226"/>
      <c r="AY127" s="225"/>
      <c r="AZ127" s="225"/>
      <c r="BA127" s="226"/>
      <c r="BB127" s="225"/>
      <c r="BC127" s="225"/>
      <c r="BD127" s="225"/>
      <c r="BE127" s="225" t="str">
        <f>IFERROR(__xludf.DUMMYFUNCTION("""COMPUTED_VALUE"""),"")</f>
        <v/>
      </c>
      <c r="BF127" s="225"/>
      <c r="BG127" s="225"/>
      <c r="BH127" s="225"/>
      <c r="BI127" s="225"/>
      <c r="BJ127" s="225" t="str">
        <f>IFERROR(__xludf.DUMMYFUNCTION("""COMPUTED_VALUE"""),"")</f>
        <v/>
      </c>
      <c r="BK127" s="225"/>
      <c r="BL127" s="225"/>
      <c r="BM127" s="225"/>
      <c r="BN127" s="225"/>
      <c r="BO127" s="225" t="str">
        <f>IFERROR(__xludf.DUMMYFUNCTION("""COMPUTED_VALUE"""),"")</f>
        <v/>
      </c>
      <c r="BP127" s="225"/>
      <c r="BQ127" s="225"/>
      <c r="BR127" s="225"/>
      <c r="BS127" s="225"/>
      <c r="BT127" s="226" t="str">
        <f>IFERROR(__xludf.DUMMYFUNCTION("""COMPUTED_VALUE"""),"")</f>
        <v/>
      </c>
      <c r="BU127" s="225"/>
      <c r="BV127" s="225"/>
      <c r="BW127" s="225"/>
      <c r="BX127" s="225"/>
      <c r="BY127" s="225"/>
      <c r="BZ127" s="225"/>
    </row>
    <row r="128">
      <c r="A128" s="238" t="str">
        <f>IFERROR(__xludf.DUMMYFUNCTION("""COMPUTED_VALUE"""),"Ranged Enemy Health")</f>
        <v>Ranged Enemy Health</v>
      </c>
      <c r="B128" s="239">
        <f>IFERROR(__xludf.DUMMYFUNCTION("""COMPUTED_VALUE"""),0.0)</f>
        <v>0</v>
      </c>
      <c r="C128" s="225"/>
      <c r="D128" s="240">
        <f>IFERROR(__xludf.DUMMYFUNCTION("""COMPUTED_VALUE"""),30.0)</f>
        <v>30</v>
      </c>
      <c r="E128" s="225"/>
      <c r="F128" s="225"/>
      <c r="G128" s="225"/>
      <c r="H128" s="225"/>
      <c r="I128" s="225"/>
      <c r="J128" s="225"/>
      <c r="K128" s="244"/>
      <c r="L128" s="225"/>
      <c r="M128" s="225"/>
      <c r="N128" s="225"/>
      <c r="O128" s="225"/>
      <c r="P128" s="225"/>
      <c r="Q128" s="227"/>
      <c r="R128" s="234"/>
      <c r="S128" s="225"/>
      <c r="T128" s="225"/>
      <c r="U128" s="225"/>
      <c r="V128" s="225"/>
      <c r="W128" s="225"/>
      <c r="X128" s="225"/>
      <c r="Y128" s="229"/>
      <c r="Z128" s="257"/>
      <c r="AA128" s="225"/>
      <c r="AB128" s="257"/>
      <c r="AC128" s="257"/>
      <c r="AD128" s="226"/>
      <c r="AE128" s="259"/>
      <c r="AF128" s="347"/>
      <c r="AG128" s="232"/>
      <c r="AH128" s="257"/>
      <c r="AI128" s="225"/>
      <c r="AJ128" s="267"/>
      <c r="AK128" s="259"/>
      <c r="AL128" s="226"/>
      <c r="AM128" s="225"/>
      <c r="AN128" s="225"/>
      <c r="AO128" s="254"/>
      <c r="AP128" s="225"/>
      <c r="AQ128" s="225"/>
      <c r="AR128" s="226"/>
      <c r="AS128" s="225"/>
      <c r="AT128" s="225"/>
      <c r="AU128" s="225"/>
      <c r="AV128" s="225"/>
      <c r="AW128" s="225"/>
      <c r="AX128" s="226"/>
      <c r="AY128" s="225"/>
      <c r="AZ128" s="225"/>
      <c r="BA128" s="226"/>
      <c r="BB128" s="225"/>
      <c r="BC128" s="225"/>
      <c r="BD128" s="225"/>
      <c r="BE128" s="225" t="str">
        <f>IFERROR(__xludf.DUMMYFUNCTION("""COMPUTED_VALUE"""),"")</f>
        <v/>
      </c>
      <c r="BF128" s="225"/>
      <c r="BG128" s="225"/>
      <c r="BH128" s="225"/>
      <c r="BI128" s="225"/>
      <c r="BJ128" s="225" t="str">
        <f>IFERROR(__xludf.DUMMYFUNCTION("""COMPUTED_VALUE"""),"")</f>
        <v/>
      </c>
      <c r="BK128" s="225"/>
      <c r="BL128" s="225"/>
      <c r="BM128" s="225"/>
      <c r="BN128" s="225"/>
      <c r="BO128" s="225" t="str">
        <f>IFERROR(__xludf.DUMMYFUNCTION("""COMPUTED_VALUE"""),"")</f>
        <v/>
      </c>
      <c r="BP128" s="225"/>
      <c r="BQ128" s="225"/>
      <c r="BR128" s="225"/>
      <c r="BS128" s="225"/>
      <c r="BT128" s="226" t="str">
        <f>IFERROR(__xludf.DUMMYFUNCTION("""COMPUTED_VALUE"""),"")</f>
        <v/>
      </c>
      <c r="BU128" s="225"/>
      <c r="BV128" s="225"/>
      <c r="BW128" s="225"/>
      <c r="BX128" s="225"/>
      <c r="BY128" s="225"/>
      <c r="BZ128" s="225"/>
    </row>
    <row r="129">
      <c r="A129" s="238" t="str">
        <f>IFERROR(__xludf.DUMMYFUNCTION("""COMPUTED_VALUE"""),"Ranged Enemy Attack")</f>
        <v>Ranged Enemy Attack</v>
      </c>
      <c r="B129" s="239">
        <f>IFERROR(__xludf.DUMMYFUNCTION("""COMPUTED_VALUE"""),0.0)</f>
        <v>0</v>
      </c>
      <c r="C129" s="225"/>
      <c r="D129" s="240">
        <f>IFERROR(__xludf.DUMMYFUNCTION("""COMPUTED_VALUE"""),30.0)</f>
        <v>30</v>
      </c>
      <c r="E129" s="225"/>
      <c r="F129" s="225"/>
      <c r="G129" s="225"/>
      <c r="H129" s="225"/>
      <c r="I129" s="225"/>
      <c r="J129" s="225"/>
      <c r="K129" s="244"/>
      <c r="L129" s="225"/>
      <c r="M129" s="225"/>
      <c r="N129" s="225"/>
      <c r="O129" s="225"/>
      <c r="P129" s="225"/>
      <c r="Q129" s="227"/>
      <c r="R129" s="234"/>
      <c r="S129" s="225"/>
      <c r="T129" s="225"/>
      <c r="U129" s="225"/>
      <c r="V129" s="225"/>
      <c r="W129" s="225"/>
      <c r="X129" s="225"/>
      <c r="Y129" s="229"/>
      <c r="Z129" s="257"/>
      <c r="AA129" s="225"/>
      <c r="AB129" s="257"/>
      <c r="AC129" s="257"/>
      <c r="AD129" s="226"/>
      <c r="AE129" s="259"/>
      <c r="AF129" s="347"/>
      <c r="AG129" s="232"/>
      <c r="AH129" s="257"/>
      <c r="AI129" s="225"/>
      <c r="AJ129" s="267"/>
      <c r="AK129" s="259"/>
      <c r="AL129" s="226"/>
      <c r="AM129" s="225"/>
      <c r="AN129" s="225"/>
      <c r="AO129" s="254"/>
      <c r="AP129" s="225"/>
      <c r="AQ129" s="225"/>
      <c r="AR129" s="226"/>
      <c r="AS129" s="225"/>
      <c r="AT129" s="225"/>
      <c r="AU129" s="225"/>
      <c r="AV129" s="225"/>
      <c r="AW129" s="225"/>
      <c r="AX129" s="226"/>
      <c r="AY129" s="225"/>
      <c r="AZ129" s="225"/>
      <c r="BA129" s="226"/>
      <c r="BB129" s="225"/>
      <c r="BC129" s="225"/>
      <c r="BD129" s="225"/>
      <c r="BE129" s="225" t="str">
        <f>IFERROR(__xludf.DUMMYFUNCTION("""COMPUTED_VALUE"""),"")</f>
        <v/>
      </c>
      <c r="BF129" s="225"/>
      <c r="BG129" s="225"/>
      <c r="BH129" s="225"/>
      <c r="BI129" s="225"/>
      <c r="BJ129" s="225" t="str">
        <f>IFERROR(__xludf.DUMMYFUNCTION("""COMPUTED_VALUE"""),"")</f>
        <v/>
      </c>
      <c r="BK129" s="225"/>
      <c r="BL129" s="225"/>
      <c r="BM129" s="225"/>
      <c r="BN129" s="225"/>
      <c r="BO129" s="225" t="str">
        <f>IFERROR(__xludf.DUMMYFUNCTION("""COMPUTED_VALUE"""),"")</f>
        <v/>
      </c>
      <c r="BP129" s="225"/>
      <c r="BQ129" s="225"/>
      <c r="BR129" s="225"/>
      <c r="BS129" s="225"/>
      <c r="BT129" s="226" t="str">
        <f>IFERROR(__xludf.DUMMYFUNCTION("""COMPUTED_VALUE"""),"")</f>
        <v/>
      </c>
      <c r="BU129" s="225"/>
      <c r="BV129" s="225"/>
      <c r="BW129" s="225"/>
      <c r="BX129" s="225"/>
      <c r="BY129" s="225"/>
      <c r="BZ129" s="225"/>
    </row>
    <row r="130">
      <c r="A130" s="238" t="str">
        <f>IFERROR(__xludf.DUMMYFUNCTION("""COMPUTED_VALUE"""),"Boss Health")</f>
        <v>Boss Health</v>
      </c>
      <c r="B130" s="239">
        <f>IFERROR(__xludf.DUMMYFUNCTION("""COMPUTED_VALUE"""),0.0)</f>
        <v>0</v>
      </c>
      <c r="C130" s="225"/>
      <c r="D130" s="240">
        <f>IFERROR(__xludf.DUMMYFUNCTION("""COMPUTED_VALUE"""),30.0)</f>
        <v>30</v>
      </c>
      <c r="E130" s="225"/>
      <c r="F130" s="225"/>
      <c r="G130" s="225"/>
      <c r="H130" s="225"/>
      <c r="I130" s="225"/>
      <c r="J130" s="225"/>
      <c r="K130" s="244"/>
      <c r="L130" s="225"/>
      <c r="M130" s="225"/>
      <c r="N130" s="225"/>
      <c r="O130" s="225"/>
      <c r="P130" s="225"/>
      <c r="Q130" s="227"/>
      <c r="R130" s="234"/>
      <c r="S130" s="225"/>
      <c r="T130" s="225"/>
      <c r="U130" s="225"/>
      <c r="V130" s="225"/>
      <c r="W130" s="225"/>
      <c r="X130" s="225"/>
      <c r="Y130" s="229"/>
      <c r="Z130" s="257"/>
      <c r="AA130" s="225"/>
      <c r="AB130" s="257"/>
      <c r="AC130" s="257"/>
      <c r="AD130" s="226"/>
      <c r="AE130" s="259"/>
      <c r="AF130" s="347"/>
      <c r="AG130" s="232"/>
      <c r="AH130" s="257"/>
      <c r="AI130" s="225"/>
      <c r="AJ130" s="267"/>
      <c r="AK130" s="259"/>
      <c r="AL130" s="226"/>
      <c r="AM130" s="225"/>
      <c r="AN130" s="225"/>
      <c r="AO130" s="254"/>
      <c r="AP130" s="225"/>
      <c r="AQ130" s="225"/>
      <c r="AR130" s="226"/>
      <c r="AS130" s="225"/>
      <c r="AT130" s="225"/>
      <c r="AU130" s="225"/>
      <c r="AV130" s="225"/>
      <c r="AW130" s="225"/>
      <c r="AX130" s="226"/>
      <c r="AY130" s="225"/>
      <c r="AZ130" s="225"/>
      <c r="BA130" s="226"/>
      <c r="BB130" s="225"/>
      <c r="BC130" s="225"/>
      <c r="BD130" s="225"/>
      <c r="BE130" s="225"/>
      <c r="BF130" s="225"/>
      <c r="BG130" s="225"/>
      <c r="BH130" s="225"/>
      <c r="BI130" s="225"/>
      <c r="BJ130" s="225"/>
      <c r="BK130" s="225"/>
      <c r="BL130" s="225"/>
      <c r="BM130" s="225"/>
      <c r="BN130" s="225"/>
      <c r="BO130" s="225"/>
      <c r="BP130" s="225"/>
      <c r="BQ130" s="225"/>
      <c r="BR130" s="225"/>
      <c r="BS130" s="225"/>
      <c r="BT130" s="226"/>
      <c r="BU130" s="225"/>
      <c r="BV130" s="225"/>
      <c r="BW130" s="225"/>
      <c r="BX130" s="225"/>
      <c r="BY130" s="225"/>
      <c r="BZ130" s="225"/>
    </row>
    <row r="131">
      <c r="A131" s="238" t="str">
        <f>IFERROR(__xludf.DUMMYFUNCTION("""COMPUTED_VALUE"""),"Boss Attack")</f>
        <v>Boss Attack</v>
      </c>
      <c r="B131" s="239">
        <f>IFERROR(__xludf.DUMMYFUNCTION("""COMPUTED_VALUE"""),0.0)</f>
        <v>0</v>
      </c>
      <c r="C131" s="225"/>
      <c r="D131" s="240">
        <f>IFERROR(__xludf.DUMMYFUNCTION("""COMPUTED_VALUE"""),30.0)</f>
        <v>30</v>
      </c>
      <c r="E131" s="225"/>
      <c r="F131" s="225"/>
      <c r="G131" s="225"/>
      <c r="H131" s="225"/>
      <c r="I131" s="225"/>
      <c r="J131" s="225"/>
      <c r="K131" s="244"/>
      <c r="L131" s="225"/>
      <c r="M131" s="225"/>
      <c r="N131" s="225"/>
      <c r="O131" s="225"/>
      <c r="P131" s="225"/>
      <c r="Q131" s="227"/>
      <c r="R131" s="234"/>
      <c r="S131" s="225"/>
      <c r="T131" s="225"/>
      <c r="U131" s="225"/>
      <c r="V131" s="225"/>
      <c r="W131" s="225"/>
      <c r="X131" s="225"/>
      <c r="Y131" s="229"/>
      <c r="Z131" s="257"/>
      <c r="AA131" s="225"/>
      <c r="AB131" s="257"/>
      <c r="AC131" s="257"/>
      <c r="AD131" s="226"/>
      <c r="AE131" s="259"/>
      <c r="AF131" s="347"/>
      <c r="AG131" s="232"/>
      <c r="AH131" s="257"/>
      <c r="AI131" s="225"/>
      <c r="AJ131" s="267"/>
      <c r="AK131" s="259"/>
      <c r="AL131" s="226"/>
      <c r="AM131" s="225"/>
      <c r="AN131" s="225"/>
      <c r="AO131" s="254"/>
      <c r="AP131" s="225"/>
      <c r="AQ131" s="225"/>
      <c r="AR131" s="226"/>
      <c r="AS131" s="225"/>
      <c r="AT131" s="225"/>
      <c r="AU131" s="225"/>
      <c r="AV131" s="225"/>
      <c r="AW131" s="225"/>
      <c r="AX131" s="226"/>
      <c r="AY131" s="225"/>
      <c r="AZ131" s="225"/>
      <c r="BA131" s="226"/>
      <c r="BB131" s="225"/>
      <c r="BC131" s="225"/>
      <c r="BD131" s="225"/>
      <c r="BE131" s="225"/>
      <c r="BF131" s="225"/>
      <c r="BG131" s="225"/>
      <c r="BH131" s="225"/>
      <c r="BI131" s="225"/>
      <c r="BJ131" s="225"/>
      <c r="BK131" s="225"/>
      <c r="BL131" s="225"/>
      <c r="BM131" s="225"/>
      <c r="BN131" s="225"/>
      <c r="BO131" s="225"/>
      <c r="BP131" s="225"/>
      <c r="BQ131" s="225"/>
      <c r="BR131" s="225"/>
      <c r="BS131" s="225"/>
      <c r="BT131" s="226"/>
      <c r="BU131" s="225"/>
      <c r="BV131" s="225"/>
      <c r="BW131" s="225"/>
      <c r="BX131" s="225"/>
      <c r="BY131" s="225"/>
      <c r="BZ131" s="225"/>
    </row>
    <row r="132">
      <c r="A132" s="238" t="str">
        <f>IFERROR(__xludf.DUMMYFUNCTION("""COMPUTED_VALUE"""),"Protector Health")</f>
        <v>Protector Health</v>
      </c>
      <c r="B132" s="239">
        <f>IFERROR(__xludf.DUMMYFUNCTION("""COMPUTED_VALUE"""),0.0)</f>
        <v>0</v>
      </c>
      <c r="C132" s="225"/>
      <c r="D132" s="240">
        <f>IFERROR(__xludf.DUMMYFUNCTION("""COMPUTED_VALUE"""),30.0)</f>
        <v>30</v>
      </c>
      <c r="E132" s="225"/>
      <c r="F132" s="225"/>
      <c r="G132" s="225"/>
      <c r="H132" s="225"/>
      <c r="I132" s="225"/>
      <c r="J132" s="225"/>
      <c r="K132" s="244"/>
      <c r="L132" s="225"/>
      <c r="M132" s="225"/>
      <c r="N132" s="225"/>
      <c r="O132" s="225"/>
      <c r="P132" s="225"/>
      <c r="Q132" s="227"/>
      <c r="R132" s="234"/>
      <c r="S132" s="225"/>
      <c r="T132" s="225"/>
      <c r="U132" s="225"/>
      <c r="V132" s="225"/>
      <c r="W132" s="225"/>
      <c r="X132" s="225"/>
      <c r="Y132" s="229"/>
      <c r="Z132" s="257"/>
      <c r="AA132" s="225"/>
      <c r="AB132" s="257"/>
      <c r="AC132" s="257"/>
      <c r="AD132" s="226"/>
      <c r="AE132" s="259"/>
      <c r="AF132" s="347"/>
      <c r="AG132" s="232"/>
      <c r="AH132" s="257"/>
      <c r="AI132" s="225"/>
      <c r="AJ132" s="267"/>
      <c r="AK132" s="259"/>
      <c r="AL132" s="226"/>
      <c r="AM132" s="225"/>
      <c r="AN132" s="225"/>
      <c r="AO132" s="254"/>
      <c r="AP132" s="225"/>
      <c r="AQ132" s="225"/>
      <c r="AR132" s="226"/>
      <c r="AS132" s="225"/>
      <c r="AT132" s="225"/>
      <c r="AU132" s="225"/>
      <c r="AV132" s="225"/>
      <c r="AW132" s="225"/>
      <c r="AX132" s="226"/>
      <c r="AY132" s="225"/>
      <c r="AZ132" s="225"/>
      <c r="BA132" s="226"/>
      <c r="BB132" s="225"/>
      <c r="BC132" s="225"/>
      <c r="BD132" s="225"/>
      <c r="BE132" s="225"/>
      <c r="BF132" s="225"/>
      <c r="BG132" s="225"/>
      <c r="BH132" s="225"/>
      <c r="BI132" s="225"/>
      <c r="BJ132" s="225"/>
      <c r="BK132" s="225"/>
      <c r="BL132" s="225"/>
      <c r="BM132" s="225"/>
      <c r="BN132" s="225"/>
      <c r="BO132" s="225"/>
      <c r="BP132" s="225"/>
      <c r="BQ132" s="225"/>
      <c r="BR132" s="225"/>
      <c r="BS132" s="225"/>
      <c r="BT132" s="226"/>
      <c r="BU132" s="225"/>
      <c r="BV132" s="225"/>
      <c r="BW132" s="225"/>
      <c r="BX132" s="225"/>
      <c r="BY132" s="225"/>
      <c r="BZ132" s="225"/>
    </row>
    <row r="133">
      <c r="A133" s="238" t="str">
        <f>IFERROR(__xludf.DUMMYFUNCTION("""COMPUTED_VALUE"""),"Protector Radius")</f>
        <v>Protector Radius</v>
      </c>
      <c r="B133" s="239">
        <f>IFERROR(__xludf.DUMMYFUNCTION("""COMPUTED_VALUE"""),0.0)</f>
        <v>0</v>
      </c>
      <c r="C133" s="225"/>
      <c r="D133" s="240">
        <f>IFERROR(__xludf.DUMMYFUNCTION("""COMPUTED_VALUE"""),30.0)</f>
        <v>30</v>
      </c>
      <c r="E133" s="225"/>
      <c r="F133" s="225"/>
      <c r="G133" s="225"/>
      <c r="H133" s="225"/>
      <c r="I133" s="225"/>
      <c r="J133" s="225"/>
      <c r="K133" s="244"/>
      <c r="L133" s="225"/>
      <c r="M133" s="225"/>
      <c r="N133" s="225"/>
      <c r="O133" s="225"/>
      <c r="P133" s="225"/>
      <c r="Q133" s="227"/>
      <c r="R133" s="234"/>
      <c r="S133" s="225"/>
      <c r="T133" s="225"/>
      <c r="U133" s="225"/>
      <c r="V133" s="225"/>
      <c r="W133" s="225"/>
      <c r="X133" s="225"/>
      <c r="Y133" s="229"/>
      <c r="Z133" s="257"/>
      <c r="AA133" s="225"/>
      <c r="AB133" s="257"/>
      <c r="AC133" s="257"/>
      <c r="AD133" s="226"/>
      <c r="AE133" s="259"/>
      <c r="AF133" s="347"/>
      <c r="AG133" s="232"/>
      <c r="AH133" s="257"/>
      <c r="AI133" s="225"/>
      <c r="AJ133" s="267"/>
      <c r="AK133" s="259"/>
      <c r="AL133" s="226"/>
      <c r="AM133" s="225"/>
      <c r="AN133" s="225"/>
      <c r="AO133" s="254"/>
      <c r="AP133" s="225"/>
      <c r="AQ133" s="225"/>
      <c r="AR133" s="226"/>
      <c r="AS133" s="225"/>
      <c r="AT133" s="225"/>
      <c r="AU133" s="225"/>
      <c r="AV133" s="225"/>
      <c r="AW133" s="225"/>
      <c r="AX133" s="226"/>
      <c r="AY133" s="225"/>
      <c r="AZ133" s="225"/>
      <c r="BA133" s="226"/>
      <c r="BB133" s="225"/>
      <c r="BC133" s="225"/>
      <c r="BD133" s="225"/>
      <c r="BE133" s="225"/>
      <c r="BF133" s="225"/>
      <c r="BG133" s="225"/>
      <c r="BH133" s="225"/>
      <c r="BI133" s="225"/>
      <c r="BJ133" s="225"/>
      <c r="BK133" s="225"/>
      <c r="BL133" s="225"/>
      <c r="BM133" s="225"/>
      <c r="BN133" s="225"/>
      <c r="BO133" s="225"/>
      <c r="BP133" s="225"/>
      <c r="BQ133" s="225"/>
      <c r="BR133" s="225"/>
      <c r="BS133" s="225"/>
      <c r="BT133" s="226"/>
      <c r="BU133" s="225"/>
      <c r="BV133" s="225"/>
      <c r="BW133" s="225"/>
      <c r="BX133" s="225"/>
      <c r="BY133" s="225"/>
      <c r="BZ133" s="225"/>
    </row>
    <row r="134">
      <c r="A134" s="238" t="str">
        <f>IFERROR(__xludf.DUMMYFUNCTION("""COMPUTED_VALUE"""),"Protector Damage Reduction")</f>
        <v>Protector Damage Reduction</v>
      </c>
      <c r="B134" s="239">
        <f>IFERROR(__xludf.DUMMYFUNCTION("""COMPUTED_VALUE"""),0.0)</f>
        <v>0</v>
      </c>
      <c r="C134" s="225"/>
      <c r="D134" s="240">
        <f>IFERROR(__xludf.DUMMYFUNCTION("""COMPUTED_VALUE"""),20.0)</f>
        <v>20</v>
      </c>
      <c r="E134" s="225"/>
      <c r="F134" s="225"/>
      <c r="G134" s="225"/>
      <c r="H134" s="225"/>
      <c r="I134" s="225"/>
      <c r="J134" s="225"/>
      <c r="K134" s="244"/>
      <c r="L134" s="225"/>
      <c r="M134" s="225"/>
      <c r="N134" s="225"/>
      <c r="O134" s="225"/>
      <c r="P134" s="225"/>
      <c r="Q134" s="227"/>
      <c r="R134" s="234"/>
      <c r="S134" s="225"/>
      <c r="T134" s="225"/>
      <c r="U134" s="225"/>
      <c r="V134" s="225"/>
      <c r="W134" s="225"/>
      <c r="X134" s="225"/>
      <c r="Y134" s="229"/>
      <c r="Z134" s="257"/>
      <c r="AA134" s="225"/>
      <c r="AB134" s="257"/>
      <c r="AC134" s="257"/>
      <c r="AD134" s="226"/>
      <c r="AE134" s="259"/>
      <c r="AF134" s="347"/>
      <c r="AG134" s="232"/>
      <c r="AH134" s="257"/>
      <c r="AI134" s="225"/>
      <c r="AJ134" s="267"/>
      <c r="AK134" s="259"/>
      <c r="AL134" s="226"/>
      <c r="AM134" s="225"/>
      <c r="AN134" s="225"/>
      <c r="AO134" s="254"/>
      <c r="AP134" s="225"/>
      <c r="AQ134" s="225"/>
      <c r="AR134" s="226"/>
      <c r="AS134" s="225"/>
      <c r="AT134" s="225"/>
      <c r="AU134" s="225"/>
      <c r="AV134" s="225"/>
      <c r="AW134" s="225"/>
      <c r="AX134" s="226"/>
      <c r="AY134" s="225"/>
      <c r="AZ134" s="225"/>
      <c r="BA134" s="226"/>
      <c r="BB134" s="225"/>
      <c r="BC134" s="225"/>
      <c r="BD134" s="225"/>
      <c r="BE134" s="225"/>
      <c r="BF134" s="225"/>
      <c r="BG134" s="225"/>
      <c r="BH134" s="225"/>
      <c r="BI134" s="225"/>
      <c r="BJ134" s="225"/>
      <c r="BK134" s="225"/>
      <c r="BL134" s="225"/>
      <c r="BM134" s="225"/>
      <c r="BN134" s="225"/>
      <c r="BO134" s="225"/>
      <c r="BP134" s="225"/>
      <c r="BQ134" s="225"/>
      <c r="BR134" s="225"/>
      <c r="BS134" s="225"/>
      <c r="BT134" s="226"/>
      <c r="BU134" s="225"/>
      <c r="BV134" s="225"/>
      <c r="BW134" s="225"/>
      <c r="BX134" s="225"/>
      <c r="BY134" s="225"/>
      <c r="BZ134" s="225"/>
    </row>
    <row r="135">
      <c r="A135" s="238" t="str">
        <f>IFERROR(__xludf.DUMMYFUNCTION("""COMPUTED_VALUE"""),"Ray Enemy Attack")</f>
        <v>Ray Enemy Attack</v>
      </c>
      <c r="B135" s="239">
        <f>IFERROR(__xludf.DUMMYFUNCTION("""COMPUTED_VALUE"""),0.0)</f>
        <v>0</v>
      </c>
      <c r="C135" s="225"/>
      <c r="D135" s="240">
        <f>IFERROR(__xludf.DUMMYFUNCTION("""COMPUTED_VALUE"""),30.0)</f>
        <v>30</v>
      </c>
      <c r="E135" s="225"/>
      <c r="F135" s="225"/>
      <c r="G135" s="225"/>
      <c r="H135" s="225"/>
      <c r="I135" s="225"/>
      <c r="J135" s="225"/>
      <c r="K135" s="244"/>
      <c r="L135" s="225"/>
      <c r="M135" s="225"/>
      <c r="N135" s="225"/>
      <c r="O135" s="225"/>
      <c r="P135" s="225"/>
      <c r="Q135" s="227"/>
      <c r="R135" s="234"/>
      <c r="S135" s="225"/>
      <c r="T135" s="225"/>
      <c r="U135" s="225"/>
      <c r="V135" s="225"/>
      <c r="W135" s="225"/>
      <c r="X135" s="225"/>
      <c r="Y135" s="229"/>
      <c r="Z135" s="257"/>
      <c r="AA135" s="225"/>
      <c r="AB135" s="257"/>
      <c r="AC135" s="257"/>
      <c r="AD135" s="226"/>
      <c r="AE135" s="259"/>
      <c r="AF135" s="347"/>
      <c r="AG135" s="232"/>
      <c r="AH135" s="257"/>
      <c r="AI135" s="225"/>
      <c r="AJ135" s="267"/>
      <c r="AK135" s="259"/>
      <c r="AL135" s="226"/>
      <c r="AM135" s="225"/>
      <c r="AN135" s="225"/>
      <c r="AO135" s="254"/>
      <c r="AP135" s="225"/>
      <c r="AQ135" s="225"/>
      <c r="AR135" s="226"/>
      <c r="AS135" s="225"/>
      <c r="AT135" s="225"/>
      <c r="AU135" s="225"/>
      <c r="AV135" s="225"/>
      <c r="AW135" s="225"/>
      <c r="AX135" s="226"/>
      <c r="AY135" s="225"/>
      <c r="AZ135" s="225"/>
      <c r="BA135" s="226"/>
      <c r="BB135" s="225"/>
      <c r="BC135" s="225"/>
      <c r="BD135" s="225"/>
      <c r="BE135" s="225"/>
      <c r="BF135" s="225"/>
      <c r="BG135" s="225"/>
      <c r="BH135" s="225"/>
      <c r="BI135" s="225"/>
      <c r="BJ135" s="225"/>
      <c r="BK135" s="225"/>
      <c r="BL135" s="225"/>
      <c r="BM135" s="225"/>
      <c r="BN135" s="225"/>
      <c r="BO135" s="225"/>
      <c r="BP135" s="225"/>
      <c r="BQ135" s="225"/>
      <c r="BR135" s="225"/>
      <c r="BS135" s="225"/>
      <c r="BT135" s="226"/>
      <c r="BU135" s="225"/>
      <c r="BV135" s="225"/>
      <c r="BW135" s="225"/>
      <c r="BX135" s="225"/>
      <c r="BY135" s="225"/>
      <c r="BZ135" s="225"/>
    </row>
    <row r="136">
      <c r="A136" s="238" t="str">
        <f>IFERROR(__xludf.DUMMYFUNCTION("""COMPUTED_VALUE"""),"Ray Enemy Health")</f>
        <v>Ray Enemy Health</v>
      </c>
      <c r="B136" s="239">
        <f>IFERROR(__xludf.DUMMYFUNCTION("""COMPUTED_VALUE"""),0.0)</f>
        <v>0</v>
      </c>
      <c r="C136" s="225"/>
      <c r="D136" s="240">
        <f>IFERROR(__xludf.DUMMYFUNCTION("""COMPUTED_VALUE"""),30.0)</f>
        <v>30</v>
      </c>
      <c r="E136" s="225"/>
      <c r="F136" s="225"/>
      <c r="G136" s="225"/>
      <c r="H136" s="225"/>
      <c r="I136" s="225"/>
      <c r="J136" s="225"/>
      <c r="K136" s="244"/>
      <c r="L136" s="225"/>
      <c r="M136" s="225"/>
      <c r="N136" s="225"/>
      <c r="O136" s="225"/>
      <c r="P136" s="225"/>
      <c r="Q136" s="227"/>
      <c r="R136" s="234"/>
      <c r="S136" s="225"/>
      <c r="T136" s="225"/>
      <c r="U136" s="225"/>
      <c r="V136" s="225"/>
      <c r="W136" s="225"/>
      <c r="X136" s="225"/>
      <c r="Y136" s="229"/>
      <c r="Z136" s="257"/>
      <c r="AA136" s="225"/>
      <c r="AB136" s="257"/>
      <c r="AC136" s="257"/>
      <c r="AD136" s="226"/>
      <c r="AE136" s="259"/>
      <c r="AF136" s="347"/>
      <c r="AG136" s="232"/>
      <c r="AH136" s="257"/>
      <c r="AI136" s="225"/>
      <c r="AJ136" s="267"/>
      <c r="AK136" s="259"/>
      <c r="AL136" s="226"/>
      <c r="AM136" s="225"/>
      <c r="AN136" s="225"/>
      <c r="AO136" s="254"/>
      <c r="AP136" s="225"/>
      <c r="AQ136" s="225"/>
      <c r="AR136" s="226"/>
      <c r="AS136" s="225"/>
      <c r="AT136" s="225"/>
      <c r="AU136" s="225"/>
      <c r="AV136" s="225"/>
      <c r="AW136" s="225"/>
      <c r="AX136" s="226"/>
      <c r="AY136" s="225"/>
      <c r="AZ136" s="225"/>
      <c r="BA136" s="226"/>
      <c r="BB136" s="225"/>
      <c r="BC136" s="225"/>
      <c r="BD136" s="225"/>
      <c r="BE136" s="225"/>
      <c r="BF136" s="225"/>
      <c r="BG136" s="225"/>
      <c r="BH136" s="225"/>
      <c r="BI136" s="225"/>
      <c r="BJ136" s="225"/>
      <c r="BK136" s="225"/>
      <c r="BL136" s="225"/>
      <c r="BM136" s="225"/>
      <c r="BN136" s="225"/>
      <c r="BO136" s="225"/>
      <c r="BP136" s="225"/>
      <c r="BQ136" s="225"/>
      <c r="BR136" s="225"/>
      <c r="BS136" s="225"/>
      <c r="BT136" s="226"/>
      <c r="BU136" s="225"/>
      <c r="BV136" s="225"/>
      <c r="BW136" s="225"/>
      <c r="BX136" s="225"/>
      <c r="BY136" s="225"/>
      <c r="BZ136" s="225"/>
    </row>
    <row r="137">
      <c r="A137" s="238" t="str">
        <f>IFERROR(__xludf.DUMMYFUNCTION("""COMPUTED_VALUE"""),"Vampire Enemy Attack")</f>
        <v>Vampire Enemy Attack</v>
      </c>
      <c r="B137" s="239">
        <f>IFERROR(__xludf.DUMMYFUNCTION("""COMPUTED_VALUE"""),0.0)</f>
        <v>0</v>
      </c>
      <c r="C137" s="225"/>
      <c r="D137" s="240">
        <f>IFERROR(__xludf.DUMMYFUNCTION("""COMPUTED_VALUE"""),30.0)</f>
        <v>30</v>
      </c>
      <c r="E137" s="225"/>
      <c r="F137" s="225"/>
      <c r="G137" s="225"/>
      <c r="H137" s="225"/>
      <c r="I137" s="225"/>
      <c r="J137" s="225"/>
      <c r="K137" s="244"/>
      <c r="L137" s="225"/>
      <c r="M137" s="225"/>
      <c r="N137" s="225"/>
      <c r="O137" s="225"/>
      <c r="P137" s="225"/>
      <c r="Q137" s="227"/>
      <c r="R137" s="234"/>
      <c r="S137" s="225"/>
      <c r="T137" s="225"/>
      <c r="U137" s="225"/>
      <c r="V137" s="225"/>
      <c r="W137" s="225"/>
      <c r="X137" s="225"/>
      <c r="Y137" s="229"/>
      <c r="Z137" s="257"/>
      <c r="AA137" s="225"/>
      <c r="AB137" s="257"/>
      <c r="AC137" s="257"/>
      <c r="AD137" s="226"/>
      <c r="AE137" s="259"/>
      <c r="AF137" s="347"/>
      <c r="AG137" s="232"/>
      <c r="AH137" s="257"/>
      <c r="AI137" s="225"/>
      <c r="AJ137" s="267"/>
      <c r="AK137" s="259"/>
      <c r="AL137" s="226"/>
      <c r="AM137" s="225"/>
      <c r="AN137" s="225"/>
      <c r="AO137" s="254"/>
      <c r="AP137" s="225"/>
      <c r="AQ137" s="225"/>
      <c r="AR137" s="226"/>
      <c r="AS137" s="225"/>
      <c r="AT137" s="225"/>
      <c r="AU137" s="225"/>
      <c r="AV137" s="225"/>
      <c r="AW137" s="225"/>
      <c r="AX137" s="226"/>
      <c r="AY137" s="225"/>
      <c r="AZ137" s="225"/>
      <c r="BA137" s="226"/>
      <c r="BB137" s="225"/>
      <c r="BC137" s="225"/>
      <c r="BD137" s="225"/>
      <c r="BE137" s="225"/>
      <c r="BF137" s="225"/>
      <c r="BG137" s="225"/>
      <c r="BH137" s="225"/>
      <c r="BI137" s="225"/>
      <c r="BJ137" s="225"/>
      <c r="BK137" s="225"/>
      <c r="BL137" s="225"/>
      <c r="BM137" s="225"/>
      <c r="BN137" s="225"/>
      <c r="BO137" s="225"/>
      <c r="BP137" s="225"/>
      <c r="BQ137" s="225"/>
      <c r="BR137" s="225"/>
      <c r="BS137" s="225"/>
      <c r="BT137" s="226"/>
      <c r="BU137" s="225"/>
      <c r="BV137" s="225"/>
      <c r="BW137" s="225"/>
      <c r="BX137" s="225"/>
      <c r="BY137" s="225"/>
      <c r="BZ137" s="225"/>
    </row>
    <row r="138">
      <c r="A138" s="238" t="str">
        <f>IFERROR(__xludf.DUMMYFUNCTION("""COMPUTED_VALUE"""),"Vampire Enemy Health")</f>
        <v>Vampire Enemy Health</v>
      </c>
      <c r="B138" s="239">
        <f>IFERROR(__xludf.DUMMYFUNCTION("""COMPUTED_VALUE"""),0.0)</f>
        <v>0</v>
      </c>
      <c r="C138" s="225"/>
      <c r="D138" s="240">
        <f>IFERROR(__xludf.DUMMYFUNCTION("""COMPUTED_VALUE"""),30.0)</f>
        <v>30</v>
      </c>
      <c r="E138" s="225"/>
      <c r="F138" s="225"/>
      <c r="G138" s="225"/>
      <c r="H138" s="225"/>
      <c r="I138" s="225"/>
      <c r="J138" s="225"/>
      <c r="K138" s="244"/>
      <c r="L138" s="225"/>
      <c r="M138" s="225"/>
      <c r="N138" s="225"/>
      <c r="O138" s="225"/>
      <c r="P138" s="225"/>
      <c r="Q138" s="227"/>
      <c r="R138" s="234"/>
      <c r="S138" s="225"/>
      <c r="T138" s="225"/>
      <c r="U138" s="225"/>
      <c r="V138" s="225"/>
      <c r="W138" s="225"/>
      <c r="X138" s="225"/>
      <c r="Y138" s="229"/>
      <c r="Z138" s="257"/>
      <c r="AA138" s="225"/>
      <c r="AB138" s="257"/>
      <c r="AC138" s="257"/>
      <c r="AD138" s="226"/>
      <c r="AE138" s="259"/>
      <c r="AF138" s="347"/>
      <c r="AG138" s="232"/>
      <c r="AH138" s="257"/>
      <c r="AI138" s="225"/>
      <c r="AJ138" s="267"/>
      <c r="AK138" s="259"/>
      <c r="AL138" s="226"/>
      <c r="AM138" s="225"/>
      <c r="AN138" s="225"/>
      <c r="AO138" s="254"/>
      <c r="AP138" s="225"/>
      <c r="AQ138" s="225"/>
      <c r="AR138" s="226"/>
      <c r="AS138" s="225"/>
      <c r="AT138" s="225"/>
      <c r="AU138" s="225"/>
      <c r="AV138" s="225"/>
      <c r="AW138" s="225"/>
      <c r="AX138" s="226"/>
      <c r="AY138" s="225"/>
      <c r="AZ138" s="225"/>
      <c r="BA138" s="226"/>
      <c r="BB138" s="225"/>
      <c r="BC138" s="225"/>
      <c r="BD138" s="225"/>
      <c r="BE138" s="225"/>
      <c r="BF138" s="225"/>
      <c r="BG138" s="225"/>
      <c r="BH138" s="225"/>
      <c r="BI138" s="225"/>
      <c r="BJ138" s="225"/>
      <c r="BK138" s="225"/>
      <c r="BL138" s="225"/>
      <c r="BM138" s="225"/>
      <c r="BN138" s="225"/>
      <c r="BO138" s="225"/>
      <c r="BP138" s="225"/>
      <c r="BQ138" s="225"/>
      <c r="BR138" s="225"/>
      <c r="BS138" s="225"/>
      <c r="BT138" s="226"/>
      <c r="BU138" s="225"/>
      <c r="BV138" s="225"/>
      <c r="BW138" s="225"/>
      <c r="BX138" s="225"/>
      <c r="BY138" s="225"/>
      <c r="BZ138" s="225"/>
    </row>
    <row r="139">
      <c r="A139" s="238" t="str">
        <f>IFERROR(__xludf.DUMMYFUNCTION("""COMPUTED_VALUE"""),"Scatter Enemy Attack")</f>
        <v>Scatter Enemy Attack</v>
      </c>
      <c r="B139" s="239">
        <f>IFERROR(__xludf.DUMMYFUNCTION("""COMPUTED_VALUE"""),0.0)</f>
        <v>0</v>
      </c>
      <c r="C139" s="225"/>
      <c r="D139" s="240">
        <f>IFERROR(__xludf.DUMMYFUNCTION("""COMPUTED_VALUE"""),30.0)</f>
        <v>30</v>
      </c>
      <c r="E139" s="225"/>
      <c r="F139" s="225"/>
      <c r="G139" s="225"/>
      <c r="H139" s="225"/>
      <c r="I139" s="225"/>
      <c r="J139" s="225"/>
      <c r="K139" s="244"/>
      <c r="L139" s="225"/>
      <c r="M139" s="225"/>
      <c r="N139" s="225"/>
      <c r="O139" s="225"/>
      <c r="P139" s="225"/>
      <c r="Q139" s="227"/>
      <c r="R139" s="234"/>
      <c r="S139" s="225"/>
      <c r="T139" s="225"/>
      <c r="U139" s="225"/>
      <c r="V139" s="225"/>
      <c r="W139" s="225"/>
      <c r="X139" s="225"/>
      <c r="Y139" s="229"/>
      <c r="Z139" s="257"/>
      <c r="AA139" s="225"/>
      <c r="AB139" s="257"/>
      <c r="AC139" s="257"/>
      <c r="AD139" s="226"/>
      <c r="AE139" s="259"/>
      <c r="AF139" s="347"/>
      <c r="AG139" s="232"/>
      <c r="AH139" s="257"/>
      <c r="AI139" s="225"/>
      <c r="AJ139" s="267"/>
      <c r="AK139" s="259"/>
      <c r="AL139" s="226"/>
      <c r="AM139" s="225"/>
      <c r="AN139" s="225"/>
      <c r="AO139" s="254"/>
      <c r="AP139" s="225"/>
      <c r="AQ139" s="225"/>
      <c r="AR139" s="226"/>
      <c r="AS139" s="225"/>
      <c r="AT139" s="225"/>
      <c r="AU139" s="225"/>
      <c r="AV139" s="225"/>
      <c r="AW139" s="225"/>
      <c r="AX139" s="226"/>
      <c r="AY139" s="225"/>
      <c r="AZ139" s="225"/>
      <c r="BA139" s="226"/>
      <c r="BB139" s="225"/>
      <c r="BC139" s="225"/>
      <c r="BD139" s="225"/>
      <c r="BE139" s="225"/>
      <c r="BF139" s="225"/>
      <c r="BG139" s="225"/>
      <c r="BH139" s="225"/>
      <c r="BI139" s="225"/>
      <c r="BJ139" s="225"/>
      <c r="BK139" s="225"/>
      <c r="BL139" s="225"/>
      <c r="BM139" s="225"/>
      <c r="BN139" s="225"/>
      <c r="BO139" s="225"/>
      <c r="BP139" s="225"/>
      <c r="BQ139" s="225"/>
      <c r="BR139" s="225"/>
      <c r="BS139" s="225"/>
      <c r="BT139" s="226"/>
      <c r="BU139" s="225"/>
      <c r="BV139" s="225"/>
      <c r="BW139" s="225"/>
      <c r="BX139" s="225"/>
      <c r="BY139" s="225"/>
      <c r="BZ139" s="225"/>
    </row>
    <row r="140">
      <c r="A140" s="238" t="str">
        <f>IFERROR(__xludf.DUMMYFUNCTION("""COMPUTED_VALUE"""),"Scatter Enemy Health")</f>
        <v>Scatter Enemy Health</v>
      </c>
      <c r="B140" s="239">
        <f>IFERROR(__xludf.DUMMYFUNCTION("""COMPUTED_VALUE"""),0.0)</f>
        <v>0</v>
      </c>
      <c r="C140" s="225"/>
      <c r="D140" s="240">
        <f>IFERROR(__xludf.DUMMYFUNCTION("""COMPUTED_VALUE"""),30.0)</f>
        <v>30</v>
      </c>
      <c r="E140" s="225"/>
      <c r="F140" s="225"/>
      <c r="G140" s="225"/>
      <c r="H140" s="225"/>
      <c r="I140" s="225"/>
      <c r="J140" s="225"/>
      <c r="K140" s="244"/>
      <c r="L140" s="225"/>
      <c r="M140" s="225"/>
      <c r="N140" s="225"/>
      <c r="O140" s="225"/>
      <c r="P140" s="225"/>
      <c r="Q140" s="227"/>
      <c r="R140" s="234"/>
      <c r="S140" s="225"/>
      <c r="T140" s="225"/>
      <c r="U140" s="225"/>
      <c r="V140" s="225"/>
      <c r="W140" s="225"/>
      <c r="X140" s="225"/>
      <c r="Y140" s="229"/>
      <c r="Z140" s="257"/>
      <c r="AA140" s="225"/>
      <c r="AB140" s="257"/>
      <c r="AC140" s="257"/>
      <c r="AD140" s="226"/>
      <c r="AE140" s="259"/>
      <c r="AF140" s="347"/>
      <c r="AG140" s="232"/>
      <c r="AH140" s="257"/>
      <c r="AI140" s="225"/>
      <c r="AJ140" s="267"/>
      <c r="AK140" s="259"/>
      <c r="AL140" s="226"/>
      <c r="AM140" s="225"/>
      <c r="AN140" s="225"/>
      <c r="AO140" s="254"/>
      <c r="AP140" s="225"/>
      <c r="AQ140" s="225"/>
      <c r="AR140" s="226"/>
      <c r="AS140" s="225"/>
      <c r="AT140" s="225"/>
      <c r="AU140" s="225"/>
      <c r="AV140" s="225"/>
      <c r="AW140" s="225"/>
      <c r="AX140" s="226"/>
      <c r="AY140" s="225"/>
      <c r="AZ140" s="225"/>
      <c r="BA140" s="226"/>
      <c r="BB140" s="225"/>
      <c r="BC140" s="225"/>
      <c r="BD140" s="225"/>
      <c r="BE140" s="225"/>
      <c r="BF140" s="225"/>
      <c r="BG140" s="225"/>
      <c r="BH140" s="225"/>
      <c r="BI140" s="225"/>
      <c r="BJ140" s="225"/>
      <c r="BK140" s="225"/>
      <c r="BL140" s="225"/>
      <c r="BM140" s="225"/>
      <c r="BN140" s="225"/>
      <c r="BO140" s="225"/>
      <c r="BP140" s="225"/>
      <c r="BQ140" s="225"/>
      <c r="BR140" s="225"/>
      <c r="BS140" s="225"/>
      <c r="BT140" s="226"/>
      <c r="BU140" s="225"/>
      <c r="BV140" s="225"/>
      <c r="BW140" s="225"/>
      <c r="BX140" s="225"/>
      <c r="BY140" s="225"/>
      <c r="BZ140" s="225"/>
    </row>
    <row r="141">
      <c r="A141" s="238" t="str">
        <f>IFERROR(__xludf.DUMMYFUNCTION("""COMPUTED_VALUE"""),"Ranged Enemy Range")</f>
        <v>Ranged Enemy Range</v>
      </c>
      <c r="B141" s="239">
        <f>IFERROR(__xludf.DUMMYFUNCTION("""COMPUTED_VALUE"""),0.0)</f>
        <v>0</v>
      </c>
      <c r="C141" s="225"/>
      <c r="D141" s="240">
        <f>IFERROR(__xludf.DUMMYFUNCTION("""COMPUTED_VALUE"""),30.0)</f>
        <v>30</v>
      </c>
      <c r="E141" s="225"/>
      <c r="F141" s="225"/>
      <c r="G141" s="225"/>
      <c r="H141" s="225"/>
      <c r="I141" s="225"/>
      <c r="J141" s="225"/>
      <c r="K141" s="244"/>
      <c r="L141" s="225"/>
      <c r="M141" s="225"/>
      <c r="N141" s="225"/>
      <c r="O141" s="225"/>
      <c r="P141" s="225"/>
      <c r="Q141" s="227"/>
      <c r="R141" s="234"/>
      <c r="S141" s="225"/>
      <c r="T141" s="225"/>
      <c r="U141" s="225"/>
      <c r="V141" s="225"/>
      <c r="W141" s="225"/>
      <c r="X141" s="225"/>
      <c r="Y141" s="229"/>
      <c r="Z141" s="257"/>
      <c r="AA141" s="225"/>
      <c r="AB141" s="257"/>
      <c r="AC141" s="257"/>
      <c r="AD141" s="226"/>
      <c r="AE141" s="259"/>
      <c r="AF141" s="347"/>
      <c r="AG141" s="232"/>
      <c r="AH141" s="257"/>
      <c r="AI141" s="225"/>
      <c r="AJ141" s="267"/>
      <c r="AK141" s="259"/>
      <c r="AL141" s="226"/>
      <c r="AM141" s="225"/>
      <c r="AN141" s="225"/>
      <c r="AO141" s="254"/>
      <c r="AP141" s="225"/>
      <c r="AQ141" s="225"/>
      <c r="AR141" s="226"/>
      <c r="AS141" s="225"/>
      <c r="AT141" s="225"/>
      <c r="AU141" s="225"/>
      <c r="AV141" s="225"/>
      <c r="AW141" s="225"/>
      <c r="AX141" s="226"/>
      <c r="AY141" s="225"/>
      <c r="AZ141" s="225"/>
      <c r="BA141" s="226"/>
      <c r="BB141" s="225"/>
      <c r="BC141" s="225"/>
      <c r="BD141" s="225"/>
      <c r="BE141" s="225"/>
      <c r="BF141" s="225"/>
      <c r="BG141" s="225"/>
      <c r="BH141" s="225"/>
      <c r="BI141" s="225"/>
      <c r="BJ141" s="225"/>
      <c r="BK141" s="225"/>
      <c r="BL141" s="225"/>
      <c r="BM141" s="225"/>
      <c r="BN141" s="225"/>
      <c r="BO141" s="225"/>
      <c r="BP141" s="225"/>
      <c r="BQ141" s="225"/>
      <c r="BR141" s="225"/>
      <c r="BS141" s="225"/>
      <c r="BT141" s="226"/>
      <c r="BU141" s="225"/>
      <c r="BV141" s="225"/>
      <c r="BW141" s="225"/>
      <c r="BX141" s="225"/>
      <c r="BY141" s="225"/>
      <c r="BZ141" s="225"/>
    </row>
    <row r="142">
      <c r="A142" s="238" t="str">
        <f>IFERROR(__xludf.DUMMYFUNCTION("""COMPUTED_VALUE"""),"Common Drop Chance")</f>
        <v>Common Drop Chance</v>
      </c>
      <c r="B142" s="239">
        <f>IFERROR(__xludf.DUMMYFUNCTION("""COMPUTED_VALUE"""),10.0)</f>
        <v>10</v>
      </c>
      <c r="C142" s="225"/>
      <c r="D142" s="240">
        <f>IFERROR(__xludf.DUMMYFUNCTION("""COMPUTED_VALUE"""),10.0)</f>
        <v>10</v>
      </c>
      <c r="E142" s="225"/>
      <c r="F142" s="225"/>
      <c r="G142" s="225"/>
      <c r="H142" s="225"/>
      <c r="I142" s="225"/>
      <c r="J142" s="225"/>
      <c r="K142" s="244"/>
      <c r="L142" s="225"/>
      <c r="M142" s="225"/>
      <c r="N142" s="225"/>
      <c r="O142" s="225"/>
      <c r="P142" s="225"/>
      <c r="Q142" s="227"/>
      <c r="R142" s="234"/>
      <c r="S142" s="225"/>
      <c r="T142" s="225"/>
      <c r="U142" s="225"/>
      <c r="V142" s="225"/>
      <c r="W142" s="225"/>
      <c r="X142" s="225"/>
      <c r="Y142" s="229"/>
      <c r="Z142" s="257"/>
      <c r="AA142" s="225"/>
      <c r="AB142" s="257"/>
      <c r="AC142" s="257"/>
      <c r="AD142" s="226"/>
      <c r="AE142" s="259"/>
      <c r="AF142" s="347"/>
      <c r="AG142" s="232"/>
      <c r="AH142" s="257"/>
      <c r="AI142" s="225"/>
      <c r="AJ142" s="267"/>
      <c r="AK142" s="259"/>
      <c r="AL142" s="226"/>
      <c r="AM142" s="225"/>
      <c r="AN142" s="225"/>
      <c r="AO142" s="254"/>
      <c r="AP142" s="225"/>
      <c r="AQ142" s="225"/>
      <c r="AR142" s="226"/>
      <c r="AS142" s="225"/>
      <c r="AT142" s="225"/>
      <c r="AU142" s="225"/>
      <c r="AV142" s="225"/>
      <c r="AW142" s="225"/>
      <c r="AX142" s="226"/>
      <c r="AY142" s="225"/>
      <c r="AZ142" s="225"/>
      <c r="BA142" s="226"/>
      <c r="BB142" s="225"/>
      <c r="BC142" s="225"/>
      <c r="BD142" s="225"/>
      <c r="BE142" s="225"/>
      <c r="BF142" s="225"/>
      <c r="BG142" s="225"/>
      <c r="BH142" s="225"/>
      <c r="BI142" s="225"/>
      <c r="BJ142" s="225"/>
      <c r="BK142" s="225"/>
      <c r="BL142" s="225"/>
      <c r="BM142" s="225"/>
      <c r="BN142" s="225"/>
      <c r="BO142" s="225"/>
      <c r="BP142" s="225"/>
      <c r="BQ142" s="225"/>
      <c r="BR142" s="225"/>
      <c r="BS142" s="225"/>
      <c r="BT142" s="226"/>
      <c r="BU142" s="225"/>
      <c r="BV142" s="225"/>
      <c r="BW142" s="225"/>
      <c r="BX142" s="225"/>
      <c r="BY142" s="225"/>
      <c r="BZ142" s="225"/>
    </row>
    <row r="143">
      <c r="A143" s="238" t="str">
        <f>IFERROR(__xludf.DUMMYFUNCTION("""COMPUTED_VALUE"""),"Reroll Shards")</f>
        <v>Reroll Shards</v>
      </c>
      <c r="B143" s="239">
        <f>IFERROR(__xludf.DUMMYFUNCTION("""COMPUTED_VALUE"""),100.0)</f>
        <v>100</v>
      </c>
      <c r="C143" s="225">
        <f>IFERROR(__xludf.DUMMYFUNCTION("""COMPUTED_VALUE"""),100.0)</f>
        <v>100</v>
      </c>
      <c r="D143" s="240">
        <f>IFERROR(__xludf.DUMMYFUNCTION("""COMPUTED_VALUE"""),100.0)</f>
        <v>100</v>
      </c>
      <c r="E143" s="225"/>
      <c r="F143" s="225"/>
      <c r="G143" s="225"/>
      <c r="H143" s="225"/>
      <c r="I143" s="225"/>
      <c r="J143" s="225"/>
      <c r="K143" s="244"/>
      <c r="L143" s="225"/>
      <c r="M143" s="225"/>
      <c r="N143" s="225"/>
      <c r="O143" s="225"/>
      <c r="P143" s="225"/>
      <c r="Q143" s="227"/>
      <c r="R143" s="234"/>
      <c r="S143" s="225"/>
      <c r="T143" s="225"/>
      <c r="U143" s="225"/>
      <c r="V143" s="225"/>
      <c r="W143" s="225"/>
      <c r="X143" s="225"/>
      <c r="Y143" s="229"/>
      <c r="Z143" s="257"/>
      <c r="AA143" s="225"/>
      <c r="AB143" s="257"/>
      <c r="AC143" s="257"/>
      <c r="AD143" s="226"/>
      <c r="AE143" s="259"/>
      <c r="AF143" s="347"/>
      <c r="AG143" s="232"/>
      <c r="AH143" s="257"/>
      <c r="AI143" s="225"/>
      <c r="AJ143" s="267"/>
      <c r="AK143" s="259"/>
      <c r="AL143" s="226"/>
      <c r="AM143" s="225"/>
      <c r="AN143" s="225"/>
      <c r="AO143" s="254"/>
      <c r="AP143" s="225"/>
      <c r="AQ143" s="225"/>
      <c r="AR143" s="226"/>
      <c r="AS143" s="225"/>
      <c r="AT143" s="225"/>
      <c r="AU143" s="225"/>
      <c r="AV143" s="225"/>
      <c r="AW143" s="225"/>
      <c r="AX143" s="226"/>
      <c r="AY143" s="225"/>
      <c r="AZ143" s="225"/>
      <c r="BA143" s="226"/>
      <c r="BB143" s="225"/>
      <c r="BC143" s="225"/>
      <c r="BD143" s="225"/>
      <c r="BE143" s="225"/>
      <c r="BF143" s="225"/>
      <c r="BG143" s="225"/>
      <c r="BH143" s="225"/>
      <c r="BI143" s="225"/>
      <c r="BJ143" s="225"/>
      <c r="BK143" s="225"/>
      <c r="BL143" s="225"/>
      <c r="BM143" s="225"/>
      <c r="BN143" s="225"/>
      <c r="BO143" s="225"/>
      <c r="BP143" s="225"/>
      <c r="BQ143" s="225"/>
      <c r="BR143" s="225"/>
      <c r="BS143" s="225"/>
      <c r="BT143" s="226"/>
      <c r="BU143" s="225"/>
      <c r="BV143" s="225"/>
      <c r="BW143" s="225"/>
      <c r="BX143" s="225"/>
      <c r="BY143" s="225"/>
      <c r="BZ143" s="225"/>
    </row>
    <row r="144">
      <c r="A144" s="238" t="str">
        <f>IFERROR(__xludf.DUMMYFUNCTION("""COMPUTED_VALUE"""),"Daily Mission Shards")</f>
        <v>Daily Mission Shards</v>
      </c>
      <c r="B144" s="239">
        <f>IFERROR(__xludf.DUMMYFUNCTION("""COMPUTED_VALUE"""),50.0)</f>
        <v>50</v>
      </c>
      <c r="C144" s="225">
        <f>IFERROR(__xludf.DUMMYFUNCTION("""COMPUTED_VALUE"""),50.0)</f>
        <v>50</v>
      </c>
      <c r="D144" s="240">
        <f>IFERROR(__xludf.DUMMYFUNCTION("""COMPUTED_VALUE"""),50.0)</f>
        <v>50</v>
      </c>
      <c r="E144" s="225"/>
      <c r="F144" s="225"/>
      <c r="G144" s="225"/>
      <c r="H144" s="225"/>
      <c r="I144" s="225"/>
      <c r="J144" s="225"/>
      <c r="K144" s="244"/>
      <c r="L144" s="225"/>
      <c r="M144" s="225"/>
      <c r="N144" s="225"/>
      <c r="O144" s="225"/>
      <c r="P144" s="225"/>
      <c r="Q144" s="227"/>
      <c r="R144" s="234"/>
      <c r="S144" s="225"/>
      <c r="T144" s="225"/>
      <c r="U144" s="225"/>
      <c r="V144" s="225"/>
      <c r="W144" s="225"/>
      <c r="X144" s="225"/>
      <c r="Y144" s="229"/>
      <c r="Z144" s="257"/>
      <c r="AA144" s="225"/>
      <c r="AB144" s="257"/>
      <c r="AC144" s="257"/>
      <c r="AD144" s="226"/>
      <c r="AE144" s="259"/>
      <c r="AF144" s="347"/>
      <c r="AG144" s="232"/>
      <c r="AH144" s="257"/>
      <c r="AI144" s="225"/>
      <c r="AJ144" s="267"/>
      <c r="AK144" s="259"/>
      <c r="AL144" s="226"/>
      <c r="AM144" s="225"/>
      <c r="AN144" s="225"/>
      <c r="AO144" s="254"/>
      <c r="AP144" s="225"/>
      <c r="AQ144" s="225"/>
      <c r="AR144" s="226"/>
      <c r="AS144" s="225"/>
      <c r="AT144" s="225"/>
      <c r="AU144" s="225"/>
      <c r="AV144" s="225"/>
      <c r="AW144" s="225"/>
      <c r="AX144" s="226"/>
      <c r="AY144" s="225"/>
      <c r="AZ144" s="225"/>
      <c r="BA144" s="226"/>
      <c r="BB144" s="225"/>
      <c r="BC144" s="225"/>
      <c r="BD144" s="225"/>
      <c r="BE144" s="225"/>
      <c r="BF144" s="225"/>
      <c r="BG144" s="225"/>
      <c r="BH144" s="225"/>
      <c r="BI144" s="225"/>
      <c r="BJ144" s="225"/>
      <c r="BK144" s="225"/>
      <c r="BL144" s="225"/>
      <c r="BM144" s="225"/>
      <c r="BN144" s="225"/>
      <c r="BO144" s="225"/>
      <c r="BP144" s="225"/>
      <c r="BQ144" s="225"/>
      <c r="BR144" s="225"/>
      <c r="BS144" s="225"/>
      <c r="BT144" s="226"/>
      <c r="BU144" s="225"/>
      <c r="BV144" s="225"/>
      <c r="BW144" s="225"/>
      <c r="BX144" s="225"/>
      <c r="BY144" s="225"/>
      <c r="BZ144" s="225"/>
    </row>
    <row r="145">
      <c r="A145" s="288" t="str">
        <f>IFERROR(__xludf.DUMMYFUNCTION("""COMPUTED_VALUE"""),"Module Shards Cost")</f>
        <v>Module Shards Cost</v>
      </c>
      <c r="B145" s="239">
        <f>IFERROR(__xludf.DUMMYFUNCTION("""COMPUTED_VALUE"""),30.0)</f>
        <v>30</v>
      </c>
      <c r="C145" s="225"/>
      <c r="D145" s="240">
        <f>IFERROR(__xludf.DUMMYFUNCTION("""COMPUTED_VALUE"""),30.0)</f>
        <v>30</v>
      </c>
      <c r="E145" s="225"/>
      <c r="F145" s="225"/>
      <c r="G145" s="225"/>
      <c r="H145" s="225"/>
      <c r="I145" s="225"/>
      <c r="J145" s="225"/>
      <c r="K145" s="244"/>
      <c r="L145" s="225"/>
      <c r="M145" s="225"/>
      <c r="N145" s="225"/>
      <c r="O145" s="225"/>
      <c r="P145" s="225"/>
      <c r="Q145" s="227"/>
      <c r="R145" s="234"/>
      <c r="S145" s="225"/>
      <c r="T145" s="225"/>
      <c r="U145" s="225"/>
      <c r="V145" s="225"/>
      <c r="W145" s="225"/>
      <c r="X145" s="225"/>
      <c r="Y145" s="229"/>
      <c r="Z145" s="257"/>
      <c r="AA145" s="225"/>
      <c r="AB145" s="257"/>
      <c r="AC145" s="257"/>
      <c r="AD145" s="226"/>
      <c r="AE145" s="259"/>
      <c r="AF145" s="347"/>
      <c r="AG145" s="232"/>
      <c r="AH145" s="257"/>
      <c r="AI145" s="225"/>
      <c r="AJ145" s="267"/>
      <c r="AK145" s="259"/>
      <c r="AL145" s="226"/>
      <c r="AM145" s="225"/>
      <c r="AN145" s="225"/>
      <c r="AO145" s="254"/>
      <c r="AP145" s="225"/>
      <c r="AQ145" s="225"/>
      <c r="AR145" s="226"/>
      <c r="AS145" s="225"/>
      <c r="AT145" s="225"/>
      <c r="AU145" s="225"/>
      <c r="AV145" s="225"/>
      <c r="AW145" s="225"/>
      <c r="AX145" s="226"/>
      <c r="AY145" s="225"/>
      <c r="AZ145" s="225"/>
      <c r="BA145" s="226"/>
      <c r="BB145" s="225"/>
      <c r="BC145" s="225"/>
      <c r="BD145" s="225"/>
      <c r="BE145" s="225"/>
      <c r="BF145" s="225"/>
      <c r="BG145" s="225"/>
      <c r="BH145" s="225"/>
      <c r="BI145" s="225"/>
      <c r="BJ145" s="225"/>
      <c r="BK145" s="225"/>
      <c r="BL145" s="225"/>
      <c r="BM145" s="225"/>
      <c r="BN145" s="225"/>
      <c r="BO145" s="225"/>
      <c r="BP145" s="225"/>
      <c r="BQ145" s="225"/>
      <c r="BR145" s="225"/>
      <c r="BS145" s="225"/>
      <c r="BT145" s="226"/>
      <c r="BU145" s="225"/>
      <c r="BV145" s="225"/>
      <c r="BW145" s="225"/>
      <c r="BX145" s="225"/>
      <c r="BY145" s="225"/>
      <c r="BZ145" s="225"/>
    </row>
    <row r="146">
      <c r="A146" s="288" t="str">
        <f>IFERROR(__xludf.DUMMYFUNCTION("""COMPUTED_VALUE"""),"Module Coin Cost")</f>
        <v>Module Coin Cost</v>
      </c>
      <c r="B146" s="239">
        <f>IFERROR(__xludf.DUMMYFUNCTION("""COMPUTED_VALUE"""),23.0)</f>
        <v>23</v>
      </c>
      <c r="C146" s="225"/>
      <c r="D146" s="240">
        <f>IFERROR(__xludf.DUMMYFUNCTION("""COMPUTED_VALUE"""),30.0)</f>
        <v>30</v>
      </c>
      <c r="E146" s="225"/>
      <c r="F146" s="225"/>
      <c r="G146" s="225"/>
      <c r="H146" s="225"/>
      <c r="I146" s="225"/>
      <c r="J146" s="225"/>
      <c r="K146" s="244"/>
      <c r="L146" s="225"/>
      <c r="M146" s="225"/>
      <c r="N146" s="225"/>
      <c r="O146" s="225"/>
      <c r="P146" s="225"/>
      <c r="Q146" s="227"/>
      <c r="R146" s="234"/>
      <c r="S146" s="225"/>
      <c r="T146" s="225"/>
      <c r="U146" s="225"/>
      <c r="V146" s="225"/>
      <c r="W146" s="225"/>
      <c r="X146" s="225"/>
      <c r="Y146" s="229"/>
      <c r="Z146" s="257"/>
      <c r="AA146" s="225"/>
      <c r="AB146" s="257"/>
      <c r="AC146" s="257"/>
      <c r="AD146" s="226"/>
      <c r="AE146" s="259"/>
      <c r="AF146" s="347"/>
      <c r="AG146" s="232"/>
      <c r="AH146" s="257"/>
      <c r="AI146" s="225"/>
      <c r="AJ146" s="267"/>
      <c r="AK146" s="259"/>
      <c r="AL146" s="226"/>
      <c r="AM146" s="225"/>
      <c r="AN146" s="225"/>
      <c r="AO146" s="254"/>
      <c r="AP146" s="225"/>
      <c r="AQ146" s="225"/>
      <c r="AR146" s="226"/>
      <c r="AS146" s="225"/>
      <c r="AT146" s="225"/>
      <c r="AU146" s="225"/>
      <c r="AV146" s="225"/>
      <c r="AW146" s="225"/>
      <c r="AX146" s="226"/>
      <c r="AY146" s="225"/>
      <c r="AZ146" s="225"/>
      <c r="BA146" s="226"/>
      <c r="BB146" s="225"/>
      <c r="BC146" s="225"/>
      <c r="BD146" s="225"/>
      <c r="BE146" s="225"/>
      <c r="BF146" s="225"/>
      <c r="BG146" s="225"/>
      <c r="BH146" s="225"/>
      <c r="BI146" s="225"/>
      <c r="BJ146" s="225"/>
      <c r="BK146" s="225"/>
      <c r="BL146" s="225"/>
      <c r="BM146" s="225"/>
      <c r="BN146" s="225"/>
      <c r="BO146" s="225"/>
      <c r="BP146" s="225"/>
      <c r="BQ146" s="225"/>
      <c r="BR146" s="225"/>
      <c r="BS146" s="225"/>
      <c r="BT146" s="226"/>
      <c r="BU146" s="225"/>
      <c r="BV146" s="225"/>
      <c r="BW146" s="225"/>
      <c r="BX146" s="225"/>
      <c r="BY146" s="225"/>
      <c r="BZ146" s="225"/>
    </row>
    <row r="147">
      <c r="A147" s="288" t="str">
        <f>IFERROR(__xludf.DUMMYFUNCTION("""COMPUTED_VALUE"""),"Rare Drop Chance")</f>
        <v>Rare Drop Chance</v>
      </c>
      <c r="B147" s="239">
        <f>IFERROR(__xludf.DUMMYFUNCTION("""COMPUTED_VALUE"""),10.0)</f>
        <v>10</v>
      </c>
      <c r="C147" s="225">
        <f>IFERROR(__xludf.DUMMYFUNCTION("""COMPUTED_VALUE"""),10.0)</f>
        <v>10</v>
      </c>
      <c r="D147" s="240">
        <f>IFERROR(__xludf.DUMMYFUNCTION("""COMPUTED_VALUE"""),10.0)</f>
        <v>10</v>
      </c>
      <c r="E147" s="225"/>
      <c r="F147" s="225"/>
      <c r="G147" s="225"/>
      <c r="H147" s="225"/>
      <c r="I147" s="225"/>
      <c r="J147" s="225"/>
      <c r="K147" s="244"/>
      <c r="L147" s="225"/>
      <c r="M147" s="225"/>
      <c r="N147" s="225"/>
      <c r="O147" s="225"/>
      <c r="P147" s="225"/>
      <c r="Q147" s="227"/>
      <c r="R147" s="234"/>
      <c r="S147" s="225"/>
      <c r="T147" s="225"/>
      <c r="U147" s="225"/>
      <c r="V147" s="225"/>
      <c r="W147" s="225"/>
      <c r="X147" s="225"/>
      <c r="Y147" s="229"/>
      <c r="Z147" s="257"/>
      <c r="AA147" s="225"/>
      <c r="AB147" s="257"/>
      <c r="AC147" s="257"/>
      <c r="AD147" s="226"/>
      <c r="AE147" s="259"/>
      <c r="AF147" s="347"/>
      <c r="AG147" s="232"/>
      <c r="AH147" s="257"/>
      <c r="AI147" s="225"/>
      <c r="AJ147" s="267"/>
      <c r="AK147" s="259"/>
      <c r="AL147" s="226"/>
      <c r="AM147" s="225"/>
      <c r="AN147" s="225"/>
      <c r="AO147" s="254"/>
      <c r="AP147" s="225"/>
      <c r="AQ147" s="225"/>
      <c r="AR147" s="226"/>
      <c r="AS147" s="225"/>
      <c r="AT147" s="225"/>
      <c r="AU147" s="225"/>
      <c r="AV147" s="225"/>
      <c r="AW147" s="225"/>
      <c r="AX147" s="226"/>
      <c r="AY147" s="225"/>
      <c r="AZ147" s="225"/>
      <c r="BA147" s="226"/>
      <c r="BB147" s="225"/>
      <c r="BC147" s="225"/>
      <c r="BD147" s="225"/>
      <c r="BE147" s="225"/>
      <c r="BF147" s="225"/>
      <c r="BG147" s="225"/>
      <c r="BH147" s="225"/>
      <c r="BI147" s="225"/>
      <c r="BJ147" s="225"/>
      <c r="BK147" s="225"/>
      <c r="BL147" s="225"/>
      <c r="BM147" s="225"/>
      <c r="BN147" s="225"/>
      <c r="BO147" s="225"/>
      <c r="BP147" s="225"/>
      <c r="BQ147" s="225"/>
      <c r="BR147" s="225"/>
      <c r="BS147" s="225"/>
      <c r="BT147" s="226"/>
      <c r="BU147" s="225"/>
      <c r="BV147" s="225"/>
      <c r="BW147" s="225"/>
      <c r="BX147" s="225"/>
      <c r="BY147" s="225"/>
      <c r="BZ147" s="225"/>
    </row>
    <row r="148">
      <c r="A148" s="288" t="str">
        <f>IFERROR(__xludf.DUMMYFUNCTION("""COMPUTED_VALUE"""),"Unmerge Module")</f>
        <v>Unmerge Module</v>
      </c>
      <c r="B148" s="239">
        <f>IFERROR(__xludf.DUMMYFUNCTION("""COMPUTED_VALUE"""),1.0)</f>
        <v>1</v>
      </c>
      <c r="C148" s="225"/>
      <c r="D148" s="240">
        <f>IFERROR(__xludf.DUMMYFUNCTION("""COMPUTED_VALUE"""),1.0)</f>
        <v>1</v>
      </c>
      <c r="E148" s="225"/>
      <c r="F148" s="225"/>
      <c r="G148" s="225"/>
      <c r="H148" s="225"/>
      <c r="I148" s="225"/>
      <c r="J148" s="225"/>
      <c r="K148" s="244"/>
      <c r="L148" s="225"/>
      <c r="M148" s="225"/>
      <c r="N148" s="225"/>
      <c r="O148" s="225"/>
      <c r="P148" s="225"/>
      <c r="Q148" s="227"/>
      <c r="R148" s="234"/>
      <c r="S148" s="225"/>
      <c r="T148" s="225"/>
      <c r="U148" s="225"/>
      <c r="V148" s="225"/>
      <c r="W148" s="225"/>
      <c r="X148" s="225"/>
      <c r="Y148" s="229"/>
      <c r="Z148" s="257"/>
      <c r="AA148" s="225"/>
      <c r="AB148" s="257"/>
      <c r="AC148" s="257"/>
      <c r="AD148" s="226"/>
      <c r="AE148" s="259"/>
      <c r="AF148" s="347"/>
      <c r="AG148" s="232"/>
      <c r="AH148" s="257"/>
      <c r="AI148" s="225"/>
      <c r="AJ148" s="267"/>
      <c r="AK148" s="259"/>
      <c r="AL148" s="226"/>
      <c r="AM148" s="225"/>
      <c r="AN148" s="225"/>
      <c r="AO148" s="254"/>
      <c r="AP148" s="225"/>
      <c r="AQ148" s="225"/>
      <c r="AR148" s="226"/>
      <c r="AS148" s="225"/>
      <c r="AT148" s="225"/>
      <c r="AU148" s="225"/>
      <c r="AV148" s="225"/>
      <c r="AW148" s="225"/>
      <c r="AX148" s="226"/>
      <c r="AY148" s="225"/>
      <c r="AZ148" s="225"/>
      <c r="BA148" s="226"/>
      <c r="BB148" s="225"/>
      <c r="BC148" s="225"/>
      <c r="BD148" s="225"/>
      <c r="BE148" s="225"/>
      <c r="BF148" s="225"/>
      <c r="BG148" s="225"/>
      <c r="BH148" s="225"/>
      <c r="BI148" s="225"/>
      <c r="BJ148" s="225"/>
      <c r="BK148" s="225"/>
      <c r="BL148" s="225"/>
      <c r="BM148" s="225"/>
      <c r="BN148" s="225"/>
      <c r="BO148" s="225"/>
      <c r="BP148" s="225"/>
      <c r="BQ148" s="225"/>
      <c r="BR148" s="225"/>
      <c r="BS148" s="225"/>
      <c r="BT148" s="226"/>
      <c r="BU148" s="225"/>
      <c r="BV148" s="225"/>
      <c r="BW148" s="225"/>
      <c r="BX148" s="225"/>
      <c r="BY148" s="225"/>
      <c r="BZ148" s="225"/>
    </row>
    <row r="149">
      <c r="A149" s="288" t="str">
        <f>IFERROR(__xludf.DUMMYFUNCTION("""COMPUTED_VALUE"""),"Shatter Shards")</f>
        <v>Shatter Shards</v>
      </c>
      <c r="B149" s="239">
        <f>IFERROR(__xludf.DUMMYFUNCTION("""COMPUTED_VALUE"""),5.0)</f>
        <v>5</v>
      </c>
      <c r="C149" s="225"/>
      <c r="D149" s="240">
        <f>IFERROR(__xludf.DUMMYFUNCTION("""COMPUTED_VALUE"""),5.0)</f>
        <v>5</v>
      </c>
      <c r="E149" s="225"/>
      <c r="F149" s="225"/>
      <c r="G149" s="225"/>
      <c r="H149" s="225"/>
      <c r="I149" s="225"/>
      <c r="J149" s="225"/>
      <c r="K149" s="244"/>
      <c r="L149" s="225"/>
      <c r="M149" s="225"/>
      <c r="N149" s="225"/>
      <c r="O149" s="225"/>
      <c r="P149" s="225"/>
      <c r="Q149" s="227"/>
      <c r="R149" s="234"/>
      <c r="S149" s="225"/>
      <c r="T149" s="225"/>
      <c r="U149" s="225"/>
      <c r="V149" s="225"/>
      <c r="W149" s="225"/>
      <c r="X149" s="225"/>
      <c r="Y149" s="229"/>
      <c r="Z149" s="257"/>
      <c r="AA149" s="225"/>
      <c r="AB149" s="257"/>
      <c r="AC149" s="257"/>
      <c r="AD149" s="226"/>
      <c r="AE149" s="259"/>
      <c r="AF149" s="347"/>
      <c r="AG149" s="232"/>
      <c r="AH149" s="257"/>
      <c r="AI149" s="225"/>
      <c r="AJ149" s="267"/>
      <c r="AK149" s="259"/>
      <c r="AL149" s="226"/>
      <c r="AM149" s="225"/>
      <c r="AN149" s="225"/>
      <c r="AO149" s="254"/>
      <c r="AP149" s="225"/>
      <c r="AQ149" s="225"/>
      <c r="AR149" s="226"/>
      <c r="AS149" s="225"/>
      <c r="AT149" s="225"/>
      <c r="AU149" s="225"/>
      <c r="AV149" s="225"/>
      <c r="AW149" s="225"/>
      <c r="AX149" s="226"/>
      <c r="AY149" s="225"/>
      <c r="AZ149" s="225"/>
      <c r="BA149" s="226"/>
      <c r="BB149" s="225"/>
      <c r="BC149" s="225"/>
      <c r="BD149" s="225"/>
      <c r="BE149" s="225"/>
      <c r="BF149" s="225"/>
      <c r="BG149" s="225"/>
      <c r="BH149" s="225"/>
      <c r="BI149" s="225"/>
      <c r="BJ149" s="225"/>
      <c r="BK149" s="225"/>
      <c r="BL149" s="225"/>
      <c r="BM149" s="225"/>
      <c r="BN149" s="225"/>
      <c r="BO149" s="225"/>
      <c r="BP149" s="225"/>
      <c r="BQ149" s="225"/>
      <c r="BR149" s="225"/>
      <c r="BS149" s="225"/>
      <c r="BT149" s="226"/>
      <c r="BU149" s="225"/>
      <c r="BV149" s="225"/>
      <c r="BW149" s="225"/>
      <c r="BX149" s="225"/>
      <c r="BY149" s="225"/>
      <c r="BZ149" s="225"/>
    </row>
    <row r="150">
      <c r="A150" s="288" t="str">
        <f>IFERROR(__xludf.DUMMYFUNCTION("""COMPUTED_VALUE"""),"Cannon Effect Bans")</f>
        <v>Cannon Effect Bans</v>
      </c>
      <c r="B150" s="239">
        <f>IFERROR(__xludf.DUMMYFUNCTION("""COMPUTED_VALUE"""),0.0)</f>
        <v>0</v>
      </c>
      <c r="C150" s="225"/>
      <c r="D150" s="240">
        <f>IFERROR(__xludf.DUMMYFUNCTION("""COMPUTED_VALUE"""),4.0)</f>
        <v>4</v>
      </c>
      <c r="E150" s="225"/>
      <c r="F150" s="225"/>
      <c r="G150" s="225"/>
      <c r="H150" s="225"/>
      <c r="I150" s="225"/>
      <c r="J150" s="225"/>
      <c r="K150" s="244"/>
      <c r="L150" s="225"/>
      <c r="M150" s="225"/>
      <c r="N150" s="225"/>
      <c r="O150" s="225"/>
      <c r="P150" s="225"/>
      <c r="Q150" s="227"/>
      <c r="R150" s="234"/>
      <c r="S150" s="225"/>
      <c r="T150" s="225"/>
      <c r="U150" s="225"/>
      <c r="V150" s="225"/>
      <c r="W150" s="225"/>
      <c r="X150" s="225"/>
      <c r="Y150" s="229"/>
      <c r="Z150" s="257"/>
      <c r="AA150" s="225"/>
      <c r="AB150" s="257"/>
      <c r="AC150" s="257"/>
      <c r="AD150" s="226"/>
      <c r="AE150" s="259"/>
      <c r="AF150" s="347"/>
      <c r="AG150" s="232"/>
      <c r="AH150" s="257"/>
      <c r="AI150" s="225"/>
      <c r="AJ150" s="267"/>
      <c r="AK150" s="259"/>
      <c r="AL150" s="226"/>
      <c r="AM150" s="225"/>
      <c r="AN150" s="225"/>
      <c r="AO150" s="254"/>
      <c r="AP150" s="225"/>
      <c r="AQ150" s="225"/>
      <c r="AR150" s="226"/>
      <c r="AS150" s="225"/>
      <c r="AT150" s="225"/>
      <c r="AU150" s="225"/>
      <c r="AV150" s="225"/>
      <c r="AW150" s="225"/>
      <c r="AX150" s="226"/>
      <c r="AY150" s="225"/>
      <c r="AZ150" s="225"/>
      <c r="BA150" s="226"/>
      <c r="BB150" s="225"/>
      <c r="BC150" s="225"/>
      <c r="BD150" s="225"/>
      <c r="BE150" s="225"/>
      <c r="BF150" s="225"/>
      <c r="BG150" s="225"/>
      <c r="BH150" s="225"/>
      <c r="BI150" s="225"/>
      <c r="BJ150" s="225"/>
      <c r="BK150" s="225"/>
      <c r="BL150" s="225"/>
      <c r="BM150" s="225"/>
      <c r="BN150" s="225"/>
      <c r="BO150" s="225"/>
      <c r="BP150" s="225"/>
      <c r="BQ150" s="225"/>
      <c r="BR150" s="225"/>
      <c r="BS150" s="225"/>
      <c r="BT150" s="226"/>
      <c r="BU150" s="225"/>
      <c r="BV150" s="225"/>
      <c r="BW150" s="225"/>
      <c r="BX150" s="225"/>
      <c r="BY150" s="225"/>
      <c r="BZ150" s="225"/>
    </row>
    <row r="151">
      <c r="A151" s="288" t="str">
        <f>IFERROR(__xludf.DUMMYFUNCTION("""COMPUTED_VALUE"""),"Armor Effect Bans")</f>
        <v>Armor Effect Bans</v>
      </c>
      <c r="B151" s="239">
        <f>IFERROR(__xludf.DUMMYFUNCTION("""COMPUTED_VALUE"""),2.0)</f>
        <v>2</v>
      </c>
      <c r="C151" s="225"/>
      <c r="D151" s="240">
        <f>IFERROR(__xludf.DUMMYFUNCTION("""COMPUTED_VALUE"""),4.0)</f>
        <v>4</v>
      </c>
      <c r="E151" s="225"/>
      <c r="F151" s="225"/>
      <c r="G151" s="225"/>
      <c r="H151" s="225"/>
      <c r="I151" s="225"/>
      <c r="J151" s="225"/>
      <c r="K151" s="244"/>
      <c r="L151" s="225"/>
      <c r="M151" s="225"/>
      <c r="N151" s="225"/>
      <c r="O151" s="225"/>
      <c r="P151" s="225"/>
      <c r="Q151" s="227"/>
      <c r="R151" s="234"/>
      <c r="S151" s="225"/>
      <c r="T151" s="225"/>
      <c r="U151" s="225"/>
      <c r="V151" s="225"/>
      <c r="W151" s="225"/>
      <c r="X151" s="225"/>
      <c r="Y151" s="229"/>
      <c r="Z151" s="257"/>
      <c r="AA151" s="225"/>
      <c r="AB151" s="257"/>
      <c r="AC151" s="257"/>
      <c r="AD151" s="226"/>
      <c r="AE151" s="259"/>
      <c r="AF151" s="347"/>
      <c r="AG151" s="232"/>
      <c r="AH151" s="257"/>
      <c r="AI151" s="225"/>
      <c r="AJ151" s="267"/>
      <c r="AK151" s="259"/>
      <c r="AL151" s="226"/>
      <c r="AM151" s="225"/>
      <c r="AN151" s="225"/>
      <c r="AO151" s="254"/>
      <c r="AP151" s="225"/>
      <c r="AQ151" s="225"/>
      <c r="AR151" s="226"/>
      <c r="AS151" s="225"/>
      <c r="AT151" s="225"/>
      <c r="AU151" s="225"/>
      <c r="AV151" s="225"/>
      <c r="AW151" s="225"/>
      <c r="AX151" s="226"/>
      <c r="AY151" s="225"/>
      <c r="AZ151" s="225"/>
      <c r="BA151" s="226"/>
      <c r="BB151" s="225"/>
      <c r="BC151" s="225"/>
      <c r="BD151" s="225"/>
      <c r="BE151" s="225"/>
      <c r="BF151" s="225"/>
      <c r="BG151" s="225"/>
      <c r="BH151" s="225"/>
      <c r="BI151" s="225"/>
      <c r="BJ151" s="225"/>
      <c r="BK151" s="225"/>
      <c r="BL151" s="225"/>
      <c r="BM151" s="225"/>
      <c r="BN151" s="225"/>
      <c r="BO151" s="225"/>
      <c r="BP151" s="225"/>
      <c r="BQ151" s="225"/>
      <c r="BR151" s="225"/>
      <c r="BS151" s="225"/>
      <c r="BT151" s="226"/>
      <c r="BU151" s="225"/>
      <c r="BV151" s="225"/>
      <c r="BW151" s="225"/>
      <c r="BX151" s="225"/>
      <c r="BY151" s="225"/>
      <c r="BZ151" s="225"/>
    </row>
    <row r="152">
      <c r="A152" s="288" t="str">
        <f>IFERROR(__xludf.DUMMYFUNCTION("""COMPUTED_VALUE"""),"Generator Effect Bans")</f>
        <v>Generator Effect Bans</v>
      </c>
      <c r="B152" s="239">
        <f>IFERROR(__xludf.DUMMYFUNCTION("""COMPUTED_VALUE"""),1.0)</f>
        <v>1</v>
      </c>
      <c r="C152" s="225"/>
      <c r="D152" s="240">
        <f>IFERROR(__xludf.DUMMYFUNCTION("""COMPUTED_VALUE"""),3.0)</f>
        <v>3</v>
      </c>
      <c r="E152" s="225"/>
      <c r="F152" s="225"/>
      <c r="G152" s="225"/>
      <c r="H152" s="225"/>
      <c r="I152" s="225"/>
      <c r="J152" s="225"/>
      <c r="K152" s="244"/>
      <c r="L152" s="225"/>
      <c r="M152" s="225"/>
      <c r="N152" s="225"/>
      <c r="O152" s="225"/>
      <c r="P152" s="225"/>
      <c r="Q152" s="227"/>
      <c r="R152" s="234"/>
      <c r="S152" s="225"/>
      <c r="T152" s="225"/>
      <c r="U152" s="225"/>
      <c r="V152" s="225"/>
      <c r="W152" s="225"/>
      <c r="X152" s="225"/>
      <c r="Y152" s="229"/>
      <c r="Z152" s="257"/>
      <c r="AA152" s="225"/>
      <c r="AB152" s="257"/>
      <c r="AC152" s="257"/>
      <c r="AD152" s="226"/>
      <c r="AE152" s="259"/>
      <c r="AF152" s="347"/>
      <c r="AG152" s="232"/>
      <c r="AH152" s="257"/>
      <c r="AI152" s="225"/>
      <c r="AJ152" s="267"/>
      <c r="AK152" s="259"/>
      <c r="AL152" s="226"/>
      <c r="AM152" s="225"/>
      <c r="AN152" s="225"/>
      <c r="AO152" s="254"/>
      <c r="AP152" s="225"/>
      <c r="AQ152" s="225"/>
      <c r="AR152" s="226"/>
      <c r="AS152" s="225"/>
      <c r="AT152" s="225"/>
      <c r="AU152" s="225"/>
      <c r="AV152" s="225"/>
      <c r="AW152" s="225"/>
      <c r="AX152" s="226"/>
      <c r="AY152" s="225"/>
      <c r="AZ152" s="225"/>
      <c r="BA152" s="226"/>
      <c r="BB152" s="225"/>
      <c r="BC152" s="225"/>
      <c r="BD152" s="225"/>
      <c r="BE152" s="225"/>
      <c r="BF152" s="225"/>
      <c r="BG152" s="225"/>
      <c r="BH152" s="225"/>
      <c r="BI152" s="225"/>
      <c r="BJ152" s="225"/>
      <c r="BK152" s="225"/>
      <c r="BL152" s="225"/>
      <c r="BM152" s="225"/>
      <c r="BN152" s="225"/>
      <c r="BO152" s="225"/>
      <c r="BP152" s="225"/>
      <c r="BQ152" s="225"/>
      <c r="BR152" s="225"/>
      <c r="BS152" s="225"/>
      <c r="BT152" s="226"/>
      <c r="BU152" s="225"/>
      <c r="BV152" s="225"/>
      <c r="BW152" s="225"/>
      <c r="BX152" s="225"/>
      <c r="BY152" s="225"/>
      <c r="BZ152" s="225"/>
    </row>
    <row r="153">
      <c r="A153" s="288" t="str">
        <f>IFERROR(__xludf.DUMMYFUNCTION("""COMPUTED_VALUE"""),"Core Effect Bans")</f>
        <v>Core Effect Bans</v>
      </c>
      <c r="B153" s="239">
        <f>IFERROR(__xludf.DUMMYFUNCTION("""COMPUTED_VALUE"""),4.0)</f>
        <v>4</v>
      </c>
      <c r="C153" s="225"/>
      <c r="D153" s="240">
        <f>IFERROR(__xludf.DUMMYFUNCTION("""COMPUTED_VALUE"""),7.0)</f>
        <v>7</v>
      </c>
      <c r="E153" s="225"/>
      <c r="F153" s="225"/>
      <c r="G153" s="225"/>
      <c r="H153" s="225"/>
      <c r="I153" s="225"/>
      <c r="J153" s="225"/>
      <c r="K153" s="244"/>
      <c r="L153" s="225"/>
      <c r="M153" s="225"/>
      <c r="N153" s="225"/>
      <c r="O153" s="225"/>
      <c r="P153" s="225"/>
      <c r="Q153" s="227"/>
      <c r="R153" s="234"/>
      <c r="S153" s="225"/>
      <c r="T153" s="225"/>
      <c r="U153" s="225"/>
      <c r="V153" s="225"/>
      <c r="W153" s="225"/>
      <c r="X153" s="225"/>
      <c r="Y153" s="229"/>
      <c r="Z153" s="257"/>
      <c r="AA153" s="225"/>
      <c r="AB153" s="257"/>
      <c r="AC153" s="257"/>
      <c r="AD153" s="226"/>
      <c r="AE153" s="259"/>
      <c r="AF153" s="347"/>
      <c r="AG153" s="232"/>
      <c r="AH153" s="257"/>
      <c r="AI153" s="225"/>
      <c r="AJ153" s="267"/>
      <c r="AK153" s="259"/>
      <c r="AL153" s="226"/>
      <c r="AM153" s="225"/>
      <c r="AN153" s="225"/>
      <c r="AO153" s="254"/>
      <c r="AP153" s="225"/>
      <c r="AQ153" s="225"/>
      <c r="AR153" s="226"/>
      <c r="AS153" s="225"/>
      <c r="AT153" s="225"/>
      <c r="AU153" s="225"/>
      <c r="AV153" s="225"/>
      <c r="AW153" s="225"/>
      <c r="AX153" s="226"/>
      <c r="AY153" s="225"/>
      <c r="AZ153" s="225"/>
      <c r="BA153" s="226"/>
      <c r="BB153" s="225"/>
      <c r="BC153" s="225"/>
      <c r="BD153" s="225"/>
      <c r="BE153" s="225"/>
      <c r="BF153" s="225"/>
      <c r="BG153" s="225"/>
      <c r="BH153" s="225"/>
      <c r="BI153" s="225"/>
      <c r="BJ153" s="225"/>
      <c r="BK153" s="225"/>
      <c r="BL153" s="225"/>
      <c r="BM153" s="225"/>
      <c r="BN153" s="225"/>
      <c r="BO153" s="225"/>
      <c r="BP153" s="225"/>
      <c r="BQ153" s="225"/>
      <c r="BR153" s="225"/>
      <c r="BS153" s="225"/>
      <c r="BT153" s="226"/>
      <c r="BU153" s="225"/>
      <c r="BV153" s="225"/>
      <c r="BW153" s="225"/>
      <c r="BX153" s="225"/>
      <c r="BY153" s="225"/>
      <c r="BZ153" s="225"/>
    </row>
    <row r="154">
      <c r="A154" s="288" t="str">
        <f>IFERROR(__xludf.DUMMYFUNCTION("""COMPUTED_VALUE"""),"Assist Module Substats - Cannon")</f>
        <v>Assist Module Substats - Cannon</v>
      </c>
      <c r="B154" s="239">
        <f>IFERROR(__xludf.DUMMYFUNCTION("""COMPUTED_VALUE"""),0.0)</f>
        <v>0</v>
      </c>
      <c r="C154" s="225"/>
      <c r="D154" s="240">
        <f>IFERROR(__xludf.DUMMYFUNCTION("""COMPUTED_VALUE"""),30.0)</f>
        <v>30</v>
      </c>
      <c r="E154" s="225"/>
      <c r="F154" s="225"/>
      <c r="G154" s="225"/>
      <c r="H154" s="225"/>
      <c r="I154" s="225"/>
      <c r="J154" s="225"/>
      <c r="K154" s="244"/>
      <c r="L154" s="225"/>
      <c r="M154" s="225"/>
      <c r="N154" s="225"/>
      <c r="O154" s="225"/>
      <c r="P154" s="225"/>
      <c r="Q154" s="227"/>
      <c r="R154" s="234"/>
      <c r="S154" s="225"/>
      <c r="T154" s="225"/>
      <c r="U154" s="225"/>
      <c r="V154" s="225"/>
      <c r="W154" s="225"/>
      <c r="X154" s="225"/>
      <c r="Y154" s="229"/>
      <c r="Z154" s="257"/>
      <c r="AA154" s="225"/>
      <c r="AB154" s="257"/>
      <c r="AC154" s="257"/>
      <c r="AD154" s="226"/>
      <c r="AE154" s="259"/>
      <c r="AF154" s="347"/>
      <c r="AG154" s="232"/>
      <c r="AH154" s="257"/>
      <c r="AI154" s="225"/>
      <c r="AJ154" s="267"/>
      <c r="AK154" s="259"/>
      <c r="AL154" s="226"/>
      <c r="AM154" s="225"/>
      <c r="AN154" s="225"/>
      <c r="AO154" s="254"/>
      <c r="AP154" s="225"/>
      <c r="AQ154" s="225"/>
      <c r="AR154" s="226"/>
      <c r="AS154" s="225"/>
      <c r="AT154" s="225"/>
      <c r="AU154" s="225"/>
      <c r="AV154" s="225"/>
      <c r="AW154" s="225"/>
      <c r="AX154" s="226"/>
      <c r="AY154" s="225"/>
      <c r="AZ154" s="225"/>
      <c r="BA154" s="226"/>
      <c r="BB154" s="225"/>
      <c r="BC154" s="225"/>
      <c r="BD154" s="225"/>
      <c r="BE154" s="225"/>
      <c r="BF154" s="225"/>
      <c r="BG154" s="225"/>
      <c r="BH154" s="225"/>
      <c r="BI154" s="225"/>
      <c r="BJ154" s="225"/>
      <c r="BK154" s="225"/>
      <c r="BL154" s="225"/>
      <c r="BM154" s="225"/>
      <c r="BN154" s="225"/>
      <c r="BO154" s="225"/>
      <c r="BP154" s="225"/>
      <c r="BQ154" s="225"/>
      <c r="BR154" s="225"/>
      <c r="BS154" s="225"/>
      <c r="BT154" s="226"/>
      <c r="BU154" s="225"/>
      <c r="BV154" s="225"/>
      <c r="BW154" s="225"/>
      <c r="BX154" s="225"/>
      <c r="BY154" s="225"/>
      <c r="BZ154" s="225"/>
    </row>
    <row r="155">
      <c r="A155" s="288" t="str">
        <f>IFERROR(__xludf.DUMMYFUNCTION("""COMPUTED_VALUE"""),"Assist Module Substats - Armor")</f>
        <v>Assist Module Substats - Armor</v>
      </c>
      <c r="B155" s="239">
        <f>IFERROR(__xludf.DUMMYFUNCTION("""COMPUTED_VALUE"""),0.0)</f>
        <v>0</v>
      </c>
      <c r="C155" s="225"/>
      <c r="D155" s="240">
        <f>IFERROR(__xludf.DUMMYFUNCTION("""COMPUTED_VALUE"""),30.0)</f>
        <v>30</v>
      </c>
      <c r="E155" s="225"/>
      <c r="F155" s="225"/>
      <c r="G155" s="225"/>
      <c r="H155" s="225"/>
      <c r="I155" s="225"/>
      <c r="J155" s="225"/>
      <c r="K155" s="244"/>
      <c r="L155" s="225"/>
      <c r="M155" s="225"/>
      <c r="N155" s="225"/>
      <c r="O155" s="225"/>
      <c r="P155" s="225"/>
      <c r="Q155" s="227"/>
      <c r="R155" s="234"/>
      <c r="S155" s="225"/>
      <c r="T155" s="225"/>
      <c r="U155" s="225"/>
      <c r="V155" s="225"/>
      <c r="W155" s="225"/>
      <c r="X155" s="225"/>
      <c r="Y155" s="229"/>
      <c r="Z155" s="257"/>
      <c r="AA155" s="225"/>
      <c r="AB155" s="257"/>
      <c r="AC155" s="257"/>
      <c r="AD155" s="226"/>
      <c r="AE155" s="259"/>
      <c r="AF155" s="347"/>
      <c r="AG155" s="232"/>
      <c r="AH155" s="257"/>
      <c r="AI155" s="225"/>
      <c r="AJ155" s="267"/>
      <c r="AK155" s="259"/>
      <c r="AL155" s="226"/>
      <c r="AM155" s="225"/>
      <c r="AN155" s="225"/>
      <c r="AO155" s="254"/>
      <c r="AP155" s="225"/>
      <c r="AQ155" s="225"/>
      <c r="AR155" s="226"/>
      <c r="AS155" s="225"/>
      <c r="AT155" s="225"/>
      <c r="AU155" s="225"/>
      <c r="AV155" s="225"/>
      <c r="AW155" s="225"/>
      <c r="AX155" s="226"/>
      <c r="AY155" s="225"/>
      <c r="AZ155" s="225"/>
      <c r="BA155" s="226"/>
      <c r="BB155" s="225"/>
      <c r="BC155" s="225"/>
      <c r="BD155" s="225"/>
      <c r="BE155" s="225"/>
      <c r="BF155" s="225"/>
      <c r="BG155" s="225"/>
      <c r="BH155" s="225"/>
      <c r="BI155" s="225"/>
      <c r="BJ155" s="225"/>
      <c r="BK155" s="225"/>
      <c r="BL155" s="225"/>
      <c r="BM155" s="225"/>
      <c r="BN155" s="225"/>
      <c r="BO155" s="225"/>
      <c r="BP155" s="225"/>
      <c r="BQ155" s="225"/>
      <c r="BR155" s="225"/>
      <c r="BS155" s="225"/>
      <c r="BT155" s="226"/>
      <c r="BU155" s="225"/>
      <c r="BV155" s="225"/>
      <c r="BW155" s="225"/>
      <c r="BX155" s="225"/>
      <c r="BY155" s="225"/>
      <c r="BZ155" s="225"/>
    </row>
    <row r="156">
      <c r="A156" s="288" t="str">
        <f>IFERROR(__xludf.DUMMYFUNCTION("""COMPUTED_VALUE"""),"Assist Module Substats - Generator")</f>
        <v>Assist Module Substats - Generator</v>
      </c>
      <c r="B156" s="239">
        <f>IFERROR(__xludf.DUMMYFUNCTION("""COMPUTED_VALUE"""),0.0)</f>
        <v>0</v>
      </c>
      <c r="C156" s="225"/>
      <c r="D156" s="240">
        <f>IFERROR(__xludf.DUMMYFUNCTION("""COMPUTED_VALUE"""),30.0)</f>
        <v>30</v>
      </c>
      <c r="E156" s="225"/>
      <c r="F156" s="225"/>
      <c r="G156" s="225"/>
      <c r="H156" s="225"/>
      <c r="I156" s="225"/>
      <c r="J156" s="225"/>
      <c r="K156" s="244"/>
      <c r="L156" s="225"/>
      <c r="M156" s="225"/>
      <c r="N156" s="225"/>
      <c r="O156" s="225"/>
      <c r="P156" s="225"/>
      <c r="Q156" s="227"/>
      <c r="R156" s="234"/>
      <c r="S156" s="225"/>
      <c r="T156" s="225"/>
      <c r="U156" s="225"/>
      <c r="V156" s="225"/>
      <c r="W156" s="225"/>
      <c r="X156" s="225"/>
      <c r="Y156" s="229"/>
      <c r="Z156" s="257"/>
      <c r="AA156" s="225"/>
      <c r="AB156" s="257"/>
      <c r="AC156" s="257"/>
      <c r="AD156" s="226"/>
      <c r="AE156" s="259"/>
      <c r="AF156" s="347"/>
      <c r="AG156" s="232"/>
      <c r="AH156" s="257"/>
      <c r="AI156" s="225"/>
      <c r="AJ156" s="267"/>
      <c r="AK156" s="259"/>
      <c r="AL156" s="226"/>
      <c r="AM156" s="225"/>
      <c r="AN156" s="225"/>
      <c r="AO156" s="254"/>
      <c r="AP156" s="225"/>
      <c r="AQ156" s="225"/>
      <c r="AR156" s="226"/>
      <c r="AS156" s="225"/>
      <c r="AT156" s="225"/>
      <c r="AU156" s="225"/>
      <c r="AV156" s="225"/>
      <c r="AW156" s="225"/>
      <c r="AX156" s="226"/>
      <c r="AY156" s="225"/>
      <c r="AZ156" s="225"/>
      <c r="BA156" s="226"/>
      <c r="BB156" s="225"/>
      <c r="BC156" s="225"/>
      <c r="BD156" s="225"/>
      <c r="BE156" s="225"/>
      <c r="BF156" s="225"/>
      <c r="BG156" s="225"/>
      <c r="BH156" s="225"/>
      <c r="BI156" s="225"/>
      <c r="BJ156" s="225"/>
      <c r="BK156" s="225"/>
      <c r="BL156" s="225"/>
      <c r="BM156" s="225"/>
      <c r="BN156" s="225"/>
      <c r="BO156" s="225"/>
      <c r="BP156" s="225"/>
      <c r="BQ156" s="225"/>
      <c r="BR156" s="225"/>
      <c r="BS156" s="225"/>
      <c r="BT156" s="226"/>
      <c r="BU156" s="225"/>
      <c r="BV156" s="225"/>
      <c r="BW156" s="225"/>
      <c r="BX156" s="225"/>
      <c r="BY156" s="225"/>
      <c r="BZ156" s="225"/>
    </row>
    <row r="157">
      <c r="A157" s="288" t="str">
        <f>IFERROR(__xludf.DUMMYFUNCTION("""COMPUTED_VALUE"""),"Assist Module Substats - Core")</f>
        <v>Assist Module Substats - Core</v>
      </c>
      <c r="B157" s="239">
        <f>IFERROR(__xludf.DUMMYFUNCTION("""COMPUTED_VALUE"""),0.0)</f>
        <v>0</v>
      </c>
      <c r="C157" s="225"/>
      <c r="D157" s="240">
        <f>IFERROR(__xludf.DUMMYFUNCTION("""COMPUTED_VALUE"""),30.0)</f>
        <v>30</v>
      </c>
      <c r="E157" s="225"/>
      <c r="F157" s="225"/>
      <c r="G157" s="225"/>
      <c r="H157" s="225"/>
      <c r="I157" s="225"/>
      <c r="J157" s="225"/>
      <c r="K157" s="244"/>
      <c r="L157" s="225"/>
      <c r="M157" s="225"/>
      <c r="N157" s="225"/>
      <c r="O157" s="225"/>
      <c r="P157" s="225"/>
      <c r="Q157" s="227"/>
      <c r="R157" s="234"/>
      <c r="S157" s="225"/>
      <c r="T157" s="225"/>
      <c r="U157" s="225"/>
      <c r="V157" s="225"/>
      <c r="W157" s="225"/>
      <c r="X157" s="225"/>
      <c r="Y157" s="229"/>
      <c r="Z157" s="257"/>
      <c r="AA157" s="225"/>
      <c r="AB157" s="257"/>
      <c r="AC157" s="257"/>
      <c r="AD157" s="226"/>
      <c r="AE157" s="259"/>
      <c r="AF157" s="347"/>
      <c r="AG157" s="232"/>
      <c r="AH157" s="257"/>
      <c r="AI157" s="225"/>
      <c r="AJ157" s="267"/>
      <c r="AK157" s="259"/>
      <c r="AL157" s="226"/>
      <c r="AM157" s="225"/>
      <c r="AN157" s="225"/>
      <c r="AO157" s="254"/>
      <c r="AP157" s="225"/>
      <c r="AQ157" s="225"/>
      <c r="AR157" s="226"/>
      <c r="AS157" s="225"/>
      <c r="AT157" s="225"/>
      <c r="AU157" s="225"/>
      <c r="AV157" s="225"/>
      <c r="AW157" s="225"/>
      <c r="AX157" s="226"/>
      <c r="AY157" s="225"/>
      <c r="AZ157" s="225"/>
      <c r="BA157" s="226"/>
      <c r="BB157" s="225"/>
      <c r="BC157" s="225"/>
      <c r="BD157" s="225"/>
      <c r="BE157" s="225"/>
      <c r="BF157" s="225"/>
      <c r="BG157" s="225"/>
      <c r="BH157" s="225"/>
      <c r="BI157" s="225"/>
      <c r="BJ157" s="225"/>
      <c r="BK157" s="225"/>
      <c r="BL157" s="225"/>
      <c r="BM157" s="225"/>
      <c r="BN157" s="225"/>
      <c r="BO157" s="225"/>
      <c r="BP157" s="225"/>
      <c r="BQ157" s="225"/>
      <c r="BR157" s="225"/>
      <c r="BS157" s="225"/>
      <c r="BT157" s="226"/>
      <c r="BU157" s="225"/>
      <c r="BV157" s="225"/>
      <c r="BW157" s="225"/>
      <c r="BX157" s="225"/>
      <c r="BY157" s="225"/>
      <c r="BZ157" s="225"/>
    </row>
    <row r="158">
      <c r="A158" s="288" t="str">
        <f>IFERROR(__xludf.DUMMYFUNCTION("""COMPUTED_VALUE"""),"Assist Module Bonus - Cannon")</f>
        <v>Assist Module Bonus - Cannon</v>
      </c>
      <c r="B158" s="239">
        <f>IFERROR(__xludf.DUMMYFUNCTION("""COMPUTED_VALUE"""),0.0)</f>
        <v>0</v>
      </c>
      <c r="C158" s="225"/>
      <c r="D158" s="240">
        <f>IFERROR(__xludf.DUMMYFUNCTION("""COMPUTED_VALUE"""),30.0)</f>
        <v>30</v>
      </c>
      <c r="E158" s="225"/>
      <c r="F158" s="225"/>
      <c r="G158" s="225"/>
      <c r="H158" s="225"/>
      <c r="I158" s="225"/>
      <c r="J158" s="225"/>
      <c r="K158" s="244"/>
      <c r="L158" s="225"/>
      <c r="M158" s="225"/>
      <c r="N158" s="225"/>
      <c r="O158" s="225"/>
      <c r="P158" s="225"/>
      <c r="Q158" s="227"/>
      <c r="R158" s="234"/>
      <c r="S158" s="225"/>
      <c r="T158" s="225"/>
      <c r="U158" s="225"/>
      <c r="V158" s="225"/>
      <c r="W158" s="225"/>
      <c r="X158" s="225"/>
      <c r="Y158" s="229"/>
      <c r="Z158" s="257"/>
      <c r="AA158" s="225"/>
      <c r="AB158" s="257"/>
      <c r="AC158" s="257"/>
      <c r="AD158" s="226"/>
      <c r="AE158" s="259"/>
      <c r="AF158" s="347"/>
      <c r="AG158" s="232"/>
      <c r="AH158" s="257"/>
      <c r="AI158" s="225"/>
      <c r="AJ158" s="267"/>
      <c r="AK158" s="259"/>
      <c r="AL158" s="226"/>
      <c r="AM158" s="225"/>
      <c r="AN158" s="225"/>
      <c r="AO158" s="254"/>
      <c r="AP158" s="225"/>
      <c r="AQ158" s="225"/>
      <c r="AR158" s="226"/>
      <c r="AS158" s="225"/>
      <c r="AT158" s="225"/>
      <c r="AU158" s="225"/>
      <c r="AV158" s="225"/>
      <c r="AW158" s="225"/>
      <c r="AX158" s="226"/>
      <c r="AY158" s="225"/>
      <c r="AZ158" s="225"/>
      <c r="BA158" s="226"/>
      <c r="BB158" s="225"/>
      <c r="BC158" s="225"/>
      <c r="BD158" s="225"/>
      <c r="BE158" s="225"/>
      <c r="BF158" s="225"/>
      <c r="BG158" s="225"/>
      <c r="BH158" s="225"/>
      <c r="BI158" s="225"/>
      <c r="BJ158" s="225"/>
      <c r="BK158" s="225"/>
      <c r="BL158" s="225"/>
      <c r="BM158" s="225"/>
      <c r="BN158" s="225"/>
      <c r="BO158" s="225"/>
      <c r="BP158" s="225"/>
      <c r="BQ158" s="225"/>
      <c r="BR158" s="225"/>
      <c r="BS158" s="225"/>
      <c r="BT158" s="226"/>
      <c r="BU158" s="225"/>
      <c r="BV158" s="225"/>
      <c r="BW158" s="225"/>
      <c r="BX158" s="225"/>
      <c r="BY158" s="225"/>
      <c r="BZ158" s="225"/>
    </row>
    <row r="159">
      <c r="A159" s="288" t="str">
        <f>IFERROR(__xludf.DUMMYFUNCTION("""COMPUTED_VALUE"""),"Assist Module Bonus - Armor")</f>
        <v>Assist Module Bonus - Armor</v>
      </c>
      <c r="B159" s="239">
        <f>IFERROR(__xludf.DUMMYFUNCTION("""COMPUTED_VALUE"""),0.0)</f>
        <v>0</v>
      </c>
      <c r="C159" s="225"/>
      <c r="D159" s="240">
        <f>IFERROR(__xludf.DUMMYFUNCTION("""COMPUTED_VALUE"""),30.0)</f>
        <v>30</v>
      </c>
      <c r="E159" s="225"/>
      <c r="F159" s="225"/>
      <c r="G159" s="225"/>
      <c r="H159" s="225"/>
      <c r="I159" s="225"/>
      <c r="J159" s="225"/>
      <c r="K159" s="244"/>
      <c r="L159" s="225"/>
      <c r="M159" s="225"/>
      <c r="N159" s="225"/>
      <c r="O159" s="225"/>
      <c r="P159" s="225"/>
      <c r="Q159" s="227"/>
      <c r="R159" s="234"/>
      <c r="S159" s="225"/>
      <c r="T159" s="225"/>
      <c r="U159" s="225"/>
      <c r="V159" s="225"/>
      <c r="W159" s="225"/>
      <c r="X159" s="225"/>
      <c r="Y159" s="229"/>
      <c r="Z159" s="257"/>
      <c r="AA159" s="225"/>
      <c r="AB159" s="257"/>
      <c r="AC159" s="257"/>
      <c r="AD159" s="226"/>
      <c r="AE159" s="259"/>
      <c r="AF159" s="347"/>
      <c r="AG159" s="232"/>
      <c r="AH159" s="257"/>
      <c r="AI159" s="225"/>
      <c r="AJ159" s="267"/>
      <c r="AK159" s="259"/>
      <c r="AL159" s="226"/>
      <c r="AM159" s="225"/>
      <c r="AN159" s="225"/>
      <c r="AO159" s="254"/>
      <c r="AP159" s="225"/>
      <c r="AQ159" s="225"/>
      <c r="AR159" s="226"/>
      <c r="AS159" s="225"/>
      <c r="AT159" s="225"/>
      <c r="AU159" s="225"/>
      <c r="AV159" s="225"/>
      <c r="AW159" s="225"/>
      <c r="AX159" s="226"/>
      <c r="AY159" s="225"/>
      <c r="AZ159" s="225"/>
      <c r="BA159" s="226"/>
      <c r="BB159" s="225"/>
      <c r="BC159" s="225"/>
      <c r="BD159" s="225"/>
      <c r="BE159" s="225"/>
      <c r="BF159" s="225"/>
      <c r="BG159" s="225"/>
      <c r="BH159" s="225"/>
      <c r="BI159" s="225"/>
      <c r="BJ159" s="225"/>
      <c r="BK159" s="225"/>
      <c r="BL159" s="225"/>
      <c r="BM159" s="225"/>
      <c r="BN159" s="225"/>
      <c r="BO159" s="225"/>
      <c r="BP159" s="225"/>
      <c r="BQ159" s="225"/>
      <c r="BR159" s="225"/>
      <c r="BS159" s="225"/>
      <c r="BT159" s="226"/>
      <c r="BU159" s="225"/>
      <c r="BV159" s="225"/>
      <c r="BW159" s="225"/>
      <c r="BX159" s="225"/>
      <c r="BY159" s="225"/>
      <c r="BZ159" s="225"/>
    </row>
    <row r="160">
      <c r="A160" s="288" t="str">
        <f>IFERROR(__xludf.DUMMYFUNCTION("""COMPUTED_VALUE"""),"Assist Module Bonus - Generator")</f>
        <v>Assist Module Bonus - Generator</v>
      </c>
      <c r="B160" s="239">
        <f>IFERROR(__xludf.DUMMYFUNCTION("""COMPUTED_VALUE"""),0.0)</f>
        <v>0</v>
      </c>
      <c r="C160" s="225"/>
      <c r="D160" s="240">
        <f>IFERROR(__xludf.DUMMYFUNCTION("""COMPUTED_VALUE"""),30.0)</f>
        <v>30</v>
      </c>
      <c r="E160" s="225"/>
      <c r="F160" s="225"/>
      <c r="G160" s="225"/>
      <c r="H160" s="225"/>
      <c r="I160" s="225"/>
      <c r="J160" s="225"/>
      <c r="K160" s="244"/>
      <c r="L160" s="225"/>
      <c r="M160" s="225"/>
      <c r="N160" s="225"/>
      <c r="O160" s="225"/>
      <c r="P160" s="225"/>
      <c r="Q160" s="227"/>
      <c r="R160" s="234"/>
      <c r="S160" s="225"/>
      <c r="T160" s="225"/>
      <c r="U160" s="225"/>
      <c r="V160" s="225"/>
      <c r="W160" s="225"/>
      <c r="X160" s="225"/>
      <c r="Y160" s="229"/>
      <c r="Z160" s="257"/>
      <c r="AA160" s="225"/>
      <c r="AB160" s="257"/>
      <c r="AC160" s="257"/>
      <c r="AD160" s="226"/>
      <c r="AE160" s="259"/>
      <c r="AF160" s="347"/>
      <c r="AG160" s="232"/>
      <c r="AH160" s="257"/>
      <c r="AI160" s="225"/>
      <c r="AJ160" s="267"/>
      <c r="AK160" s="259"/>
      <c r="AL160" s="226"/>
      <c r="AM160" s="225"/>
      <c r="AN160" s="225"/>
      <c r="AO160" s="254"/>
      <c r="AP160" s="225"/>
      <c r="AQ160" s="225"/>
      <c r="AR160" s="226"/>
      <c r="AS160" s="225"/>
      <c r="AT160" s="225"/>
      <c r="AU160" s="225"/>
      <c r="AV160" s="225"/>
      <c r="AW160" s="225"/>
      <c r="AX160" s="226"/>
      <c r="AY160" s="225"/>
      <c r="AZ160" s="225"/>
      <c r="BA160" s="226"/>
      <c r="BB160" s="225"/>
      <c r="BC160" s="225"/>
      <c r="BD160" s="225"/>
      <c r="BE160" s="225"/>
      <c r="BF160" s="225"/>
      <c r="BG160" s="225"/>
      <c r="BH160" s="225"/>
      <c r="BI160" s="225"/>
      <c r="BJ160" s="225"/>
      <c r="BK160" s="225"/>
      <c r="BL160" s="225"/>
      <c r="BM160" s="225"/>
      <c r="BN160" s="225"/>
      <c r="BO160" s="225"/>
      <c r="BP160" s="225"/>
      <c r="BQ160" s="225"/>
      <c r="BR160" s="225"/>
      <c r="BS160" s="225"/>
      <c r="BT160" s="226"/>
      <c r="BU160" s="225"/>
      <c r="BV160" s="225"/>
      <c r="BW160" s="225"/>
      <c r="BX160" s="225"/>
      <c r="BY160" s="225"/>
      <c r="BZ160" s="225"/>
    </row>
    <row r="161">
      <c r="A161" s="288" t="str">
        <f>IFERROR(__xludf.DUMMYFUNCTION("""COMPUTED_VALUE"""),"Assist Module Bonus - Core")</f>
        <v>Assist Module Bonus - Core</v>
      </c>
      <c r="B161" s="239">
        <f>IFERROR(__xludf.DUMMYFUNCTION("""COMPUTED_VALUE"""),0.0)</f>
        <v>0</v>
      </c>
      <c r="C161" s="225"/>
      <c r="D161" s="240">
        <f>IFERROR(__xludf.DUMMYFUNCTION("""COMPUTED_VALUE"""),30.0)</f>
        <v>30</v>
      </c>
      <c r="E161" s="225"/>
      <c r="F161" s="225"/>
      <c r="G161" s="225"/>
      <c r="H161" s="225"/>
      <c r="I161" s="225"/>
      <c r="J161" s="225"/>
      <c r="K161" s="244"/>
      <c r="L161" s="225"/>
      <c r="M161" s="225"/>
      <c r="N161" s="225"/>
      <c r="O161" s="225"/>
      <c r="P161" s="225"/>
      <c r="Q161" s="227"/>
      <c r="R161" s="234"/>
      <c r="S161" s="225"/>
      <c r="T161" s="225"/>
      <c r="U161" s="225"/>
      <c r="V161" s="225"/>
      <c r="W161" s="225"/>
      <c r="X161" s="225"/>
      <c r="Y161" s="229"/>
      <c r="Z161" s="257"/>
      <c r="AA161" s="225"/>
      <c r="AB161" s="257"/>
      <c r="AC161" s="257"/>
      <c r="AD161" s="226"/>
      <c r="AE161" s="259"/>
      <c r="AF161" s="347"/>
      <c r="AG161" s="232"/>
      <c r="AH161" s="257"/>
      <c r="AI161" s="225"/>
      <c r="AJ161" s="267"/>
      <c r="AK161" s="259"/>
      <c r="AL161" s="226"/>
      <c r="AM161" s="225"/>
      <c r="AN161" s="225"/>
      <c r="AO161" s="254"/>
      <c r="AP161" s="225"/>
      <c r="AQ161" s="225"/>
      <c r="AR161" s="226"/>
      <c r="AS161" s="225"/>
      <c r="AT161" s="225"/>
      <c r="AU161" s="225"/>
      <c r="AV161" s="225"/>
      <c r="AW161" s="225"/>
      <c r="AX161" s="226"/>
      <c r="AY161" s="225"/>
      <c r="AZ161" s="225"/>
      <c r="BA161" s="226"/>
      <c r="BB161" s="225"/>
      <c r="BC161" s="225"/>
      <c r="BD161" s="225"/>
      <c r="BE161" s="225"/>
      <c r="BF161" s="225"/>
      <c r="BG161" s="225"/>
      <c r="BH161" s="225"/>
      <c r="BI161" s="225"/>
      <c r="BJ161" s="225"/>
      <c r="BK161" s="225"/>
      <c r="BL161" s="225"/>
      <c r="BM161" s="225"/>
      <c r="BN161" s="225"/>
      <c r="BO161" s="225"/>
      <c r="BP161" s="225"/>
      <c r="BQ161" s="225"/>
      <c r="BR161" s="225"/>
      <c r="BS161" s="225"/>
      <c r="BT161" s="226"/>
      <c r="BU161" s="225"/>
      <c r="BV161" s="225"/>
      <c r="BW161" s="225"/>
      <c r="BX161" s="225"/>
      <c r="BY161" s="225"/>
      <c r="BZ161" s="225"/>
    </row>
    <row r="162">
      <c r="A162" s="288" t="str">
        <f>IFERROR(__xludf.DUMMYFUNCTION("""COMPUTED_VALUE"""),"Damage Mastery")</f>
        <v>Damage Mastery</v>
      </c>
      <c r="B162" s="239">
        <f>IFERROR(__xludf.DUMMYFUNCTION("""COMPUTED_VALUE"""),0.0)</f>
        <v>0</v>
      </c>
      <c r="C162" s="225"/>
      <c r="D162" s="240">
        <f>IFERROR(__xludf.DUMMYFUNCTION("""COMPUTED_VALUE"""),9.0)</f>
        <v>9</v>
      </c>
      <c r="E162" s="225"/>
      <c r="F162" s="225"/>
      <c r="G162" s="225"/>
      <c r="H162" s="225"/>
      <c r="I162" s="225"/>
      <c r="J162" s="225"/>
      <c r="K162" s="244"/>
      <c r="L162" s="225"/>
      <c r="M162" s="225"/>
      <c r="N162" s="225"/>
      <c r="O162" s="225"/>
      <c r="P162" s="225"/>
      <c r="Q162" s="227"/>
      <c r="R162" s="234"/>
      <c r="S162" s="225"/>
      <c r="T162" s="225"/>
      <c r="U162" s="225"/>
      <c r="V162" s="225"/>
      <c r="W162" s="225"/>
      <c r="X162" s="225"/>
      <c r="Y162" s="229"/>
      <c r="Z162" s="257"/>
      <c r="AA162" s="225"/>
      <c r="AB162" s="257"/>
      <c r="AC162" s="257"/>
      <c r="AD162" s="226"/>
      <c r="AE162" s="259"/>
      <c r="AF162" s="347"/>
      <c r="AG162" s="232"/>
      <c r="AH162" s="257"/>
      <c r="AI162" s="225"/>
      <c r="AJ162" s="267"/>
      <c r="AK162" s="259"/>
      <c r="AL162" s="226"/>
      <c r="AM162" s="225"/>
      <c r="AN162" s="225"/>
      <c r="AO162" s="254"/>
      <c r="AP162" s="225"/>
      <c r="AQ162" s="225"/>
      <c r="AR162" s="226"/>
      <c r="AS162" s="225"/>
      <c r="AT162" s="225"/>
      <c r="AU162" s="225"/>
      <c r="AV162" s="225"/>
      <c r="AW162" s="225"/>
      <c r="AX162" s="226"/>
      <c r="AY162" s="225"/>
      <c r="AZ162" s="225"/>
      <c r="BA162" s="226"/>
      <c r="BB162" s="225"/>
      <c r="BC162" s="225"/>
      <c r="BD162" s="225"/>
      <c r="BE162" s="225"/>
      <c r="BF162" s="225"/>
      <c r="BG162" s="225"/>
      <c r="BH162" s="225"/>
      <c r="BI162" s="225"/>
      <c r="BJ162" s="225"/>
      <c r="BK162" s="225"/>
      <c r="BL162" s="225"/>
      <c r="BM162" s="225"/>
      <c r="BN162" s="225"/>
      <c r="BO162" s="225"/>
      <c r="BP162" s="225"/>
      <c r="BQ162" s="225"/>
      <c r="BR162" s="225"/>
      <c r="BS162" s="225"/>
      <c r="BT162" s="226"/>
      <c r="BU162" s="225"/>
      <c r="BV162" s="225"/>
      <c r="BW162" s="225"/>
      <c r="BX162" s="225"/>
      <c r="BY162" s="225"/>
      <c r="BZ162" s="225"/>
    </row>
    <row r="163">
      <c r="A163" s="288" t="str">
        <f>IFERROR(__xludf.DUMMYFUNCTION("""COMPUTED_VALUE"""),"Attack Speed Mastery")</f>
        <v>Attack Speed Mastery</v>
      </c>
      <c r="B163" s="239">
        <f>IFERROR(__xludf.DUMMYFUNCTION("""COMPUTED_VALUE"""),0.0)</f>
        <v>0</v>
      </c>
      <c r="C163" s="225"/>
      <c r="D163" s="240">
        <f>IFERROR(__xludf.DUMMYFUNCTION("""COMPUTED_VALUE"""),9.0)</f>
        <v>9</v>
      </c>
      <c r="E163" s="225"/>
      <c r="F163" s="225"/>
      <c r="G163" s="225"/>
      <c r="H163" s="225"/>
      <c r="I163" s="225"/>
      <c r="J163" s="225"/>
      <c r="K163" s="244"/>
      <c r="L163" s="225"/>
      <c r="M163" s="225"/>
      <c r="N163" s="225"/>
      <c r="O163" s="225"/>
      <c r="P163" s="225"/>
      <c r="Q163" s="227"/>
      <c r="R163" s="234"/>
      <c r="S163" s="225"/>
      <c r="T163" s="225"/>
      <c r="U163" s="225"/>
      <c r="V163" s="225"/>
      <c r="W163" s="225"/>
      <c r="X163" s="225"/>
      <c r="Y163" s="229"/>
      <c r="Z163" s="257"/>
      <c r="AA163" s="225"/>
      <c r="AB163" s="257"/>
      <c r="AC163" s="257"/>
      <c r="AD163" s="226"/>
      <c r="AE163" s="259"/>
      <c r="AF163" s="347"/>
      <c r="AG163" s="232"/>
      <c r="AH163" s="257"/>
      <c r="AI163" s="225"/>
      <c r="AJ163" s="267"/>
      <c r="AK163" s="259"/>
      <c r="AL163" s="226"/>
      <c r="AM163" s="225"/>
      <c r="AN163" s="225"/>
      <c r="AO163" s="254"/>
      <c r="AP163" s="225"/>
      <c r="AQ163" s="225"/>
      <c r="AR163" s="226"/>
      <c r="AS163" s="225"/>
      <c r="AT163" s="225"/>
      <c r="AU163" s="225"/>
      <c r="AV163" s="225"/>
      <c r="AW163" s="225"/>
      <c r="AX163" s="226"/>
      <c r="AY163" s="225"/>
      <c r="AZ163" s="225"/>
      <c r="BA163" s="226"/>
      <c r="BB163" s="225"/>
      <c r="BC163" s="225"/>
      <c r="BD163" s="225"/>
      <c r="BE163" s="225"/>
      <c r="BF163" s="225"/>
      <c r="BG163" s="225"/>
      <c r="BH163" s="225"/>
      <c r="BI163" s="225"/>
      <c r="BJ163" s="225"/>
      <c r="BK163" s="225"/>
      <c r="BL163" s="225"/>
      <c r="BM163" s="225"/>
      <c r="BN163" s="225"/>
      <c r="BO163" s="225"/>
      <c r="BP163" s="225"/>
      <c r="BQ163" s="225"/>
      <c r="BR163" s="225"/>
      <c r="BS163" s="225"/>
      <c r="BT163" s="226"/>
      <c r="BU163" s="225"/>
      <c r="BV163" s="225"/>
      <c r="BW163" s="225"/>
      <c r="BX163" s="225"/>
      <c r="BY163" s="225"/>
      <c r="BZ163" s="225"/>
    </row>
    <row r="164">
      <c r="A164" s="288" t="str">
        <f>IFERROR(__xludf.DUMMYFUNCTION("""COMPUTED_VALUE"""),"Health Mastery")</f>
        <v>Health Mastery</v>
      </c>
      <c r="B164" s="239">
        <f>IFERROR(__xludf.DUMMYFUNCTION("""COMPUTED_VALUE"""),0.0)</f>
        <v>0</v>
      </c>
      <c r="C164" s="225"/>
      <c r="D164" s="240">
        <f>IFERROR(__xludf.DUMMYFUNCTION("""COMPUTED_VALUE"""),9.0)</f>
        <v>9</v>
      </c>
      <c r="E164" s="225"/>
      <c r="F164" s="225"/>
      <c r="G164" s="225"/>
      <c r="H164" s="225"/>
      <c r="I164" s="225"/>
      <c r="J164" s="225"/>
      <c r="K164" s="244"/>
      <c r="L164" s="225"/>
      <c r="M164" s="225"/>
      <c r="N164" s="225"/>
      <c r="O164" s="225"/>
      <c r="P164" s="225"/>
      <c r="Q164" s="227"/>
      <c r="R164" s="234"/>
      <c r="S164" s="225"/>
      <c r="T164" s="225"/>
      <c r="U164" s="225"/>
      <c r="V164" s="225"/>
      <c r="W164" s="225"/>
      <c r="X164" s="225"/>
      <c r="Y164" s="229"/>
      <c r="Z164" s="257"/>
      <c r="AA164" s="225"/>
      <c r="AB164" s="257"/>
      <c r="AC164" s="257"/>
      <c r="AD164" s="226"/>
      <c r="AE164" s="259"/>
      <c r="AF164" s="347"/>
      <c r="AG164" s="232"/>
      <c r="AH164" s="257"/>
      <c r="AI164" s="225"/>
      <c r="AJ164" s="267"/>
      <c r="AK164" s="259"/>
      <c r="AL164" s="226"/>
      <c r="AM164" s="225"/>
      <c r="AN164" s="225"/>
      <c r="AO164" s="254"/>
      <c r="AP164" s="225"/>
      <c r="AQ164" s="225"/>
      <c r="AR164" s="226"/>
      <c r="AS164" s="225"/>
      <c r="AT164" s="225"/>
      <c r="AU164" s="225"/>
      <c r="AV164" s="225"/>
      <c r="AW164" s="225"/>
      <c r="AX164" s="226"/>
      <c r="AY164" s="225"/>
      <c r="AZ164" s="225"/>
      <c r="BA164" s="226"/>
      <c r="BB164" s="225"/>
      <c r="BC164" s="225"/>
      <c r="BD164" s="225"/>
      <c r="BE164" s="225"/>
      <c r="BF164" s="225"/>
      <c r="BG164" s="225"/>
      <c r="BH164" s="225"/>
      <c r="BI164" s="225"/>
      <c r="BJ164" s="225"/>
      <c r="BK164" s="225"/>
      <c r="BL164" s="225"/>
      <c r="BM164" s="225"/>
      <c r="BN164" s="225"/>
      <c r="BO164" s="225"/>
      <c r="BP164" s="225"/>
      <c r="BQ164" s="225"/>
      <c r="BR164" s="225"/>
      <c r="BS164" s="225"/>
      <c r="BT164" s="226"/>
      <c r="BU164" s="225"/>
      <c r="BV164" s="225"/>
      <c r="BW164" s="225"/>
      <c r="BX164" s="225"/>
      <c r="BY164" s="225"/>
      <c r="BZ164" s="225"/>
    </row>
    <row r="165">
      <c r="A165" s="288" t="str">
        <f>IFERROR(__xludf.DUMMYFUNCTION("""COMPUTED_VALUE"""),"Health Regen Mastery")</f>
        <v>Health Regen Mastery</v>
      </c>
      <c r="B165" s="239">
        <f>IFERROR(__xludf.DUMMYFUNCTION("""COMPUTED_VALUE"""),0.0)</f>
        <v>0</v>
      </c>
      <c r="C165" s="225"/>
      <c r="D165" s="240">
        <f>IFERROR(__xludf.DUMMYFUNCTION("""COMPUTED_VALUE"""),9.0)</f>
        <v>9</v>
      </c>
      <c r="E165" s="225"/>
      <c r="F165" s="225"/>
      <c r="G165" s="225"/>
      <c r="H165" s="225"/>
      <c r="I165" s="225"/>
      <c r="J165" s="225"/>
      <c r="K165" s="244"/>
      <c r="L165" s="225"/>
      <c r="M165" s="225"/>
      <c r="N165" s="225"/>
      <c r="O165" s="225"/>
      <c r="P165" s="225"/>
      <c r="Q165" s="227"/>
      <c r="R165" s="234"/>
      <c r="S165" s="225"/>
      <c r="T165" s="225"/>
      <c r="U165" s="225"/>
      <c r="V165" s="225"/>
      <c r="W165" s="225"/>
      <c r="X165" s="225"/>
      <c r="Y165" s="229"/>
      <c r="Z165" s="257"/>
      <c r="AA165" s="225"/>
      <c r="AB165" s="257"/>
      <c r="AC165" s="257"/>
      <c r="AD165" s="226"/>
      <c r="AE165" s="259"/>
      <c r="AF165" s="347"/>
      <c r="AG165" s="232"/>
      <c r="AH165" s="257"/>
      <c r="AI165" s="225"/>
      <c r="AJ165" s="267"/>
      <c r="AK165" s="259"/>
      <c r="AL165" s="226"/>
      <c r="AM165" s="225"/>
      <c r="AN165" s="225"/>
      <c r="AO165" s="254"/>
      <c r="AP165" s="225"/>
      <c r="AQ165" s="225"/>
      <c r="AR165" s="226"/>
      <c r="AS165" s="225"/>
      <c r="AT165" s="225"/>
      <c r="AU165" s="225"/>
      <c r="AV165" s="225"/>
      <c r="AW165" s="225"/>
      <c r="AX165" s="226"/>
      <c r="AY165" s="225"/>
      <c r="AZ165" s="225"/>
      <c r="BA165" s="226"/>
      <c r="BB165" s="225"/>
      <c r="BC165" s="225"/>
      <c r="BD165" s="225"/>
      <c r="BE165" s="225"/>
      <c r="BF165" s="225"/>
      <c r="BG165" s="225"/>
      <c r="BH165" s="225"/>
      <c r="BI165" s="225"/>
      <c r="BJ165" s="225"/>
      <c r="BK165" s="225"/>
      <c r="BL165" s="225"/>
      <c r="BM165" s="225"/>
      <c r="BN165" s="225"/>
      <c r="BO165" s="225"/>
      <c r="BP165" s="225"/>
      <c r="BQ165" s="225"/>
      <c r="BR165" s="225"/>
      <c r="BS165" s="225"/>
      <c r="BT165" s="226"/>
      <c r="BU165" s="225"/>
      <c r="BV165" s="225"/>
      <c r="BW165" s="225"/>
      <c r="BX165" s="225"/>
      <c r="BY165" s="225"/>
      <c r="BZ165" s="225"/>
    </row>
    <row r="166">
      <c r="A166" s="288" t="str">
        <f>IFERROR(__xludf.DUMMYFUNCTION("""COMPUTED_VALUE"""),"Range Mastery")</f>
        <v>Range Mastery</v>
      </c>
      <c r="B166" s="239">
        <f>IFERROR(__xludf.DUMMYFUNCTION("""COMPUTED_VALUE"""),0.0)</f>
        <v>0</v>
      </c>
      <c r="C166" s="225"/>
      <c r="D166" s="240">
        <f>IFERROR(__xludf.DUMMYFUNCTION("""COMPUTED_VALUE"""),9.0)</f>
        <v>9</v>
      </c>
      <c r="E166" s="225"/>
      <c r="F166" s="225"/>
      <c r="G166" s="225"/>
      <c r="H166" s="225"/>
      <c r="I166" s="225"/>
      <c r="J166" s="225"/>
      <c r="K166" s="244"/>
      <c r="L166" s="225"/>
      <c r="M166" s="225"/>
      <c r="N166" s="225"/>
      <c r="O166" s="225"/>
      <c r="P166" s="225"/>
      <c r="Q166" s="227"/>
      <c r="R166" s="234"/>
      <c r="S166" s="225"/>
      <c r="T166" s="225"/>
      <c r="U166" s="225"/>
      <c r="V166" s="225"/>
      <c r="W166" s="225"/>
      <c r="X166" s="225"/>
      <c r="Y166" s="229"/>
      <c r="Z166" s="257"/>
      <c r="AA166" s="225"/>
      <c r="AB166" s="257"/>
      <c r="AC166" s="257"/>
      <c r="AD166" s="226"/>
      <c r="AE166" s="259"/>
      <c r="AF166" s="347"/>
      <c r="AG166" s="232"/>
      <c r="AH166" s="257"/>
      <c r="AI166" s="225"/>
      <c r="AJ166" s="267"/>
      <c r="AK166" s="259"/>
      <c r="AL166" s="226"/>
      <c r="AM166" s="225"/>
      <c r="AN166" s="225"/>
      <c r="AO166" s="254"/>
      <c r="AP166" s="225"/>
      <c r="AQ166" s="225"/>
      <c r="AR166" s="226"/>
      <c r="AS166" s="225"/>
      <c r="AT166" s="225"/>
      <c r="AU166" s="225"/>
      <c r="AV166" s="225"/>
      <c r="AW166" s="225"/>
      <c r="AX166" s="226"/>
      <c r="AY166" s="225"/>
      <c r="AZ166" s="225"/>
      <c r="BA166" s="226"/>
      <c r="BB166" s="225"/>
      <c r="BC166" s="225"/>
      <c r="BD166" s="225"/>
      <c r="BE166" s="225"/>
      <c r="BF166" s="225"/>
      <c r="BG166" s="225"/>
      <c r="BH166" s="225"/>
      <c r="BI166" s="225"/>
      <c r="BJ166" s="225"/>
      <c r="BK166" s="225"/>
      <c r="BL166" s="225"/>
      <c r="BM166" s="225"/>
      <c r="BN166" s="225"/>
      <c r="BO166" s="225"/>
      <c r="BP166" s="225"/>
      <c r="BQ166" s="225"/>
      <c r="BR166" s="225"/>
      <c r="BS166" s="225"/>
      <c r="BT166" s="226"/>
      <c r="BU166" s="225"/>
      <c r="BV166" s="225"/>
      <c r="BW166" s="225"/>
      <c r="BX166" s="225"/>
      <c r="BY166" s="225"/>
      <c r="BZ166" s="225"/>
    </row>
    <row r="167">
      <c r="A167" s="288" t="str">
        <f>IFERROR(__xludf.DUMMYFUNCTION("""COMPUTED_VALUE"""),"Cash Mastery")</f>
        <v>Cash Mastery</v>
      </c>
      <c r="B167" s="239">
        <f>IFERROR(__xludf.DUMMYFUNCTION("""COMPUTED_VALUE"""),1.0)</f>
        <v>1</v>
      </c>
      <c r="C167" s="225"/>
      <c r="D167" s="240">
        <f>IFERROR(__xludf.DUMMYFUNCTION("""COMPUTED_VALUE"""),9.0)</f>
        <v>9</v>
      </c>
      <c r="E167" s="225"/>
      <c r="F167" s="225"/>
      <c r="G167" s="225"/>
      <c r="H167" s="225"/>
      <c r="I167" s="225"/>
      <c r="J167" s="225"/>
      <c r="K167" s="244"/>
      <c r="L167" s="225"/>
      <c r="M167" s="225"/>
      <c r="N167" s="225"/>
      <c r="O167" s="225"/>
      <c r="P167" s="225"/>
      <c r="Q167" s="227"/>
      <c r="R167" s="234"/>
      <c r="S167" s="225"/>
      <c r="T167" s="225"/>
      <c r="U167" s="225"/>
      <c r="V167" s="225"/>
      <c r="W167" s="225"/>
      <c r="X167" s="225"/>
      <c r="Y167" s="229"/>
      <c r="Z167" s="257"/>
      <c r="AA167" s="225"/>
      <c r="AB167" s="257"/>
      <c r="AC167" s="257"/>
      <c r="AD167" s="226"/>
      <c r="AE167" s="259"/>
      <c r="AF167" s="347"/>
      <c r="AG167" s="232"/>
      <c r="AH167" s="257"/>
      <c r="AI167" s="225"/>
      <c r="AJ167" s="267"/>
      <c r="AK167" s="259"/>
      <c r="AL167" s="226"/>
      <c r="AM167" s="225"/>
      <c r="AN167" s="225"/>
      <c r="AO167" s="254"/>
      <c r="AP167" s="225"/>
      <c r="AQ167" s="225"/>
      <c r="AR167" s="226"/>
      <c r="AS167" s="225"/>
      <c r="AT167" s="225"/>
      <c r="AU167" s="225"/>
      <c r="AV167" s="225"/>
      <c r="AW167" s="225"/>
      <c r="AX167" s="226"/>
      <c r="AY167" s="225"/>
      <c r="AZ167" s="225"/>
      <c r="BA167" s="226"/>
      <c r="BB167" s="225"/>
      <c r="BC167" s="225"/>
      <c r="BD167" s="225"/>
      <c r="BE167" s="225"/>
      <c r="BF167" s="225"/>
      <c r="BG167" s="225"/>
      <c r="BH167" s="225"/>
      <c r="BI167" s="225"/>
      <c r="BJ167" s="225"/>
      <c r="BK167" s="225"/>
      <c r="BL167" s="225"/>
      <c r="BM167" s="225"/>
      <c r="BN167" s="225"/>
      <c r="BO167" s="225"/>
      <c r="BP167" s="225"/>
      <c r="BQ167" s="225"/>
      <c r="BR167" s="225"/>
      <c r="BS167" s="225"/>
      <c r="BT167" s="226"/>
      <c r="BU167" s="225"/>
      <c r="BV167" s="225"/>
      <c r="BW167" s="225"/>
      <c r="BX167" s="225"/>
      <c r="BY167" s="225"/>
      <c r="BZ167" s="225"/>
    </row>
    <row r="168">
      <c r="A168" s="288" t="str">
        <f>IFERROR(__xludf.DUMMYFUNCTION("""COMPUTED_VALUE"""),"Coins Mastery")</f>
        <v>Coins Mastery</v>
      </c>
      <c r="B168" s="239">
        <f>IFERROR(__xludf.DUMMYFUNCTION("""COMPUTED_VALUE"""),0.0)</f>
        <v>0</v>
      </c>
      <c r="C168" s="225"/>
      <c r="D168" s="240">
        <f>IFERROR(__xludf.DUMMYFUNCTION("""COMPUTED_VALUE"""),9.0)</f>
        <v>9</v>
      </c>
      <c r="E168" s="225"/>
      <c r="F168" s="225"/>
      <c r="G168" s="225"/>
      <c r="H168" s="225"/>
      <c r="I168" s="225"/>
      <c r="J168" s="225"/>
      <c r="K168" s="244"/>
      <c r="L168" s="225"/>
      <c r="M168" s="225"/>
      <c r="N168" s="225"/>
      <c r="O168" s="225"/>
      <c r="P168" s="225"/>
      <c r="Q168" s="227"/>
      <c r="R168" s="234"/>
      <c r="S168" s="225"/>
      <c r="T168" s="225"/>
      <c r="U168" s="225"/>
      <c r="V168" s="225"/>
      <c r="W168" s="225"/>
      <c r="X168" s="225"/>
      <c r="Y168" s="229"/>
      <c r="Z168" s="257"/>
      <c r="AA168" s="225"/>
      <c r="AB168" s="257"/>
      <c r="AC168" s="257"/>
      <c r="AD168" s="226"/>
      <c r="AE168" s="259"/>
      <c r="AF168" s="347"/>
      <c r="AG168" s="232"/>
      <c r="AH168" s="257"/>
      <c r="AI168" s="225"/>
      <c r="AJ168" s="267"/>
      <c r="AK168" s="259"/>
      <c r="AL168" s="226"/>
      <c r="AM168" s="225"/>
      <c r="AN168" s="225"/>
      <c r="AO168" s="254"/>
      <c r="AP168" s="225"/>
      <c r="AQ168" s="225"/>
      <c r="AR168" s="226"/>
      <c r="AS168" s="225"/>
      <c r="AT168" s="225"/>
      <c r="AU168" s="225"/>
      <c r="AV168" s="225"/>
      <c r="AW168" s="225"/>
      <c r="AX168" s="226"/>
      <c r="AY168" s="225"/>
      <c r="AZ168" s="225"/>
      <c r="BA168" s="226"/>
      <c r="BB168" s="225"/>
      <c r="BC168" s="225"/>
      <c r="BD168" s="225"/>
      <c r="BE168" s="225"/>
      <c r="BF168" s="225"/>
      <c r="BG168" s="225"/>
      <c r="BH168" s="225"/>
      <c r="BI168" s="225"/>
      <c r="BJ168" s="225"/>
      <c r="BK168" s="225"/>
      <c r="BL168" s="225"/>
      <c r="BM168" s="225"/>
      <c r="BN168" s="225"/>
      <c r="BO168" s="225"/>
      <c r="BP168" s="225"/>
      <c r="BQ168" s="225"/>
      <c r="BR168" s="225"/>
      <c r="BS168" s="225"/>
      <c r="BT168" s="226"/>
      <c r="BU168" s="225"/>
      <c r="BV168" s="225"/>
      <c r="BW168" s="225"/>
      <c r="BX168" s="225"/>
      <c r="BY168" s="225"/>
      <c r="BZ168" s="225"/>
    </row>
    <row r="169">
      <c r="A169" s="288" t="str">
        <f>IFERROR(__xludf.DUMMYFUNCTION("""COMPUTED_VALUE"""),"Slow Aura Mastery")</f>
        <v>Slow Aura Mastery</v>
      </c>
      <c r="B169" s="239">
        <f>IFERROR(__xludf.DUMMYFUNCTION("""COMPUTED_VALUE"""),0.0)</f>
        <v>0</v>
      </c>
      <c r="C169" s="225"/>
      <c r="D169" s="240">
        <f>IFERROR(__xludf.DUMMYFUNCTION("""COMPUTED_VALUE"""),9.0)</f>
        <v>9</v>
      </c>
      <c r="E169" s="225"/>
      <c r="F169" s="225"/>
      <c r="G169" s="225"/>
      <c r="H169" s="225"/>
      <c r="I169" s="225"/>
      <c r="J169" s="225"/>
      <c r="K169" s="244"/>
      <c r="L169" s="225"/>
      <c r="M169" s="225"/>
      <c r="N169" s="225"/>
      <c r="O169" s="225"/>
      <c r="P169" s="225"/>
      <c r="Q169" s="227"/>
      <c r="R169" s="234"/>
      <c r="S169" s="225"/>
      <c r="T169" s="225"/>
      <c r="U169" s="225"/>
      <c r="V169" s="225"/>
      <c r="W169" s="225"/>
      <c r="X169" s="225"/>
      <c r="Y169" s="229"/>
      <c r="Z169" s="257"/>
      <c r="AA169" s="225"/>
      <c r="AB169" s="257"/>
      <c r="AC169" s="257"/>
      <c r="AD169" s="226"/>
      <c r="AE169" s="259"/>
      <c r="AF169" s="347"/>
      <c r="AG169" s="232"/>
      <c r="AH169" s="257"/>
      <c r="AI169" s="225"/>
      <c r="AJ169" s="267"/>
      <c r="AK169" s="259"/>
      <c r="AL169" s="226"/>
      <c r="AM169" s="225"/>
      <c r="AN169" s="225"/>
      <c r="AO169" s="254"/>
      <c r="AP169" s="225"/>
      <c r="AQ169" s="225"/>
      <c r="AR169" s="226"/>
      <c r="AS169" s="225"/>
      <c r="AT169" s="225"/>
      <c r="AU169" s="225"/>
      <c r="AV169" s="225"/>
      <c r="AW169" s="225"/>
      <c r="AX169" s="226"/>
      <c r="AY169" s="225"/>
      <c r="AZ169" s="225"/>
      <c r="BA169" s="226"/>
      <c r="BB169" s="225"/>
      <c r="BC169" s="225"/>
      <c r="BD169" s="225"/>
      <c r="BE169" s="225"/>
      <c r="BF169" s="225"/>
      <c r="BG169" s="225"/>
      <c r="BH169" s="225"/>
      <c r="BI169" s="225"/>
      <c r="BJ169" s="225"/>
      <c r="BK169" s="225"/>
      <c r="BL169" s="225"/>
      <c r="BM169" s="225"/>
      <c r="BN169" s="225"/>
      <c r="BO169" s="225"/>
      <c r="BP169" s="225"/>
      <c r="BQ169" s="225"/>
      <c r="BR169" s="225"/>
      <c r="BS169" s="225"/>
      <c r="BT169" s="226"/>
      <c r="BU169" s="225"/>
      <c r="BV169" s="225"/>
      <c r="BW169" s="225"/>
      <c r="BX169" s="225"/>
      <c r="BY169" s="225"/>
      <c r="BZ169" s="225"/>
    </row>
    <row r="170">
      <c r="A170" s="288" t="str">
        <f>IFERROR(__xludf.DUMMYFUNCTION("""COMPUTED_VALUE"""),"Critical Chance Mastery")</f>
        <v>Critical Chance Mastery</v>
      </c>
      <c r="B170" s="239">
        <f>IFERROR(__xludf.DUMMYFUNCTION("""COMPUTED_VALUE"""),0.0)</f>
        <v>0</v>
      </c>
      <c r="C170" s="225"/>
      <c r="D170" s="240">
        <f>IFERROR(__xludf.DUMMYFUNCTION("""COMPUTED_VALUE"""),9.0)</f>
        <v>9</v>
      </c>
      <c r="E170" s="225"/>
      <c r="F170" s="225"/>
      <c r="G170" s="225"/>
      <c r="H170" s="225"/>
      <c r="I170" s="225"/>
      <c r="J170" s="225"/>
      <c r="K170" s="244"/>
      <c r="L170" s="225"/>
      <c r="M170" s="225"/>
      <c r="N170" s="225"/>
      <c r="O170" s="225"/>
      <c r="P170" s="225"/>
      <c r="Q170" s="227"/>
      <c r="R170" s="234"/>
      <c r="S170" s="225"/>
      <c r="T170" s="225"/>
      <c r="U170" s="225"/>
      <c r="V170" s="225"/>
      <c r="W170" s="225"/>
      <c r="X170" s="225"/>
      <c r="Y170" s="229"/>
      <c r="Z170" s="257"/>
      <c r="AA170" s="225"/>
      <c r="AB170" s="257"/>
      <c r="AC170" s="257"/>
      <c r="AD170" s="226"/>
      <c r="AE170" s="259"/>
      <c r="AF170" s="347"/>
      <c r="AG170" s="232"/>
      <c r="AH170" s="257"/>
      <c r="AI170" s="225"/>
      <c r="AJ170" s="267"/>
      <c r="AK170" s="259"/>
      <c r="AL170" s="226"/>
      <c r="AM170" s="225"/>
      <c r="AN170" s="225"/>
      <c r="AO170" s="254"/>
      <c r="AP170" s="225"/>
      <c r="AQ170" s="225"/>
      <c r="AR170" s="226"/>
      <c r="AS170" s="225"/>
      <c r="AT170" s="225"/>
      <c r="AU170" s="225"/>
      <c r="AV170" s="225"/>
      <c r="AW170" s="225"/>
      <c r="AX170" s="226"/>
      <c r="AY170" s="225"/>
      <c r="AZ170" s="225"/>
      <c r="BA170" s="226"/>
      <c r="BB170" s="225"/>
      <c r="BC170" s="225"/>
      <c r="BD170" s="225"/>
      <c r="BE170" s="225"/>
      <c r="BF170" s="225"/>
      <c r="BG170" s="225"/>
      <c r="BH170" s="225"/>
      <c r="BI170" s="225"/>
      <c r="BJ170" s="225"/>
      <c r="BK170" s="225"/>
      <c r="BL170" s="225"/>
      <c r="BM170" s="225"/>
      <c r="BN170" s="225"/>
      <c r="BO170" s="225"/>
      <c r="BP170" s="225"/>
      <c r="BQ170" s="225"/>
      <c r="BR170" s="225"/>
      <c r="BS170" s="225"/>
      <c r="BT170" s="226"/>
      <c r="BU170" s="225"/>
      <c r="BV170" s="225"/>
      <c r="BW170" s="225"/>
      <c r="BX170" s="225"/>
      <c r="BY170" s="225"/>
      <c r="BZ170" s="225"/>
    </row>
    <row r="171">
      <c r="A171" s="288" t="str">
        <f>IFERROR(__xludf.DUMMYFUNCTION("""COMPUTED_VALUE"""),"Enemy Balance Mastery")</f>
        <v>Enemy Balance Mastery</v>
      </c>
      <c r="B171" s="239">
        <f>IFERROR(__xludf.DUMMYFUNCTION("""COMPUTED_VALUE"""),0.0)</f>
        <v>0</v>
      </c>
      <c r="C171" s="225"/>
      <c r="D171" s="240">
        <f>IFERROR(__xludf.DUMMYFUNCTION("""COMPUTED_VALUE"""),9.0)</f>
        <v>9</v>
      </c>
      <c r="E171" s="225"/>
      <c r="F171" s="225"/>
      <c r="G171" s="225"/>
      <c r="H171" s="225"/>
      <c r="I171" s="225"/>
      <c r="J171" s="225"/>
      <c r="K171" s="244"/>
      <c r="L171" s="225"/>
      <c r="M171" s="225"/>
      <c r="N171" s="225"/>
      <c r="O171" s="225"/>
      <c r="P171" s="225"/>
      <c r="Q171" s="227"/>
      <c r="R171" s="234"/>
      <c r="S171" s="225"/>
      <c r="T171" s="225"/>
      <c r="U171" s="225"/>
      <c r="V171" s="225"/>
      <c r="W171" s="225"/>
      <c r="X171" s="225"/>
      <c r="Y171" s="229"/>
      <c r="Z171" s="257"/>
      <c r="AA171" s="225"/>
      <c r="AB171" s="257"/>
      <c r="AC171" s="257"/>
      <c r="AD171" s="226"/>
      <c r="AE171" s="259"/>
      <c r="AF171" s="347"/>
      <c r="AG171" s="232"/>
      <c r="AH171" s="257"/>
      <c r="AI171" s="225"/>
      <c r="AJ171" s="267"/>
      <c r="AK171" s="259"/>
      <c r="AL171" s="226"/>
      <c r="AM171" s="225"/>
      <c r="AN171" s="225"/>
      <c r="AO171" s="254"/>
      <c r="AP171" s="225"/>
      <c r="AQ171" s="225"/>
      <c r="AR171" s="226"/>
      <c r="AS171" s="225"/>
      <c r="AT171" s="225"/>
      <c r="AU171" s="225"/>
      <c r="AV171" s="225"/>
      <c r="AW171" s="225"/>
      <c r="AX171" s="226"/>
      <c r="AY171" s="225"/>
      <c r="AZ171" s="225"/>
      <c r="BA171" s="226"/>
      <c r="BB171" s="225"/>
      <c r="BC171" s="225"/>
      <c r="BD171" s="225"/>
      <c r="BE171" s="225"/>
      <c r="BF171" s="225"/>
      <c r="BG171" s="225"/>
      <c r="BH171" s="225"/>
      <c r="BI171" s="225"/>
      <c r="BJ171" s="225"/>
      <c r="BK171" s="225"/>
      <c r="BL171" s="225"/>
      <c r="BM171" s="225"/>
      <c r="BN171" s="225"/>
      <c r="BO171" s="225"/>
      <c r="BP171" s="225"/>
      <c r="BQ171" s="225"/>
      <c r="BR171" s="225"/>
      <c r="BS171" s="225"/>
      <c r="BT171" s="226"/>
      <c r="BU171" s="225"/>
      <c r="BV171" s="225"/>
      <c r="BW171" s="225"/>
      <c r="BX171" s="225"/>
      <c r="BY171" s="225"/>
      <c r="BZ171" s="225"/>
    </row>
    <row r="172">
      <c r="A172" s="288" t="str">
        <f>IFERROR(__xludf.DUMMYFUNCTION("""COMPUTED_VALUE"""),"Extra Defense Mastery")</f>
        <v>Extra Defense Mastery</v>
      </c>
      <c r="B172" s="239">
        <f>IFERROR(__xludf.DUMMYFUNCTION("""COMPUTED_VALUE"""),0.0)</f>
        <v>0</v>
      </c>
      <c r="C172" s="225"/>
      <c r="D172" s="240">
        <f>IFERROR(__xludf.DUMMYFUNCTION("""COMPUTED_VALUE"""),9.0)</f>
        <v>9</v>
      </c>
      <c r="E172" s="225"/>
      <c r="F172" s="225"/>
      <c r="G172" s="225"/>
      <c r="H172" s="225"/>
      <c r="I172" s="225"/>
      <c r="J172" s="225"/>
      <c r="K172" s="244"/>
      <c r="L172" s="225"/>
      <c r="M172" s="225"/>
      <c r="N172" s="225"/>
      <c r="O172" s="225"/>
      <c r="P172" s="225"/>
      <c r="Q172" s="227"/>
      <c r="R172" s="234"/>
      <c r="S172" s="225"/>
      <c r="T172" s="225"/>
      <c r="U172" s="225"/>
      <c r="V172" s="225"/>
      <c r="W172" s="225"/>
      <c r="X172" s="225"/>
      <c r="Y172" s="229"/>
      <c r="Z172" s="257"/>
      <c r="AA172" s="225"/>
      <c r="AB172" s="257"/>
      <c r="AC172" s="257"/>
      <c r="AD172" s="226"/>
      <c r="AE172" s="259"/>
      <c r="AF172" s="347"/>
      <c r="AG172" s="232"/>
      <c r="AH172" s="257"/>
      <c r="AI172" s="225"/>
      <c r="AJ172" s="267"/>
      <c r="AK172" s="259"/>
      <c r="AL172" s="226"/>
      <c r="AM172" s="225"/>
      <c r="AN172" s="225"/>
      <c r="AO172" s="254"/>
      <c r="AP172" s="225"/>
      <c r="AQ172" s="225"/>
      <c r="AR172" s="226"/>
      <c r="AS172" s="225"/>
      <c r="AT172" s="225"/>
      <c r="AU172" s="225"/>
      <c r="AV172" s="225"/>
      <c r="AW172" s="225"/>
      <c r="AX172" s="226"/>
      <c r="AY172" s="225"/>
      <c r="AZ172" s="225"/>
      <c r="BA172" s="226"/>
      <c r="BB172" s="225"/>
      <c r="BC172" s="225"/>
      <c r="BD172" s="225"/>
      <c r="BE172" s="225"/>
      <c r="BF172" s="225"/>
      <c r="BG172" s="225"/>
      <c r="BH172" s="225"/>
      <c r="BI172" s="225"/>
      <c r="BJ172" s="225"/>
      <c r="BK172" s="225"/>
      <c r="BL172" s="225"/>
      <c r="BM172" s="225"/>
      <c r="BN172" s="225"/>
      <c r="BO172" s="225"/>
      <c r="BP172" s="225"/>
      <c r="BQ172" s="225"/>
      <c r="BR172" s="225"/>
      <c r="BS172" s="225"/>
      <c r="BT172" s="226"/>
      <c r="BU172" s="225"/>
      <c r="BV172" s="225"/>
      <c r="BW172" s="225"/>
      <c r="BX172" s="225"/>
      <c r="BY172" s="225"/>
      <c r="BZ172" s="225"/>
    </row>
    <row r="173">
      <c r="A173" s="288" t="str">
        <f>IFERROR(__xludf.DUMMYFUNCTION("""COMPUTED_VALUE"""),"Fortress Mastery")</f>
        <v>Fortress Mastery</v>
      </c>
      <c r="B173" s="239">
        <f>IFERROR(__xludf.DUMMYFUNCTION("""COMPUTED_VALUE"""),0.0)</f>
        <v>0</v>
      </c>
      <c r="C173" s="225"/>
      <c r="D173" s="240">
        <f>IFERROR(__xludf.DUMMYFUNCTION("""COMPUTED_VALUE"""),9.0)</f>
        <v>9</v>
      </c>
      <c r="E173" s="225"/>
      <c r="F173" s="225"/>
      <c r="G173" s="225"/>
      <c r="H173" s="225"/>
      <c r="I173" s="225"/>
      <c r="J173" s="225"/>
      <c r="K173" s="244"/>
      <c r="L173" s="225"/>
      <c r="M173" s="225"/>
      <c r="N173" s="225"/>
      <c r="O173" s="225"/>
      <c r="P173" s="225"/>
      <c r="Q173" s="227"/>
      <c r="R173" s="234"/>
      <c r="S173" s="225"/>
      <c r="T173" s="225"/>
      <c r="U173" s="225"/>
      <c r="V173" s="225"/>
      <c r="W173" s="225"/>
      <c r="X173" s="225"/>
      <c r="Y173" s="229"/>
      <c r="Z173" s="257"/>
      <c r="AA173" s="225"/>
      <c r="AB173" s="257"/>
      <c r="AC173" s="257"/>
      <c r="AD173" s="226"/>
      <c r="AE173" s="259"/>
      <c r="AF173" s="347"/>
      <c r="AG173" s="232"/>
      <c r="AH173" s="257"/>
      <c r="AI173" s="225"/>
      <c r="AJ173" s="267"/>
      <c r="AK173" s="259"/>
      <c r="AL173" s="226"/>
      <c r="AM173" s="225"/>
      <c r="AN173" s="225"/>
      <c r="AO173" s="254"/>
      <c r="AP173" s="225"/>
      <c r="AQ173" s="225"/>
      <c r="AR173" s="226"/>
      <c r="AS173" s="225"/>
      <c r="AT173" s="225"/>
      <c r="AU173" s="225"/>
      <c r="AV173" s="225"/>
      <c r="AW173" s="225"/>
      <c r="AX173" s="226"/>
      <c r="AY173" s="225"/>
      <c r="AZ173" s="225"/>
      <c r="BA173" s="226"/>
      <c r="BB173" s="225"/>
      <c r="BC173" s="225"/>
      <c r="BD173" s="225"/>
      <c r="BE173" s="225"/>
      <c r="BF173" s="225"/>
      <c r="BG173" s="225"/>
      <c r="BH173" s="225"/>
      <c r="BI173" s="225"/>
      <c r="BJ173" s="225"/>
      <c r="BK173" s="225"/>
      <c r="BL173" s="225"/>
      <c r="BM173" s="225"/>
      <c r="BN173" s="225"/>
      <c r="BO173" s="225"/>
      <c r="BP173" s="225"/>
      <c r="BQ173" s="225"/>
      <c r="BR173" s="225"/>
      <c r="BS173" s="225"/>
      <c r="BT173" s="226"/>
      <c r="BU173" s="225"/>
      <c r="BV173" s="225"/>
      <c r="BW173" s="225"/>
      <c r="BX173" s="225"/>
      <c r="BY173" s="225"/>
      <c r="BZ173" s="225"/>
    </row>
    <row r="174">
      <c r="A174" s="288" t="str">
        <f>IFERROR(__xludf.DUMMYFUNCTION("""COMPUTED_VALUE"""),"Free Upgrades Mastery")</f>
        <v>Free Upgrades Mastery</v>
      </c>
      <c r="B174" s="239">
        <f>IFERROR(__xludf.DUMMYFUNCTION("""COMPUTED_VALUE"""),0.0)</f>
        <v>0</v>
      </c>
      <c r="C174" s="225"/>
      <c r="D174" s="240">
        <f>IFERROR(__xludf.DUMMYFUNCTION("""COMPUTED_VALUE"""),9.0)</f>
        <v>9</v>
      </c>
      <c r="E174" s="225"/>
      <c r="F174" s="225"/>
      <c r="G174" s="225"/>
      <c r="H174" s="225"/>
      <c r="I174" s="225"/>
      <c r="J174" s="225"/>
      <c r="K174" s="244"/>
      <c r="L174" s="225"/>
      <c r="M174" s="225"/>
      <c r="N174" s="225"/>
      <c r="O174" s="225"/>
      <c r="P174" s="225"/>
      <c r="Q174" s="227"/>
      <c r="R174" s="234"/>
      <c r="S174" s="225"/>
      <c r="T174" s="225"/>
      <c r="U174" s="225"/>
      <c r="V174" s="225"/>
      <c r="W174" s="225"/>
      <c r="X174" s="225"/>
      <c r="Y174" s="229"/>
      <c r="Z174" s="257"/>
      <c r="AA174" s="225"/>
      <c r="AB174" s="257"/>
      <c r="AC174" s="257"/>
      <c r="AD174" s="226"/>
      <c r="AE174" s="259"/>
      <c r="AF174" s="347"/>
      <c r="AG174" s="232"/>
      <c r="AH174" s="257"/>
      <c r="AI174" s="225"/>
      <c r="AJ174" s="267"/>
      <c r="AK174" s="259"/>
      <c r="AL174" s="226"/>
      <c r="AM174" s="225"/>
      <c r="AN174" s="225"/>
      <c r="AO174" s="254"/>
      <c r="AP174" s="225"/>
      <c r="AQ174" s="225"/>
      <c r="AR174" s="226"/>
      <c r="AS174" s="225"/>
      <c r="AT174" s="225"/>
      <c r="AU174" s="225"/>
      <c r="AV174" s="225"/>
      <c r="AW174" s="225"/>
      <c r="AX174" s="226"/>
      <c r="AY174" s="225"/>
      <c r="AZ174" s="225"/>
      <c r="BA174" s="226"/>
      <c r="BB174" s="225"/>
      <c r="BC174" s="225"/>
      <c r="BD174" s="225"/>
      <c r="BE174" s="225"/>
      <c r="BF174" s="225"/>
      <c r="BG174" s="225"/>
      <c r="BH174" s="225"/>
      <c r="BI174" s="225"/>
      <c r="BJ174" s="225"/>
      <c r="BK174" s="225"/>
      <c r="BL174" s="225"/>
      <c r="BM174" s="225"/>
      <c r="BN174" s="225"/>
      <c r="BO174" s="225"/>
      <c r="BP174" s="225"/>
      <c r="BQ174" s="225"/>
      <c r="BR174" s="225"/>
      <c r="BS174" s="225"/>
      <c r="BT174" s="226"/>
      <c r="BU174" s="225"/>
      <c r="BV174" s="225"/>
      <c r="BW174" s="225"/>
      <c r="BX174" s="225"/>
      <c r="BY174" s="225"/>
      <c r="BZ174" s="225"/>
    </row>
    <row r="175">
      <c r="A175" s="288" t="str">
        <f>IFERROR(__xludf.DUMMYFUNCTION("""COMPUTED_VALUE"""),"Extra Orb Mastery")</f>
        <v>Extra Orb Mastery</v>
      </c>
      <c r="B175" s="239">
        <f>IFERROR(__xludf.DUMMYFUNCTION("""COMPUTED_VALUE"""),0.0)</f>
        <v>0</v>
      </c>
      <c r="C175" s="225"/>
      <c r="D175" s="345">
        <f>IFERROR(__xludf.DUMMYFUNCTION("""COMPUTED_VALUE"""),9.0)</f>
        <v>9</v>
      </c>
      <c r="E175" s="225"/>
      <c r="F175" s="225"/>
      <c r="G175" s="225"/>
      <c r="H175" s="225"/>
      <c r="I175" s="225"/>
      <c r="J175" s="225"/>
      <c r="K175" s="244"/>
      <c r="L175" s="225"/>
      <c r="M175" s="225"/>
      <c r="N175" s="225"/>
      <c r="O175" s="225"/>
      <c r="P175" s="225"/>
      <c r="Q175" s="227"/>
      <c r="R175" s="234"/>
      <c r="S175" s="225"/>
      <c r="T175" s="225"/>
      <c r="U175" s="225"/>
      <c r="V175" s="225"/>
      <c r="W175" s="225"/>
      <c r="X175" s="225"/>
      <c r="Y175" s="229"/>
      <c r="Z175" s="257"/>
      <c r="AA175" s="225"/>
      <c r="AB175" s="257"/>
      <c r="AC175" s="257"/>
      <c r="AD175" s="226"/>
      <c r="AE175" s="259"/>
      <c r="AF175" s="347"/>
      <c r="AG175" s="232"/>
      <c r="AH175" s="257"/>
      <c r="AI175" s="225"/>
      <c r="AJ175" s="267"/>
      <c r="AK175" s="259"/>
      <c r="AL175" s="226"/>
      <c r="AM175" s="225"/>
      <c r="AN175" s="225"/>
      <c r="AO175" s="254"/>
      <c r="AP175" s="225"/>
      <c r="AQ175" s="225"/>
      <c r="AR175" s="226"/>
      <c r="AS175" s="225"/>
      <c r="AT175" s="225"/>
      <c r="AU175" s="225"/>
      <c r="AV175" s="225"/>
      <c r="AW175" s="225"/>
      <c r="AX175" s="226"/>
      <c r="AY175" s="225"/>
      <c r="AZ175" s="225"/>
      <c r="BA175" s="226"/>
      <c r="BB175" s="225"/>
      <c r="BC175" s="225"/>
      <c r="BD175" s="225"/>
      <c r="BE175" s="225"/>
      <c r="BF175" s="225"/>
      <c r="BG175" s="225"/>
      <c r="BH175" s="225"/>
      <c r="BI175" s="225"/>
      <c r="BJ175" s="225"/>
      <c r="BK175" s="225"/>
      <c r="BL175" s="225"/>
      <c r="BM175" s="225"/>
      <c r="BN175" s="225"/>
      <c r="BO175" s="225"/>
      <c r="BP175" s="225"/>
      <c r="BQ175" s="225"/>
      <c r="BR175" s="225"/>
      <c r="BS175" s="225"/>
      <c r="BT175" s="226"/>
      <c r="BU175" s="225"/>
      <c r="BV175" s="225"/>
      <c r="BW175" s="225"/>
      <c r="BX175" s="225"/>
      <c r="BY175" s="225"/>
      <c r="BZ175" s="225"/>
    </row>
    <row r="176">
      <c r="A176" s="284" t="str">
        <f>IFERROR(__xludf.DUMMYFUNCTION("""COMPUTED_VALUE"""),"Plasma Cannon Mastery")</f>
        <v>Plasma Cannon Mastery</v>
      </c>
      <c r="B176" s="260">
        <f>IFERROR(__xludf.DUMMYFUNCTION("""COMPUTED_VALUE"""),0.0)</f>
        <v>0</v>
      </c>
      <c r="C176" s="225"/>
      <c r="D176" s="345">
        <f>IFERROR(__xludf.DUMMYFUNCTION("""COMPUTED_VALUE"""),9.0)</f>
        <v>9</v>
      </c>
      <c r="E176" s="225"/>
      <c r="F176" s="225"/>
      <c r="G176" s="225"/>
      <c r="H176" s="225"/>
      <c r="I176" s="225"/>
      <c r="J176" s="225"/>
      <c r="K176" s="244"/>
      <c r="L176" s="225"/>
      <c r="M176" s="225"/>
      <c r="N176" s="225"/>
      <c r="O176" s="225"/>
      <c r="P176" s="225"/>
      <c r="Q176" s="227"/>
      <c r="R176" s="234"/>
      <c r="S176" s="225"/>
      <c r="T176" s="225"/>
      <c r="U176" s="225"/>
      <c r="V176" s="225"/>
      <c r="W176" s="225"/>
      <c r="X176" s="225"/>
      <c r="Y176" s="229"/>
      <c r="Z176" s="257"/>
      <c r="AA176" s="225"/>
      <c r="AB176" s="257"/>
      <c r="AC176" s="257"/>
      <c r="AD176" s="226"/>
      <c r="AE176" s="259"/>
      <c r="AF176" s="347"/>
      <c r="AG176" s="232"/>
      <c r="AH176" s="257"/>
      <c r="AI176" s="225"/>
      <c r="AJ176" s="267"/>
      <c r="AK176" s="259"/>
      <c r="AL176" s="226"/>
      <c r="AM176" s="225"/>
      <c r="AN176" s="225"/>
      <c r="AO176" s="254"/>
      <c r="AP176" s="225"/>
      <c r="AQ176" s="225"/>
      <c r="AR176" s="226"/>
      <c r="AS176" s="225"/>
      <c r="AT176" s="225"/>
      <c r="AU176" s="225"/>
      <c r="AV176" s="225"/>
      <c r="AW176" s="225"/>
      <c r="AX176" s="226"/>
      <c r="AY176" s="225"/>
      <c r="AZ176" s="225"/>
      <c r="BA176" s="226"/>
      <c r="BB176" s="225"/>
      <c r="BC176" s="225"/>
      <c r="BD176" s="225"/>
      <c r="BE176" s="225"/>
      <c r="BF176" s="225"/>
      <c r="BG176" s="225"/>
      <c r="BH176" s="225"/>
      <c r="BI176" s="225"/>
      <c r="BJ176" s="225"/>
      <c r="BK176" s="225"/>
      <c r="BL176" s="225"/>
      <c r="BM176" s="225"/>
      <c r="BN176" s="225"/>
      <c r="BO176" s="225"/>
      <c r="BP176" s="225"/>
      <c r="BQ176" s="225"/>
      <c r="BR176" s="225"/>
      <c r="BS176" s="225"/>
      <c r="BT176" s="226"/>
      <c r="BU176" s="225"/>
      <c r="BV176" s="225"/>
      <c r="BW176" s="225"/>
      <c r="BX176" s="225"/>
      <c r="BY176" s="225"/>
      <c r="BZ176" s="225"/>
    </row>
    <row r="177">
      <c r="A177" s="284" t="str">
        <f>IFERROR(__xludf.DUMMYFUNCTION("""COMPUTED_VALUE"""),"Critical Coin Mastery")</f>
        <v>Critical Coin Mastery</v>
      </c>
      <c r="B177" s="260">
        <f>IFERROR(__xludf.DUMMYFUNCTION("""COMPUTED_VALUE"""),0.0)</f>
        <v>0</v>
      </c>
      <c r="C177" s="225"/>
      <c r="D177" s="345">
        <f>IFERROR(__xludf.DUMMYFUNCTION("""COMPUTED_VALUE"""),9.0)</f>
        <v>9</v>
      </c>
      <c r="E177" s="225"/>
      <c r="F177" s="225"/>
      <c r="G177" s="225"/>
      <c r="H177" s="225"/>
      <c r="I177" s="225"/>
      <c r="J177" s="225"/>
      <c r="K177" s="244"/>
      <c r="L177" s="225"/>
      <c r="M177" s="225"/>
      <c r="N177" s="225"/>
      <c r="O177" s="225"/>
      <c r="P177" s="225"/>
      <c r="Q177" s="227"/>
      <c r="R177" s="234"/>
      <c r="S177" s="225"/>
      <c r="T177" s="225"/>
      <c r="U177" s="225"/>
      <c r="V177" s="225"/>
      <c r="W177" s="225"/>
      <c r="X177" s="225"/>
      <c r="Y177" s="229"/>
      <c r="Z177" s="257"/>
      <c r="AA177" s="225"/>
      <c r="AB177" s="257"/>
      <c r="AC177" s="257"/>
      <c r="AD177" s="226"/>
      <c r="AE177" s="259"/>
      <c r="AF177" s="347"/>
      <c r="AG177" s="232"/>
      <c r="AH177" s="257"/>
      <c r="AI177" s="225"/>
      <c r="AJ177" s="267"/>
      <c r="AK177" s="259"/>
      <c r="AL177" s="226"/>
      <c r="AM177" s="225"/>
      <c r="AN177" s="225"/>
      <c r="AO177" s="254"/>
      <c r="AP177" s="225"/>
      <c r="AQ177" s="225"/>
      <c r="AR177" s="226"/>
      <c r="AS177" s="225"/>
      <c r="AT177" s="225"/>
      <c r="AU177" s="225"/>
      <c r="AV177" s="225"/>
      <c r="AW177" s="225"/>
      <c r="AX177" s="226"/>
      <c r="AY177" s="225"/>
      <c r="AZ177" s="225"/>
      <c r="BA177" s="226"/>
      <c r="BB177" s="225"/>
      <c r="BC177" s="225"/>
      <c r="BD177" s="225"/>
      <c r="BE177" s="225"/>
      <c r="BF177" s="225"/>
      <c r="BG177" s="225"/>
      <c r="BH177" s="225"/>
      <c r="BI177" s="225"/>
      <c r="BJ177" s="225"/>
      <c r="BK177" s="225"/>
      <c r="BL177" s="225"/>
      <c r="BM177" s="225"/>
      <c r="BN177" s="225"/>
      <c r="BO177" s="225"/>
      <c r="BP177" s="225"/>
      <c r="BQ177" s="225"/>
      <c r="BR177" s="225"/>
      <c r="BS177" s="225"/>
      <c r="BT177" s="226"/>
      <c r="BU177" s="225"/>
      <c r="BV177" s="225"/>
      <c r="BW177" s="225"/>
      <c r="BX177" s="225"/>
      <c r="BY177" s="225"/>
      <c r="BZ177" s="225"/>
    </row>
    <row r="178">
      <c r="A178" s="284" t="str">
        <f>IFERROR(__xludf.DUMMYFUNCTION("""COMPUTED_VALUE"""),"Wave Skip Mastery")</f>
        <v>Wave Skip Mastery</v>
      </c>
      <c r="B178" s="260">
        <f>IFERROR(__xludf.DUMMYFUNCTION("""COMPUTED_VALUE"""),0.0)</f>
        <v>0</v>
      </c>
      <c r="C178" s="225"/>
      <c r="D178" s="345">
        <f>IFERROR(__xludf.DUMMYFUNCTION("""COMPUTED_VALUE"""),9.0)</f>
        <v>9</v>
      </c>
      <c r="E178" s="225"/>
      <c r="F178" s="225"/>
      <c r="G178" s="225"/>
      <c r="H178" s="225"/>
      <c r="I178" s="225"/>
      <c r="J178" s="225"/>
      <c r="K178" s="244"/>
      <c r="L178" s="225"/>
      <c r="M178" s="225"/>
      <c r="N178" s="225"/>
      <c r="O178" s="225"/>
      <c r="P178" s="225"/>
      <c r="Q178" s="227"/>
      <c r="R178" s="234"/>
      <c r="S178" s="225"/>
      <c r="T178" s="225"/>
      <c r="U178" s="225"/>
      <c r="V178" s="225"/>
      <c r="W178" s="225"/>
      <c r="X178" s="225"/>
      <c r="Y178" s="229"/>
      <c r="Z178" s="257"/>
      <c r="AA178" s="225"/>
      <c r="AB178" s="257"/>
      <c r="AC178" s="257"/>
      <c r="AD178" s="226"/>
      <c r="AE178" s="259"/>
      <c r="AF178" s="347"/>
      <c r="AG178" s="232"/>
      <c r="AH178" s="257"/>
      <c r="AI178" s="225"/>
      <c r="AJ178" s="267"/>
      <c r="AK178" s="259"/>
      <c r="AL178" s="226"/>
      <c r="AM178" s="225"/>
      <c r="AN178" s="225"/>
      <c r="AO178" s="254"/>
      <c r="AP178" s="225"/>
      <c r="AQ178" s="225"/>
      <c r="AR178" s="226"/>
      <c r="AS178" s="225"/>
      <c r="AT178" s="225"/>
      <c r="AU178" s="225"/>
      <c r="AV178" s="225"/>
      <c r="AW178" s="225"/>
      <c r="AX178" s="226"/>
      <c r="AY178" s="225"/>
      <c r="AZ178" s="225"/>
      <c r="BA178" s="226"/>
      <c r="BB178" s="225"/>
      <c r="BC178" s="225"/>
      <c r="BD178" s="225"/>
      <c r="BE178" s="225"/>
      <c r="BF178" s="225"/>
      <c r="BG178" s="225"/>
      <c r="BH178" s="225"/>
      <c r="BI178" s="225"/>
      <c r="BJ178" s="225"/>
      <c r="BK178" s="225"/>
      <c r="BL178" s="225"/>
      <c r="BM178" s="225"/>
      <c r="BN178" s="225"/>
      <c r="BO178" s="225"/>
      <c r="BP178" s="225"/>
      <c r="BQ178" s="225"/>
      <c r="BR178" s="225"/>
      <c r="BS178" s="225"/>
      <c r="BT178" s="226"/>
      <c r="BU178" s="225"/>
      <c r="BV178" s="225"/>
      <c r="BW178" s="225"/>
      <c r="BX178" s="225"/>
      <c r="BY178" s="225"/>
      <c r="BZ178" s="225"/>
    </row>
    <row r="179">
      <c r="A179" s="284" t="str">
        <f>IFERROR(__xludf.DUMMYFUNCTION("""COMPUTED_VALUE"""),"Intro Sprint Mastery")</f>
        <v>Intro Sprint Mastery</v>
      </c>
      <c r="B179" s="260">
        <f>IFERROR(__xludf.DUMMYFUNCTION("""COMPUTED_VALUE"""),0.0)</f>
        <v>0</v>
      </c>
      <c r="C179" s="225"/>
      <c r="D179" s="345">
        <f>IFERROR(__xludf.DUMMYFUNCTION("""COMPUTED_VALUE"""),9.0)</f>
        <v>9</v>
      </c>
      <c r="E179" s="225"/>
      <c r="F179" s="225"/>
      <c r="G179" s="225"/>
      <c r="H179" s="225"/>
      <c r="I179" s="225"/>
      <c r="J179" s="225"/>
      <c r="K179" s="244"/>
      <c r="L179" s="225"/>
      <c r="M179" s="225"/>
      <c r="N179" s="225"/>
      <c r="O179" s="225"/>
      <c r="P179" s="225"/>
      <c r="Q179" s="227"/>
      <c r="R179" s="234"/>
      <c r="S179" s="225"/>
      <c r="T179" s="225"/>
      <c r="U179" s="225"/>
      <c r="V179" s="225"/>
      <c r="W179" s="225"/>
      <c r="X179" s="225"/>
      <c r="Y179" s="229"/>
      <c r="Z179" s="257"/>
      <c r="AA179" s="225"/>
      <c r="AB179" s="257"/>
      <c r="AC179" s="257"/>
      <c r="AD179" s="226"/>
      <c r="AE179" s="259"/>
      <c r="AF179" s="347"/>
      <c r="AG179" s="232"/>
      <c r="AH179" s="257"/>
      <c r="AI179" s="225"/>
      <c r="AJ179" s="267"/>
      <c r="AK179" s="259"/>
      <c r="AL179" s="226"/>
      <c r="AM179" s="225"/>
      <c r="AN179" s="225"/>
      <c r="AO179" s="254"/>
      <c r="AP179" s="225"/>
      <c r="AQ179" s="225"/>
      <c r="AR179" s="226"/>
      <c r="AS179" s="225"/>
      <c r="AT179" s="225"/>
      <c r="AU179" s="225"/>
      <c r="AV179" s="225"/>
      <c r="AW179" s="225"/>
      <c r="AX179" s="226"/>
      <c r="AY179" s="225"/>
      <c r="AZ179" s="225"/>
      <c r="BA179" s="226"/>
      <c r="BB179" s="225"/>
      <c r="BC179" s="225"/>
      <c r="BD179" s="225"/>
      <c r="BE179" s="225"/>
      <c r="BF179" s="225"/>
      <c r="BG179" s="225"/>
      <c r="BH179" s="225"/>
      <c r="BI179" s="225"/>
      <c r="BJ179" s="225"/>
      <c r="BK179" s="225"/>
      <c r="BL179" s="225"/>
      <c r="BM179" s="225"/>
      <c r="BN179" s="225"/>
      <c r="BO179" s="225"/>
      <c r="BP179" s="225"/>
      <c r="BQ179" s="225"/>
      <c r="BR179" s="225"/>
      <c r="BS179" s="225"/>
      <c r="BT179" s="226"/>
      <c r="BU179" s="225"/>
      <c r="BV179" s="225"/>
      <c r="BW179" s="225"/>
      <c r="BX179" s="225"/>
      <c r="BY179" s="225"/>
      <c r="BZ179" s="225"/>
    </row>
    <row r="180">
      <c r="A180" s="284" t="str">
        <f>IFERROR(__xludf.DUMMYFUNCTION("""COMPUTED_VALUE"""),"Land Mine Stun Mastery")</f>
        <v>Land Mine Stun Mastery</v>
      </c>
      <c r="B180" s="260">
        <f>IFERROR(__xludf.DUMMYFUNCTION("""COMPUTED_VALUE"""),0.0)</f>
        <v>0</v>
      </c>
      <c r="C180" s="225"/>
      <c r="D180" s="345">
        <f>IFERROR(__xludf.DUMMYFUNCTION("""COMPUTED_VALUE"""),9.0)</f>
        <v>9</v>
      </c>
      <c r="E180" s="225"/>
      <c r="F180" s="225"/>
      <c r="G180" s="225"/>
      <c r="H180" s="225"/>
      <c r="I180" s="225"/>
      <c r="J180" s="225"/>
      <c r="K180" s="244"/>
      <c r="L180" s="225"/>
      <c r="M180" s="225"/>
      <c r="N180" s="225"/>
      <c r="O180" s="225"/>
      <c r="P180" s="225"/>
      <c r="Q180" s="227"/>
      <c r="R180" s="234"/>
      <c r="S180" s="225"/>
      <c r="T180" s="225"/>
      <c r="U180" s="225"/>
      <c r="V180" s="225"/>
      <c r="W180" s="225"/>
      <c r="X180" s="225"/>
      <c r="Y180" s="229"/>
      <c r="Z180" s="257"/>
      <c r="AA180" s="225"/>
      <c r="AB180" s="257"/>
      <c r="AC180" s="257"/>
      <c r="AD180" s="226"/>
      <c r="AE180" s="259"/>
      <c r="AF180" s="347"/>
      <c r="AG180" s="232"/>
      <c r="AH180" s="257"/>
      <c r="AI180" s="225"/>
      <c r="AJ180" s="267"/>
      <c r="AK180" s="259"/>
      <c r="AL180" s="226"/>
      <c r="AM180" s="225"/>
      <c r="AN180" s="225"/>
      <c r="AO180" s="254"/>
      <c r="AP180" s="225"/>
      <c r="AQ180" s="225"/>
      <c r="AR180" s="226"/>
      <c r="AS180" s="225"/>
      <c r="AT180" s="225"/>
      <c r="AU180" s="225"/>
      <c r="AV180" s="225"/>
      <c r="AW180" s="225"/>
      <c r="AX180" s="226"/>
      <c r="AY180" s="225"/>
      <c r="AZ180" s="225"/>
      <c r="BA180" s="226"/>
      <c r="BB180" s="225"/>
      <c r="BC180" s="225"/>
      <c r="BD180" s="225"/>
      <c r="BE180" s="225"/>
      <c r="BF180" s="225"/>
      <c r="BG180" s="225"/>
      <c r="BH180" s="225"/>
      <c r="BI180" s="225"/>
      <c r="BJ180" s="225"/>
      <c r="BK180" s="225"/>
      <c r="BL180" s="225"/>
      <c r="BM180" s="225"/>
      <c r="BN180" s="225"/>
      <c r="BO180" s="225"/>
      <c r="BP180" s="225"/>
      <c r="BQ180" s="225"/>
      <c r="BR180" s="225"/>
      <c r="BS180" s="225"/>
      <c r="BT180" s="226"/>
      <c r="BU180" s="225"/>
      <c r="BV180" s="225"/>
      <c r="BW180" s="225"/>
      <c r="BX180" s="225"/>
      <c r="BY180" s="225"/>
      <c r="BZ180" s="225"/>
    </row>
    <row r="181">
      <c r="A181" s="284" t="str">
        <f>IFERROR(__xludf.DUMMYFUNCTION("""COMPUTED_VALUE"""),"Recovery Package Chance Mastery")</f>
        <v>Recovery Package Chance Mastery</v>
      </c>
      <c r="B181" s="260">
        <f>IFERROR(__xludf.DUMMYFUNCTION("""COMPUTED_VALUE"""),3.0)</f>
        <v>3</v>
      </c>
      <c r="C181" s="225"/>
      <c r="D181" s="345">
        <f>IFERROR(__xludf.DUMMYFUNCTION("""COMPUTED_VALUE"""),9.0)</f>
        <v>9</v>
      </c>
      <c r="E181" s="225"/>
      <c r="F181" s="225"/>
      <c r="G181" s="225"/>
      <c r="H181" s="225"/>
      <c r="I181" s="225"/>
      <c r="J181" s="225"/>
      <c r="K181" s="244"/>
      <c r="L181" s="225"/>
      <c r="M181" s="225"/>
      <c r="N181" s="225"/>
      <c r="O181" s="225"/>
      <c r="P181" s="225"/>
      <c r="Q181" s="227"/>
      <c r="R181" s="234"/>
      <c r="S181" s="225"/>
      <c r="T181" s="225"/>
      <c r="U181" s="225"/>
      <c r="V181" s="225"/>
      <c r="W181" s="225"/>
      <c r="X181" s="225"/>
      <c r="Y181" s="229"/>
      <c r="Z181" s="257"/>
      <c r="AA181" s="225"/>
      <c r="AB181" s="257"/>
      <c r="AC181" s="257"/>
      <c r="AD181" s="226"/>
      <c r="AE181" s="259"/>
      <c r="AF181" s="347"/>
      <c r="AG181" s="232"/>
      <c r="AH181" s="257"/>
      <c r="AI181" s="225"/>
      <c r="AJ181" s="267"/>
      <c r="AK181" s="259"/>
      <c r="AL181" s="226"/>
      <c r="AM181" s="225"/>
      <c r="AN181" s="225"/>
      <c r="AO181" s="254"/>
      <c r="AP181" s="225"/>
      <c r="AQ181" s="225"/>
      <c r="AR181" s="226"/>
      <c r="AS181" s="225"/>
      <c r="AT181" s="225"/>
      <c r="AU181" s="225"/>
      <c r="AV181" s="225"/>
      <c r="AW181" s="225"/>
      <c r="AX181" s="226"/>
      <c r="AY181" s="225"/>
      <c r="AZ181" s="225"/>
      <c r="BA181" s="226"/>
      <c r="BB181" s="225"/>
      <c r="BC181" s="225"/>
      <c r="BD181" s="225"/>
      <c r="BE181" s="225"/>
      <c r="BF181" s="225"/>
      <c r="BG181" s="225"/>
      <c r="BH181" s="225"/>
      <c r="BI181" s="225"/>
      <c r="BJ181" s="225"/>
      <c r="BK181" s="225"/>
      <c r="BL181" s="225"/>
      <c r="BM181" s="225"/>
      <c r="BN181" s="225"/>
      <c r="BO181" s="225"/>
      <c r="BP181" s="225"/>
      <c r="BQ181" s="225"/>
      <c r="BR181" s="225"/>
      <c r="BS181" s="225"/>
      <c r="BT181" s="226"/>
      <c r="BU181" s="225"/>
      <c r="BV181" s="225"/>
      <c r="BW181" s="225"/>
      <c r="BX181" s="225"/>
      <c r="BY181" s="225"/>
      <c r="BZ181" s="225"/>
    </row>
    <row r="182">
      <c r="A182" s="284" t="str">
        <f>IFERROR(__xludf.DUMMYFUNCTION("""COMPUTED_VALUE"""),"Death Ray Mastery")</f>
        <v>Death Ray Mastery</v>
      </c>
      <c r="B182" s="260">
        <f>IFERROR(__xludf.DUMMYFUNCTION("""COMPUTED_VALUE"""),0.0)</f>
        <v>0</v>
      </c>
      <c r="C182" s="225"/>
      <c r="D182" s="345">
        <f>IFERROR(__xludf.DUMMYFUNCTION("""COMPUTED_VALUE"""),9.0)</f>
        <v>9</v>
      </c>
      <c r="E182" s="225"/>
      <c r="F182" s="225"/>
      <c r="G182" s="225"/>
      <c r="H182" s="225"/>
      <c r="I182" s="225"/>
      <c r="J182" s="225"/>
      <c r="K182" s="244"/>
      <c r="L182" s="225"/>
      <c r="M182" s="225"/>
      <c r="N182" s="225"/>
      <c r="O182" s="225"/>
      <c r="P182" s="225"/>
      <c r="Q182" s="227"/>
      <c r="R182" s="234"/>
      <c r="S182" s="225"/>
      <c r="T182" s="225"/>
      <c r="U182" s="225"/>
      <c r="V182" s="225"/>
      <c r="W182" s="225"/>
      <c r="X182" s="225"/>
      <c r="Y182" s="229"/>
      <c r="Z182" s="257"/>
      <c r="AA182" s="225"/>
      <c r="AB182" s="257"/>
      <c r="AC182" s="257"/>
      <c r="AD182" s="226"/>
      <c r="AE182" s="259"/>
      <c r="AF182" s="347"/>
      <c r="AG182" s="232"/>
      <c r="AH182" s="257"/>
      <c r="AI182" s="225"/>
      <c r="AJ182" s="267"/>
      <c r="AK182" s="259"/>
      <c r="AL182" s="226"/>
      <c r="AM182" s="225"/>
      <c r="AN182" s="225"/>
      <c r="AO182" s="254"/>
      <c r="AP182" s="225"/>
      <c r="AQ182" s="225"/>
      <c r="AR182" s="226"/>
      <c r="AS182" s="225"/>
      <c r="AT182" s="225"/>
      <c r="AU182" s="225"/>
      <c r="AV182" s="225"/>
      <c r="AW182" s="225"/>
      <c r="AX182" s="226"/>
      <c r="AY182" s="225"/>
      <c r="AZ182" s="225"/>
      <c r="BA182" s="226"/>
      <c r="BB182" s="225"/>
      <c r="BC182" s="225"/>
      <c r="BD182" s="225"/>
      <c r="BE182" s="225"/>
      <c r="BF182" s="225"/>
      <c r="BG182" s="225"/>
      <c r="BH182" s="225"/>
      <c r="BI182" s="225"/>
      <c r="BJ182" s="225"/>
      <c r="BK182" s="225"/>
      <c r="BL182" s="225"/>
      <c r="BM182" s="225"/>
      <c r="BN182" s="225"/>
      <c r="BO182" s="225"/>
      <c r="BP182" s="225"/>
      <c r="BQ182" s="225"/>
      <c r="BR182" s="225"/>
      <c r="BS182" s="225"/>
      <c r="BT182" s="226"/>
      <c r="BU182" s="225"/>
      <c r="BV182" s="225"/>
      <c r="BW182" s="225"/>
      <c r="BX182" s="225"/>
      <c r="BY182" s="225"/>
      <c r="BZ182" s="225"/>
    </row>
    <row r="183">
      <c r="A183" s="284" t="str">
        <f>IFERROR(__xludf.DUMMYFUNCTION("""COMPUTED_VALUE"""),"Energy Net Mastery")</f>
        <v>Energy Net Mastery</v>
      </c>
      <c r="B183" s="260">
        <f>IFERROR(__xludf.DUMMYFUNCTION("""COMPUTED_VALUE"""),0.0)</f>
        <v>0</v>
      </c>
      <c r="C183" s="225"/>
      <c r="D183" s="345">
        <f>IFERROR(__xludf.DUMMYFUNCTION("""COMPUTED_VALUE"""),9.0)</f>
        <v>9</v>
      </c>
      <c r="E183" s="225"/>
      <c r="F183" s="225"/>
      <c r="G183" s="225"/>
      <c r="H183" s="225"/>
      <c r="I183" s="225"/>
      <c r="J183" s="225"/>
      <c r="K183" s="244"/>
      <c r="L183" s="225"/>
      <c r="M183" s="225"/>
      <c r="N183" s="225"/>
      <c r="O183" s="225"/>
      <c r="P183" s="225"/>
      <c r="Q183" s="227"/>
      <c r="R183" s="234"/>
      <c r="S183" s="225"/>
      <c r="T183" s="225"/>
      <c r="U183" s="225"/>
      <c r="V183" s="225"/>
      <c r="W183" s="225"/>
      <c r="X183" s="225"/>
      <c r="Y183" s="229"/>
      <c r="Z183" s="257"/>
      <c r="AA183" s="225"/>
      <c r="AB183" s="257"/>
      <c r="AC183" s="257"/>
      <c r="AD183" s="226"/>
      <c r="AE183" s="259"/>
      <c r="AF183" s="347"/>
      <c r="AG183" s="232"/>
      <c r="AH183" s="257"/>
      <c r="AI183" s="225"/>
      <c r="AJ183" s="267"/>
      <c r="AK183" s="259"/>
      <c r="AL183" s="226"/>
      <c r="AM183" s="225"/>
      <c r="AN183" s="225"/>
      <c r="AO183" s="254"/>
      <c r="AP183" s="225"/>
      <c r="AQ183" s="225"/>
      <c r="AR183" s="226"/>
      <c r="AS183" s="225"/>
      <c r="AT183" s="225"/>
      <c r="AU183" s="225"/>
      <c r="AV183" s="225"/>
      <c r="AW183" s="225"/>
      <c r="AX183" s="226"/>
      <c r="AY183" s="225"/>
      <c r="AZ183" s="225"/>
      <c r="BA183" s="226"/>
      <c r="BB183" s="225"/>
      <c r="BC183" s="225"/>
      <c r="BD183" s="225"/>
      <c r="BE183" s="225"/>
      <c r="BF183" s="225"/>
      <c r="BG183" s="225"/>
      <c r="BH183" s="225"/>
      <c r="BI183" s="225"/>
      <c r="BJ183" s="225"/>
      <c r="BK183" s="225"/>
      <c r="BL183" s="225"/>
      <c r="BM183" s="225"/>
      <c r="BN183" s="225"/>
      <c r="BO183" s="225"/>
      <c r="BP183" s="225"/>
      <c r="BQ183" s="225"/>
      <c r="BR183" s="225"/>
      <c r="BS183" s="225"/>
      <c r="BT183" s="226"/>
      <c r="BU183" s="225"/>
      <c r="BV183" s="225"/>
      <c r="BW183" s="225"/>
      <c r="BX183" s="225"/>
      <c r="BY183" s="225"/>
      <c r="BZ183" s="225"/>
    </row>
    <row r="184">
      <c r="A184" s="284" t="str">
        <f>IFERROR(__xludf.DUMMYFUNCTION("""COMPUTED_VALUE"""),"Super Tower Mastery")</f>
        <v>Super Tower Mastery</v>
      </c>
      <c r="B184" s="260">
        <f>IFERROR(__xludf.DUMMYFUNCTION("""COMPUTED_VALUE"""),0.0)</f>
        <v>0</v>
      </c>
      <c r="C184" s="225"/>
      <c r="D184" s="345">
        <f>IFERROR(__xludf.DUMMYFUNCTION("""COMPUTED_VALUE"""),9.0)</f>
        <v>9</v>
      </c>
      <c r="E184" s="225"/>
      <c r="F184" s="225"/>
      <c r="G184" s="225"/>
      <c r="H184" s="225"/>
      <c r="I184" s="225"/>
      <c r="J184" s="225"/>
      <c r="K184" s="244"/>
      <c r="L184" s="225"/>
      <c r="M184" s="225"/>
      <c r="N184" s="225"/>
      <c r="O184" s="225"/>
      <c r="P184" s="225"/>
      <c r="Q184" s="227"/>
      <c r="R184" s="234"/>
      <c r="S184" s="225"/>
      <c r="T184" s="225"/>
      <c r="U184" s="225"/>
      <c r="V184" s="225"/>
      <c r="W184" s="225"/>
      <c r="X184" s="225"/>
      <c r="Y184" s="229"/>
      <c r="Z184" s="257"/>
      <c r="AA184" s="225"/>
      <c r="AB184" s="257"/>
      <c r="AC184" s="257"/>
      <c r="AD184" s="226"/>
      <c r="AE184" s="259"/>
      <c r="AF184" s="347"/>
      <c r="AG184" s="232"/>
      <c r="AH184" s="257"/>
      <c r="AI184" s="225"/>
      <c r="AJ184" s="267"/>
      <c r="AK184" s="259"/>
      <c r="AL184" s="226"/>
      <c r="AM184" s="225"/>
      <c r="AN184" s="225"/>
      <c r="AO184" s="254"/>
      <c r="AP184" s="225"/>
      <c r="AQ184" s="225"/>
      <c r="AR184" s="226"/>
      <c r="AS184" s="225"/>
      <c r="AT184" s="225"/>
      <c r="AU184" s="225"/>
      <c r="AV184" s="225"/>
      <c r="AW184" s="225"/>
      <c r="AX184" s="226"/>
      <c r="AY184" s="225"/>
      <c r="AZ184" s="225"/>
      <c r="BA184" s="226"/>
      <c r="BB184" s="225"/>
      <c r="BC184" s="225"/>
      <c r="BD184" s="225"/>
      <c r="BE184" s="225"/>
      <c r="BF184" s="225"/>
      <c r="BG184" s="225"/>
      <c r="BH184" s="225"/>
      <c r="BI184" s="225"/>
      <c r="BJ184" s="225"/>
      <c r="BK184" s="225"/>
      <c r="BL184" s="225"/>
      <c r="BM184" s="225"/>
      <c r="BN184" s="225"/>
      <c r="BO184" s="225"/>
      <c r="BP184" s="225"/>
      <c r="BQ184" s="225"/>
      <c r="BR184" s="225"/>
      <c r="BS184" s="225"/>
      <c r="BT184" s="226"/>
      <c r="BU184" s="225"/>
      <c r="BV184" s="225"/>
      <c r="BW184" s="225"/>
      <c r="BX184" s="225"/>
      <c r="BY184" s="225"/>
      <c r="BZ184" s="225"/>
    </row>
    <row r="185">
      <c r="A185" s="284" t="str">
        <f>IFERROR(__xludf.DUMMYFUNCTION("""COMPUTED_VALUE"""),"Second Wind Mastery")</f>
        <v>Second Wind Mastery</v>
      </c>
      <c r="B185" s="260">
        <f>IFERROR(__xludf.DUMMYFUNCTION("""COMPUTED_VALUE"""),0.0)</f>
        <v>0</v>
      </c>
      <c r="C185" s="225"/>
      <c r="D185" s="345">
        <f>IFERROR(__xludf.DUMMYFUNCTION("""COMPUTED_VALUE"""),9.0)</f>
        <v>9</v>
      </c>
      <c r="E185" s="225"/>
      <c r="F185" s="225"/>
      <c r="G185" s="225"/>
      <c r="H185" s="225"/>
      <c r="I185" s="225"/>
      <c r="J185" s="225"/>
      <c r="K185" s="244"/>
      <c r="L185" s="225"/>
      <c r="M185" s="225"/>
      <c r="N185" s="225"/>
      <c r="O185" s="225"/>
      <c r="P185" s="225"/>
      <c r="Q185" s="227"/>
      <c r="R185" s="234"/>
      <c r="S185" s="225"/>
      <c r="T185" s="225"/>
      <c r="U185" s="225"/>
      <c r="V185" s="225"/>
      <c r="W185" s="225"/>
      <c r="X185" s="225"/>
      <c r="Y185" s="229"/>
      <c r="Z185" s="257"/>
      <c r="AA185" s="225"/>
      <c r="AB185" s="257"/>
      <c r="AC185" s="257"/>
      <c r="AD185" s="226"/>
      <c r="AE185" s="259"/>
      <c r="AF185" s="347"/>
      <c r="AG185" s="232"/>
      <c r="AH185" s="257"/>
      <c r="AI185" s="225"/>
      <c r="AJ185" s="267"/>
      <c r="AK185" s="259"/>
      <c r="AL185" s="226"/>
      <c r="AM185" s="225"/>
      <c r="AN185" s="225"/>
      <c r="AO185" s="254"/>
      <c r="AP185" s="225"/>
      <c r="AQ185" s="225"/>
      <c r="AR185" s="226"/>
      <c r="AS185" s="225"/>
      <c r="AT185" s="225"/>
      <c r="AU185" s="225"/>
      <c r="AV185" s="225"/>
      <c r="AW185" s="225"/>
      <c r="AX185" s="226"/>
      <c r="AY185" s="225"/>
      <c r="AZ185" s="225"/>
      <c r="BA185" s="226"/>
      <c r="BB185" s="225"/>
      <c r="BC185" s="225"/>
      <c r="BD185" s="225"/>
      <c r="BE185" s="225"/>
      <c r="BF185" s="225"/>
      <c r="BG185" s="225"/>
      <c r="BH185" s="225"/>
      <c r="BI185" s="225"/>
      <c r="BJ185" s="225"/>
      <c r="BK185" s="225"/>
      <c r="BL185" s="225"/>
      <c r="BM185" s="225"/>
      <c r="BN185" s="225"/>
      <c r="BO185" s="225"/>
      <c r="BP185" s="225"/>
      <c r="BQ185" s="225"/>
      <c r="BR185" s="225"/>
      <c r="BS185" s="225"/>
      <c r="BT185" s="226"/>
      <c r="BU185" s="225"/>
      <c r="BV185" s="225"/>
      <c r="BW185" s="225"/>
      <c r="BX185" s="225"/>
      <c r="BY185" s="225"/>
      <c r="BZ185" s="225"/>
    </row>
    <row r="186">
      <c r="A186" s="284" t="str">
        <f>IFERROR(__xludf.DUMMYFUNCTION("""COMPUTED_VALUE"""),"Demon Mode Mastery")</f>
        <v>Demon Mode Mastery</v>
      </c>
      <c r="B186" s="260">
        <f>IFERROR(__xludf.DUMMYFUNCTION("""COMPUTED_VALUE"""),0.0)</f>
        <v>0</v>
      </c>
      <c r="C186" s="225"/>
      <c r="D186" s="345">
        <f>IFERROR(__xludf.DUMMYFUNCTION("""COMPUTED_VALUE"""),9.0)</f>
        <v>9</v>
      </c>
      <c r="E186" s="225"/>
      <c r="F186" s="225"/>
      <c r="G186" s="225"/>
      <c r="H186" s="225"/>
      <c r="I186" s="225"/>
      <c r="J186" s="225"/>
      <c r="K186" s="244"/>
      <c r="L186" s="225"/>
      <c r="M186" s="225"/>
      <c r="N186" s="225"/>
      <c r="O186" s="225"/>
      <c r="P186" s="225"/>
      <c r="Q186" s="227"/>
      <c r="R186" s="234"/>
      <c r="S186" s="225"/>
      <c r="T186" s="225"/>
      <c r="U186" s="225"/>
      <c r="V186" s="225"/>
      <c r="W186" s="225"/>
      <c r="X186" s="225"/>
      <c r="Y186" s="229"/>
      <c r="Z186" s="257"/>
      <c r="AA186" s="225"/>
      <c r="AB186" s="257"/>
      <c r="AC186" s="257"/>
      <c r="AD186" s="226"/>
      <c r="AE186" s="259"/>
      <c r="AF186" s="347"/>
      <c r="AG186" s="232"/>
      <c r="AH186" s="257"/>
      <c r="AI186" s="225"/>
      <c r="AJ186" s="267"/>
      <c r="AK186" s="259"/>
      <c r="AL186" s="226"/>
      <c r="AM186" s="225"/>
      <c r="AN186" s="225"/>
      <c r="AO186" s="254"/>
      <c r="AP186" s="225"/>
      <c r="AQ186" s="225"/>
      <c r="AR186" s="226"/>
      <c r="AS186" s="225"/>
      <c r="AT186" s="225"/>
      <c r="AU186" s="225"/>
      <c r="AV186" s="225"/>
      <c r="AW186" s="225"/>
      <c r="AX186" s="226"/>
      <c r="AY186" s="225"/>
      <c r="AZ186" s="225"/>
      <c r="BA186" s="226"/>
      <c r="BB186" s="225"/>
      <c r="BC186" s="225"/>
      <c r="BD186" s="225"/>
      <c r="BE186" s="225"/>
      <c r="BF186" s="225"/>
      <c r="BG186" s="225"/>
      <c r="BH186" s="225"/>
      <c r="BI186" s="225"/>
      <c r="BJ186" s="225"/>
      <c r="BK186" s="225"/>
      <c r="BL186" s="225"/>
      <c r="BM186" s="225"/>
      <c r="BN186" s="225"/>
      <c r="BO186" s="225"/>
      <c r="BP186" s="225"/>
      <c r="BQ186" s="225"/>
      <c r="BR186" s="225"/>
      <c r="BS186" s="225"/>
      <c r="BT186" s="226"/>
      <c r="BU186" s="225"/>
      <c r="BV186" s="225"/>
      <c r="BW186" s="225"/>
      <c r="BX186" s="225"/>
      <c r="BY186" s="225"/>
      <c r="BZ186" s="225"/>
    </row>
    <row r="187">
      <c r="A187" s="284" t="str">
        <f>IFERROR(__xludf.DUMMYFUNCTION("""COMPUTED_VALUE"""),"Energy Shield Mastery")</f>
        <v>Energy Shield Mastery</v>
      </c>
      <c r="B187" s="260">
        <f>IFERROR(__xludf.DUMMYFUNCTION("""COMPUTED_VALUE"""),0.0)</f>
        <v>0</v>
      </c>
      <c r="C187" s="225"/>
      <c r="D187" s="345">
        <f>IFERROR(__xludf.DUMMYFUNCTION("""COMPUTED_VALUE"""),9.0)</f>
        <v>9</v>
      </c>
      <c r="E187" s="225"/>
      <c r="F187" s="225"/>
      <c r="G187" s="225"/>
      <c r="H187" s="225"/>
      <c r="I187" s="225"/>
      <c r="J187" s="225"/>
      <c r="K187" s="244"/>
      <c r="L187" s="225"/>
      <c r="M187" s="225"/>
      <c r="N187" s="225"/>
      <c r="O187" s="225"/>
      <c r="P187" s="225"/>
      <c r="Q187" s="227"/>
      <c r="R187" s="234"/>
      <c r="S187" s="225"/>
      <c r="T187" s="225"/>
      <c r="U187" s="225"/>
      <c r="V187" s="225"/>
      <c r="W187" s="225"/>
      <c r="X187" s="225"/>
      <c r="Y187" s="229"/>
      <c r="Z187" s="257"/>
      <c r="AA187" s="225"/>
      <c r="AB187" s="257"/>
      <c r="AC187" s="257"/>
      <c r="AD187" s="226"/>
      <c r="AE187" s="259"/>
      <c r="AF187" s="347"/>
      <c r="AG187" s="232"/>
      <c r="AH187" s="257"/>
      <c r="AI187" s="225"/>
      <c r="AJ187" s="267"/>
      <c r="AK187" s="259"/>
      <c r="AL187" s="226"/>
      <c r="AM187" s="225"/>
      <c r="AN187" s="225"/>
      <c r="AO187" s="254"/>
      <c r="AP187" s="225"/>
      <c r="AQ187" s="225"/>
      <c r="AR187" s="226"/>
      <c r="AS187" s="225"/>
      <c r="AT187" s="225"/>
      <c r="AU187" s="225"/>
      <c r="AV187" s="225"/>
      <c r="AW187" s="225"/>
      <c r="AX187" s="226"/>
      <c r="AY187" s="225"/>
      <c r="AZ187" s="225"/>
      <c r="BA187" s="226"/>
      <c r="BB187" s="225"/>
      <c r="BC187" s="225"/>
      <c r="BD187" s="225"/>
      <c r="BE187" s="225"/>
      <c r="BF187" s="225"/>
      <c r="BG187" s="225"/>
      <c r="BH187" s="225"/>
      <c r="BI187" s="225"/>
      <c r="BJ187" s="225"/>
      <c r="BK187" s="225"/>
      <c r="BL187" s="225"/>
      <c r="BM187" s="225"/>
      <c r="BN187" s="225"/>
      <c r="BO187" s="225"/>
      <c r="BP187" s="225"/>
      <c r="BQ187" s="225"/>
      <c r="BR187" s="225"/>
      <c r="BS187" s="225"/>
      <c r="BT187" s="226"/>
      <c r="BU187" s="225"/>
      <c r="BV187" s="225"/>
      <c r="BW187" s="225"/>
      <c r="BX187" s="225"/>
      <c r="BY187" s="225"/>
      <c r="BZ187" s="225"/>
    </row>
    <row r="188">
      <c r="A188" s="284" t="str">
        <f>IFERROR(__xludf.DUMMYFUNCTION("""COMPUTED_VALUE"""),"Wave Accelerator Mastery")</f>
        <v>Wave Accelerator Mastery</v>
      </c>
      <c r="B188" s="260">
        <f>IFERROR(__xludf.DUMMYFUNCTION("""COMPUTED_VALUE"""),0.0)</f>
        <v>0</v>
      </c>
      <c r="C188" s="225"/>
      <c r="D188" s="345">
        <f>IFERROR(__xludf.DUMMYFUNCTION("""COMPUTED_VALUE"""),9.0)</f>
        <v>9</v>
      </c>
      <c r="E188" s="225"/>
      <c r="F188" s="225"/>
      <c r="G188" s="225"/>
      <c r="H188" s="225"/>
      <c r="I188" s="225"/>
      <c r="J188" s="225"/>
      <c r="K188" s="244"/>
      <c r="L188" s="225"/>
      <c r="M188" s="225"/>
      <c r="N188" s="225"/>
      <c r="O188" s="225"/>
      <c r="P188" s="225"/>
      <c r="Q188" s="227"/>
      <c r="R188" s="234"/>
      <c r="S188" s="225"/>
      <c r="T188" s="225"/>
      <c r="U188" s="225"/>
      <c r="V188" s="225"/>
      <c r="W188" s="225"/>
      <c r="X188" s="225"/>
      <c r="Y188" s="229"/>
      <c r="Z188" s="257"/>
      <c r="AA188" s="225"/>
      <c r="AB188" s="257"/>
      <c r="AC188" s="257"/>
      <c r="AD188" s="226"/>
      <c r="AE188" s="259"/>
      <c r="AF188" s="347"/>
      <c r="AG188" s="232"/>
      <c r="AH188" s="257"/>
      <c r="AI188" s="225"/>
      <c r="AJ188" s="267"/>
      <c r="AK188" s="259"/>
      <c r="AL188" s="226"/>
      <c r="AM188" s="225"/>
      <c r="AN188" s="225"/>
      <c r="AO188" s="254"/>
      <c r="AP188" s="225"/>
      <c r="AQ188" s="225"/>
      <c r="AR188" s="226"/>
      <c r="AS188" s="225"/>
      <c r="AT188" s="225"/>
      <c r="AU188" s="225"/>
      <c r="AV188" s="225"/>
      <c r="AW188" s="225"/>
      <c r="AX188" s="226"/>
      <c r="AY188" s="225"/>
      <c r="AZ188" s="225"/>
      <c r="BA188" s="226"/>
      <c r="BB188" s="225"/>
      <c r="BC188" s="225"/>
      <c r="BD188" s="225"/>
      <c r="BE188" s="225"/>
      <c r="BF188" s="225"/>
      <c r="BG188" s="225"/>
      <c r="BH188" s="225"/>
      <c r="BI188" s="225"/>
      <c r="BJ188" s="225"/>
      <c r="BK188" s="225"/>
      <c r="BL188" s="225"/>
      <c r="BM188" s="225"/>
      <c r="BN188" s="225"/>
      <c r="BO188" s="225"/>
      <c r="BP188" s="225"/>
      <c r="BQ188" s="225"/>
      <c r="BR188" s="225"/>
      <c r="BS188" s="225"/>
      <c r="BT188" s="226"/>
      <c r="BU188" s="225"/>
      <c r="BV188" s="225"/>
      <c r="BW188" s="225"/>
      <c r="BX188" s="225"/>
      <c r="BY188" s="225"/>
      <c r="BZ188" s="225"/>
    </row>
    <row r="189">
      <c r="A189" s="284" t="str">
        <f>IFERROR(__xludf.DUMMYFUNCTION("""COMPUTED_VALUE"""),"Berserker Mastery")</f>
        <v>Berserker Mastery</v>
      </c>
      <c r="B189" s="260">
        <f>IFERROR(__xludf.DUMMYFUNCTION("""COMPUTED_VALUE"""),0.0)</f>
        <v>0</v>
      </c>
      <c r="C189" s="225"/>
      <c r="D189" s="345">
        <f>IFERROR(__xludf.DUMMYFUNCTION("""COMPUTED_VALUE"""),9.0)</f>
        <v>9</v>
      </c>
      <c r="E189" s="225"/>
      <c r="F189" s="225"/>
      <c r="G189" s="225"/>
      <c r="H189" s="225"/>
      <c r="I189" s="225"/>
      <c r="J189" s="225"/>
      <c r="K189" s="244"/>
      <c r="L189" s="225"/>
      <c r="M189" s="225"/>
      <c r="N189" s="225"/>
      <c r="O189" s="225"/>
      <c r="P189" s="225"/>
      <c r="Q189" s="227"/>
      <c r="R189" s="234"/>
      <c r="S189" s="225"/>
      <c r="T189" s="225"/>
      <c r="U189" s="225"/>
      <c r="V189" s="225"/>
      <c r="W189" s="225"/>
      <c r="X189" s="225"/>
      <c r="Y189" s="229"/>
      <c r="Z189" s="257"/>
      <c r="AA189" s="225"/>
      <c r="AB189" s="257"/>
      <c r="AC189" s="257"/>
      <c r="AD189" s="226"/>
      <c r="AE189" s="259"/>
      <c r="AF189" s="347"/>
      <c r="AG189" s="232"/>
      <c r="AH189" s="257"/>
      <c r="AI189" s="225"/>
      <c r="AJ189" s="267"/>
      <c r="AK189" s="259"/>
      <c r="AL189" s="226"/>
      <c r="AM189" s="225"/>
      <c r="AN189" s="225"/>
      <c r="AO189" s="254"/>
      <c r="AP189" s="225"/>
      <c r="AQ189" s="225"/>
      <c r="AR189" s="226"/>
      <c r="AS189" s="225"/>
      <c r="AT189" s="225"/>
      <c r="AU189" s="225"/>
      <c r="AV189" s="225"/>
      <c r="AW189" s="225"/>
      <c r="AX189" s="226"/>
      <c r="AY189" s="225"/>
      <c r="AZ189" s="225"/>
      <c r="BA189" s="226"/>
      <c r="BB189" s="225"/>
      <c r="BC189" s="225"/>
      <c r="BD189" s="225"/>
      <c r="BE189" s="225"/>
      <c r="BF189" s="225"/>
      <c r="BG189" s="225"/>
      <c r="BH189" s="225"/>
      <c r="BI189" s="225"/>
      <c r="BJ189" s="225"/>
      <c r="BK189" s="225"/>
      <c r="BL189" s="225"/>
      <c r="BM189" s="225"/>
      <c r="BN189" s="225"/>
      <c r="BO189" s="225"/>
      <c r="BP189" s="225"/>
      <c r="BQ189" s="225"/>
      <c r="BR189" s="225"/>
      <c r="BS189" s="225"/>
      <c r="BT189" s="226"/>
      <c r="BU189" s="225"/>
      <c r="BV189" s="225"/>
      <c r="BW189" s="225"/>
      <c r="BX189" s="225"/>
      <c r="BY189" s="225"/>
      <c r="BZ189" s="225"/>
    </row>
    <row r="190">
      <c r="A190" s="284" t="str">
        <f>IFERROR(__xludf.DUMMYFUNCTION("""COMPUTED_VALUE"""),"Ultimate Crit Mastery")</f>
        <v>Ultimate Crit Mastery</v>
      </c>
      <c r="B190" s="260">
        <f>IFERROR(__xludf.DUMMYFUNCTION("""COMPUTED_VALUE"""),0.0)</f>
        <v>0</v>
      </c>
      <c r="C190" s="225"/>
      <c r="D190" s="345">
        <f>IFERROR(__xludf.DUMMYFUNCTION("""COMPUTED_VALUE"""),9.0)</f>
        <v>9</v>
      </c>
      <c r="E190" s="225"/>
      <c r="F190" s="225"/>
      <c r="G190" s="225"/>
      <c r="H190" s="225"/>
      <c r="I190" s="225"/>
      <c r="J190" s="225"/>
      <c r="K190" s="244"/>
      <c r="L190" s="225"/>
      <c r="M190" s="225"/>
      <c r="N190" s="225"/>
      <c r="O190" s="225"/>
      <c r="P190" s="225"/>
      <c r="Q190" s="227"/>
      <c r="R190" s="234"/>
      <c r="S190" s="225"/>
      <c r="T190" s="225"/>
      <c r="U190" s="225"/>
      <c r="V190" s="225"/>
      <c r="W190" s="225"/>
      <c r="X190" s="225"/>
      <c r="Y190" s="229"/>
      <c r="Z190" s="257"/>
      <c r="AA190" s="225"/>
      <c r="AB190" s="257"/>
      <c r="AC190" s="257"/>
      <c r="AD190" s="226"/>
      <c r="AE190" s="259"/>
      <c r="AF190" s="347"/>
      <c r="AG190" s="232"/>
      <c r="AH190" s="257"/>
      <c r="AI190" s="225"/>
      <c r="AJ190" s="267"/>
      <c r="AK190" s="259"/>
      <c r="AL190" s="226"/>
      <c r="AM190" s="225"/>
      <c r="AN190" s="225"/>
      <c r="AO190" s="254"/>
      <c r="AP190" s="225"/>
      <c r="AQ190" s="225"/>
      <c r="AR190" s="226"/>
      <c r="AS190" s="225"/>
      <c r="AT190" s="225"/>
      <c r="AU190" s="225"/>
      <c r="AV190" s="225"/>
      <c r="AW190" s="225"/>
      <c r="AX190" s="226"/>
      <c r="AY190" s="225"/>
      <c r="AZ190" s="225"/>
      <c r="BA190" s="226"/>
      <c r="BB190" s="225"/>
      <c r="BC190" s="225"/>
      <c r="BD190" s="225"/>
      <c r="BE190" s="225"/>
      <c r="BF190" s="225"/>
      <c r="BG190" s="225"/>
      <c r="BH190" s="225"/>
      <c r="BI190" s="225"/>
      <c r="BJ190" s="225"/>
      <c r="BK190" s="225"/>
      <c r="BL190" s="225"/>
      <c r="BM190" s="225"/>
      <c r="BN190" s="225"/>
      <c r="BO190" s="225"/>
      <c r="BP190" s="225"/>
      <c r="BQ190" s="225"/>
      <c r="BR190" s="225"/>
      <c r="BS190" s="225"/>
      <c r="BT190" s="226"/>
      <c r="BU190" s="225"/>
      <c r="BV190" s="225"/>
      <c r="BW190" s="225"/>
      <c r="BX190" s="225"/>
      <c r="BY190" s="225"/>
      <c r="BZ190" s="225"/>
    </row>
    <row r="191">
      <c r="A191" s="284" t="str">
        <f>IFERROR(__xludf.DUMMYFUNCTION("""COMPUTED_VALUE"""),"Nuke Mastery")</f>
        <v>Nuke Mastery</v>
      </c>
      <c r="B191" s="260">
        <f>IFERROR(__xludf.DUMMYFUNCTION("""COMPUTED_VALUE"""),0.0)</f>
        <v>0</v>
      </c>
      <c r="C191" s="225"/>
      <c r="D191" s="345">
        <f>IFERROR(__xludf.DUMMYFUNCTION("""COMPUTED_VALUE"""),9.0)</f>
        <v>9</v>
      </c>
      <c r="E191" s="225"/>
      <c r="F191" s="225"/>
      <c r="G191" s="225"/>
      <c r="H191" s="225"/>
      <c r="I191" s="225"/>
      <c r="J191" s="225"/>
      <c r="K191" s="244"/>
      <c r="L191" s="225"/>
      <c r="M191" s="225"/>
      <c r="N191" s="225"/>
      <c r="O191" s="225"/>
      <c r="P191" s="225"/>
      <c r="Q191" s="227"/>
      <c r="R191" s="234"/>
      <c r="S191" s="225"/>
      <c r="T191" s="225"/>
      <c r="U191" s="225"/>
      <c r="V191" s="225"/>
      <c r="W191" s="225"/>
      <c r="X191" s="225"/>
      <c r="Y191" s="229"/>
      <c r="Z191" s="257"/>
      <c r="AA191" s="225"/>
      <c r="AB191" s="257"/>
      <c r="AC191" s="257"/>
      <c r="AD191" s="226"/>
      <c r="AE191" s="259"/>
      <c r="AF191" s="347"/>
      <c r="AG191" s="232"/>
      <c r="AH191" s="257"/>
      <c r="AI191" s="225"/>
      <c r="AJ191" s="267"/>
      <c r="AK191" s="259"/>
      <c r="AL191" s="226"/>
      <c r="AM191" s="225"/>
      <c r="AN191" s="225"/>
      <c r="AO191" s="254"/>
      <c r="AP191" s="225"/>
      <c r="AQ191" s="225"/>
      <c r="AR191" s="226"/>
      <c r="AS191" s="225"/>
      <c r="AT191" s="225"/>
      <c r="AU191" s="225"/>
      <c r="AV191" s="225"/>
      <c r="AW191" s="225"/>
      <c r="AX191" s="226"/>
      <c r="AY191" s="225"/>
      <c r="AZ191" s="225"/>
      <c r="BA191" s="226"/>
      <c r="BB191" s="225"/>
      <c r="BC191" s="225"/>
      <c r="BD191" s="225"/>
      <c r="BE191" s="225"/>
      <c r="BF191" s="225"/>
      <c r="BG191" s="225"/>
      <c r="BH191" s="225"/>
      <c r="BI191" s="225"/>
      <c r="BJ191" s="225"/>
      <c r="BK191" s="225"/>
      <c r="BL191" s="225"/>
      <c r="BM191" s="225"/>
      <c r="BN191" s="225"/>
      <c r="BO191" s="225"/>
      <c r="BP191" s="225"/>
      <c r="BQ191" s="225"/>
      <c r="BR191" s="225"/>
      <c r="BS191" s="225"/>
      <c r="BT191" s="226"/>
      <c r="BU191" s="225"/>
      <c r="BV191" s="225"/>
      <c r="BW191" s="225"/>
      <c r="BX191" s="225"/>
      <c r="BY191" s="225"/>
      <c r="BZ191" s="225"/>
    </row>
    <row r="192">
      <c r="A192" s="284" t="str">
        <f>IFERROR(__xludf.DUMMYFUNCTION("""COMPUTED_VALUE"""),"Area of Effect Mastery")</f>
        <v>Area of Effect Mastery</v>
      </c>
      <c r="B192" s="260">
        <f>IFERROR(__xludf.DUMMYFUNCTION("""COMPUTED_VALUE"""),0.0)</f>
        <v>0</v>
      </c>
      <c r="C192" s="225"/>
      <c r="D192" s="345">
        <f>IFERROR(__xludf.DUMMYFUNCTION("""COMPUTED_VALUE"""),9.0)</f>
        <v>9</v>
      </c>
      <c r="E192" s="225"/>
      <c r="F192" s="225"/>
      <c r="G192" s="225"/>
      <c r="H192" s="225"/>
      <c r="I192" s="225"/>
      <c r="J192" s="225"/>
      <c r="K192" s="244"/>
      <c r="L192" s="225"/>
      <c r="M192" s="225"/>
      <c r="N192" s="225"/>
      <c r="O192" s="225"/>
      <c r="P192" s="225"/>
      <c r="Q192" s="227"/>
      <c r="R192" s="234"/>
      <c r="S192" s="225"/>
      <c r="T192" s="225"/>
      <c r="U192" s="225"/>
      <c r="V192" s="225"/>
      <c r="W192" s="225"/>
      <c r="X192" s="225"/>
      <c r="Y192" s="229"/>
      <c r="Z192" s="257"/>
      <c r="AA192" s="225"/>
      <c r="AB192" s="257"/>
      <c r="AC192" s="257"/>
      <c r="AD192" s="226"/>
      <c r="AE192" s="259"/>
      <c r="AF192" s="347"/>
      <c r="AG192" s="232"/>
      <c r="AH192" s="257"/>
      <c r="AI192" s="225"/>
      <c r="AJ192" s="267"/>
      <c r="AK192" s="259"/>
      <c r="AL192" s="226"/>
      <c r="AM192" s="225"/>
      <c r="AN192" s="225"/>
      <c r="AO192" s="254"/>
      <c r="AP192" s="225"/>
      <c r="AQ192" s="225"/>
      <c r="AR192" s="226"/>
      <c r="AS192" s="225"/>
      <c r="AT192" s="225"/>
      <c r="AU192" s="225"/>
      <c r="AV192" s="225"/>
      <c r="AW192" s="225"/>
      <c r="AX192" s="226"/>
      <c r="AY192" s="225"/>
      <c r="AZ192" s="225"/>
      <c r="BA192" s="226"/>
      <c r="BB192" s="225"/>
      <c r="BC192" s="225"/>
      <c r="BD192" s="225"/>
      <c r="BE192" s="225"/>
      <c r="BF192" s="225"/>
      <c r="BG192" s="225"/>
      <c r="BH192" s="225"/>
      <c r="BI192" s="225"/>
      <c r="BJ192" s="225"/>
      <c r="BK192" s="225"/>
      <c r="BL192" s="225"/>
      <c r="BM192" s="225"/>
      <c r="BN192" s="225"/>
      <c r="BO192" s="225"/>
      <c r="BP192" s="225"/>
      <c r="BQ192" s="225"/>
      <c r="BR192" s="225"/>
      <c r="BS192" s="225"/>
      <c r="BT192" s="226"/>
      <c r="BU192" s="225"/>
      <c r="BV192" s="225"/>
      <c r="BW192" s="225"/>
      <c r="BX192" s="225"/>
      <c r="BY192" s="225"/>
      <c r="BZ192" s="225"/>
    </row>
    <row r="193">
      <c r="A193" s="348" t="str">
        <f>IFERROR(__xludf.DUMMYFUNCTION("""COMPUTED_VALUE"""),"Battle Condition Reduction")</f>
        <v>Battle Condition Reduction</v>
      </c>
      <c r="B193" s="260">
        <f>IFERROR(__xludf.DUMMYFUNCTION("""COMPUTED_VALUE"""),0.0)</f>
        <v>0</v>
      </c>
      <c r="C193" s="225"/>
      <c r="D193" s="345">
        <f>IFERROR(__xludf.DUMMYFUNCTION("""COMPUTED_VALUE"""),10.0)</f>
        <v>10</v>
      </c>
      <c r="E193" s="225"/>
      <c r="F193" s="225"/>
      <c r="G193" s="225"/>
      <c r="H193" s="225"/>
      <c r="I193" s="225"/>
      <c r="J193" s="225"/>
      <c r="K193" s="244"/>
      <c r="L193" s="225"/>
      <c r="M193" s="225"/>
      <c r="N193" s="225"/>
      <c r="O193" s="225"/>
      <c r="P193" s="225"/>
      <c r="Q193" s="227"/>
      <c r="R193" s="234"/>
      <c r="S193" s="225"/>
      <c r="T193" s="225"/>
      <c r="U193" s="225"/>
      <c r="V193" s="225"/>
      <c r="W193" s="225"/>
      <c r="X193" s="225"/>
      <c r="Y193" s="229"/>
      <c r="Z193" s="257"/>
      <c r="AA193" s="225"/>
      <c r="AB193" s="257"/>
      <c r="AC193" s="257"/>
      <c r="AD193" s="226"/>
      <c r="AE193" s="259"/>
      <c r="AF193" s="347"/>
      <c r="AG193" s="232"/>
      <c r="AH193" s="257"/>
      <c r="AI193" s="225"/>
      <c r="AJ193" s="267"/>
      <c r="AK193" s="259"/>
      <c r="AL193" s="226"/>
      <c r="AM193" s="225"/>
      <c r="AN193" s="225"/>
      <c r="AO193" s="254"/>
      <c r="AP193" s="225"/>
      <c r="AQ193" s="225"/>
      <c r="AR193" s="226"/>
      <c r="AS193" s="225"/>
      <c r="AT193" s="225"/>
      <c r="AU193" s="225"/>
      <c r="AV193" s="225"/>
      <c r="AW193" s="225"/>
      <c r="AX193" s="226"/>
      <c r="AY193" s="225"/>
      <c r="AZ193" s="225"/>
      <c r="BA193" s="226"/>
      <c r="BB193" s="225"/>
      <c r="BC193" s="225"/>
      <c r="BD193" s="225"/>
      <c r="BE193" s="225"/>
      <c r="BF193" s="225"/>
      <c r="BG193" s="225"/>
      <c r="BH193" s="225"/>
      <c r="BI193" s="225"/>
      <c r="BJ193" s="225"/>
      <c r="BK193" s="225"/>
      <c r="BL193" s="225"/>
      <c r="BM193" s="225"/>
      <c r="BN193" s="225"/>
      <c r="BO193" s="225"/>
      <c r="BP193" s="225"/>
      <c r="BQ193" s="225"/>
      <c r="BR193" s="225"/>
      <c r="BS193" s="225"/>
      <c r="BT193" s="226"/>
      <c r="BU193" s="225"/>
      <c r="BV193" s="225"/>
      <c r="BW193" s="225"/>
      <c r="BX193" s="225"/>
      <c r="BY193" s="225"/>
      <c r="BZ193" s="225"/>
    </row>
    <row r="194">
      <c r="A194" s="348" t="str">
        <f>IFERROR(__xludf.DUMMYFUNCTION("""COMPUTED_VALUE"""),"Knockback Resistance")</f>
        <v>Knockback Resistance</v>
      </c>
      <c r="B194" s="260">
        <f>IFERROR(__xludf.DUMMYFUNCTION("""COMPUTED_VALUE"""),0.0)</f>
        <v>0</v>
      </c>
      <c r="C194" s="225"/>
      <c r="D194" s="345">
        <f>IFERROR(__xludf.DUMMYFUNCTION("""COMPUTED_VALUE"""),20.0)</f>
        <v>20</v>
      </c>
      <c r="E194" s="225"/>
      <c r="F194" s="225"/>
      <c r="G194" s="225"/>
      <c r="H194" s="225"/>
      <c r="I194" s="225"/>
      <c r="J194" s="225"/>
      <c r="K194" s="244"/>
      <c r="L194" s="225"/>
      <c r="M194" s="225"/>
      <c r="N194" s="225"/>
      <c r="O194" s="225"/>
      <c r="P194" s="225"/>
      <c r="Q194" s="227"/>
      <c r="R194" s="234"/>
      <c r="S194" s="225"/>
      <c r="T194" s="225"/>
      <c r="U194" s="225"/>
      <c r="V194" s="225"/>
      <c r="W194" s="225"/>
      <c r="X194" s="225"/>
      <c r="Y194" s="229"/>
      <c r="Z194" s="257"/>
      <c r="AA194" s="225"/>
      <c r="AB194" s="257"/>
      <c r="AC194" s="257"/>
      <c r="AD194" s="226"/>
      <c r="AE194" s="259"/>
      <c r="AF194" s="347"/>
      <c r="AG194" s="232"/>
      <c r="AH194" s="257"/>
      <c r="AI194" s="225"/>
      <c r="AJ194" s="267"/>
      <c r="AK194" s="259"/>
      <c r="AL194" s="226"/>
      <c r="AM194" s="225"/>
      <c r="AN194" s="225"/>
      <c r="AO194" s="254"/>
      <c r="AP194" s="225"/>
      <c r="AQ194" s="225"/>
      <c r="AR194" s="226"/>
      <c r="AS194" s="225"/>
      <c r="AT194" s="225"/>
      <c r="AU194" s="225"/>
      <c r="AV194" s="225"/>
      <c r="AW194" s="225"/>
      <c r="AX194" s="226"/>
      <c r="AY194" s="225"/>
      <c r="AZ194" s="225"/>
      <c r="BA194" s="226"/>
      <c r="BB194" s="225"/>
      <c r="BC194" s="225"/>
      <c r="BD194" s="225"/>
      <c r="BE194" s="225"/>
      <c r="BF194" s="225"/>
      <c r="BG194" s="225"/>
      <c r="BH194" s="225"/>
      <c r="BI194" s="225"/>
      <c r="BJ194" s="225"/>
      <c r="BK194" s="225"/>
      <c r="BL194" s="225"/>
      <c r="BM194" s="225"/>
      <c r="BN194" s="225"/>
      <c r="BO194" s="225"/>
      <c r="BP194" s="225"/>
      <c r="BQ194" s="225"/>
      <c r="BR194" s="225"/>
      <c r="BS194" s="225"/>
      <c r="BT194" s="226"/>
      <c r="BU194" s="225"/>
      <c r="BV194" s="225"/>
      <c r="BW194" s="225"/>
      <c r="BX194" s="225"/>
      <c r="BY194" s="225"/>
      <c r="BZ194" s="225"/>
    </row>
    <row r="195">
      <c r="A195" s="348" t="str">
        <f>IFERROR(__xludf.DUMMYFUNCTION("""COMPUTED_VALUE"""),"Thorns Resistance")</f>
        <v>Thorns Resistance</v>
      </c>
      <c r="B195" s="260">
        <f>IFERROR(__xludf.DUMMYFUNCTION("""COMPUTED_VALUE"""),0.0)</f>
        <v>0</v>
      </c>
      <c r="C195" s="225"/>
      <c r="D195" s="345">
        <f>IFERROR(__xludf.DUMMYFUNCTION("""COMPUTED_VALUE"""),20.0)</f>
        <v>20</v>
      </c>
      <c r="E195" s="225"/>
      <c r="F195" s="225"/>
      <c r="G195" s="225"/>
      <c r="H195" s="225"/>
      <c r="I195" s="225"/>
      <c r="J195" s="225"/>
      <c r="K195" s="244"/>
      <c r="L195" s="225"/>
      <c r="M195" s="225"/>
      <c r="N195" s="225"/>
      <c r="O195" s="225"/>
      <c r="P195" s="225"/>
      <c r="Q195" s="227"/>
      <c r="R195" s="234"/>
      <c r="S195" s="225"/>
      <c r="T195" s="225"/>
      <c r="U195" s="225"/>
      <c r="V195" s="225"/>
      <c r="W195" s="225"/>
      <c r="X195" s="225"/>
      <c r="Y195" s="229"/>
      <c r="Z195" s="257"/>
      <c r="AA195" s="225"/>
      <c r="AB195" s="257"/>
      <c r="AC195" s="257"/>
      <c r="AD195" s="226"/>
      <c r="AE195" s="259"/>
      <c r="AF195" s="347"/>
      <c r="AG195" s="232"/>
      <c r="AH195" s="257"/>
      <c r="AI195" s="225"/>
      <c r="AJ195" s="267"/>
      <c r="AK195" s="259"/>
      <c r="AL195" s="226"/>
      <c r="AM195" s="225"/>
      <c r="AN195" s="225"/>
      <c r="AO195" s="254"/>
      <c r="AP195" s="225"/>
      <c r="AQ195" s="225"/>
      <c r="AR195" s="226"/>
      <c r="AS195" s="225"/>
      <c r="AT195" s="225"/>
      <c r="AU195" s="225"/>
      <c r="AV195" s="225"/>
      <c r="AW195" s="225"/>
      <c r="AX195" s="226"/>
      <c r="AY195" s="225"/>
      <c r="AZ195" s="225"/>
      <c r="BA195" s="226"/>
      <c r="BB195" s="225"/>
      <c r="BC195" s="225"/>
      <c r="BD195" s="225"/>
      <c r="BE195" s="225"/>
      <c r="BF195" s="225"/>
      <c r="BG195" s="225"/>
      <c r="BH195" s="225"/>
      <c r="BI195" s="225"/>
      <c r="BJ195" s="225"/>
      <c r="BK195" s="225"/>
      <c r="BL195" s="225"/>
      <c r="BM195" s="225"/>
      <c r="BN195" s="225"/>
      <c r="BO195" s="225"/>
      <c r="BP195" s="225"/>
      <c r="BQ195" s="225"/>
      <c r="BR195" s="225"/>
      <c r="BS195" s="225"/>
      <c r="BT195" s="226"/>
      <c r="BU195" s="225"/>
      <c r="BV195" s="225"/>
      <c r="BW195" s="225"/>
      <c r="BX195" s="225"/>
      <c r="BY195" s="225"/>
      <c r="BZ195" s="225"/>
    </row>
    <row r="196">
      <c r="A196" s="348" t="str">
        <f>IFERROR(__xludf.DUMMYFUNCTION("""COMPUTED_VALUE"""),"Orb Resistance")</f>
        <v>Orb Resistance</v>
      </c>
      <c r="B196" s="260">
        <f>IFERROR(__xludf.DUMMYFUNCTION("""COMPUTED_VALUE"""),0.0)</f>
        <v>0</v>
      </c>
      <c r="C196" s="225"/>
      <c r="D196" s="345">
        <f>IFERROR(__xludf.DUMMYFUNCTION("""COMPUTED_VALUE"""),20.0)</f>
        <v>20</v>
      </c>
      <c r="E196" s="225"/>
      <c r="F196" s="225"/>
      <c r="G196" s="225"/>
      <c r="H196" s="225"/>
      <c r="I196" s="225"/>
      <c r="J196" s="225"/>
      <c r="K196" s="244"/>
      <c r="L196" s="225"/>
      <c r="M196" s="225"/>
      <c r="N196" s="225"/>
      <c r="O196" s="225"/>
      <c r="P196" s="225"/>
      <c r="Q196" s="227"/>
      <c r="R196" s="234"/>
      <c r="S196" s="225"/>
      <c r="T196" s="225"/>
      <c r="U196" s="225"/>
      <c r="V196" s="225"/>
      <c r="W196" s="225"/>
      <c r="X196" s="225"/>
      <c r="Y196" s="229"/>
      <c r="Z196" s="257"/>
      <c r="AA196" s="225"/>
      <c r="AB196" s="257"/>
      <c r="AC196" s="257"/>
      <c r="AD196" s="226"/>
      <c r="AE196" s="259"/>
      <c r="AF196" s="347"/>
      <c r="AG196" s="232"/>
      <c r="AH196" s="257"/>
      <c r="AI196" s="225"/>
      <c r="AJ196" s="267"/>
      <c r="AK196" s="259"/>
      <c r="AL196" s="226"/>
      <c r="AM196" s="225"/>
      <c r="AN196" s="225"/>
      <c r="AO196" s="254"/>
      <c r="AP196" s="225"/>
      <c r="AQ196" s="225"/>
      <c r="AR196" s="226"/>
      <c r="AS196" s="225"/>
      <c r="AT196" s="225"/>
      <c r="AU196" s="225"/>
      <c r="AV196" s="225"/>
      <c r="AW196" s="225"/>
      <c r="AX196" s="226"/>
      <c r="AY196" s="225"/>
      <c r="AZ196" s="225"/>
      <c r="BA196" s="226"/>
      <c r="BB196" s="225"/>
      <c r="BC196" s="225"/>
      <c r="BD196" s="225"/>
      <c r="BE196" s="225"/>
      <c r="BF196" s="225"/>
      <c r="BG196" s="225"/>
      <c r="BH196" s="225"/>
      <c r="BI196" s="225"/>
      <c r="BJ196" s="225"/>
      <c r="BK196" s="225"/>
      <c r="BL196" s="225"/>
      <c r="BM196" s="225"/>
      <c r="BN196" s="225"/>
      <c r="BO196" s="225"/>
      <c r="BP196" s="225"/>
      <c r="BQ196" s="225"/>
      <c r="BR196" s="225"/>
      <c r="BS196" s="225"/>
      <c r="BT196" s="226"/>
      <c r="BU196" s="225"/>
      <c r="BV196" s="225"/>
      <c r="BW196" s="225"/>
      <c r="BX196" s="225"/>
      <c r="BY196" s="225"/>
      <c r="BZ196" s="225"/>
    </row>
    <row r="197">
      <c r="A197" s="348" t="str">
        <f>IFERROR(__xludf.DUMMYFUNCTION("""COMPUTED_VALUE"""),"Plasma Cannon Resistance")</f>
        <v>Plasma Cannon Resistance</v>
      </c>
      <c r="B197" s="260">
        <f>IFERROR(__xludf.DUMMYFUNCTION("""COMPUTED_VALUE"""),0.0)</f>
        <v>0</v>
      </c>
      <c r="C197" s="225"/>
      <c r="D197" s="345">
        <f>IFERROR(__xludf.DUMMYFUNCTION("""COMPUTED_VALUE"""),20.0)</f>
        <v>20</v>
      </c>
      <c r="E197" s="225"/>
      <c r="F197" s="225"/>
      <c r="G197" s="225"/>
      <c r="H197" s="225"/>
      <c r="I197" s="225"/>
      <c r="J197" s="225"/>
      <c r="K197" s="244"/>
      <c r="L197" s="225"/>
      <c r="M197" s="225"/>
      <c r="N197" s="225"/>
      <c r="O197" s="225"/>
      <c r="P197" s="225"/>
      <c r="Q197" s="227"/>
      <c r="R197" s="234"/>
      <c r="S197" s="225"/>
      <c r="T197" s="225"/>
      <c r="U197" s="225"/>
      <c r="V197" s="225"/>
      <c r="W197" s="225"/>
      <c r="X197" s="225"/>
      <c r="Y197" s="229"/>
      <c r="Z197" s="257"/>
      <c r="AA197" s="225"/>
      <c r="AB197" s="257"/>
      <c r="AC197" s="257"/>
      <c r="AD197" s="226"/>
      <c r="AE197" s="259"/>
      <c r="AF197" s="347"/>
      <c r="AG197" s="232"/>
      <c r="AH197" s="257"/>
      <c r="AI197" s="225"/>
      <c r="AJ197" s="267"/>
      <c r="AK197" s="259"/>
      <c r="AL197" s="226"/>
      <c r="AM197" s="225"/>
      <c r="AN197" s="225"/>
      <c r="AO197" s="254"/>
      <c r="AP197" s="225"/>
      <c r="AQ197" s="225"/>
      <c r="AR197" s="226"/>
      <c r="AS197" s="225"/>
      <c r="AT197" s="225"/>
      <c r="AU197" s="225"/>
      <c r="AV197" s="225"/>
      <c r="AW197" s="225"/>
      <c r="AX197" s="226"/>
      <c r="AY197" s="225"/>
      <c r="AZ197" s="225"/>
      <c r="BA197" s="226"/>
      <c r="BB197" s="225"/>
      <c r="BC197" s="225"/>
      <c r="BD197" s="225"/>
      <c r="BE197" s="225"/>
      <c r="BF197" s="225"/>
      <c r="BG197" s="225"/>
      <c r="BH197" s="225"/>
      <c r="BI197" s="225"/>
      <c r="BJ197" s="225"/>
      <c r="BK197" s="225"/>
      <c r="BL197" s="225"/>
      <c r="BM197" s="225"/>
      <c r="BN197" s="225"/>
      <c r="BO197" s="225"/>
      <c r="BP197" s="225"/>
      <c r="BQ197" s="225"/>
      <c r="BR197" s="225"/>
      <c r="BS197" s="225"/>
      <c r="BT197" s="226"/>
      <c r="BU197" s="225"/>
      <c r="BV197" s="225"/>
      <c r="BW197" s="225"/>
      <c r="BX197" s="225"/>
      <c r="BY197" s="225"/>
      <c r="BZ197" s="225"/>
    </row>
    <row r="198">
      <c r="A198" s="348" t="str">
        <f>IFERROR(__xludf.DUMMYFUNCTION("""COMPUTED_VALUE"""),"Death Ray Resistance")</f>
        <v>Death Ray Resistance</v>
      </c>
      <c r="B198" s="260">
        <f>IFERROR(__xludf.DUMMYFUNCTION("""COMPUTED_VALUE"""),0.0)</f>
        <v>0</v>
      </c>
      <c r="C198" s="225"/>
      <c r="D198" s="345">
        <f>IFERROR(__xludf.DUMMYFUNCTION("""COMPUTED_VALUE"""),20.0)</f>
        <v>20</v>
      </c>
      <c r="E198" s="225"/>
      <c r="F198" s="225"/>
      <c r="G198" s="225"/>
      <c r="H198" s="225"/>
      <c r="I198" s="225"/>
      <c r="J198" s="225"/>
      <c r="K198" s="244"/>
      <c r="L198" s="225"/>
      <c r="M198" s="225"/>
      <c r="N198" s="225"/>
      <c r="O198" s="225"/>
      <c r="P198" s="225"/>
      <c r="Q198" s="227"/>
      <c r="R198" s="234"/>
      <c r="S198" s="225"/>
      <c r="T198" s="225"/>
      <c r="U198" s="225"/>
      <c r="V198" s="225"/>
      <c r="W198" s="225"/>
      <c r="X198" s="225"/>
      <c r="Y198" s="229"/>
      <c r="Z198" s="257"/>
      <c r="AA198" s="225"/>
      <c r="AB198" s="257"/>
      <c r="AC198" s="257"/>
      <c r="AD198" s="226"/>
      <c r="AE198" s="259"/>
      <c r="AF198" s="347"/>
      <c r="AG198" s="232"/>
      <c r="AH198" s="257"/>
      <c r="AI198" s="225"/>
      <c r="AJ198" s="267"/>
      <c r="AK198" s="259"/>
      <c r="AL198" s="226"/>
      <c r="AM198" s="225"/>
      <c r="AN198" s="225"/>
      <c r="AO198" s="254"/>
      <c r="AP198" s="225"/>
      <c r="AQ198" s="225"/>
      <c r="AR198" s="226"/>
      <c r="AS198" s="225"/>
      <c r="AT198" s="225"/>
      <c r="AU198" s="225"/>
      <c r="AV198" s="225"/>
      <c r="AW198" s="225"/>
      <c r="AX198" s="226"/>
      <c r="AY198" s="225"/>
      <c r="AZ198" s="225"/>
      <c r="BA198" s="226"/>
      <c r="BB198" s="225"/>
      <c r="BC198" s="225"/>
      <c r="BD198" s="225"/>
      <c r="BE198" s="225"/>
      <c r="BF198" s="225"/>
      <c r="BG198" s="225"/>
      <c r="BH198" s="225"/>
      <c r="BI198" s="225"/>
      <c r="BJ198" s="225"/>
      <c r="BK198" s="225"/>
      <c r="BL198" s="225"/>
      <c r="BM198" s="225"/>
      <c r="BN198" s="225"/>
      <c r="BO198" s="225"/>
      <c r="BP198" s="225"/>
      <c r="BQ198" s="225"/>
      <c r="BR198" s="225"/>
      <c r="BS198" s="225"/>
      <c r="BT198" s="226"/>
      <c r="BU198" s="225"/>
      <c r="BV198" s="225"/>
      <c r="BW198" s="225"/>
      <c r="BX198" s="225"/>
      <c r="BY198" s="225"/>
      <c r="BZ198" s="225"/>
    </row>
    <row r="199">
      <c r="A199" s="348" t="str">
        <f>IFERROR(__xludf.DUMMYFUNCTION("""COMPUTED_VALUE"""),"Armored Enemies")</f>
        <v>Armored Enemies</v>
      </c>
      <c r="B199" s="260">
        <f>IFERROR(__xludf.DUMMYFUNCTION("""COMPUTED_VALUE"""),0.0)</f>
        <v>0</v>
      </c>
      <c r="C199" s="225"/>
      <c r="D199" s="345">
        <f>IFERROR(__xludf.DUMMYFUNCTION("""COMPUTED_VALUE"""),20.0)</f>
        <v>20</v>
      </c>
      <c r="E199" s="225"/>
      <c r="F199" s="225"/>
      <c r="G199" s="225"/>
      <c r="H199" s="225"/>
      <c r="I199" s="225"/>
      <c r="J199" s="225"/>
      <c r="K199" s="244"/>
      <c r="L199" s="225"/>
      <c r="M199" s="225"/>
      <c r="N199" s="225"/>
      <c r="O199" s="225"/>
      <c r="P199" s="225"/>
      <c r="Q199" s="227"/>
      <c r="R199" s="234"/>
      <c r="S199" s="225"/>
      <c r="T199" s="225"/>
      <c r="U199" s="225"/>
      <c r="V199" s="225"/>
      <c r="W199" s="225"/>
      <c r="X199" s="225"/>
      <c r="Y199" s="229"/>
      <c r="Z199" s="257"/>
      <c r="AA199" s="225"/>
      <c r="AB199" s="257"/>
      <c r="AC199" s="257"/>
      <c r="AD199" s="226"/>
      <c r="AE199" s="259"/>
      <c r="AF199" s="347"/>
      <c r="AG199" s="232"/>
      <c r="AH199" s="257"/>
      <c r="AI199" s="225"/>
      <c r="AJ199" s="267"/>
      <c r="AK199" s="259"/>
      <c r="AL199" s="226"/>
      <c r="AM199" s="225"/>
      <c r="AN199" s="225"/>
      <c r="AO199" s="254"/>
      <c r="AP199" s="225"/>
      <c r="AQ199" s="225"/>
      <c r="AR199" s="226"/>
      <c r="AS199" s="225"/>
      <c r="AT199" s="225"/>
      <c r="AU199" s="225"/>
      <c r="AV199" s="225"/>
      <c r="AW199" s="225"/>
      <c r="AX199" s="226"/>
      <c r="AY199" s="225"/>
      <c r="AZ199" s="225"/>
      <c r="BA199" s="226"/>
      <c r="BB199" s="225"/>
      <c r="BC199" s="225"/>
      <c r="BD199" s="225"/>
      <c r="BE199" s="225"/>
      <c r="BF199" s="225"/>
      <c r="BG199" s="225"/>
      <c r="BH199" s="225"/>
      <c r="BI199" s="225"/>
      <c r="BJ199" s="225"/>
      <c r="BK199" s="225"/>
      <c r="BL199" s="225"/>
      <c r="BM199" s="225"/>
      <c r="BN199" s="225"/>
      <c r="BO199" s="225"/>
      <c r="BP199" s="225"/>
      <c r="BQ199" s="225"/>
      <c r="BR199" s="225"/>
      <c r="BS199" s="225"/>
      <c r="BT199" s="226"/>
      <c r="BU199" s="225"/>
      <c r="BV199" s="225"/>
      <c r="BW199" s="225"/>
      <c r="BX199" s="225"/>
      <c r="BY199" s="225"/>
      <c r="BZ199" s="225"/>
    </row>
    <row r="200">
      <c r="A200" s="348" t="str">
        <f>IFERROR(__xludf.DUMMYFUNCTION("""COMPUTED_VALUE"""),"Enemy Speed")</f>
        <v>Enemy Speed</v>
      </c>
      <c r="B200" s="260">
        <f>IFERROR(__xludf.DUMMYFUNCTION("""COMPUTED_VALUE"""),0.0)</f>
        <v>0</v>
      </c>
      <c r="C200" s="225"/>
      <c r="D200" s="345">
        <f>IFERROR(__xludf.DUMMYFUNCTION("""COMPUTED_VALUE"""),20.0)</f>
        <v>20</v>
      </c>
      <c r="E200" s="225"/>
      <c r="F200" s="225"/>
      <c r="G200" s="225"/>
      <c r="H200" s="225"/>
      <c r="I200" s="225"/>
      <c r="J200" s="225"/>
      <c r="K200" s="244"/>
      <c r="L200" s="225"/>
      <c r="M200" s="225"/>
      <c r="N200" s="225"/>
      <c r="O200" s="225"/>
      <c r="P200" s="225"/>
      <c r="Q200" s="227"/>
      <c r="R200" s="234"/>
      <c r="S200" s="225"/>
      <c r="T200" s="225"/>
      <c r="U200" s="225"/>
      <c r="V200" s="225"/>
      <c r="W200" s="225"/>
      <c r="X200" s="225"/>
      <c r="Y200" s="229"/>
      <c r="Z200" s="257"/>
      <c r="AA200" s="225"/>
      <c r="AB200" s="257"/>
      <c r="AC200" s="257"/>
      <c r="AD200" s="226"/>
      <c r="AE200" s="259"/>
      <c r="AF200" s="347"/>
      <c r="AG200" s="232"/>
      <c r="AH200" s="257"/>
      <c r="AI200" s="225"/>
      <c r="AJ200" s="267"/>
      <c r="AK200" s="259"/>
      <c r="AL200" s="226"/>
      <c r="AM200" s="225"/>
      <c r="AN200" s="225"/>
      <c r="AO200" s="254"/>
      <c r="AP200" s="225"/>
      <c r="AQ200" s="225"/>
      <c r="AR200" s="226"/>
      <c r="AS200" s="225"/>
      <c r="AT200" s="225"/>
      <c r="AU200" s="225"/>
      <c r="AV200" s="225"/>
      <c r="AW200" s="225"/>
      <c r="AX200" s="226"/>
      <c r="AY200" s="225"/>
      <c r="AZ200" s="225"/>
      <c r="BA200" s="226"/>
      <c r="BB200" s="225"/>
      <c r="BC200" s="225"/>
      <c r="BD200" s="225"/>
      <c r="BE200" s="225"/>
      <c r="BF200" s="225"/>
      <c r="BG200" s="225"/>
      <c r="BH200" s="225"/>
      <c r="BI200" s="225"/>
      <c r="BJ200" s="225"/>
      <c r="BK200" s="225"/>
      <c r="BL200" s="225"/>
      <c r="BM200" s="225"/>
      <c r="BN200" s="225"/>
      <c r="BO200" s="225"/>
      <c r="BP200" s="225"/>
      <c r="BQ200" s="225"/>
      <c r="BR200" s="225"/>
      <c r="BS200" s="225"/>
      <c r="BT200" s="226"/>
      <c r="BU200" s="225"/>
      <c r="BV200" s="225"/>
      <c r="BW200" s="225"/>
      <c r="BX200" s="225"/>
      <c r="BY200" s="225"/>
      <c r="BZ200" s="225"/>
    </row>
    <row r="201">
      <c r="A201" s="348" t="str">
        <f>IFERROR(__xludf.DUMMYFUNCTION("""COMPUTED_VALUE"""),"More Enemies")</f>
        <v>More Enemies</v>
      </c>
      <c r="B201" s="260">
        <f>IFERROR(__xludf.DUMMYFUNCTION("""COMPUTED_VALUE"""),0.0)</f>
        <v>0</v>
      </c>
      <c r="C201" s="225"/>
      <c r="D201" s="345">
        <f>IFERROR(__xludf.DUMMYFUNCTION("""COMPUTED_VALUE"""),20.0)</f>
        <v>20</v>
      </c>
      <c r="E201" s="225"/>
      <c r="F201" s="225"/>
      <c r="G201" s="225"/>
      <c r="H201" s="225"/>
      <c r="I201" s="225"/>
      <c r="J201" s="225"/>
      <c r="K201" s="244"/>
      <c r="L201" s="225"/>
      <c r="M201" s="225"/>
      <c r="N201" s="225"/>
      <c r="O201" s="225"/>
      <c r="P201" s="225"/>
      <c r="Q201" s="227"/>
      <c r="R201" s="234"/>
      <c r="S201" s="225"/>
      <c r="T201" s="225"/>
      <c r="U201" s="225"/>
      <c r="V201" s="225"/>
      <c r="W201" s="225"/>
      <c r="X201" s="225"/>
      <c r="Y201" s="229"/>
      <c r="Z201" s="257"/>
      <c r="AA201" s="225"/>
      <c r="AB201" s="257"/>
      <c r="AC201" s="257"/>
      <c r="AD201" s="226"/>
      <c r="AE201" s="259"/>
      <c r="AF201" s="347"/>
      <c r="AG201" s="232"/>
      <c r="AH201" s="230"/>
      <c r="AI201" s="225"/>
      <c r="AJ201" s="267"/>
      <c r="AK201" s="259"/>
      <c r="AL201" s="226"/>
      <c r="AM201" s="225"/>
      <c r="AN201" s="225"/>
      <c r="AO201" s="254"/>
      <c r="AP201" s="225"/>
      <c r="AQ201" s="225"/>
      <c r="AR201" s="226"/>
      <c r="AS201" s="225"/>
      <c r="AT201" s="225"/>
      <c r="AU201" s="225"/>
      <c r="AV201" s="225"/>
      <c r="AW201" s="225"/>
      <c r="AX201" s="226"/>
      <c r="AY201" s="225"/>
      <c r="AZ201" s="225"/>
      <c r="BA201" s="226"/>
      <c r="BB201" s="225"/>
      <c r="BC201" s="225"/>
      <c r="BD201" s="225"/>
      <c r="BE201" s="225"/>
      <c r="BF201" s="225"/>
      <c r="BG201" s="225"/>
      <c r="BH201" s="225"/>
      <c r="BI201" s="225"/>
      <c r="BJ201" s="225"/>
      <c r="BK201" s="225"/>
      <c r="BL201" s="225"/>
      <c r="BM201" s="225"/>
      <c r="BN201" s="225"/>
      <c r="BO201" s="225"/>
      <c r="BP201" s="225"/>
      <c r="BQ201" s="225"/>
      <c r="BR201" s="225"/>
      <c r="BS201" s="225"/>
      <c r="BT201" s="226"/>
      <c r="BU201" s="225"/>
      <c r="BV201" s="225"/>
      <c r="BW201" s="225"/>
      <c r="BX201" s="225"/>
      <c r="BY201" s="225"/>
      <c r="BZ201" s="225"/>
    </row>
    <row r="202">
      <c r="A202" s="348" t="str">
        <f>IFERROR(__xludf.DUMMYFUNCTION("""COMPUTED_VALUE"""),"Enemy Attack Speed")</f>
        <v>Enemy Attack Speed</v>
      </c>
      <c r="B202" s="260">
        <f>IFERROR(__xludf.DUMMYFUNCTION("""COMPUTED_VALUE"""),0.0)</f>
        <v>0</v>
      </c>
      <c r="C202" s="225"/>
      <c r="D202" s="345">
        <f>IFERROR(__xludf.DUMMYFUNCTION("""COMPUTED_VALUE"""),20.0)</f>
        <v>20</v>
      </c>
      <c r="E202" s="225"/>
      <c r="F202" s="225"/>
      <c r="G202" s="225"/>
      <c r="H202" s="225"/>
      <c r="I202" s="225"/>
      <c r="J202" s="225"/>
      <c r="K202" s="244"/>
      <c r="L202" s="225"/>
      <c r="M202" s="225"/>
      <c r="N202" s="225"/>
      <c r="O202" s="225"/>
      <c r="P202" s="225"/>
      <c r="Q202" s="227"/>
      <c r="R202" s="234"/>
      <c r="S202" s="244"/>
      <c r="T202" s="225"/>
      <c r="U202" s="225"/>
      <c r="V202" s="225"/>
      <c r="W202" s="225"/>
      <c r="X202" s="225"/>
      <c r="Y202" s="229"/>
      <c r="Z202" s="257"/>
      <c r="AA202" s="225"/>
      <c r="AB202" s="257"/>
      <c r="AC202" s="257"/>
      <c r="AD202" s="349"/>
      <c r="AE202" s="259"/>
      <c r="AF202" s="347"/>
      <c r="AG202" s="232"/>
      <c r="AH202" s="230"/>
      <c r="AI202" s="234"/>
      <c r="AJ202" s="267"/>
      <c r="AK202" s="259"/>
      <c r="AL202" s="232"/>
      <c r="AM202" s="225"/>
      <c r="AN202" s="225"/>
      <c r="AO202" s="254"/>
      <c r="AP202" s="225"/>
      <c r="AQ202" s="257"/>
      <c r="AR202" s="256"/>
      <c r="AS202" s="225"/>
      <c r="AT202" s="257"/>
      <c r="AU202" s="225"/>
      <c r="AV202" s="267"/>
      <c r="AW202" s="259"/>
      <c r="AX202" s="226"/>
      <c r="AY202" s="225"/>
      <c r="AZ202" s="225"/>
      <c r="BA202" s="254"/>
      <c r="BB202" s="225"/>
      <c r="BC202" s="225"/>
      <c r="BD202" s="225"/>
      <c r="BE202" s="225"/>
      <c r="BF202" s="225"/>
      <c r="BG202" s="225"/>
      <c r="BH202" s="225"/>
      <c r="BI202" s="225"/>
      <c r="BJ202" s="225"/>
      <c r="BK202" s="225"/>
      <c r="BL202" s="225"/>
      <c r="BM202" s="225"/>
      <c r="BN202" s="225"/>
      <c r="BO202" s="225"/>
      <c r="BP202" s="225"/>
      <c r="BQ202" s="225"/>
      <c r="BR202" s="225"/>
      <c r="BS202" s="225"/>
      <c r="BT202" s="226"/>
      <c r="BU202" s="225"/>
      <c r="BV202" s="225"/>
      <c r="BW202" s="225"/>
      <c r="BX202" s="225"/>
      <c r="BY202" s="225"/>
      <c r="BZ202" s="225"/>
    </row>
    <row r="203">
      <c r="A203" s="348" t="str">
        <f>IFERROR(__xludf.DUMMYFUNCTION("""COMPUTED_VALUE"""),"Fast's Ultimate")</f>
        <v>Fast's Ultimate</v>
      </c>
      <c r="B203" s="260">
        <f>IFERROR(__xludf.DUMMYFUNCTION("""COMPUTED_VALUE"""),0.0)</f>
        <v>0</v>
      </c>
      <c r="C203" s="225"/>
      <c r="D203" s="345">
        <f>IFERROR(__xludf.DUMMYFUNCTION("""COMPUTED_VALUE"""),10.0)</f>
        <v>10</v>
      </c>
      <c r="E203" s="225"/>
      <c r="F203" s="225"/>
      <c r="G203" s="225"/>
      <c r="H203" s="225"/>
      <c r="I203" s="225"/>
      <c r="J203" s="225"/>
      <c r="K203" s="244"/>
      <c r="L203" s="225"/>
      <c r="M203" s="225"/>
      <c r="N203" s="225"/>
      <c r="O203" s="225"/>
      <c r="P203" s="225"/>
      <c r="Q203" s="227"/>
      <c r="R203" s="234"/>
      <c r="S203" s="244"/>
      <c r="T203" s="225"/>
      <c r="U203" s="225"/>
      <c r="V203" s="225"/>
      <c r="W203" s="225"/>
      <c r="X203" s="225"/>
      <c r="Y203" s="229"/>
      <c r="Z203" s="257"/>
      <c r="AA203" s="225"/>
      <c r="AB203" s="257"/>
      <c r="AC203" s="257"/>
      <c r="AD203" s="349"/>
      <c r="AE203" s="259"/>
      <c r="AF203" s="347"/>
      <c r="AG203" s="232"/>
      <c r="AH203" s="266"/>
      <c r="AI203" s="234"/>
      <c r="AJ203" s="267"/>
      <c r="AK203" s="259"/>
      <c r="AL203" s="229"/>
      <c r="AM203" s="225"/>
      <c r="AN203" s="225"/>
      <c r="AO203" s="254"/>
      <c r="AP203" s="225"/>
      <c r="AQ203" s="269"/>
      <c r="AR203" s="226"/>
      <c r="AS203" s="225"/>
      <c r="AT203" s="269"/>
      <c r="AU203" s="225"/>
      <c r="AV203" s="271"/>
      <c r="AW203" s="271"/>
      <c r="AX203" s="226"/>
      <c r="AY203" s="225"/>
      <c r="AZ203" s="225"/>
      <c r="BA203" s="272"/>
      <c r="BB203" s="271"/>
      <c r="BC203" s="225"/>
      <c r="BD203" s="225"/>
      <c r="BE203" s="225"/>
      <c r="BF203" s="225"/>
      <c r="BG203" s="225"/>
      <c r="BH203" s="225"/>
      <c r="BI203" s="225"/>
      <c r="BJ203" s="225"/>
      <c r="BK203" s="225"/>
      <c r="BL203" s="225"/>
      <c r="BM203" s="225"/>
      <c r="BN203" s="225"/>
      <c r="BO203" s="225"/>
      <c r="BP203" s="225"/>
      <c r="BQ203" s="225"/>
      <c r="BR203" s="225"/>
      <c r="BS203" s="225"/>
      <c r="BT203" s="226"/>
      <c r="BU203" s="225"/>
      <c r="BV203" s="225"/>
      <c r="BW203" s="225"/>
      <c r="BX203" s="225"/>
      <c r="BY203" s="225"/>
      <c r="BZ203" s="225"/>
    </row>
    <row r="204">
      <c r="A204" s="348" t="str">
        <f>IFERROR(__xludf.DUMMYFUNCTION("""COMPUTED_VALUE"""),"Ranged Ultimate")</f>
        <v>Ranged Ultimate</v>
      </c>
      <c r="B204" s="260">
        <f>IFERROR(__xludf.DUMMYFUNCTION("""COMPUTED_VALUE"""),0.0)</f>
        <v>0</v>
      </c>
      <c r="C204" s="225"/>
      <c r="D204" s="345">
        <f>IFERROR(__xludf.DUMMYFUNCTION("""COMPUTED_VALUE"""),10.0)</f>
        <v>10</v>
      </c>
      <c r="E204" s="225"/>
      <c r="F204" s="225"/>
      <c r="G204" s="225"/>
      <c r="H204" s="225"/>
      <c r="I204" s="225"/>
      <c r="J204" s="225"/>
      <c r="K204" s="244"/>
      <c r="L204" s="225"/>
      <c r="M204" s="225"/>
      <c r="N204" s="225"/>
      <c r="O204" s="225"/>
      <c r="P204" s="225"/>
      <c r="Q204" s="227"/>
      <c r="R204" s="234"/>
      <c r="S204" s="244"/>
      <c r="T204" s="225"/>
      <c r="U204" s="225"/>
      <c r="V204" s="225"/>
      <c r="W204" s="225"/>
      <c r="X204" s="225"/>
      <c r="Y204" s="229"/>
      <c r="Z204" s="257"/>
      <c r="AA204" s="225"/>
      <c r="AB204" s="257"/>
      <c r="AC204" s="257"/>
      <c r="AD204" s="349"/>
      <c r="AE204" s="259"/>
      <c r="AF204" s="347"/>
      <c r="AG204" s="232"/>
      <c r="AH204" s="257"/>
      <c r="AI204" s="234"/>
      <c r="AJ204" s="267"/>
      <c r="AK204" s="259"/>
      <c r="AL204" s="229"/>
      <c r="AM204" s="225"/>
      <c r="AN204" s="225"/>
      <c r="AO204" s="254"/>
      <c r="AP204" s="225"/>
      <c r="AQ204" s="269"/>
      <c r="AR204" s="226"/>
      <c r="AS204" s="225"/>
      <c r="AT204" s="269"/>
      <c r="AU204" s="225"/>
      <c r="AV204" s="230"/>
      <c r="AW204" s="281"/>
      <c r="AX204" s="226"/>
      <c r="AY204" s="225"/>
      <c r="AZ204" s="225"/>
      <c r="BA204" s="243"/>
      <c r="BB204" s="281"/>
      <c r="BC204" s="225"/>
      <c r="BD204" s="225"/>
      <c r="BE204" s="225"/>
      <c r="BF204" s="225"/>
      <c r="BG204" s="225"/>
      <c r="BH204" s="225"/>
      <c r="BI204" s="225"/>
      <c r="BJ204" s="225"/>
      <c r="BK204" s="225"/>
      <c r="BL204" s="225"/>
      <c r="BM204" s="225"/>
      <c r="BN204" s="225"/>
      <c r="BO204" s="225"/>
      <c r="BP204" s="225"/>
      <c r="BQ204" s="225"/>
      <c r="BR204" s="225"/>
      <c r="BS204" s="225"/>
      <c r="BT204" s="226"/>
      <c r="BU204" s="225"/>
      <c r="BV204" s="225"/>
      <c r="BW204" s="225"/>
      <c r="BX204" s="225"/>
      <c r="BY204" s="225"/>
      <c r="BZ204" s="225"/>
    </row>
    <row r="205">
      <c r="A205" s="348" t="str">
        <f>IFERROR(__xludf.DUMMYFUNCTION("""COMPUTED_VALUE"""),"Boss's Ultimate")</f>
        <v>Boss's Ultimate</v>
      </c>
      <c r="B205" s="260">
        <f>IFERROR(__xludf.DUMMYFUNCTION("""COMPUTED_VALUE"""),0.0)</f>
        <v>0</v>
      </c>
      <c r="C205" s="225"/>
      <c r="D205" s="345">
        <f>IFERROR(__xludf.DUMMYFUNCTION("""COMPUTED_VALUE"""),10.0)</f>
        <v>10</v>
      </c>
      <c r="E205" s="225"/>
      <c r="F205" s="225"/>
      <c r="G205" s="225"/>
      <c r="H205" s="225"/>
      <c r="I205" s="225"/>
      <c r="J205" s="225"/>
      <c r="K205" s="244"/>
      <c r="L205" s="225"/>
      <c r="M205" s="225"/>
      <c r="N205" s="225"/>
      <c r="O205" s="225"/>
      <c r="P205" s="225"/>
      <c r="Q205" s="227"/>
      <c r="R205" s="234"/>
      <c r="S205" s="244"/>
      <c r="T205" s="225"/>
      <c r="U205" s="225"/>
      <c r="V205" s="225"/>
      <c r="W205" s="225"/>
      <c r="X205" s="225"/>
      <c r="Y205" s="229"/>
      <c r="Z205" s="257"/>
      <c r="AA205" s="225"/>
      <c r="AB205" s="257"/>
      <c r="AC205" s="257"/>
      <c r="AD205" s="349"/>
      <c r="AE205" s="259"/>
      <c r="AF205" s="347"/>
      <c r="AG205" s="232"/>
      <c r="AH205" s="287"/>
      <c r="AI205" s="234"/>
      <c r="AJ205" s="267"/>
      <c r="AK205" s="259"/>
      <c r="AL205" s="229"/>
      <c r="AM205" s="225"/>
      <c r="AN205" s="225"/>
      <c r="AO205" s="254"/>
      <c r="AP205" s="225"/>
      <c r="AQ205" s="269"/>
      <c r="AR205" s="226"/>
      <c r="AS205" s="225"/>
      <c r="AT205" s="269"/>
      <c r="AU205" s="225"/>
      <c r="AV205" s="350"/>
      <c r="AW205" s="291"/>
      <c r="AX205" s="226"/>
      <c r="AY205" s="284"/>
      <c r="AZ205" s="225"/>
      <c r="BA205" s="292"/>
      <c r="BB205" s="291"/>
      <c r="BC205" s="225"/>
      <c r="BD205" s="225"/>
      <c r="BE205" s="225"/>
      <c r="BF205" s="225"/>
      <c r="BG205" s="225"/>
      <c r="BH205" s="225"/>
      <c r="BI205" s="225"/>
      <c r="BJ205" s="225"/>
      <c r="BK205" s="225"/>
      <c r="BL205" s="225"/>
      <c r="BM205" s="225"/>
      <c r="BN205" s="225"/>
      <c r="BO205" s="225"/>
      <c r="BP205" s="225"/>
      <c r="BQ205" s="225"/>
      <c r="BR205" s="225"/>
      <c r="BS205" s="225"/>
      <c r="BT205" s="226"/>
      <c r="BU205" s="225"/>
      <c r="BV205" s="225"/>
      <c r="BW205" s="225"/>
      <c r="BX205" s="225"/>
      <c r="BY205" s="225"/>
      <c r="BZ205" s="225"/>
    </row>
    <row r="206">
      <c r="A206" s="348" t="str">
        <f>IFERROR(__xludf.DUMMYFUNCTION("""COMPUTED_VALUE"""),"Basic's Ultimate")</f>
        <v>Basic's Ultimate</v>
      </c>
      <c r="B206" s="260">
        <f>IFERROR(__xludf.DUMMYFUNCTION("""COMPUTED_VALUE"""),0.0)</f>
        <v>0</v>
      </c>
      <c r="C206" s="225"/>
      <c r="D206" s="345">
        <f>IFERROR(__xludf.DUMMYFUNCTION("""COMPUTED_VALUE"""),10.0)</f>
        <v>10</v>
      </c>
      <c r="E206" s="225"/>
      <c r="F206" s="225"/>
      <c r="G206" s="225"/>
      <c r="H206" s="225"/>
      <c r="I206" s="225"/>
      <c r="J206" s="225"/>
      <c r="K206" s="244"/>
      <c r="L206" s="225"/>
      <c r="M206" s="225"/>
      <c r="N206" s="225"/>
      <c r="O206" s="225"/>
      <c r="P206" s="225"/>
      <c r="Q206" s="227"/>
      <c r="R206" s="234"/>
      <c r="S206" s="244"/>
      <c r="T206" s="225"/>
      <c r="U206" s="225"/>
      <c r="V206" s="225"/>
      <c r="W206" s="225"/>
      <c r="X206" s="225"/>
      <c r="Y206" s="229"/>
      <c r="Z206" s="257"/>
      <c r="AA206" s="225"/>
      <c r="AB206" s="257"/>
      <c r="AC206" s="257"/>
      <c r="AD206" s="349"/>
      <c r="AE206" s="259"/>
      <c r="AF206" s="347"/>
      <c r="AG206" s="232"/>
      <c r="AH206" s="295"/>
      <c r="AI206" s="234"/>
      <c r="AJ206" s="267"/>
      <c r="AK206" s="259"/>
      <c r="AL206" s="229"/>
      <c r="AM206" s="225"/>
      <c r="AN206" s="225"/>
      <c r="AO206" s="254"/>
      <c r="AP206" s="225"/>
      <c r="AQ206" s="269"/>
      <c r="AR206" s="297"/>
      <c r="AS206" s="225"/>
      <c r="AT206" s="269"/>
      <c r="AU206" s="225"/>
      <c r="AV206" s="351"/>
      <c r="AW206" s="291"/>
      <c r="AX206" s="226"/>
      <c r="AY206" s="225"/>
      <c r="AZ206" s="225"/>
      <c r="BA206" s="300"/>
      <c r="BB206" s="298"/>
      <c r="BC206" s="225"/>
      <c r="BD206" s="225"/>
      <c r="BE206" s="225"/>
      <c r="BF206" s="225"/>
      <c r="BG206" s="225"/>
      <c r="BH206" s="225"/>
      <c r="BI206" s="225"/>
      <c r="BJ206" s="225"/>
      <c r="BK206" s="225"/>
      <c r="BL206" s="225"/>
      <c r="BM206" s="225"/>
      <c r="BN206" s="225"/>
      <c r="BO206" s="225"/>
      <c r="BP206" s="225"/>
      <c r="BQ206" s="225"/>
      <c r="BR206" s="225"/>
      <c r="BS206" s="225"/>
      <c r="BT206" s="226"/>
      <c r="BU206" s="225"/>
      <c r="BV206" s="225"/>
      <c r="BW206" s="225"/>
      <c r="BX206" s="225"/>
      <c r="BY206" s="225"/>
      <c r="BZ206" s="225"/>
    </row>
    <row r="207">
      <c r="A207" s="348" t="str">
        <f>IFERROR(__xludf.DUMMYFUNCTION("""COMPUTED_VALUE"""),"Tank's Ultimate")</f>
        <v>Tank's Ultimate</v>
      </c>
      <c r="B207" s="260">
        <f>IFERROR(__xludf.DUMMYFUNCTION("""COMPUTED_VALUE"""),0.0)</f>
        <v>0</v>
      </c>
      <c r="C207" s="225"/>
      <c r="D207" s="345">
        <f>IFERROR(__xludf.DUMMYFUNCTION("""COMPUTED_VALUE"""),10.0)</f>
        <v>10</v>
      </c>
      <c r="E207" s="225"/>
      <c r="F207" s="225"/>
      <c r="G207" s="225"/>
      <c r="H207" s="225"/>
      <c r="I207" s="225"/>
      <c r="J207" s="225"/>
      <c r="K207" s="244"/>
      <c r="L207" s="225"/>
      <c r="M207" s="225"/>
      <c r="N207" s="225"/>
      <c r="O207" s="225"/>
      <c r="P207" s="225"/>
      <c r="Q207" s="227"/>
      <c r="R207" s="234"/>
      <c r="S207" s="244"/>
      <c r="T207" s="225"/>
      <c r="U207" s="225"/>
      <c r="V207" s="225"/>
      <c r="W207" s="225"/>
      <c r="X207" s="225"/>
      <c r="Y207" s="229"/>
      <c r="Z207" s="257"/>
      <c r="AA207" s="225"/>
      <c r="AB207" s="257"/>
      <c r="AC207" s="257"/>
      <c r="AD207" s="226"/>
      <c r="AE207" s="259"/>
      <c r="AF207" s="347"/>
      <c r="AG207" s="232"/>
      <c r="AH207" s="266"/>
      <c r="AI207" s="225"/>
      <c r="AJ207" s="267"/>
      <c r="AK207" s="259"/>
      <c r="AL207" s="226"/>
      <c r="AM207" s="225"/>
      <c r="AN207" s="225"/>
      <c r="AO207" s="254"/>
      <c r="AP207" s="225"/>
      <c r="AQ207" s="225"/>
      <c r="AR207" s="232"/>
      <c r="AS207" s="225"/>
      <c r="AT207" s="225"/>
      <c r="AU207" s="225"/>
      <c r="AV207" s="328"/>
      <c r="AW207" s="257"/>
      <c r="AX207" s="226"/>
      <c r="AY207" s="225"/>
      <c r="AZ207" s="225"/>
      <c r="BA207" s="303"/>
      <c r="BB207" s="302"/>
      <c r="BC207" s="225"/>
      <c r="BD207" s="225"/>
      <c r="BE207" s="225"/>
      <c r="BF207" s="225"/>
      <c r="BG207" s="225"/>
      <c r="BH207" s="225"/>
      <c r="BI207" s="225"/>
      <c r="BJ207" s="225"/>
      <c r="BK207" s="225"/>
      <c r="BL207" s="225"/>
      <c r="BM207" s="225"/>
      <c r="BN207" s="225"/>
      <c r="BO207" s="225"/>
      <c r="BP207" s="225"/>
      <c r="BQ207" s="225"/>
      <c r="BR207" s="225"/>
      <c r="BS207" s="225"/>
      <c r="BT207" s="226"/>
      <c r="BU207" s="225"/>
      <c r="BV207" s="225"/>
      <c r="BW207" s="225"/>
      <c r="BX207" s="225"/>
      <c r="BY207" s="225"/>
      <c r="BZ207" s="225"/>
    </row>
    <row r="208">
      <c r="A208" s="348" t="str">
        <f>IFERROR(__xludf.DUMMYFUNCTION("""COMPUTED_VALUE"""),"Protector's Ultimate")</f>
        <v>Protector's Ultimate</v>
      </c>
      <c r="B208" s="260">
        <f>IFERROR(__xludf.DUMMYFUNCTION("""COMPUTED_VALUE"""),0.0)</f>
        <v>0</v>
      </c>
      <c r="C208" s="225"/>
      <c r="D208" s="345">
        <f>IFERROR(__xludf.DUMMYFUNCTION("""COMPUTED_VALUE"""),10.0)</f>
        <v>10</v>
      </c>
      <c r="E208" s="225"/>
      <c r="F208" s="225"/>
      <c r="G208" s="225"/>
      <c r="H208" s="225"/>
      <c r="I208" s="225"/>
      <c r="J208" s="225"/>
      <c r="K208" s="244"/>
      <c r="L208" s="225"/>
      <c r="M208" s="225"/>
      <c r="N208" s="225"/>
      <c r="O208" s="225"/>
      <c r="P208" s="225"/>
      <c r="Q208" s="227"/>
      <c r="R208" s="234"/>
      <c r="S208" s="244"/>
      <c r="T208" s="225"/>
      <c r="U208" s="225"/>
      <c r="V208" s="225"/>
      <c r="W208" s="225"/>
      <c r="X208" s="225"/>
      <c r="Y208" s="229"/>
      <c r="Z208" s="257"/>
      <c r="AA208" s="225"/>
      <c r="AB208" s="257"/>
      <c r="AC208" s="257"/>
      <c r="AD208" s="349"/>
      <c r="AE208" s="259"/>
      <c r="AF208" s="347"/>
      <c r="AG208" s="232"/>
      <c r="AH208" s="305"/>
      <c r="AI208" s="234"/>
      <c r="AJ208" s="267"/>
      <c r="AK208" s="259"/>
      <c r="AL208" s="226"/>
      <c r="AM208" s="225"/>
      <c r="AN208" s="225"/>
      <c r="AO208" s="254"/>
      <c r="AP208" s="225"/>
      <c r="AQ208" s="225"/>
      <c r="AR208" s="232"/>
      <c r="AS208" s="225"/>
      <c r="AT208" s="257"/>
      <c r="AU208" s="225"/>
      <c r="AV208" s="267"/>
      <c r="AW208" s="257"/>
      <c r="AX208" s="226"/>
      <c r="AY208" s="225"/>
      <c r="AZ208" s="225"/>
      <c r="BA208" s="254"/>
      <c r="BB208" s="225"/>
      <c r="BC208" s="225"/>
      <c r="BD208" s="225"/>
      <c r="BE208" s="225"/>
      <c r="BF208" s="225"/>
      <c r="BG208" s="225"/>
      <c r="BH208" s="225"/>
      <c r="BI208" s="225"/>
      <c r="BJ208" s="225"/>
      <c r="BK208" s="225"/>
      <c r="BL208" s="225"/>
      <c r="BM208" s="225"/>
      <c r="BN208" s="225"/>
      <c r="BO208" s="225"/>
      <c r="BP208" s="225"/>
      <c r="BQ208" s="225"/>
      <c r="BR208" s="225"/>
      <c r="BS208" s="225"/>
      <c r="BT208" s="226"/>
      <c r="BU208" s="225"/>
      <c r="BV208" s="225"/>
      <c r="BW208" s="225"/>
      <c r="BX208" s="225"/>
      <c r="BY208" s="225"/>
      <c r="BZ208" s="225"/>
    </row>
    <row r="209">
      <c r="A209" s="348" t="str">
        <f>IFERROR(__xludf.DUMMYFUNCTION("""COMPUTED_VALUE"""),"Ultimate Weapon Durations")</f>
        <v>Ultimate Weapon Durations</v>
      </c>
      <c r="B209" s="260">
        <f>IFERROR(__xludf.DUMMYFUNCTION("""COMPUTED_VALUE"""),0.0)</f>
        <v>0</v>
      </c>
      <c r="C209" s="225"/>
      <c r="D209" s="345">
        <f>IFERROR(__xludf.DUMMYFUNCTION("""COMPUTED_VALUE"""),10.0)</f>
        <v>10</v>
      </c>
      <c r="E209" s="225"/>
      <c r="F209" s="225"/>
      <c r="G209" s="225"/>
      <c r="H209" s="225"/>
      <c r="I209" s="225"/>
      <c r="J209" s="225"/>
      <c r="K209" s="244"/>
      <c r="L209" s="225"/>
      <c r="M209" s="225"/>
      <c r="N209" s="225"/>
      <c r="O209" s="225"/>
      <c r="P209" s="225"/>
      <c r="Q209" s="227"/>
      <c r="R209" s="234"/>
      <c r="S209" s="244"/>
      <c r="T209" s="225"/>
      <c r="U209" s="225"/>
      <c r="V209" s="225"/>
      <c r="W209" s="225"/>
      <c r="X209" s="225"/>
      <c r="Y209" s="229"/>
      <c r="Z209" s="257"/>
      <c r="AA209" s="225"/>
      <c r="AB209" s="257"/>
      <c r="AC209" s="257"/>
      <c r="AD209" s="349"/>
      <c r="AE209" s="259"/>
      <c r="AF209" s="347"/>
      <c r="AG209" s="232"/>
      <c r="AH209" s="305"/>
      <c r="AI209" s="234"/>
      <c r="AJ209" s="267"/>
      <c r="AK209" s="259"/>
      <c r="AL209" s="226"/>
      <c r="AM209" s="225"/>
      <c r="AN209" s="225"/>
      <c r="AO209" s="254"/>
      <c r="AP209" s="225"/>
      <c r="AQ209" s="225"/>
      <c r="AR209" s="226"/>
      <c r="AS209" s="225"/>
      <c r="AT209" s="225"/>
      <c r="AU209" s="225"/>
      <c r="AV209" s="352"/>
      <c r="AW209" s="291"/>
      <c r="AX209" s="226"/>
      <c r="AY209" s="225"/>
      <c r="AZ209" s="225"/>
      <c r="BA209" s="311"/>
      <c r="BB209" s="291"/>
      <c r="BC209" s="225"/>
      <c r="BD209" s="225"/>
      <c r="BE209" s="225"/>
      <c r="BF209" s="225"/>
      <c r="BG209" s="225"/>
      <c r="BH209" s="225"/>
      <c r="BI209" s="225"/>
      <c r="BJ209" s="225"/>
      <c r="BK209" s="225"/>
      <c r="BL209" s="225"/>
      <c r="BM209" s="225"/>
      <c r="BN209" s="225"/>
      <c r="BO209" s="225"/>
      <c r="BP209" s="225"/>
      <c r="BQ209" s="225"/>
      <c r="BR209" s="225"/>
      <c r="BS209" s="225"/>
      <c r="BT209" s="226"/>
      <c r="BU209" s="225"/>
      <c r="BV209" s="225"/>
      <c r="BW209" s="225"/>
      <c r="BX209" s="225"/>
      <c r="BY209" s="225"/>
      <c r="BZ209" s="225"/>
    </row>
    <row r="210">
      <c r="A210" s="348" t="str">
        <f>IFERROR(__xludf.DUMMYFUNCTION("""COMPUTED_VALUE"""),"Death Defy Down")</f>
        <v>Death Defy Down</v>
      </c>
      <c r="B210" s="260">
        <f>IFERROR(__xludf.DUMMYFUNCTION("""COMPUTED_VALUE"""),0.0)</f>
        <v>0</v>
      </c>
      <c r="C210" s="225"/>
      <c r="D210" s="345">
        <f>IFERROR(__xludf.DUMMYFUNCTION("""COMPUTED_VALUE"""),10.0)</f>
        <v>10</v>
      </c>
      <c r="E210" s="225"/>
      <c r="F210" s="225"/>
      <c r="G210" s="225"/>
      <c r="H210" s="225"/>
      <c r="I210" s="225"/>
      <c r="J210" s="225"/>
      <c r="K210" s="244"/>
      <c r="L210" s="225"/>
      <c r="M210" s="225"/>
      <c r="N210" s="225"/>
      <c r="O210" s="225"/>
      <c r="P210" s="225"/>
      <c r="Q210" s="227"/>
      <c r="R210" s="234"/>
      <c r="S210" s="244"/>
      <c r="T210" s="225"/>
      <c r="U210" s="225"/>
      <c r="V210" s="225"/>
      <c r="W210" s="225"/>
      <c r="X210" s="225"/>
      <c r="Y210" s="229"/>
      <c r="Z210" s="257"/>
      <c r="AA210" s="225"/>
      <c r="AB210" s="257"/>
      <c r="AC210" s="257"/>
      <c r="AD210" s="232"/>
      <c r="AE210" s="259"/>
      <c r="AF210" s="347"/>
      <c r="AG210" s="232"/>
      <c r="AH210" s="230"/>
      <c r="AI210" s="225"/>
      <c r="AJ210" s="267"/>
      <c r="AK210" s="259"/>
      <c r="AL210" s="232"/>
      <c r="AM210" s="225"/>
      <c r="AN210" s="225"/>
      <c r="AO210" s="254"/>
      <c r="AP210" s="257"/>
      <c r="AQ210" s="257"/>
      <c r="AR210" s="232"/>
      <c r="AS210" s="225"/>
      <c r="AT210" s="257"/>
      <c r="AU210" s="257"/>
      <c r="AV210" s="257"/>
      <c r="AW210" s="257"/>
      <c r="AX210" s="226"/>
      <c r="AY210" s="225"/>
      <c r="AZ210" s="225"/>
      <c r="BA210" s="313"/>
      <c r="BB210" s="234"/>
      <c r="BC210" s="225"/>
      <c r="BD210" s="225"/>
      <c r="BE210" s="225"/>
      <c r="BF210" s="225"/>
      <c r="BG210" s="225"/>
      <c r="BH210" s="225"/>
      <c r="BI210" s="225"/>
      <c r="BJ210" s="225"/>
      <c r="BK210" s="225"/>
      <c r="BL210" s="225"/>
      <c r="BM210" s="225"/>
      <c r="BN210" s="225"/>
      <c r="BO210" s="225"/>
      <c r="BP210" s="225"/>
      <c r="BQ210" s="225"/>
      <c r="BR210" s="225"/>
      <c r="BS210" s="225"/>
      <c r="BT210" s="226"/>
      <c r="BU210" s="225"/>
      <c r="BV210" s="225"/>
      <c r="BW210" s="225"/>
      <c r="BX210" s="225"/>
      <c r="BY210" s="225"/>
      <c r="BZ210" s="225"/>
    </row>
    <row r="211">
      <c r="A211" s="348" t="str">
        <f>IFERROR(__xludf.DUMMYFUNCTION("""COMPUTED_VALUE"""),"Energy Shields Down")</f>
        <v>Energy Shields Down</v>
      </c>
      <c r="B211" s="260">
        <f>IFERROR(__xludf.DUMMYFUNCTION("""COMPUTED_VALUE"""),0.0)</f>
        <v>0</v>
      </c>
      <c r="C211" s="225"/>
      <c r="D211" s="345">
        <f>IFERROR(__xludf.DUMMYFUNCTION("""COMPUTED_VALUE"""),10.0)</f>
        <v>10</v>
      </c>
      <c r="E211" s="225"/>
      <c r="F211" s="225"/>
      <c r="G211" s="225"/>
      <c r="H211" s="225"/>
      <c r="I211" s="225"/>
      <c r="J211" s="225"/>
      <c r="K211" s="244"/>
      <c r="L211" s="225"/>
      <c r="M211" s="225"/>
      <c r="N211" s="225"/>
      <c r="O211" s="225"/>
      <c r="P211" s="225"/>
      <c r="Q211" s="227"/>
      <c r="R211" s="234"/>
      <c r="S211" s="244"/>
      <c r="T211" s="225"/>
      <c r="U211" s="225"/>
      <c r="V211" s="225"/>
      <c r="W211" s="225"/>
      <c r="X211" s="225"/>
      <c r="Y211" s="229"/>
      <c r="Z211" s="257"/>
      <c r="AA211" s="225"/>
      <c r="AB211" s="257"/>
      <c r="AC211" s="257"/>
      <c r="AD211" s="226"/>
      <c r="AE211" s="259"/>
      <c r="AF211" s="347"/>
      <c r="AG211" s="232"/>
      <c r="AH211" s="315"/>
      <c r="AI211" s="225"/>
      <c r="AJ211" s="267"/>
      <c r="AK211" s="259"/>
      <c r="AL211" s="297"/>
      <c r="AM211" s="225"/>
      <c r="AN211" s="225"/>
      <c r="AO211" s="254"/>
      <c r="AP211" s="225"/>
      <c r="AQ211" s="291"/>
      <c r="AR211" s="226"/>
      <c r="AS211" s="225"/>
      <c r="AT211" s="291"/>
      <c r="AU211" s="225"/>
      <c r="AV211" s="339"/>
      <c r="AW211" s="234"/>
      <c r="AX211" s="226"/>
      <c r="AY211" s="225"/>
      <c r="AZ211" s="225"/>
      <c r="BA211" s="319"/>
      <c r="BB211" s="234"/>
      <c r="BC211" s="225"/>
      <c r="BD211" s="225"/>
      <c r="BE211" s="225"/>
      <c r="BF211" s="225"/>
      <c r="BG211" s="225"/>
      <c r="BH211" s="225"/>
      <c r="BI211" s="225"/>
      <c r="BJ211" s="225"/>
      <c r="BK211" s="225"/>
      <c r="BL211" s="225"/>
      <c r="BM211" s="225"/>
      <c r="BN211" s="225"/>
      <c r="BO211" s="225"/>
      <c r="BP211" s="225"/>
      <c r="BQ211" s="225"/>
      <c r="BR211" s="225"/>
      <c r="BS211" s="225"/>
      <c r="BT211" s="226"/>
      <c r="BU211" s="225"/>
      <c r="BV211" s="225"/>
      <c r="BW211" s="225"/>
      <c r="BX211" s="225"/>
      <c r="BY211" s="225"/>
      <c r="BZ211" s="225"/>
    </row>
    <row r="212">
      <c r="A212" s="348" t="str">
        <f>IFERROR(__xludf.DUMMYFUNCTION("""COMPUTED_VALUE"""),"Enemy Level Skip Reduction")</f>
        <v>Enemy Level Skip Reduction</v>
      </c>
      <c r="B212" s="260">
        <f>IFERROR(__xludf.DUMMYFUNCTION("""COMPUTED_VALUE"""),0.0)</f>
        <v>0</v>
      </c>
      <c r="C212" s="225"/>
      <c r="D212" s="345">
        <f>IFERROR(__xludf.DUMMYFUNCTION("""COMPUTED_VALUE"""),10.0)</f>
        <v>10</v>
      </c>
      <c r="E212" s="225"/>
      <c r="F212" s="225"/>
      <c r="G212" s="225"/>
      <c r="H212" s="225"/>
      <c r="I212" s="225"/>
      <c r="J212" s="225"/>
      <c r="K212" s="244"/>
      <c r="L212" s="225"/>
      <c r="M212" s="225"/>
      <c r="N212" s="225"/>
      <c r="O212" s="284"/>
      <c r="P212" s="225"/>
      <c r="Q212" s="227"/>
      <c r="R212" s="234"/>
      <c r="S212" s="244"/>
      <c r="T212" s="225"/>
      <c r="U212" s="225"/>
      <c r="V212" s="225"/>
      <c r="W212" s="225"/>
      <c r="X212" s="225"/>
      <c r="Y212" s="229"/>
      <c r="Z212" s="257"/>
      <c r="AA212" s="284"/>
      <c r="AB212" s="257"/>
      <c r="AC212" s="257"/>
      <c r="AD212" s="226"/>
      <c r="AE212" s="259"/>
      <c r="AF212" s="347"/>
      <c r="AG212" s="232"/>
      <c r="AH212" s="271"/>
      <c r="AI212" s="225"/>
      <c r="AJ212" s="267"/>
      <c r="AK212" s="259"/>
      <c r="AL212" s="226"/>
      <c r="AM212" s="225"/>
      <c r="AN212" s="225"/>
      <c r="AO212" s="254"/>
      <c r="AP212" s="225"/>
      <c r="AQ212" s="225"/>
      <c r="AR212" s="226"/>
      <c r="AS212" s="225"/>
      <c r="AT212" s="225"/>
      <c r="AU212" s="225"/>
      <c r="AV212" s="353"/>
      <c r="AW212" s="234"/>
      <c r="AX212" s="226"/>
      <c r="AY212" s="225"/>
      <c r="AZ212" s="225"/>
      <c r="BA212" s="323"/>
      <c r="BB212" s="234"/>
      <c r="BC212" s="225"/>
      <c r="BD212" s="225"/>
      <c r="BE212" s="225"/>
      <c r="BF212" s="225"/>
      <c r="BG212" s="225"/>
      <c r="BH212" s="225"/>
      <c r="BI212" s="225"/>
      <c r="BJ212" s="225"/>
      <c r="BK212" s="225"/>
      <c r="BL212" s="225"/>
      <c r="BM212" s="225"/>
      <c r="BN212" s="225"/>
      <c r="BO212" s="225"/>
      <c r="BP212" s="225"/>
      <c r="BQ212" s="225"/>
      <c r="BR212" s="225"/>
      <c r="BS212" s="225"/>
      <c r="BT212" s="226"/>
      <c r="BU212" s="225"/>
      <c r="BV212" s="225"/>
      <c r="BW212" s="225"/>
      <c r="BX212" s="225"/>
      <c r="BY212" s="225"/>
      <c r="BZ212" s="225"/>
    </row>
    <row r="213">
      <c r="A213" s="225"/>
      <c r="B213" s="225"/>
      <c r="C213" s="225"/>
      <c r="D213" s="226"/>
      <c r="E213" s="225"/>
      <c r="F213" s="225"/>
      <c r="G213" s="225"/>
      <c r="H213" s="225"/>
      <c r="I213" s="225"/>
      <c r="J213" s="225"/>
      <c r="K213" s="244"/>
      <c r="L213" s="225"/>
      <c r="M213" s="225"/>
      <c r="N213" s="225"/>
      <c r="O213" s="225"/>
      <c r="P213" s="225"/>
      <c r="Q213" s="227"/>
      <c r="R213" s="234"/>
      <c r="S213" s="244"/>
      <c r="T213" s="225"/>
      <c r="U213" s="225"/>
      <c r="V213" s="225"/>
      <c r="W213" s="225"/>
      <c r="X213" s="225"/>
      <c r="Y213" s="229"/>
      <c r="Z213" s="257"/>
      <c r="AA213" s="225"/>
      <c r="AB213" s="257"/>
      <c r="AC213" s="257"/>
      <c r="AD213" s="226"/>
      <c r="AE213" s="259"/>
      <c r="AF213" s="347"/>
      <c r="AG213" s="232"/>
      <c r="AH213" s="325"/>
      <c r="AI213" s="225"/>
      <c r="AJ213" s="267"/>
      <c r="AK213" s="259"/>
      <c r="AL213" s="232"/>
      <c r="AM213" s="225"/>
      <c r="AN213" s="225"/>
      <c r="AO213" s="254"/>
      <c r="AP213" s="225"/>
      <c r="AQ213" s="257"/>
      <c r="AR213" s="254"/>
      <c r="AS213" s="225"/>
      <c r="AT213" s="257"/>
      <c r="AU213" s="225"/>
      <c r="AV213" s="352"/>
      <c r="AW213" s="267"/>
      <c r="AX213" s="226"/>
      <c r="AY213" s="284"/>
      <c r="AZ213" s="225"/>
      <c r="BA213" s="311"/>
      <c r="BB213" s="234"/>
      <c r="BC213" s="225"/>
      <c r="BD213" s="225"/>
      <c r="BE213" s="225"/>
      <c r="BF213" s="225"/>
      <c r="BG213" s="225"/>
      <c r="BH213" s="225"/>
      <c r="BI213" s="225"/>
      <c r="BJ213" s="225"/>
      <c r="BK213" s="225"/>
      <c r="BL213" s="225"/>
      <c r="BM213" s="225"/>
      <c r="BN213" s="225"/>
      <c r="BO213" s="225"/>
      <c r="BP213" s="225"/>
      <c r="BQ213" s="225"/>
      <c r="BR213" s="225"/>
      <c r="BS213" s="225"/>
      <c r="BT213" s="226"/>
      <c r="BU213" s="225"/>
      <c r="BV213" s="225"/>
      <c r="BW213" s="225"/>
      <c r="BX213" s="225"/>
      <c r="BY213" s="225"/>
      <c r="BZ213" s="225"/>
    </row>
    <row r="214">
      <c r="A214" s="225"/>
      <c r="B214" s="225"/>
      <c r="C214" s="225"/>
      <c r="D214" s="226"/>
      <c r="E214" s="225"/>
      <c r="F214" s="225"/>
      <c r="G214" s="225"/>
      <c r="H214" s="225"/>
      <c r="I214" s="225"/>
      <c r="J214" s="225"/>
      <c r="K214" s="244"/>
      <c r="L214" s="225"/>
      <c r="M214" s="225"/>
      <c r="N214" s="225"/>
      <c r="O214" s="225"/>
      <c r="P214" s="225"/>
      <c r="Q214" s="227"/>
      <c r="R214" s="234"/>
      <c r="S214" s="244"/>
      <c r="T214" s="225"/>
      <c r="U214" s="225"/>
      <c r="V214" s="225"/>
      <c r="W214" s="225"/>
      <c r="X214" s="225"/>
      <c r="Y214" s="229"/>
      <c r="Z214" s="257"/>
      <c r="AA214" s="225"/>
      <c r="AB214" s="257"/>
      <c r="AC214" s="257"/>
      <c r="AD214" s="349"/>
      <c r="AE214" s="259"/>
      <c r="AF214" s="347"/>
      <c r="AG214" s="232"/>
      <c r="AH214" s="305"/>
      <c r="AI214" s="234"/>
      <c r="AJ214" s="267"/>
      <c r="AK214" s="259"/>
      <c r="AL214" s="232"/>
      <c r="AM214" s="225"/>
      <c r="AN214" s="225"/>
      <c r="AO214" s="254"/>
      <c r="AP214" s="225"/>
      <c r="AQ214" s="257"/>
      <c r="AR214" s="254"/>
      <c r="AS214" s="225"/>
      <c r="AT214" s="257"/>
      <c r="AU214" s="225"/>
      <c r="AV214" s="354"/>
      <c r="AW214" s="267"/>
      <c r="AX214" s="226"/>
      <c r="AY214" s="225"/>
      <c r="AZ214" s="225"/>
      <c r="BA214" s="313"/>
      <c r="BB214" s="234"/>
      <c r="BC214" s="225"/>
      <c r="BD214" s="225"/>
      <c r="BE214" s="225"/>
      <c r="BF214" s="225"/>
      <c r="BG214" s="225"/>
      <c r="BH214" s="225"/>
      <c r="BI214" s="225"/>
      <c r="BJ214" s="225"/>
      <c r="BK214" s="225"/>
      <c r="BL214" s="225"/>
      <c r="BM214" s="225"/>
      <c r="BN214" s="225"/>
      <c r="BO214" s="225"/>
      <c r="BP214" s="225"/>
      <c r="BQ214" s="225"/>
      <c r="BR214" s="225"/>
      <c r="BS214" s="225"/>
      <c r="BT214" s="226"/>
      <c r="BU214" s="225"/>
      <c r="BV214" s="225"/>
      <c r="BW214" s="225"/>
      <c r="BX214" s="225"/>
      <c r="BY214" s="225"/>
      <c r="BZ214" s="225"/>
    </row>
    <row r="215">
      <c r="A215" s="225"/>
      <c r="B215" s="225"/>
      <c r="C215" s="225"/>
      <c r="D215" s="226"/>
      <c r="E215" s="225"/>
      <c r="F215" s="225"/>
      <c r="G215" s="225"/>
      <c r="H215" s="225"/>
      <c r="I215" s="225"/>
      <c r="J215" s="225"/>
      <c r="K215" s="244"/>
      <c r="L215" s="225"/>
      <c r="M215" s="225"/>
      <c r="N215" s="225"/>
      <c r="O215" s="225"/>
      <c r="P215" s="225"/>
      <c r="Q215" s="227"/>
      <c r="R215" s="234"/>
      <c r="S215" s="244"/>
      <c r="T215" s="225"/>
      <c r="U215" s="225"/>
      <c r="V215" s="225"/>
      <c r="W215" s="225"/>
      <c r="X215" s="225"/>
      <c r="Y215" s="229"/>
      <c r="Z215" s="257"/>
      <c r="AA215" s="225"/>
      <c r="AB215" s="257"/>
      <c r="AC215" s="257"/>
      <c r="AD215" s="349"/>
      <c r="AE215" s="259"/>
      <c r="AF215" s="347"/>
      <c r="AG215" s="232"/>
      <c r="AH215" s="267"/>
      <c r="AI215" s="234"/>
      <c r="AJ215" s="267"/>
      <c r="AK215" s="259"/>
      <c r="AL215" s="232"/>
      <c r="AM215" s="225"/>
      <c r="AN215" s="225"/>
      <c r="AO215" s="254"/>
      <c r="AP215" s="225"/>
      <c r="AQ215" s="257"/>
      <c r="AR215" s="254"/>
      <c r="AS215" s="225"/>
      <c r="AT215" s="257"/>
      <c r="AU215" s="225"/>
      <c r="AV215" s="305"/>
      <c r="AW215" s="267"/>
      <c r="AX215" s="226"/>
      <c r="AY215" s="225"/>
      <c r="AZ215" s="225"/>
      <c r="BA215" s="330"/>
      <c r="BB215" s="234"/>
      <c r="BC215" s="225"/>
      <c r="BD215" s="225"/>
      <c r="BE215" s="225"/>
      <c r="BF215" s="225"/>
      <c r="BG215" s="225"/>
      <c r="BH215" s="225"/>
      <c r="BI215" s="225"/>
      <c r="BJ215" s="225"/>
      <c r="BK215" s="225"/>
      <c r="BL215" s="225"/>
      <c r="BM215" s="225"/>
      <c r="BN215" s="225"/>
      <c r="BO215" s="225"/>
      <c r="BP215" s="225"/>
      <c r="BQ215" s="225"/>
      <c r="BR215" s="225"/>
      <c r="BS215" s="225"/>
      <c r="BT215" s="226"/>
      <c r="BU215" s="225"/>
      <c r="BV215" s="225"/>
      <c r="BW215" s="225"/>
      <c r="BX215" s="225"/>
      <c r="BY215" s="225"/>
      <c r="BZ215" s="225"/>
    </row>
    <row r="216">
      <c r="A216" s="284"/>
      <c r="B216" s="225"/>
      <c r="C216" s="225"/>
      <c r="D216" s="226"/>
      <c r="E216" s="225"/>
      <c r="F216" s="225"/>
      <c r="G216" s="225"/>
      <c r="H216" s="225"/>
      <c r="I216" s="225"/>
      <c r="J216" s="225"/>
      <c r="K216" s="244"/>
      <c r="L216" s="225"/>
      <c r="M216" s="225"/>
      <c r="N216" s="225"/>
      <c r="O216" s="225"/>
      <c r="P216" s="225"/>
      <c r="Q216" s="227"/>
      <c r="R216" s="234"/>
      <c r="S216" s="244"/>
      <c r="T216" s="225"/>
      <c r="U216" s="225"/>
      <c r="V216" s="225"/>
      <c r="W216" s="225"/>
      <c r="X216" s="225"/>
      <c r="Y216" s="229"/>
      <c r="Z216" s="257"/>
      <c r="AA216" s="225"/>
      <c r="AB216" s="257"/>
      <c r="AC216" s="257"/>
      <c r="AD216" s="349"/>
      <c r="AE216" s="259"/>
      <c r="AF216" s="347"/>
      <c r="AG216" s="232"/>
      <c r="AH216" s="305"/>
      <c r="AI216" s="234"/>
      <c r="AJ216" s="267"/>
      <c r="AK216" s="259"/>
      <c r="AL216" s="232"/>
      <c r="AM216" s="225"/>
      <c r="AN216" s="225"/>
      <c r="AO216" s="254"/>
      <c r="AP216" s="225"/>
      <c r="AQ216" s="257"/>
      <c r="AR216" s="254"/>
      <c r="AS216" s="225"/>
      <c r="AT216" s="257"/>
      <c r="AU216" s="225"/>
      <c r="AV216" s="353"/>
      <c r="AW216" s="267"/>
      <c r="AX216" s="226"/>
      <c r="AY216" s="225"/>
      <c r="AZ216" s="225"/>
      <c r="BA216" s="323"/>
      <c r="BB216" s="234"/>
      <c r="BC216" s="225"/>
      <c r="BD216" s="225"/>
      <c r="BE216" s="225"/>
      <c r="BF216" s="225"/>
      <c r="BG216" s="225"/>
      <c r="BH216" s="225"/>
      <c r="BI216" s="225"/>
      <c r="BJ216" s="225"/>
      <c r="BK216" s="225"/>
      <c r="BL216" s="225"/>
      <c r="BM216" s="225"/>
      <c r="BN216" s="225"/>
      <c r="BO216" s="225"/>
      <c r="BP216" s="225"/>
      <c r="BQ216" s="225"/>
      <c r="BR216" s="225"/>
      <c r="BS216" s="225"/>
      <c r="BT216" s="226"/>
      <c r="BU216" s="225"/>
      <c r="BV216" s="225"/>
      <c r="BW216" s="225"/>
      <c r="BX216" s="225"/>
      <c r="BY216" s="225"/>
      <c r="BZ216" s="225"/>
    </row>
    <row r="217">
      <c r="A217" s="225"/>
      <c r="B217" s="225"/>
      <c r="C217" s="225"/>
      <c r="D217" s="226"/>
      <c r="E217" s="225"/>
      <c r="F217" s="225"/>
      <c r="G217" s="225"/>
      <c r="H217" s="225"/>
      <c r="I217" s="225"/>
      <c r="J217" s="225"/>
      <c r="K217" s="244"/>
      <c r="L217" s="225"/>
      <c r="M217" s="225"/>
      <c r="N217" s="225"/>
      <c r="O217" s="225"/>
      <c r="P217" s="225"/>
      <c r="Q217" s="227"/>
      <c r="R217" s="234"/>
      <c r="S217" s="244"/>
      <c r="T217" s="225"/>
      <c r="U217" s="225"/>
      <c r="V217" s="225"/>
      <c r="W217" s="225"/>
      <c r="X217" s="225"/>
      <c r="Y217" s="229"/>
      <c r="Z217" s="257"/>
      <c r="AA217" s="225"/>
      <c r="AB217" s="257"/>
      <c r="AC217" s="257"/>
      <c r="AD217" s="349"/>
      <c r="AE217" s="259"/>
      <c r="AF217" s="347"/>
      <c r="AG217" s="232"/>
      <c r="AH217" s="267"/>
      <c r="AI217" s="234"/>
      <c r="AJ217" s="267"/>
      <c r="AK217" s="259"/>
      <c r="AL217" s="232"/>
      <c r="AM217" s="225"/>
      <c r="AN217" s="225"/>
      <c r="AO217" s="254"/>
      <c r="AP217" s="225"/>
      <c r="AQ217" s="257"/>
      <c r="AR217" s="254"/>
      <c r="AS217" s="225"/>
      <c r="AT217" s="257"/>
      <c r="AU217" s="225"/>
      <c r="AV217" s="352"/>
      <c r="AW217" s="267"/>
      <c r="AX217" s="226"/>
      <c r="AY217" s="225"/>
      <c r="AZ217" s="225"/>
      <c r="BA217" s="311"/>
      <c r="BB217" s="234"/>
      <c r="BC217" s="225"/>
      <c r="BD217" s="225"/>
      <c r="BE217" s="225"/>
      <c r="BF217" s="225"/>
      <c r="BG217" s="225"/>
      <c r="BH217" s="225"/>
      <c r="BI217" s="225"/>
      <c r="BJ217" s="225"/>
      <c r="BK217" s="225"/>
      <c r="BL217" s="225"/>
      <c r="BM217" s="225"/>
      <c r="BN217" s="225"/>
      <c r="BO217" s="225"/>
      <c r="BP217" s="225"/>
      <c r="BQ217" s="225"/>
      <c r="BR217" s="225"/>
      <c r="BS217" s="225"/>
      <c r="BT217" s="226"/>
      <c r="BU217" s="225"/>
      <c r="BV217" s="225"/>
      <c r="BW217" s="225"/>
      <c r="BX217" s="225"/>
      <c r="BY217" s="225"/>
      <c r="BZ217" s="225"/>
    </row>
    <row r="218">
      <c r="A218" s="225"/>
      <c r="B218" s="225"/>
      <c r="C218" s="225"/>
      <c r="D218" s="226"/>
      <c r="E218" s="225"/>
      <c r="F218" s="225"/>
      <c r="G218" s="225"/>
      <c r="H218" s="225"/>
      <c r="I218" s="225"/>
      <c r="J218" s="225"/>
      <c r="K218" s="244"/>
      <c r="L218" s="225"/>
      <c r="M218" s="225"/>
      <c r="N218" s="225"/>
      <c r="O218" s="225"/>
      <c r="P218" s="225"/>
      <c r="Q218" s="227"/>
      <c r="R218" s="234"/>
      <c r="S218" s="244"/>
      <c r="T218" s="225"/>
      <c r="U218" s="225"/>
      <c r="V218" s="225"/>
      <c r="W218" s="225"/>
      <c r="X218" s="225"/>
      <c r="Y218" s="229"/>
      <c r="Z218" s="257"/>
      <c r="AA218" s="225"/>
      <c r="AB218" s="257"/>
      <c r="AC218" s="257"/>
      <c r="AD218" s="349"/>
      <c r="AE218" s="259"/>
      <c r="AF218" s="347"/>
      <c r="AG218" s="232"/>
      <c r="AH218" s="295"/>
      <c r="AI218" s="234"/>
      <c r="AJ218" s="267"/>
      <c r="AK218" s="259"/>
      <c r="AL218" s="232"/>
      <c r="AM218" s="225"/>
      <c r="AN218" s="225"/>
      <c r="AO218" s="254"/>
      <c r="AP218" s="225"/>
      <c r="AQ218" s="257"/>
      <c r="AR218" s="254"/>
      <c r="AS218" s="225"/>
      <c r="AT218" s="257"/>
      <c r="AU218" s="225"/>
      <c r="AV218" s="225"/>
      <c r="AW218" s="267"/>
      <c r="AX218" s="226"/>
      <c r="AY218" s="225"/>
      <c r="AZ218" s="225"/>
      <c r="BA218" s="226"/>
      <c r="BB218" s="225"/>
      <c r="BC218" s="225"/>
      <c r="BD218" s="225"/>
      <c r="BE218" s="225"/>
      <c r="BF218" s="225"/>
      <c r="BG218" s="225"/>
      <c r="BH218" s="225"/>
      <c r="BI218" s="225"/>
      <c r="BJ218" s="225"/>
      <c r="BK218" s="225"/>
      <c r="BL218" s="225"/>
      <c r="BM218" s="225"/>
      <c r="BN218" s="225"/>
      <c r="BO218" s="225"/>
      <c r="BP218" s="225"/>
      <c r="BQ218" s="225"/>
      <c r="BR218" s="225"/>
      <c r="BS218" s="225"/>
      <c r="BT218" s="226"/>
      <c r="BU218" s="225"/>
      <c r="BV218" s="225"/>
      <c r="BW218" s="225"/>
      <c r="BX218" s="225"/>
      <c r="BY218" s="225"/>
      <c r="BZ218" s="225"/>
    </row>
    <row r="219">
      <c r="A219" s="225"/>
      <c r="B219" s="225"/>
      <c r="C219" s="225"/>
      <c r="D219" s="226"/>
      <c r="E219" s="225"/>
      <c r="F219" s="225"/>
      <c r="G219" s="225"/>
      <c r="H219" s="225"/>
      <c r="I219" s="225"/>
      <c r="J219" s="225"/>
      <c r="K219" s="244"/>
      <c r="L219" s="225"/>
      <c r="M219" s="225"/>
      <c r="N219" s="225"/>
      <c r="O219" s="225"/>
      <c r="P219" s="225"/>
      <c r="Q219" s="227"/>
      <c r="R219" s="234"/>
      <c r="S219" s="244"/>
      <c r="T219" s="225"/>
      <c r="U219" s="225"/>
      <c r="V219" s="225"/>
      <c r="W219" s="225"/>
      <c r="X219" s="225"/>
      <c r="Y219" s="229"/>
      <c r="Z219" s="257"/>
      <c r="AA219" s="225"/>
      <c r="AB219" s="257"/>
      <c r="AC219" s="257"/>
      <c r="AD219" s="349"/>
      <c r="AE219" s="259"/>
      <c r="AF219" s="347"/>
      <c r="AG219" s="232"/>
      <c r="AH219" s="266"/>
      <c r="AI219" s="234"/>
      <c r="AJ219" s="267"/>
      <c r="AK219" s="259"/>
      <c r="AL219" s="232"/>
      <c r="AM219" s="225"/>
      <c r="AN219" s="225"/>
      <c r="AO219" s="254"/>
      <c r="AP219" s="225"/>
      <c r="AQ219" s="257"/>
      <c r="AR219" s="254"/>
      <c r="AS219" s="225"/>
      <c r="AT219" s="257"/>
      <c r="AU219" s="225"/>
      <c r="AV219" s="225"/>
      <c r="AW219" s="267"/>
      <c r="AX219" s="226"/>
      <c r="AY219" s="225"/>
      <c r="AZ219" s="225"/>
      <c r="BA219" s="226"/>
      <c r="BB219" s="225"/>
      <c r="BC219" s="225"/>
      <c r="BD219" s="225"/>
      <c r="BE219" s="225"/>
      <c r="BF219" s="225"/>
      <c r="BG219" s="225"/>
      <c r="BH219" s="225"/>
      <c r="BI219" s="225"/>
      <c r="BJ219" s="225"/>
      <c r="BK219" s="225"/>
      <c r="BL219" s="225"/>
      <c r="BM219" s="225"/>
      <c r="BN219" s="225"/>
      <c r="BO219" s="225"/>
      <c r="BP219" s="225"/>
      <c r="BQ219" s="225"/>
      <c r="BR219" s="225"/>
      <c r="BS219" s="225"/>
      <c r="BT219" s="226"/>
      <c r="BU219" s="225"/>
      <c r="BV219" s="225"/>
      <c r="BW219" s="225"/>
      <c r="BX219" s="225"/>
      <c r="BY219" s="225"/>
      <c r="BZ219" s="225"/>
    </row>
    <row r="220">
      <c r="A220" s="225"/>
      <c r="B220" s="225"/>
      <c r="C220" s="225"/>
      <c r="D220" s="226"/>
      <c r="E220" s="225"/>
      <c r="F220" s="225"/>
      <c r="G220" s="225"/>
      <c r="H220" s="225"/>
      <c r="I220" s="225"/>
      <c r="J220" s="225"/>
      <c r="K220" s="244"/>
      <c r="L220" s="225"/>
      <c r="M220" s="225"/>
      <c r="N220" s="225"/>
      <c r="O220" s="225"/>
      <c r="P220" s="225"/>
      <c r="Q220" s="227"/>
      <c r="R220" s="234"/>
      <c r="S220" s="225"/>
      <c r="T220" s="225"/>
      <c r="U220" s="225"/>
      <c r="V220" s="225"/>
      <c r="W220" s="225"/>
      <c r="X220" s="225"/>
      <c r="Y220" s="229"/>
      <c r="Z220" s="257"/>
      <c r="AA220" s="225"/>
      <c r="AB220" s="257"/>
      <c r="AC220" s="257"/>
      <c r="AD220" s="349"/>
      <c r="AE220" s="259"/>
      <c r="AF220" s="347"/>
      <c r="AG220" s="232"/>
      <c r="AH220" s="305"/>
      <c r="AI220" s="234"/>
      <c r="AJ220" s="267"/>
      <c r="AK220" s="259"/>
      <c r="AL220" s="226"/>
      <c r="AM220" s="225"/>
      <c r="AN220" s="225"/>
      <c r="AO220" s="254"/>
      <c r="AP220" s="225"/>
      <c r="AQ220" s="225"/>
      <c r="AR220" s="254"/>
      <c r="AS220" s="225"/>
      <c r="AT220" s="257"/>
      <c r="AU220" s="225"/>
      <c r="AV220" s="225"/>
      <c r="AW220" s="267"/>
      <c r="AX220" s="226"/>
      <c r="AY220" s="225"/>
      <c r="AZ220" s="225"/>
      <c r="BA220" s="226"/>
      <c r="BB220" s="225"/>
      <c r="BC220" s="225"/>
      <c r="BD220" s="225"/>
      <c r="BE220" s="225"/>
      <c r="BF220" s="225"/>
      <c r="BG220" s="225"/>
      <c r="BH220" s="225"/>
      <c r="BI220" s="225"/>
      <c r="BJ220" s="225"/>
      <c r="BK220" s="225"/>
      <c r="BL220" s="225"/>
      <c r="BM220" s="225"/>
      <c r="BN220" s="225"/>
      <c r="BO220" s="225"/>
      <c r="BP220" s="225"/>
      <c r="BQ220" s="225"/>
      <c r="BR220" s="225"/>
      <c r="BS220" s="225"/>
      <c r="BT220" s="226"/>
      <c r="BU220" s="225"/>
      <c r="BV220" s="225"/>
      <c r="BW220" s="225"/>
      <c r="BX220" s="225"/>
      <c r="BY220" s="225"/>
      <c r="BZ220" s="225"/>
    </row>
    <row r="221">
      <c r="A221" s="225"/>
      <c r="B221" s="225"/>
      <c r="C221" s="225"/>
      <c r="D221" s="226"/>
      <c r="E221" s="225"/>
      <c r="F221" s="225"/>
      <c r="G221" s="225"/>
      <c r="H221" s="225"/>
      <c r="I221" s="225"/>
      <c r="J221" s="225"/>
      <c r="K221" s="244"/>
      <c r="L221" s="225"/>
      <c r="M221" s="225"/>
      <c r="N221" s="225"/>
      <c r="O221" s="225"/>
      <c r="P221" s="225"/>
      <c r="Q221" s="227"/>
      <c r="R221" s="234"/>
      <c r="S221" s="225"/>
      <c r="T221" s="225"/>
      <c r="U221" s="225"/>
      <c r="V221" s="225"/>
      <c r="W221" s="225"/>
      <c r="X221" s="225"/>
      <c r="Y221" s="229"/>
      <c r="Z221" s="257"/>
      <c r="AA221" s="225"/>
      <c r="AB221" s="257"/>
      <c r="AC221" s="257"/>
      <c r="AD221" s="349"/>
      <c r="AE221" s="259"/>
      <c r="AF221" s="347"/>
      <c r="AG221" s="232"/>
      <c r="AH221" s="335"/>
      <c r="AI221" s="234"/>
      <c r="AJ221" s="267"/>
      <c r="AK221" s="259"/>
      <c r="AL221" s="232"/>
      <c r="AM221" s="225"/>
      <c r="AN221" s="225"/>
      <c r="AO221" s="254"/>
      <c r="AP221" s="225"/>
      <c r="AQ221" s="257"/>
      <c r="AR221" s="254"/>
      <c r="AS221" s="225"/>
      <c r="AT221" s="257"/>
      <c r="AU221" s="225"/>
      <c r="AV221" s="225"/>
      <c r="AW221" s="267"/>
      <c r="AX221" s="226"/>
      <c r="AY221" s="225"/>
      <c r="AZ221" s="225"/>
      <c r="BA221" s="226"/>
      <c r="BB221" s="225"/>
      <c r="BC221" s="225"/>
      <c r="BD221" s="225"/>
      <c r="BE221" s="225"/>
      <c r="BF221" s="225"/>
      <c r="BG221" s="225"/>
      <c r="BH221" s="225"/>
      <c r="BI221" s="225"/>
      <c r="BJ221" s="225"/>
      <c r="BK221" s="225"/>
      <c r="BL221" s="225"/>
      <c r="BM221" s="225"/>
      <c r="BN221" s="225"/>
      <c r="BO221" s="225"/>
      <c r="BP221" s="225"/>
      <c r="BQ221" s="225"/>
      <c r="BR221" s="225"/>
      <c r="BS221" s="225"/>
      <c r="BT221" s="226"/>
      <c r="BU221" s="225"/>
      <c r="BV221" s="225"/>
      <c r="BW221" s="225"/>
      <c r="BX221" s="225"/>
      <c r="BY221" s="225"/>
      <c r="BZ221" s="225"/>
    </row>
    <row r="222">
      <c r="A222" s="225"/>
      <c r="B222" s="225"/>
      <c r="C222" s="225"/>
      <c r="D222" s="226"/>
      <c r="E222" s="225"/>
      <c r="F222" s="225"/>
      <c r="G222" s="225"/>
      <c r="H222" s="225"/>
      <c r="I222" s="225"/>
      <c r="J222" s="225"/>
      <c r="K222" s="244"/>
      <c r="L222" s="225"/>
      <c r="M222" s="225"/>
      <c r="N222" s="225"/>
      <c r="O222" s="225"/>
      <c r="P222" s="225"/>
      <c r="Q222" s="227"/>
      <c r="R222" s="234"/>
      <c r="S222" s="225"/>
      <c r="T222" s="225"/>
      <c r="U222" s="225"/>
      <c r="V222" s="225"/>
      <c r="W222" s="225"/>
      <c r="X222" s="225"/>
      <c r="Y222" s="229"/>
      <c r="Z222" s="257"/>
      <c r="AA222" s="225"/>
      <c r="AB222" s="257"/>
      <c r="AC222" s="257"/>
      <c r="AD222" s="349"/>
      <c r="AE222" s="259"/>
      <c r="AF222" s="347"/>
      <c r="AG222" s="232"/>
      <c r="AH222" s="337"/>
      <c r="AI222" s="234"/>
      <c r="AJ222" s="267"/>
      <c r="AK222" s="259"/>
      <c r="AL222" s="232"/>
      <c r="AM222" s="225"/>
      <c r="AN222" s="225"/>
      <c r="AO222" s="254"/>
      <c r="AP222" s="225"/>
      <c r="AQ222" s="257"/>
      <c r="AR222" s="254"/>
      <c r="AS222" s="225"/>
      <c r="AT222" s="257"/>
      <c r="AU222" s="225"/>
      <c r="AV222" s="225"/>
      <c r="AW222" s="267"/>
      <c r="AX222" s="226"/>
      <c r="AY222" s="225"/>
      <c r="AZ222" s="225"/>
      <c r="BA222" s="226"/>
      <c r="BB222" s="225"/>
      <c r="BC222" s="225"/>
      <c r="BD222" s="225"/>
      <c r="BE222" s="225"/>
      <c r="BF222" s="225"/>
      <c r="BG222" s="225"/>
      <c r="BH222" s="225"/>
      <c r="BI222" s="225"/>
      <c r="BJ222" s="225"/>
      <c r="BK222" s="225"/>
      <c r="BL222" s="225"/>
      <c r="BM222" s="225"/>
      <c r="BN222" s="225"/>
      <c r="BO222" s="225"/>
      <c r="BP222" s="225"/>
      <c r="BQ222" s="225"/>
      <c r="BR222" s="225"/>
      <c r="BS222" s="225"/>
      <c r="BT222" s="226"/>
      <c r="BU222" s="225"/>
      <c r="BV222" s="225"/>
      <c r="BW222" s="225"/>
      <c r="BX222" s="225"/>
      <c r="BY222" s="225"/>
      <c r="BZ222" s="225"/>
    </row>
    <row r="223">
      <c r="A223" s="225"/>
      <c r="B223" s="225"/>
      <c r="C223" s="225"/>
      <c r="D223" s="226"/>
      <c r="E223" s="225"/>
      <c r="F223" s="225"/>
      <c r="G223" s="225"/>
      <c r="H223" s="225"/>
      <c r="I223" s="225"/>
      <c r="J223" s="225"/>
      <c r="K223" s="244"/>
      <c r="L223" s="225"/>
      <c r="M223" s="225"/>
      <c r="N223" s="225"/>
      <c r="O223" s="225"/>
      <c r="P223" s="225"/>
      <c r="Q223" s="227"/>
      <c r="R223" s="234"/>
      <c r="S223" s="225"/>
      <c r="T223" s="225"/>
      <c r="U223" s="225"/>
      <c r="V223" s="225"/>
      <c r="W223" s="225"/>
      <c r="X223" s="225"/>
      <c r="Y223" s="229"/>
      <c r="Z223" s="257"/>
      <c r="AA223" s="225"/>
      <c r="AB223" s="257"/>
      <c r="AC223" s="257"/>
      <c r="AD223" s="349"/>
      <c r="AE223" s="259"/>
      <c r="AF223" s="347"/>
      <c r="AG223" s="232"/>
      <c r="AH223" s="339"/>
      <c r="AI223" s="234"/>
      <c r="AJ223" s="267"/>
      <c r="AK223" s="259"/>
      <c r="AL223" s="232"/>
      <c r="AM223" s="225"/>
      <c r="AN223" s="225"/>
      <c r="AO223" s="254"/>
      <c r="AP223" s="225"/>
      <c r="AQ223" s="257"/>
      <c r="AR223" s="254"/>
      <c r="AS223" s="225"/>
      <c r="AT223" s="257"/>
      <c r="AU223" s="225"/>
      <c r="AV223" s="225"/>
      <c r="AW223" s="267"/>
      <c r="AX223" s="226"/>
      <c r="AY223" s="225"/>
      <c r="AZ223" s="225"/>
      <c r="BA223" s="226"/>
      <c r="BB223" s="225"/>
      <c r="BC223" s="225"/>
      <c r="BD223" s="225"/>
      <c r="BE223" s="225"/>
      <c r="BF223" s="225"/>
      <c r="BG223" s="225"/>
      <c r="BH223" s="225"/>
      <c r="BI223" s="225"/>
      <c r="BJ223" s="225"/>
      <c r="BK223" s="225"/>
      <c r="BL223" s="225"/>
      <c r="BM223" s="225"/>
      <c r="BN223" s="225"/>
      <c r="BO223" s="225"/>
      <c r="BP223" s="225"/>
      <c r="BQ223" s="225"/>
      <c r="BR223" s="225"/>
      <c r="BS223" s="225"/>
      <c r="BT223" s="226"/>
      <c r="BU223" s="225"/>
      <c r="BV223" s="225"/>
      <c r="BW223" s="225"/>
      <c r="BX223" s="225"/>
      <c r="BY223" s="225"/>
      <c r="BZ223" s="225"/>
    </row>
    <row r="224">
      <c r="A224" s="225"/>
      <c r="B224" s="225"/>
      <c r="C224" s="225"/>
      <c r="D224" s="226"/>
      <c r="E224" s="225"/>
      <c r="F224" s="225"/>
      <c r="G224" s="225"/>
      <c r="H224" s="225"/>
      <c r="I224" s="225"/>
      <c r="J224" s="225"/>
      <c r="K224" s="244"/>
      <c r="L224" s="225"/>
      <c r="M224" s="225"/>
      <c r="N224" s="225"/>
      <c r="O224" s="284"/>
      <c r="P224" s="225"/>
      <c r="Q224" s="227"/>
      <c r="R224" s="234"/>
      <c r="S224" s="225"/>
      <c r="T224" s="225"/>
      <c r="U224" s="225"/>
      <c r="V224" s="225"/>
      <c r="W224" s="225"/>
      <c r="X224" s="225"/>
      <c r="Y224" s="229"/>
      <c r="Z224" s="257"/>
      <c r="AA224" s="284"/>
      <c r="AB224" s="257"/>
      <c r="AC224" s="257"/>
      <c r="AD224" s="349"/>
      <c r="AE224" s="259"/>
      <c r="AF224" s="347"/>
      <c r="AG224" s="232"/>
      <c r="AH224" s="305"/>
      <c r="AI224" s="234"/>
      <c r="AJ224" s="267"/>
      <c r="AK224" s="259"/>
      <c r="AL224" s="232"/>
      <c r="AM224" s="225"/>
      <c r="AN224" s="225"/>
      <c r="AO224" s="254"/>
      <c r="AP224" s="225"/>
      <c r="AQ224" s="257"/>
      <c r="AR224" s="254"/>
      <c r="AS224" s="225"/>
      <c r="AT224" s="257"/>
      <c r="AU224" s="225"/>
      <c r="AV224" s="225"/>
      <c r="AW224" s="267"/>
      <c r="AX224" s="226"/>
      <c r="AY224" s="225"/>
      <c r="AZ224" s="225"/>
      <c r="BA224" s="226"/>
      <c r="BB224" s="225"/>
      <c r="BC224" s="225"/>
      <c r="BD224" s="225"/>
      <c r="BE224" s="225"/>
      <c r="BF224" s="225"/>
      <c r="BG224" s="225"/>
      <c r="BH224" s="225"/>
      <c r="BI224" s="225"/>
      <c r="BJ224" s="225"/>
      <c r="BK224" s="225"/>
      <c r="BL224" s="225"/>
      <c r="BM224" s="225"/>
      <c r="BN224" s="225"/>
      <c r="BO224" s="225"/>
      <c r="BP224" s="225"/>
      <c r="BQ224" s="225"/>
      <c r="BR224" s="225"/>
      <c r="BS224" s="225"/>
      <c r="BT224" s="226"/>
      <c r="BU224" s="225"/>
      <c r="BV224" s="225"/>
      <c r="BW224" s="225"/>
      <c r="BX224" s="225"/>
      <c r="BY224" s="225"/>
      <c r="BZ224" s="225"/>
    </row>
    <row r="225">
      <c r="A225" s="225"/>
      <c r="B225" s="225"/>
      <c r="C225" s="225"/>
      <c r="D225" s="226"/>
      <c r="E225" s="225"/>
      <c r="F225" s="225"/>
      <c r="G225" s="225"/>
      <c r="H225" s="225"/>
      <c r="I225" s="225"/>
      <c r="J225" s="225"/>
      <c r="K225" s="244"/>
      <c r="L225" s="225"/>
      <c r="M225" s="225"/>
      <c r="N225" s="225"/>
      <c r="O225" s="225"/>
      <c r="P225" s="225"/>
      <c r="Q225" s="227"/>
      <c r="R225" s="234"/>
      <c r="S225" s="225"/>
      <c r="T225" s="225"/>
      <c r="U225" s="225"/>
      <c r="V225" s="225"/>
      <c r="W225" s="225"/>
      <c r="X225" s="225"/>
      <c r="Y225" s="229"/>
      <c r="Z225" s="257"/>
      <c r="AA225" s="225"/>
      <c r="AB225" s="257"/>
      <c r="AC225" s="257"/>
      <c r="AD225" s="349"/>
      <c r="AE225" s="259"/>
      <c r="AF225" s="347"/>
      <c r="AG225" s="232"/>
      <c r="AH225" s="287"/>
      <c r="AI225" s="234"/>
      <c r="AJ225" s="267"/>
      <c r="AK225" s="259"/>
      <c r="AL225" s="232"/>
      <c r="AM225" s="225"/>
      <c r="AN225" s="225"/>
      <c r="AO225" s="254"/>
      <c r="AP225" s="225"/>
      <c r="AQ225" s="257"/>
      <c r="AR225" s="254"/>
      <c r="AS225" s="225"/>
      <c r="AT225" s="257"/>
      <c r="AU225" s="225"/>
      <c r="AV225" s="225"/>
      <c r="AW225" s="267"/>
      <c r="AX225" s="226"/>
      <c r="AY225" s="225"/>
      <c r="AZ225" s="225"/>
      <c r="BA225" s="226"/>
      <c r="BB225" s="225"/>
      <c r="BC225" s="225"/>
      <c r="BD225" s="225"/>
      <c r="BE225" s="225"/>
      <c r="BF225" s="225"/>
      <c r="BG225" s="225"/>
      <c r="BH225" s="225"/>
      <c r="BI225" s="225"/>
      <c r="BJ225" s="225"/>
      <c r="BK225" s="225"/>
      <c r="BL225" s="225"/>
      <c r="BM225" s="225"/>
      <c r="BN225" s="225"/>
      <c r="BO225" s="225"/>
      <c r="BP225" s="225"/>
      <c r="BQ225" s="225"/>
      <c r="BR225" s="225"/>
      <c r="BS225" s="225"/>
      <c r="BT225" s="226"/>
      <c r="BU225" s="225"/>
      <c r="BV225" s="225"/>
      <c r="BW225" s="225"/>
      <c r="BX225" s="225"/>
      <c r="BY225" s="225"/>
      <c r="BZ225" s="225"/>
    </row>
    <row r="226">
      <c r="A226" s="225"/>
      <c r="B226" s="225"/>
      <c r="C226" s="225"/>
      <c r="D226" s="226"/>
      <c r="E226" s="225"/>
      <c r="F226" s="225"/>
      <c r="G226" s="225"/>
      <c r="H226" s="225"/>
      <c r="I226" s="225"/>
      <c r="J226" s="225"/>
      <c r="K226" s="244"/>
      <c r="L226" s="225"/>
      <c r="M226" s="225"/>
      <c r="N226" s="225"/>
      <c r="O226" s="225"/>
      <c r="P226" s="225"/>
      <c r="Q226" s="227"/>
      <c r="R226" s="234"/>
      <c r="S226" s="225"/>
      <c r="T226" s="225"/>
      <c r="U226" s="225"/>
      <c r="V226" s="225"/>
      <c r="W226" s="225"/>
      <c r="X226" s="225"/>
      <c r="Y226" s="229"/>
      <c r="Z226" s="257"/>
      <c r="AA226" s="225"/>
      <c r="AB226" s="257"/>
      <c r="AC226" s="257"/>
      <c r="AD226" s="349"/>
      <c r="AE226" s="259"/>
      <c r="AF226" s="347"/>
      <c r="AG226" s="232"/>
      <c r="AH226" s="342"/>
      <c r="AI226" s="234"/>
      <c r="AJ226" s="267"/>
      <c r="AK226" s="259"/>
      <c r="AL226" s="226"/>
      <c r="AM226" s="225"/>
      <c r="AN226" s="225"/>
      <c r="AO226" s="254"/>
      <c r="AP226" s="225"/>
      <c r="AQ226" s="225"/>
      <c r="AR226" s="226"/>
      <c r="AS226" s="225"/>
      <c r="AT226" s="257"/>
      <c r="AU226" s="225"/>
      <c r="AV226" s="225"/>
      <c r="AW226" s="225"/>
      <c r="AX226" s="226"/>
      <c r="AY226" s="225"/>
      <c r="AZ226" s="225"/>
      <c r="BA226" s="226"/>
      <c r="BB226" s="225"/>
      <c r="BC226" s="225"/>
      <c r="BD226" s="225"/>
      <c r="BE226" s="225"/>
      <c r="BF226" s="225"/>
      <c r="BG226" s="225"/>
      <c r="BH226" s="225"/>
      <c r="BI226" s="225"/>
      <c r="BJ226" s="225"/>
      <c r="BK226" s="225"/>
      <c r="BL226" s="225"/>
      <c r="BM226" s="225"/>
      <c r="BN226" s="225"/>
      <c r="BO226" s="225"/>
      <c r="BP226" s="225"/>
      <c r="BQ226" s="225"/>
      <c r="BR226" s="225"/>
      <c r="BS226" s="225"/>
      <c r="BT226" s="226"/>
      <c r="BU226" s="225"/>
      <c r="BV226" s="225"/>
      <c r="BW226" s="225"/>
      <c r="BX226" s="225"/>
      <c r="BY226" s="225"/>
      <c r="BZ226" s="225"/>
    </row>
    <row r="227">
      <c r="A227" s="225"/>
      <c r="B227" s="225"/>
      <c r="C227" s="225"/>
      <c r="D227" s="226"/>
      <c r="E227" s="225"/>
      <c r="F227" s="225"/>
      <c r="G227" s="225"/>
      <c r="H227" s="225"/>
      <c r="I227" s="225"/>
      <c r="J227" s="225"/>
      <c r="K227" s="244"/>
      <c r="L227" s="225"/>
      <c r="M227" s="225"/>
      <c r="N227" s="225"/>
      <c r="O227" s="225"/>
      <c r="P227" s="225"/>
      <c r="Q227" s="227"/>
      <c r="R227" s="234"/>
      <c r="S227" s="225"/>
      <c r="T227" s="225"/>
      <c r="U227" s="225"/>
      <c r="V227" s="225"/>
      <c r="W227" s="225"/>
      <c r="X227" s="225"/>
      <c r="Y227" s="229"/>
      <c r="Z227" s="257"/>
      <c r="AA227" s="225"/>
      <c r="AB227" s="257"/>
      <c r="AC227" s="257"/>
      <c r="AD227" s="349"/>
      <c r="AE227" s="259"/>
      <c r="AF227" s="347"/>
      <c r="AG227" s="232"/>
      <c r="AH227" s="305"/>
      <c r="AI227" s="234"/>
      <c r="AJ227" s="267"/>
      <c r="AK227" s="259"/>
      <c r="AL227" s="232"/>
      <c r="AM227" s="225"/>
      <c r="AN227" s="225"/>
      <c r="AO227" s="254"/>
      <c r="AP227" s="225"/>
      <c r="AQ227" s="257"/>
      <c r="AR227" s="254"/>
      <c r="AS227" s="225"/>
      <c r="AT227" s="257"/>
      <c r="AU227" s="225"/>
      <c r="AV227" s="225"/>
      <c r="AW227" s="267"/>
      <c r="AX227" s="226"/>
      <c r="AY227" s="225"/>
      <c r="AZ227" s="225"/>
      <c r="BA227" s="226"/>
      <c r="BB227" s="225"/>
      <c r="BC227" s="225"/>
      <c r="BD227" s="225"/>
      <c r="BE227" s="225"/>
      <c r="BF227" s="225"/>
      <c r="BG227" s="225"/>
      <c r="BH227" s="225"/>
      <c r="BI227" s="225"/>
      <c r="BJ227" s="225"/>
      <c r="BK227" s="225"/>
      <c r="BL227" s="225"/>
      <c r="BM227" s="225"/>
      <c r="BN227" s="225"/>
      <c r="BO227" s="225"/>
      <c r="BP227" s="225"/>
      <c r="BQ227" s="225"/>
      <c r="BR227" s="225"/>
      <c r="BS227" s="225"/>
      <c r="BT227" s="226"/>
      <c r="BU227" s="225"/>
      <c r="BV227" s="225"/>
      <c r="BW227" s="225"/>
      <c r="BX227" s="225"/>
      <c r="BY227" s="225"/>
      <c r="BZ227" s="225"/>
    </row>
    <row r="228">
      <c r="A228" s="225"/>
      <c r="B228" s="225"/>
      <c r="C228" s="225"/>
      <c r="D228" s="226"/>
      <c r="E228" s="225"/>
      <c r="F228" s="225"/>
      <c r="G228" s="225"/>
      <c r="H228" s="225"/>
      <c r="I228" s="225"/>
      <c r="J228" s="225"/>
      <c r="K228" s="244"/>
      <c r="L228" s="225"/>
      <c r="M228" s="225"/>
      <c r="N228" s="225"/>
      <c r="O228" s="225"/>
      <c r="P228" s="225"/>
      <c r="Q228" s="227"/>
      <c r="R228" s="234"/>
      <c r="S228" s="225"/>
      <c r="T228" s="225"/>
      <c r="U228" s="225"/>
      <c r="V228" s="225"/>
      <c r="W228" s="225"/>
      <c r="X228" s="225"/>
      <c r="Y228" s="229"/>
      <c r="Z228" s="257"/>
      <c r="AA228" s="225"/>
      <c r="AB228" s="257"/>
      <c r="AC228" s="257"/>
      <c r="AD228" s="349"/>
      <c r="AE228" s="259"/>
      <c r="AF228" s="347"/>
      <c r="AG228" s="232"/>
      <c r="AH228" s="305"/>
      <c r="AI228" s="234"/>
      <c r="AJ228" s="267"/>
      <c r="AK228" s="259"/>
      <c r="AL228" s="232"/>
      <c r="AM228" s="225"/>
      <c r="AN228" s="225"/>
      <c r="AO228" s="254"/>
      <c r="AP228" s="225"/>
      <c r="AQ228" s="257"/>
      <c r="AR228" s="254"/>
      <c r="AS228" s="225"/>
      <c r="AT228" s="257"/>
      <c r="AU228" s="225"/>
      <c r="AV228" s="225"/>
      <c r="AW228" s="267"/>
      <c r="AX228" s="226"/>
      <c r="AY228" s="225"/>
      <c r="AZ228" s="225"/>
      <c r="BA228" s="226"/>
      <c r="BB228" s="225"/>
      <c r="BC228" s="225"/>
      <c r="BD228" s="225"/>
      <c r="BE228" s="225"/>
      <c r="BF228" s="225"/>
      <c r="BG228" s="225"/>
      <c r="BH228" s="225"/>
      <c r="BI228" s="225"/>
      <c r="BJ228" s="225"/>
      <c r="BK228" s="225"/>
      <c r="BL228" s="225"/>
      <c r="BM228" s="225"/>
      <c r="BN228" s="225"/>
      <c r="BO228" s="225"/>
      <c r="BP228" s="225"/>
      <c r="BQ228" s="225"/>
      <c r="BR228" s="225"/>
      <c r="BS228" s="225"/>
      <c r="BT228" s="226"/>
      <c r="BU228" s="225"/>
      <c r="BV228" s="225"/>
      <c r="BW228" s="225"/>
      <c r="BX228" s="225"/>
      <c r="BY228" s="225"/>
      <c r="BZ228" s="225"/>
    </row>
    <row r="229">
      <c r="A229" s="225"/>
      <c r="B229" s="225"/>
      <c r="C229" s="225"/>
      <c r="D229" s="226"/>
      <c r="E229" s="225"/>
      <c r="F229" s="225"/>
      <c r="G229" s="225"/>
      <c r="H229" s="225"/>
      <c r="I229" s="225"/>
      <c r="J229" s="225"/>
      <c r="K229" s="244"/>
      <c r="L229" s="225"/>
      <c r="M229" s="225"/>
      <c r="N229" s="225"/>
      <c r="O229" s="225"/>
      <c r="P229" s="225"/>
      <c r="Q229" s="227"/>
      <c r="R229" s="234"/>
      <c r="S229" s="225"/>
      <c r="T229" s="225"/>
      <c r="U229" s="225"/>
      <c r="V229" s="225"/>
      <c r="W229" s="225"/>
      <c r="X229" s="225"/>
      <c r="Y229" s="229"/>
      <c r="Z229" s="257"/>
      <c r="AA229" s="225"/>
      <c r="AB229" s="257"/>
      <c r="AC229" s="257"/>
      <c r="AD229" s="349"/>
      <c r="AE229" s="259"/>
      <c r="AF229" s="347"/>
      <c r="AG229" s="232"/>
      <c r="AH229" s="267"/>
      <c r="AI229" s="234"/>
      <c r="AJ229" s="267"/>
      <c r="AK229" s="259"/>
      <c r="AL229" s="232"/>
      <c r="AM229" s="225"/>
      <c r="AN229" s="225"/>
      <c r="AO229" s="254"/>
      <c r="AP229" s="225"/>
      <c r="AQ229" s="257"/>
      <c r="AR229" s="232"/>
      <c r="AS229" s="225"/>
      <c r="AT229" s="257"/>
      <c r="AU229" s="225"/>
      <c r="AV229" s="225"/>
      <c r="AW229" s="257"/>
      <c r="AX229" s="226"/>
      <c r="AY229" s="225"/>
      <c r="AZ229" s="225"/>
      <c r="BA229" s="226"/>
      <c r="BB229" s="225"/>
      <c r="BC229" s="225"/>
      <c r="BD229" s="225"/>
      <c r="BE229" s="225"/>
      <c r="BF229" s="225"/>
      <c r="BG229" s="225"/>
      <c r="BH229" s="225"/>
      <c r="BI229" s="225"/>
      <c r="BJ229" s="225"/>
      <c r="BK229" s="225"/>
      <c r="BL229" s="225"/>
      <c r="BM229" s="225"/>
      <c r="BN229" s="225"/>
      <c r="BO229" s="225"/>
      <c r="BP229" s="225"/>
      <c r="BQ229" s="225"/>
      <c r="BR229" s="225"/>
      <c r="BS229" s="225"/>
      <c r="BT229" s="226"/>
      <c r="BU229" s="225"/>
      <c r="BV229" s="225"/>
      <c r="BW229" s="225"/>
      <c r="BX229" s="225"/>
      <c r="BY229" s="225"/>
      <c r="BZ229" s="225"/>
    </row>
    <row r="230">
      <c r="A230" s="225"/>
      <c r="B230" s="225"/>
      <c r="C230" s="225"/>
      <c r="D230" s="226"/>
      <c r="E230" s="225"/>
      <c r="F230" s="225"/>
      <c r="G230" s="225"/>
      <c r="H230" s="225"/>
      <c r="I230" s="225"/>
      <c r="J230" s="225"/>
      <c r="K230" s="244"/>
      <c r="L230" s="225"/>
      <c r="M230" s="225"/>
      <c r="N230" s="225"/>
      <c r="O230" s="225"/>
      <c r="P230" s="225"/>
      <c r="Q230" s="227"/>
      <c r="R230" s="234"/>
      <c r="S230" s="225"/>
      <c r="T230" s="225"/>
      <c r="U230" s="225"/>
      <c r="V230" s="225"/>
      <c r="W230" s="225"/>
      <c r="X230" s="225"/>
      <c r="Y230" s="229"/>
      <c r="Z230" s="257"/>
      <c r="AA230" s="225"/>
      <c r="AB230" s="257"/>
      <c r="AC230" s="257"/>
      <c r="AD230" s="349"/>
      <c r="AE230" s="259"/>
      <c r="AF230" s="347"/>
      <c r="AG230" s="232"/>
      <c r="AH230" s="291"/>
      <c r="AI230" s="234"/>
      <c r="AJ230" s="267"/>
      <c r="AK230" s="259"/>
      <c r="AL230" s="232"/>
      <c r="AM230" s="225"/>
      <c r="AN230" s="225"/>
      <c r="AO230" s="254"/>
      <c r="AP230" s="225"/>
      <c r="AQ230" s="257"/>
      <c r="AR230" s="254"/>
      <c r="AS230" s="225"/>
      <c r="AT230" s="257"/>
      <c r="AU230" s="225"/>
      <c r="AV230" s="225"/>
      <c r="AW230" s="267"/>
      <c r="AX230" s="226"/>
      <c r="AY230" s="225"/>
      <c r="AZ230" s="225"/>
      <c r="BA230" s="226"/>
      <c r="BB230" s="225"/>
      <c r="BC230" s="225"/>
      <c r="BD230" s="225"/>
      <c r="BE230" s="225"/>
      <c r="BF230" s="225"/>
      <c r="BG230" s="225"/>
      <c r="BH230" s="225"/>
      <c r="BI230" s="225"/>
      <c r="BJ230" s="225"/>
      <c r="BK230" s="225"/>
      <c r="BL230" s="225"/>
      <c r="BM230" s="225"/>
      <c r="BN230" s="225"/>
      <c r="BO230" s="225"/>
      <c r="BP230" s="225"/>
      <c r="BQ230" s="225"/>
      <c r="BR230" s="225"/>
      <c r="BS230" s="225"/>
      <c r="BT230" s="226"/>
      <c r="BU230" s="225"/>
      <c r="BV230" s="225"/>
      <c r="BW230" s="225"/>
      <c r="BX230" s="225"/>
      <c r="BY230" s="225"/>
      <c r="BZ230" s="225"/>
    </row>
    <row r="231">
      <c r="A231" s="225"/>
      <c r="B231" s="225"/>
      <c r="C231" s="225"/>
      <c r="D231" s="226"/>
      <c r="E231" s="225"/>
      <c r="F231" s="225"/>
      <c r="G231" s="225"/>
      <c r="H231" s="225"/>
      <c r="I231" s="225"/>
      <c r="J231" s="225"/>
      <c r="K231" s="244"/>
      <c r="L231" s="225"/>
      <c r="M231" s="225"/>
      <c r="N231" s="225"/>
      <c r="O231" s="225"/>
      <c r="P231" s="225"/>
      <c r="Q231" s="227"/>
      <c r="R231" s="234"/>
      <c r="S231" s="225"/>
      <c r="T231" s="225"/>
      <c r="U231" s="225"/>
      <c r="V231" s="225"/>
      <c r="W231" s="225"/>
      <c r="X231" s="225"/>
      <c r="Y231" s="229"/>
      <c r="Z231" s="257"/>
      <c r="AA231" s="225"/>
      <c r="AB231" s="257"/>
      <c r="AC231" s="257"/>
      <c r="AD231" s="349"/>
      <c r="AE231" s="259"/>
      <c r="AF231" s="347"/>
      <c r="AG231" s="232"/>
      <c r="AH231" s="271"/>
      <c r="AI231" s="234"/>
      <c r="AJ231" s="267"/>
      <c r="AK231" s="259"/>
      <c r="AL231" s="232"/>
      <c r="AM231" s="225"/>
      <c r="AN231" s="225"/>
      <c r="AO231" s="254"/>
      <c r="AP231" s="225"/>
      <c r="AQ231" s="257"/>
      <c r="AR231" s="254"/>
      <c r="AS231" s="225"/>
      <c r="AT231" s="257"/>
      <c r="AU231" s="225"/>
      <c r="AV231" s="225"/>
      <c r="AW231" s="267"/>
      <c r="AX231" s="226"/>
      <c r="AY231" s="225"/>
      <c r="AZ231" s="225"/>
      <c r="BA231" s="226"/>
      <c r="BB231" s="225"/>
      <c r="BC231" s="225"/>
      <c r="BD231" s="225"/>
      <c r="BE231" s="225"/>
      <c r="BF231" s="225"/>
      <c r="BG231" s="225"/>
      <c r="BH231" s="225"/>
      <c r="BI231" s="225"/>
      <c r="BJ231" s="225"/>
      <c r="BK231" s="225"/>
      <c r="BL231" s="225"/>
      <c r="BM231" s="225"/>
      <c r="BN231" s="225"/>
      <c r="BO231" s="225"/>
      <c r="BP231" s="225"/>
      <c r="BQ231" s="225"/>
      <c r="BR231" s="225"/>
      <c r="BS231" s="225"/>
      <c r="BT231" s="226"/>
      <c r="BU231" s="225"/>
      <c r="BV231" s="225"/>
      <c r="BW231" s="225"/>
      <c r="BX231" s="225"/>
      <c r="BY231" s="225"/>
      <c r="BZ231" s="225"/>
    </row>
    <row r="232">
      <c r="A232" s="225"/>
      <c r="B232" s="225"/>
      <c r="C232" s="225"/>
      <c r="D232" s="226"/>
      <c r="E232" s="225"/>
      <c r="F232" s="225"/>
      <c r="G232" s="225"/>
      <c r="H232" s="225"/>
      <c r="I232" s="225"/>
      <c r="J232" s="225"/>
      <c r="K232" s="244"/>
      <c r="L232" s="225"/>
      <c r="M232" s="225"/>
      <c r="N232" s="225"/>
      <c r="O232" s="284"/>
      <c r="P232" s="225"/>
      <c r="Q232" s="227"/>
      <c r="R232" s="234"/>
      <c r="S232" s="225"/>
      <c r="T232" s="225"/>
      <c r="U232" s="225"/>
      <c r="V232" s="225"/>
      <c r="W232" s="225"/>
      <c r="X232" s="225"/>
      <c r="Y232" s="229"/>
      <c r="Z232" s="257"/>
      <c r="AA232" s="284"/>
      <c r="AB232" s="257"/>
      <c r="AC232" s="257"/>
      <c r="AD232" s="349"/>
      <c r="AE232" s="259"/>
      <c r="AF232" s="347"/>
      <c r="AG232" s="232"/>
      <c r="AH232" s="271"/>
      <c r="AI232" s="234"/>
      <c r="AJ232" s="267"/>
      <c r="AK232" s="259"/>
      <c r="AL232" s="226"/>
      <c r="AM232" s="225"/>
      <c r="AN232" s="225"/>
      <c r="AO232" s="254"/>
      <c r="AP232" s="225"/>
      <c r="AQ232" s="225"/>
      <c r="AR232" s="254"/>
      <c r="AS232" s="225"/>
      <c r="AT232" s="257"/>
      <c r="AU232" s="225"/>
      <c r="AV232" s="225"/>
      <c r="AW232" s="267"/>
      <c r="AX232" s="226"/>
      <c r="AY232" s="225"/>
      <c r="AZ232" s="225"/>
      <c r="BA232" s="226"/>
      <c r="BB232" s="225"/>
      <c r="BC232" s="225"/>
      <c r="BD232" s="225"/>
      <c r="BE232" s="225"/>
      <c r="BF232" s="225"/>
      <c r="BG232" s="225"/>
      <c r="BH232" s="225"/>
      <c r="BI232" s="225"/>
      <c r="BJ232" s="225"/>
      <c r="BK232" s="225"/>
      <c r="BL232" s="225"/>
      <c r="BM232" s="225"/>
      <c r="BN232" s="225"/>
      <c r="BO232" s="225"/>
      <c r="BP232" s="225"/>
      <c r="BQ232" s="225"/>
      <c r="BR232" s="225"/>
      <c r="BS232" s="225"/>
      <c r="BT232" s="226"/>
      <c r="BU232" s="225"/>
      <c r="BV232" s="225"/>
      <c r="BW232" s="225"/>
      <c r="BX232" s="225"/>
      <c r="BY232" s="225"/>
      <c r="BZ232" s="225"/>
    </row>
    <row r="233">
      <c r="A233" s="225"/>
      <c r="B233" s="225"/>
      <c r="C233" s="225"/>
      <c r="D233" s="226"/>
      <c r="E233" s="225"/>
      <c r="F233" s="225"/>
      <c r="G233" s="225"/>
      <c r="H233" s="225"/>
      <c r="I233" s="225"/>
      <c r="J233" s="225"/>
      <c r="K233" s="244"/>
      <c r="L233" s="225"/>
      <c r="M233" s="225"/>
      <c r="N233" s="225"/>
      <c r="O233" s="225"/>
      <c r="P233" s="225"/>
      <c r="Q233" s="227"/>
      <c r="R233" s="234"/>
      <c r="S233" s="225"/>
      <c r="T233" s="225"/>
      <c r="U233" s="225"/>
      <c r="V233" s="225"/>
      <c r="W233" s="225"/>
      <c r="X233" s="225"/>
      <c r="Y233" s="229"/>
      <c r="Z233" s="257"/>
      <c r="AA233" s="225"/>
      <c r="AB233" s="257"/>
      <c r="AC233" s="257"/>
      <c r="AD233" s="349"/>
      <c r="AE233" s="259"/>
      <c r="AF233" s="347"/>
      <c r="AG233" s="232"/>
      <c r="AH233" s="287"/>
      <c r="AI233" s="234"/>
      <c r="AJ233" s="267"/>
      <c r="AK233" s="259"/>
      <c r="AL233" s="226"/>
      <c r="AM233" s="225"/>
      <c r="AN233" s="225"/>
      <c r="AO233" s="254"/>
      <c r="AP233" s="225"/>
      <c r="AQ233" s="225"/>
      <c r="AR233" s="254"/>
      <c r="AS233" s="225"/>
      <c r="AT233" s="257"/>
      <c r="AU233" s="225"/>
      <c r="AV233" s="225"/>
      <c r="AW233" s="267"/>
      <c r="AX233" s="226"/>
      <c r="AY233" s="225"/>
      <c r="AZ233" s="225"/>
      <c r="BA233" s="226"/>
      <c r="BB233" s="225"/>
      <c r="BC233" s="225"/>
      <c r="BD233" s="225"/>
      <c r="BE233" s="225"/>
      <c r="BF233" s="225"/>
      <c r="BG233" s="225"/>
      <c r="BH233" s="225"/>
      <c r="BI233" s="225"/>
      <c r="BJ233" s="225"/>
      <c r="BK233" s="225"/>
      <c r="BL233" s="225"/>
      <c r="BM233" s="225"/>
      <c r="BN233" s="225"/>
      <c r="BO233" s="225"/>
      <c r="BP233" s="225"/>
      <c r="BQ233" s="225"/>
      <c r="BR233" s="225"/>
      <c r="BS233" s="225"/>
      <c r="BT233" s="226"/>
      <c r="BU233" s="225"/>
      <c r="BV233" s="225"/>
      <c r="BW233" s="225"/>
      <c r="BX233" s="225"/>
      <c r="BY233" s="225"/>
      <c r="BZ233" s="225"/>
    </row>
    <row r="234">
      <c r="A234" s="225"/>
      <c r="B234" s="225"/>
      <c r="C234" s="225"/>
      <c r="D234" s="226"/>
      <c r="E234" s="225"/>
      <c r="F234" s="225"/>
      <c r="G234" s="225"/>
      <c r="H234" s="225"/>
      <c r="I234" s="225"/>
      <c r="J234" s="225"/>
      <c r="K234" s="244"/>
      <c r="L234" s="225"/>
      <c r="M234" s="225"/>
      <c r="N234" s="225"/>
      <c r="O234" s="225"/>
      <c r="P234" s="225"/>
      <c r="Q234" s="227"/>
      <c r="R234" s="234"/>
      <c r="S234" s="225"/>
      <c r="T234" s="225"/>
      <c r="U234" s="225"/>
      <c r="V234" s="225"/>
      <c r="W234" s="225"/>
      <c r="X234" s="225"/>
      <c r="Y234" s="229"/>
      <c r="Z234" s="257"/>
      <c r="AA234" s="225"/>
      <c r="AB234" s="257"/>
      <c r="AC234" s="257"/>
      <c r="AD234" s="349"/>
      <c r="AE234" s="259"/>
      <c r="AF234" s="347"/>
      <c r="AG234" s="232"/>
      <c r="AH234" s="337"/>
      <c r="AI234" s="234"/>
      <c r="AJ234" s="267"/>
      <c r="AK234" s="259"/>
      <c r="AL234" s="226"/>
      <c r="AM234" s="225"/>
      <c r="AN234" s="225"/>
      <c r="AO234" s="254"/>
      <c r="AP234" s="225"/>
      <c r="AQ234" s="225"/>
      <c r="AR234" s="254"/>
      <c r="AS234" s="225"/>
      <c r="AT234" s="257"/>
      <c r="AU234" s="225"/>
      <c r="AV234" s="225"/>
      <c r="AW234" s="267"/>
      <c r="AX234" s="226"/>
      <c r="AY234" s="225"/>
      <c r="AZ234" s="225"/>
      <c r="BA234" s="226"/>
      <c r="BB234" s="225"/>
      <c r="BC234" s="225"/>
      <c r="BD234" s="225"/>
      <c r="BE234" s="225"/>
      <c r="BF234" s="225"/>
      <c r="BG234" s="225"/>
      <c r="BH234" s="225"/>
      <c r="BI234" s="225"/>
      <c r="BJ234" s="225"/>
      <c r="BK234" s="225"/>
      <c r="BL234" s="225"/>
      <c r="BM234" s="225"/>
      <c r="BN234" s="225"/>
      <c r="BO234" s="225"/>
      <c r="BP234" s="225"/>
      <c r="BQ234" s="225"/>
      <c r="BR234" s="225"/>
      <c r="BS234" s="225"/>
      <c r="BT234" s="226"/>
      <c r="BU234" s="225"/>
      <c r="BV234" s="225"/>
      <c r="BW234" s="225"/>
      <c r="BX234" s="225"/>
      <c r="BY234" s="225"/>
      <c r="BZ234" s="225"/>
    </row>
    <row r="235">
      <c r="A235" s="225"/>
      <c r="B235" s="225"/>
      <c r="C235" s="225"/>
      <c r="D235" s="226"/>
      <c r="E235" s="225"/>
      <c r="F235" s="225"/>
      <c r="G235" s="225"/>
      <c r="H235" s="225"/>
      <c r="I235" s="225"/>
      <c r="J235" s="225"/>
      <c r="K235" s="244"/>
      <c r="L235" s="225"/>
      <c r="M235" s="225"/>
      <c r="N235" s="225"/>
      <c r="O235" s="225"/>
      <c r="P235" s="225"/>
      <c r="Q235" s="227"/>
      <c r="R235" s="234"/>
      <c r="S235" s="225"/>
      <c r="T235" s="225"/>
      <c r="U235" s="225"/>
      <c r="V235" s="225"/>
      <c r="W235" s="225"/>
      <c r="X235" s="225"/>
      <c r="Y235" s="229"/>
      <c r="Z235" s="257"/>
      <c r="AA235" s="225"/>
      <c r="AB235" s="257"/>
      <c r="AC235" s="257"/>
      <c r="AD235" s="349"/>
      <c r="AE235" s="259"/>
      <c r="AF235" s="347"/>
      <c r="AG235" s="232"/>
      <c r="AH235" s="257"/>
      <c r="AI235" s="234"/>
      <c r="AJ235" s="267"/>
      <c r="AK235" s="259"/>
      <c r="AL235" s="226"/>
      <c r="AM235" s="225"/>
      <c r="AN235" s="225"/>
      <c r="AO235" s="254"/>
      <c r="AP235" s="225"/>
      <c r="AQ235" s="225"/>
      <c r="AR235" s="226"/>
      <c r="AS235" s="225"/>
      <c r="AT235" s="257"/>
      <c r="AU235" s="225"/>
      <c r="AV235" s="225"/>
      <c r="AW235" s="225"/>
      <c r="AX235" s="226"/>
      <c r="AY235" s="225"/>
      <c r="AZ235" s="225"/>
      <c r="BA235" s="226"/>
      <c r="BB235" s="225"/>
      <c r="BC235" s="225"/>
      <c r="BD235" s="225"/>
      <c r="BE235" s="225"/>
      <c r="BF235" s="225"/>
      <c r="BG235" s="225"/>
      <c r="BH235" s="225"/>
      <c r="BI235" s="225"/>
      <c r="BJ235" s="225"/>
      <c r="BK235" s="225"/>
      <c r="BL235" s="225"/>
      <c r="BM235" s="225"/>
      <c r="BN235" s="225"/>
      <c r="BO235" s="225"/>
      <c r="BP235" s="225"/>
      <c r="BQ235" s="225"/>
      <c r="BR235" s="225"/>
      <c r="BS235" s="225"/>
      <c r="BT235" s="226"/>
      <c r="BU235" s="225"/>
      <c r="BV235" s="225"/>
      <c r="BW235" s="225"/>
      <c r="BX235" s="225"/>
      <c r="BY235" s="225"/>
      <c r="BZ235" s="225"/>
    </row>
    <row r="236">
      <c r="A236" s="225"/>
      <c r="B236" s="225"/>
      <c r="C236" s="225"/>
      <c r="D236" s="226"/>
      <c r="E236" s="225"/>
      <c r="F236" s="225"/>
      <c r="G236" s="225"/>
      <c r="H236" s="225"/>
      <c r="I236" s="225"/>
      <c r="J236" s="225"/>
      <c r="K236" s="244"/>
      <c r="L236" s="225"/>
      <c r="M236" s="225"/>
      <c r="N236" s="225"/>
      <c r="O236" s="225"/>
      <c r="P236" s="225"/>
      <c r="Q236" s="227"/>
      <c r="R236" s="234"/>
      <c r="S236" s="225"/>
      <c r="T236" s="225"/>
      <c r="U236" s="225"/>
      <c r="V236" s="225"/>
      <c r="W236" s="225"/>
      <c r="X236" s="225"/>
      <c r="Y236" s="229"/>
      <c r="Z236" s="257"/>
      <c r="AA236" s="225"/>
      <c r="AB236" s="257"/>
      <c r="AC236" s="257"/>
      <c r="AD236" s="349"/>
      <c r="AE236" s="259"/>
      <c r="AF236" s="347"/>
      <c r="AG236" s="232"/>
      <c r="AH236" s="266"/>
      <c r="AI236" s="234"/>
      <c r="AJ236" s="267"/>
      <c r="AK236" s="259"/>
      <c r="AL236" s="226"/>
      <c r="AM236" s="225"/>
      <c r="AN236" s="225"/>
      <c r="AO236" s="254"/>
      <c r="AP236" s="225"/>
      <c r="AQ236" s="225"/>
      <c r="AR236" s="330"/>
      <c r="AS236" s="225"/>
      <c r="AT236" s="257"/>
      <c r="AU236" s="225"/>
      <c r="AV236" s="225"/>
      <c r="AW236" s="305"/>
      <c r="AX236" s="226"/>
      <c r="AY236" s="225"/>
      <c r="AZ236" s="225"/>
      <c r="BA236" s="226"/>
      <c r="BB236" s="225"/>
      <c r="BC236" s="225"/>
      <c r="BD236" s="225"/>
      <c r="BE236" s="225"/>
      <c r="BF236" s="225"/>
      <c r="BG236" s="225"/>
      <c r="BH236" s="225"/>
      <c r="BI236" s="225"/>
      <c r="BJ236" s="225"/>
      <c r="BK236" s="225"/>
      <c r="BL236" s="225"/>
      <c r="BM236" s="225"/>
      <c r="BN236" s="225"/>
      <c r="BO236" s="225"/>
      <c r="BP236" s="225"/>
      <c r="BQ236" s="225"/>
      <c r="BR236" s="225"/>
      <c r="BS236" s="225"/>
      <c r="BT236" s="226"/>
      <c r="BU236" s="225"/>
      <c r="BV236" s="225"/>
      <c r="BW236" s="225"/>
      <c r="BX236" s="225"/>
      <c r="BY236" s="225"/>
      <c r="BZ236" s="225"/>
    </row>
    <row r="237">
      <c r="A237" s="225"/>
      <c r="B237" s="225"/>
      <c r="C237" s="225"/>
      <c r="D237" s="226"/>
      <c r="E237" s="225"/>
      <c r="F237" s="225"/>
      <c r="G237" s="225"/>
      <c r="H237" s="225"/>
      <c r="I237" s="225"/>
      <c r="J237" s="225"/>
      <c r="K237" s="244"/>
      <c r="L237" s="225"/>
      <c r="M237" s="225"/>
      <c r="N237" s="225"/>
      <c r="O237" s="225"/>
      <c r="P237" s="225"/>
      <c r="Q237" s="227"/>
      <c r="R237" s="234"/>
      <c r="S237" s="225"/>
      <c r="T237" s="225"/>
      <c r="U237" s="225"/>
      <c r="V237" s="225"/>
      <c r="W237" s="225"/>
      <c r="X237" s="225"/>
      <c r="Y237" s="229"/>
      <c r="Z237" s="257"/>
      <c r="AA237" s="225"/>
      <c r="AB237" s="257"/>
      <c r="AC237" s="257"/>
      <c r="AD237" s="349"/>
      <c r="AE237" s="259"/>
      <c r="AF237" s="347"/>
      <c r="AG237" s="232"/>
      <c r="AH237" s="267"/>
      <c r="AI237" s="234"/>
      <c r="AJ237" s="267"/>
      <c r="AK237" s="259"/>
      <c r="AL237" s="226"/>
      <c r="AM237" s="225"/>
      <c r="AN237" s="225"/>
      <c r="AO237" s="254"/>
      <c r="AP237" s="225"/>
      <c r="AQ237" s="225"/>
      <c r="AR237" s="254"/>
      <c r="AS237" s="225"/>
      <c r="AT237" s="257"/>
      <c r="AU237" s="225"/>
      <c r="AV237" s="225"/>
      <c r="AW237" s="267"/>
      <c r="AX237" s="226"/>
      <c r="AY237" s="225"/>
      <c r="AZ237" s="225"/>
      <c r="BA237" s="226"/>
      <c r="BB237" s="225"/>
      <c r="BC237" s="225"/>
      <c r="BD237" s="225"/>
      <c r="BE237" s="225"/>
      <c r="BF237" s="225"/>
      <c r="BG237" s="225"/>
      <c r="BH237" s="225"/>
      <c r="BI237" s="225"/>
      <c r="BJ237" s="225"/>
      <c r="BK237" s="225"/>
      <c r="BL237" s="225"/>
      <c r="BM237" s="225"/>
      <c r="BN237" s="225"/>
      <c r="BO237" s="225"/>
      <c r="BP237" s="225"/>
      <c r="BQ237" s="225"/>
      <c r="BR237" s="225"/>
      <c r="BS237" s="225"/>
      <c r="BT237" s="226"/>
      <c r="BU237" s="225"/>
      <c r="BV237" s="225"/>
      <c r="BW237" s="225"/>
      <c r="BX237" s="225"/>
      <c r="BY237" s="225"/>
      <c r="BZ237" s="225"/>
    </row>
    <row r="238">
      <c r="A238" s="225"/>
      <c r="B238" s="225"/>
      <c r="C238" s="225"/>
      <c r="D238" s="226"/>
      <c r="E238" s="225"/>
      <c r="F238" s="225"/>
      <c r="G238" s="225"/>
      <c r="H238" s="225"/>
      <c r="I238" s="225"/>
      <c r="J238" s="225"/>
      <c r="K238" s="244"/>
      <c r="L238" s="225"/>
      <c r="M238" s="225"/>
      <c r="N238" s="225"/>
      <c r="O238" s="225"/>
      <c r="P238" s="225"/>
      <c r="Q238" s="227"/>
      <c r="R238" s="234"/>
      <c r="S238" s="225"/>
      <c r="T238" s="225"/>
      <c r="U238" s="225"/>
      <c r="V238" s="225"/>
      <c r="W238" s="225"/>
      <c r="X238" s="225"/>
      <c r="Y238" s="229"/>
      <c r="Z238" s="257"/>
      <c r="AA238" s="225"/>
      <c r="AB238" s="257"/>
      <c r="AC238" s="257"/>
      <c r="AD238" s="226"/>
      <c r="AE238" s="259"/>
      <c r="AF238" s="347"/>
      <c r="AG238" s="232"/>
      <c r="AH238" s="257"/>
      <c r="AI238" s="225"/>
      <c r="AJ238" s="267"/>
      <c r="AK238" s="259"/>
      <c r="AL238" s="226"/>
      <c r="AM238" s="225"/>
      <c r="AN238" s="225"/>
      <c r="AO238" s="254"/>
      <c r="AP238" s="225"/>
      <c r="AQ238" s="225"/>
      <c r="AR238" s="330"/>
      <c r="AS238" s="225"/>
      <c r="AT238" s="225"/>
      <c r="AU238" s="225"/>
      <c r="AV238" s="225"/>
      <c r="AW238" s="305"/>
      <c r="AX238" s="226"/>
      <c r="AY238" s="225"/>
      <c r="AZ238" s="225"/>
      <c r="BA238" s="226"/>
      <c r="BB238" s="225"/>
      <c r="BC238" s="225"/>
      <c r="BD238" s="225"/>
      <c r="BE238" s="225"/>
      <c r="BF238" s="225"/>
      <c r="BG238" s="225"/>
      <c r="BH238" s="225"/>
      <c r="BI238" s="225"/>
      <c r="BJ238" s="225"/>
      <c r="BK238" s="225"/>
      <c r="BL238" s="225"/>
      <c r="BM238" s="225"/>
      <c r="BN238" s="225"/>
      <c r="BO238" s="225"/>
      <c r="BP238" s="225"/>
      <c r="BQ238" s="225"/>
      <c r="BR238" s="225"/>
      <c r="BS238" s="225"/>
      <c r="BT238" s="226"/>
      <c r="BU238" s="225"/>
      <c r="BV238" s="225"/>
      <c r="BW238" s="225"/>
      <c r="BX238" s="225"/>
      <c r="BY238" s="225"/>
      <c r="BZ238" s="225"/>
    </row>
    <row r="239">
      <c r="A239" s="225"/>
      <c r="B239" s="225"/>
      <c r="C239" s="225"/>
      <c r="D239" s="226"/>
      <c r="E239" s="225"/>
      <c r="F239" s="225"/>
      <c r="G239" s="225"/>
      <c r="H239" s="225"/>
      <c r="I239" s="225"/>
      <c r="J239" s="225"/>
      <c r="K239" s="244"/>
      <c r="L239" s="225"/>
      <c r="M239" s="225"/>
      <c r="N239" s="225"/>
      <c r="O239" s="225"/>
      <c r="P239" s="225"/>
      <c r="Q239" s="227"/>
      <c r="R239" s="234"/>
      <c r="S239" s="225"/>
      <c r="T239" s="225"/>
      <c r="U239" s="225"/>
      <c r="V239" s="225"/>
      <c r="W239" s="225"/>
      <c r="X239" s="225"/>
      <c r="Y239" s="229"/>
      <c r="Z239" s="257"/>
      <c r="AA239" s="225"/>
      <c r="AB239" s="257"/>
      <c r="AC239" s="257"/>
      <c r="AD239" s="226"/>
      <c r="AE239" s="259"/>
      <c r="AF239" s="347"/>
      <c r="AG239" s="232"/>
      <c r="AH239" s="257"/>
      <c r="AI239" s="225"/>
      <c r="AJ239" s="267"/>
      <c r="AK239" s="259"/>
      <c r="AL239" s="226"/>
      <c r="AM239" s="225"/>
      <c r="AN239" s="225"/>
      <c r="AO239" s="254"/>
      <c r="AP239" s="225"/>
      <c r="AQ239" s="225"/>
      <c r="AR239" s="226"/>
      <c r="AS239" s="225"/>
      <c r="AT239" s="225"/>
      <c r="AU239" s="225"/>
      <c r="AV239" s="225"/>
      <c r="AW239" s="225"/>
      <c r="AX239" s="226"/>
      <c r="AY239" s="225"/>
      <c r="AZ239" s="225"/>
      <c r="BA239" s="226"/>
      <c r="BB239" s="225"/>
      <c r="BC239" s="225"/>
      <c r="BD239" s="225"/>
      <c r="BE239" s="225"/>
      <c r="BF239" s="225"/>
      <c r="BG239" s="225"/>
      <c r="BH239" s="225"/>
      <c r="BI239" s="225"/>
      <c r="BJ239" s="225"/>
      <c r="BK239" s="225"/>
      <c r="BL239" s="225"/>
      <c r="BM239" s="225"/>
      <c r="BN239" s="225"/>
      <c r="BO239" s="225"/>
      <c r="BP239" s="225"/>
      <c r="BQ239" s="225"/>
      <c r="BR239" s="225"/>
      <c r="BS239" s="225"/>
      <c r="BT239" s="226"/>
      <c r="BU239" s="225"/>
      <c r="BV239" s="225"/>
      <c r="BW239" s="225"/>
      <c r="BX239" s="225"/>
      <c r="BY239" s="225"/>
      <c r="BZ239" s="225"/>
    </row>
    <row r="240">
      <c r="A240" s="225"/>
      <c r="B240" s="225"/>
      <c r="C240" s="225"/>
      <c r="D240" s="226"/>
      <c r="E240" s="225"/>
      <c r="F240" s="225"/>
      <c r="G240" s="225"/>
      <c r="H240" s="225"/>
      <c r="I240" s="225"/>
      <c r="J240" s="225"/>
      <c r="K240" s="244"/>
      <c r="L240" s="225"/>
      <c r="M240" s="225"/>
      <c r="N240" s="225"/>
      <c r="O240" s="225"/>
      <c r="P240" s="225"/>
      <c r="Q240" s="227"/>
      <c r="R240" s="234"/>
      <c r="S240" s="225"/>
      <c r="T240" s="225"/>
      <c r="U240" s="225"/>
      <c r="V240" s="225"/>
      <c r="W240" s="225"/>
      <c r="X240" s="225"/>
      <c r="Y240" s="229"/>
      <c r="Z240" s="257"/>
      <c r="AA240" s="225"/>
      <c r="AB240" s="257"/>
      <c r="AC240" s="257"/>
      <c r="AD240" s="226"/>
      <c r="AE240" s="259"/>
      <c r="AF240" s="347"/>
      <c r="AG240" s="232"/>
      <c r="AH240" s="257"/>
      <c r="AI240" s="225"/>
      <c r="AJ240" s="267"/>
      <c r="AK240" s="259"/>
      <c r="AL240" s="226"/>
      <c r="AM240" s="225"/>
      <c r="AN240" s="225"/>
      <c r="AO240" s="254"/>
      <c r="AP240" s="225"/>
      <c r="AQ240" s="225"/>
      <c r="AR240" s="254"/>
      <c r="AS240" s="225"/>
      <c r="AT240" s="225"/>
      <c r="AU240" s="225"/>
      <c r="AV240" s="225"/>
      <c r="AW240" s="267"/>
      <c r="AX240" s="226"/>
      <c r="AY240" s="225"/>
      <c r="AZ240" s="225"/>
      <c r="BA240" s="226"/>
      <c r="BB240" s="225"/>
      <c r="BC240" s="225"/>
      <c r="BD240" s="225"/>
      <c r="BE240" s="225"/>
      <c r="BF240" s="225"/>
      <c r="BG240" s="225"/>
      <c r="BH240" s="225"/>
      <c r="BI240" s="225"/>
      <c r="BJ240" s="225"/>
      <c r="BK240" s="225"/>
      <c r="BL240" s="225"/>
      <c r="BM240" s="225"/>
      <c r="BN240" s="225"/>
      <c r="BO240" s="225"/>
      <c r="BP240" s="225"/>
      <c r="BQ240" s="225"/>
      <c r="BR240" s="225"/>
      <c r="BS240" s="225"/>
      <c r="BT240" s="226"/>
      <c r="BU240" s="225"/>
      <c r="BV240" s="225"/>
      <c r="BW240" s="225"/>
      <c r="BX240" s="225"/>
      <c r="BY240" s="225"/>
      <c r="BZ240" s="225"/>
    </row>
    <row r="241">
      <c r="A241" s="225"/>
      <c r="B241" s="225"/>
      <c r="C241" s="225"/>
      <c r="D241" s="226"/>
      <c r="E241" s="225"/>
      <c r="F241" s="225"/>
      <c r="G241" s="225"/>
      <c r="H241" s="225"/>
      <c r="I241" s="225"/>
      <c r="J241" s="225"/>
      <c r="K241" s="244"/>
      <c r="L241" s="225"/>
      <c r="M241" s="225"/>
      <c r="N241" s="225"/>
      <c r="O241" s="225"/>
      <c r="P241" s="225"/>
      <c r="Q241" s="227"/>
      <c r="R241" s="234"/>
      <c r="S241" s="225"/>
      <c r="T241" s="225"/>
      <c r="U241" s="225"/>
      <c r="V241" s="225"/>
      <c r="W241" s="225"/>
      <c r="X241" s="225"/>
      <c r="Y241" s="229"/>
      <c r="Z241" s="257"/>
      <c r="AA241" s="225"/>
      <c r="AB241" s="257"/>
      <c r="AC241" s="257"/>
      <c r="AD241" s="226"/>
      <c r="AE241" s="259"/>
      <c r="AF241" s="347"/>
      <c r="AG241" s="232"/>
      <c r="AH241" s="257"/>
      <c r="AI241" s="225"/>
      <c r="AJ241" s="267"/>
      <c r="AK241" s="259"/>
      <c r="AL241" s="226"/>
      <c r="AM241" s="225"/>
      <c r="AN241" s="225"/>
      <c r="AO241" s="254"/>
      <c r="AP241" s="225"/>
      <c r="AQ241" s="225"/>
      <c r="AR241" s="254"/>
      <c r="AS241" s="225"/>
      <c r="AT241" s="225"/>
      <c r="AU241" s="225"/>
      <c r="AV241" s="225"/>
      <c r="AW241" s="267"/>
      <c r="AX241" s="226"/>
      <c r="AY241" s="225"/>
      <c r="AZ241" s="225"/>
      <c r="BA241" s="226"/>
      <c r="BB241" s="225"/>
      <c r="BC241" s="225"/>
      <c r="BD241" s="225"/>
      <c r="BE241" s="225"/>
      <c r="BF241" s="225"/>
      <c r="BG241" s="225"/>
      <c r="BH241" s="225"/>
      <c r="BI241" s="225"/>
      <c r="BJ241" s="225"/>
      <c r="BK241" s="225"/>
      <c r="BL241" s="225"/>
      <c r="BM241" s="225"/>
      <c r="BN241" s="225"/>
      <c r="BO241" s="225"/>
      <c r="BP241" s="225"/>
      <c r="BQ241" s="225"/>
      <c r="BR241" s="225"/>
      <c r="BS241" s="225"/>
      <c r="BT241" s="226"/>
      <c r="BU241" s="225"/>
      <c r="BV241" s="225"/>
      <c r="BW241" s="225"/>
      <c r="BX241" s="225"/>
      <c r="BY241" s="225"/>
      <c r="BZ241" s="225"/>
    </row>
    <row r="242">
      <c r="A242" s="225"/>
      <c r="B242" s="225"/>
      <c r="C242" s="225"/>
      <c r="D242" s="226"/>
      <c r="E242" s="225"/>
      <c r="F242" s="225"/>
      <c r="G242" s="225"/>
      <c r="H242" s="225"/>
      <c r="I242" s="225"/>
      <c r="J242" s="225"/>
      <c r="K242" s="244"/>
      <c r="L242" s="225"/>
      <c r="M242" s="225"/>
      <c r="N242" s="225"/>
      <c r="O242" s="225"/>
      <c r="P242" s="225"/>
      <c r="Q242" s="227"/>
      <c r="R242" s="234"/>
      <c r="S242" s="225"/>
      <c r="T242" s="225"/>
      <c r="U242" s="225"/>
      <c r="V242" s="225"/>
      <c r="W242" s="225"/>
      <c r="X242" s="225"/>
      <c r="Y242" s="229"/>
      <c r="Z242" s="257"/>
      <c r="AA242" s="225"/>
      <c r="AB242" s="257"/>
      <c r="AC242" s="257"/>
      <c r="AD242" s="226"/>
      <c r="AE242" s="259"/>
      <c r="AF242" s="347"/>
      <c r="AG242" s="232"/>
      <c r="AH242" s="257"/>
      <c r="AI242" s="225"/>
      <c r="AJ242" s="267"/>
      <c r="AK242" s="259"/>
      <c r="AL242" s="226"/>
      <c r="AM242" s="225"/>
      <c r="AN242" s="225"/>
      <c r="AO242" s="254"/>
      <c r="AP242" s="225"/>
      <c r="AQ242" s="225"/>
      <c r="AR242" s="254"/>
      <c r="AS242" s="225"/>
      <c r="AT242" s="225"/>
      <c r="AU242" s="225"/>
      <c r="AV242" s="225"/>
      <c r="AW242" s="267"/>
      <c r="AX242" s="226"/>
      <c r="AY242" s="225"/>
      <c r="AZ242" s="225"/>
      <c r="BA242" s="226"/>
      <c r="BB242" s="225"/>
      <c r="BC242" s="225"/>
      <c r="BD242" s="225"/>
      <c r="BE242" s="225"/>
      <c r="BF242" s="225"/>
      <c r="BG242" s="225"/>
      <c r="BH242" s="225"/>
      <c r="BI242" s="225"/>
      <c r="BJ242" s="225"/>
      <c r="BK242" s="225"/>
      <c r="BL242" s="225"/>
      <c r="BM242" s="225"/>
      <c r="BN242" s="225"/>
      <c r="BO242" s="225"/>
      <c r="BP242" s="225"/>
      <c r="BQ242" s="225"/>
      <c r="BR242" s="225"/>
      <c r="BS242" s="225"/>
      <c r="BT242" s="226"/>
      <c r="BU242" s="225"/>
      <c r="BV242" s="225"/>
      <c r="BW242" s="225"/>
      <c r="BX242" s="225"/>
      <c r="BY242" s="225"/>
      <c r="BZ242" s="225"/>
    </row>
    <row r="243">
      <c r="A243" s="225"/>
      <c r="B243" s="225"/>
      <c r="C243" s="225"/>
      <c r="D243" s="226"/>
      <c r="E243" s="225"/>
      <c r="F243" s="225"/>
      <c r="G243" s="225"/>
      <c r="H243" s="225"/>
      <c r="I243" s="225"/>
      <c r="J243" s="225"/>
      <c r="K243" s="244"/>
      <c r="L243" s="225"/>
      <c r="M243" s="225"/>
      <c r="N243" s="225"/>
      <c r="O243" s="225"/>
      <c r="P243" s="225"/>
      <c r="Q243" s="227"/>
      <c r="R243" s="234"/>
      <c r="S243" s="225"/>
      <c r="T243" s="225"/>
      <c r="U243" s="225"/>
      <c r="V243" s="225"/>
      <c r="W243" s="225"/>
      <c r="X243" s="225"/>
      <c r="Y243" s="229"/>
      <c r="Z243" s="257"/>
      <c r="AA243" s="225"/>
      <c r="AB243" s="257"/>
      <c r="AC243" s="257"/>
      <c r="AD243" s="226"/>
      <c r="AE243" s="259"/>
      <c r="AF243" s="347"/>
      <c r="AG243" s="232"/>
      <c r="AH243" s="257"/>
      <c r="AI243" s="225"/>
      <c r="AJ243" s="267"/>
      <c r="AK243" s="259"/>
      <c r="AL243" s="226"/>
      <c r="AM243" s="225"/>
      <c r="AN243" s="225"/>
      <c r="AO243" s="254"/>
      <c r="AP243" s="225"/>
      <c r="AQ243" s="225"/>
      <c r="AR243" s="254"/>
      <c r="AS243" s="225"/>
      <c r="AT243" s="225"/>
      <c r="AU243" s="225"/>
      <c r="AV243" s="225"/>
      <c r="AW243" s="267"/>
      <c r="AX243" s="226"/>
      <c r="AY243" s="225"/>
      <c r="AZ243" s="225"/>
      <c r="BA243" s="226"/>
      <c r="BB243" s="225"/>
      <c r="BC243" s="225"/>
      <c r="BD243" s="225"/>
      <c r="BE243" s="225"/>
      <c r="BF243" s="225"/>
      <c r="BG243" s="225"/>
      <c r="BH243" s="225"/>
      <c r="BI243" s="225"/>
      <c r="BJ243" s="225"/>
      <c r="BK243" s="225"/>
      <c r="BL243" s="225"/>
      <c r="BM243" s="225"/>
      <c r="BN243" s="225"/>
      <c r="BO243" s="225"/>
      <c r="BP243" s="225"/>
      <c r="BQ243" s="225"/>
      <c r="BR243" s="225"/>
      <c r="BS243" s="225"/>
      <c r="BT243" s="226"/>
      <c r="BU243" s="225"/>
      <c r="BV243" s="225"/>
      <c r="BW243" s="225"/>
      <c r="BX243" s="225"/>
      <c r="BY243" s="225"/>
      <c r="BZ243" s="225"/>
    </row>
    <row r="244">
      <c r="A244" s="225"/>
      <c r="B244" s="225"/>
      <c r="C244" s="225"/>
      <c r="D244" s="226"/>
      <c r="E244" s="225"/>
      <c r="F244" s="225"/>
      <c r="G244" s="225"/>
      <c r="H244" s="225"/>
      <c r="I244" s="225"/>
      <c r="J244" s="225"/>
      <c r="K244" s="244"/>
      <c r="L244" s="225"/>
      <c r="M244" s="225"/>
      <c r="N244" s="225"/>
      <c r="O244" s="225"/>
      <c r="P244" s="225"/>
      <c r="Q244" s="227"/>
      <c r="R244" s="234"/>
      <c r="S244" s="225"/>
      <c r="T244" s="225"/>
      <c r="U244" s="225"/>
      <c r="V244" s="225"/>
      <c r="W244" s="225"/>
      <c r="X244" s="225"/>
      <c r="Y244" s="229"/>
      <c r="Z244" s="257"/>
      <c r="AA244" s="225"/>
      <c r="AB244" s="257"/>
      <c r="AC244" s="257"/>
      <c r="AD244" s="226"/>
      <c r="AE244" s="259"/>
      <c r="AF244" s="347"/>
      <c r="AG244" s="232"/>
      <c r="AH244" s="257"/>
      <c r="AI244" s="225"/>
      <c r="AJ244" s="267"/>
      <c r="AK244" s="259"/>
      <c r="AL244" s="226"/>
      <c r="AM244" s="225"/>
      <c r="AN244" s="225"/>
      <c r="AO244" s="254"/>
      <c r="AP244" s="225"/>
      <c r="AQ244" s="225"/>
      <c r="AR244" s="254"/>
      <c r="AS244" s="225"/>
      <c r="AT244" s="225"/>
      <c r="AU244" s="225"/>
      <c r="AV244" s="225"/>
      <c r="AW244" s="267"/>
      <c r="AX244" s="226"/>
      <c r="AY244" s="225"/>
      <c r="AZ244" s="225"/>
      <c r="BA244" s="226"/>
      <c r="BB244" s="225"/>
      <c r="BC244" s="225"/>
      <c r="BD244" s="225"/>
      <c r="BE244" s="225"/>
      <c r="BF244" s="225"/>
      <c r="BG244" s="225"/>
      <c r="BH244" s="225"/>
      <c r="BI244" s="225"/>
      <c r="BJ244" s="225"/>
      <c r="BK244" s="225"/>
      <c r="BL244" s="225"/>
      <c r="BM244" s="225"/>
      <c r="BN244" s="225"/>
      <c r="BO244" s="225"/>
      <c r="BP244" s="225"/>
      <c r="BQ244" s="225"/>
      <c r="BR244" s="225"/>
      <c r="BS244" s="225"/>
      <c r="BT244" s="226"/>
      <c r="BU244" s="225"/>
      <c r="BV244" s="225"/>
      <c r="BW244" s="225"/>
      <c r="BX244" s="225"/>
      <c r="BY244" s="225"/>
      <c r="BZ244" s="225"/>
    </row>
    <row r="245">
      <c r="A245" s="225"/>
      <c r="B245" s="225"/>
      <c r="C245" s="225"/>
      <c r="D245" s="226"/>
      <c r="E245" s="225"/>
      <c r="F245" s="225"/>
      <c r="G245" s="225"/>
      <c r="H245" s="225"/>
      <c r="I245" s="225"/>
      <c r="J245" s="225"/>
      <c r="K245" s="244"/>
      <c r="L245" s="225"/>
      <c r="M245" s="225"/>
      <c r="N245" s="225"/>
      <c r="O245" s="225"/>
      <c r="P245" s="225"/>
      <c r="Q245" s="227"/>
      <c r="R245" s="234"/>
      <c r="S245" s="225"/>
      <c r="T245" s="225"/>
      <c r="U245" s="225"/>
      <c r="V245" s="225"/>
      <c r="W245" s="225"/>
      <c r="X245" s="225"/>
      <c r="Y245" s="229"/>
      <c r="Z245" s="257"/>
      <c r="AA245" s="225"/>
      <c r="AB245" s="257"/>
      <c r="AC245" s="257"/>
      <c r="AD245" s="226"/>
      <c r="AE245" s="259"/>
      <c r="AF245" s="347"/>
      <c r="AG245" s="232"/>
      <c r="AH245" s="257"/>
      <c r="AI245" s="225"/>
      <c r="AJ245" s="267"/>
      <c r="AK245" s="259"/>
      <c r="AL245" s="226"/>
      <c r="AM245" s="225"/>
      <c r="AN245" s="225"/>
      <c r="AO245" s="254"/>
      <c r="AP245" s="225"/>
      <c r="AQ245" s="225"/>
      <c r="AR245" s="254"/>
      <c r="AS245" s="225"/>
      <c r="AT245" s="225"/>
      <c r="AU245" s="225"/>
      <c r="AV245" s="225"/>
      <c r="AW245" s="267"/>
      <c r="AX245" s="226"/>
      <c r="AY245" s="225"/>
      <c r="AZ245" s="225"/>
      <c r="BA245" s="226"/>
      <c r="BB245" s="225"/>
      <c r="BC245" s="225"/>
      <c r="BD245" s="225"/>
      <c r="BE245" s="225"/>
      <c r="BF245" s="225"/>
      <c r="BG245" s="225"/>
      <c r="BH245" s="225"/>
      <c r="BI245" s="225"/>
      <c r="BJ245" s="225"/>
      <c r="BK245" s="225"/>
      <c r="BL245" s="225"/>
      <c r="BM245" s="225"/>
      <c r="BN245" s="225"/>
      <c r="BO245" s="225"/>
      <c r="BP245" s="225"/>
      <c r="BQ245" s="225"/>
      <c r="BR245" s="225"/>
      <c r="BS245" s="225"/>
      <c r="BT245" s="226"/>
      <c r="BU245" s="225"/>
      <c r="BV245" s="225"/>
      <c r="BW245" s="225"/>
      <c r="BX245" s="225"/>
      <c r="BY245" s="225"/>
      <c r="BZ245" s="225"/>
    </row>
    <row r="246">
      <c r="A246" s="225"/>
      <c r="B246" s="225"/>
      <c r="C246" s="225"/>
      <c r="D246" s="226"/>
      <c r="E246" s="225"/>
      <c r="F246" s="225"/>
      <c r="G246" s="225"/>
      <c r="H246" s="225"/>
      <c r="I246" s="225"/>
      <c r="J246" s="225"/>
      <c r="K246" s="244"/>
      <c r="L246" s="225"/>
      <c r="M246" s="225"/>
      <c r="N246" s="225"/>
      <c r="O246" s="225"/>
      <c r="P246" s="225"/>
      <c r="Q246" s="227"/>
      <c r="R246" s="234"/>
      <c r="S246" s="225"/>
      <c r="T246" s="225"/>
      <c r="U246" s="225"/>
      <c r="V246" s="225"/>
      <c r="W246" s="225"/>
      <c r="X246" s="225"/>
      <c r="Y246" s="229"/>
      <c r="Z246" s="257"/>
      <c r="AA246" s="225"/>
      <c r="AB246" s="257"/>
      <c r="AC246" s="257"/>
      <c r="AD246" s="226"/>
      <c r="AE246" s="259"/>
      <c r="AF246" s="347"/>
      <c r="AG246" s="232"/>
      <c r="AH246" s="257"/>
      <c r="AI246" s="225"/>
      <c r="AJ246" s="267"/>
      <c r="AK246" s="259"/>
      <c r="AL246" s="226"/>
      <c r="AM246" s="225"/>
      <c r="AN246" s="225"/>
      <c r="AO246" s="254"/>
      <c r="AP246" s="225"/>
      <c r="AQ246" s="225"/>
      <c r="AR246" s="254"/>
      <c r="AS246" s="225"/>
      <c r="AT246" s="225"/>
      <c r="AU246" s="225"/>
      <c r="AV246" s="225"/>
      <c r="AW246" s="267"/>
      <c r="AX246" s="226"/>
      <c r="AY246" s="225"/>
      <c r="AZ246" s="225"/>
      <c r="BA246" s="226"/>
      <c r="BB246" s="225"/>
      <c r="BC246" s="225"/>
      <c r="BD246" s="225"/>
      <c r="BE246" s="225"/>
      <c r="BF246" s="225"/>
      <c r="BG246" s="225"/>
      <c r="BH246" s="225"/>
      <c r="BI246" s="225"/>
      <c r="BJ246" s="225"/>
      <c r="BK246" s="225"/>
      <c r="BL246" s="225"/>
      <c r="BM246" s="225"/>
      <c r="BN246" s="225"/>
      <c r="BO246" s="225"/>
      <c r="BP246" s="225"/>
      <c r="BQ246" s="225"/>
      <c r="BR246" s="225"/>
      <c r="BS246" s="225"/>
      <c r="BT246" s="226"/>
      <c r="BU246" s="225"/>
      <c r="BV246" s="225"/>
      <c r="BW246" s="225"/>
      <c r="BX246" s="225"/>
      <c r="BY246" s="225"/>
      <c r="BZ246" s="225"/>
    </row>
    <row r="247">
      <c r="A247" s="225"/>
      <c r="B247" s="225"/>
      <c r="C247" s="225"/>
      <c r="D247" s="226"/>
      <c r="E247" s="225"/>
      <c r="F247" s="225"/>
      <c r="G247" s="225"/>
      <c r="H247" s="225"/>
      <c r="I247" s="225"/>
      <c r="J247" s="225"/>
      <c r="K247" s="244"/>
      <c r="L247" s="225"/>
      <c r="M247" s="225"/>
      <c r="N247" s="225"/>
      <c r="O247" s="225"/>
      <c r="P247" s="225"/>
      <c r="Q247" s="227"/>
      <c r="R247" s="234"/>
      <c r="S247" s="225"/>
      <c r="T247" s="225"/>
      <c r="U247" s="225"/>
      <c r="V247" s="225"/>
      <c r="W247" s="225"/>
      <c r="X247" s="225"/>
      <c r="Y247" s="229"/>
      <c r="Z247" s="257"/>
      <c r="AA247" s="225"/>
      <c r="AB247" s="257"/>
      <c r="AC247" s="257"/>
      <c r="AD247" s="226"/>
      <c r="AE247" s="259"/>
      <c r="AF247" s="347"/>
      <c r="AG247" s="232"/>
      <c r="AH247" s="257"/>
      <c r="AI247" s="225"/>
      <c r="AJ247" s="267"/>
      <c r="AK247" s="259"/>
      <c r="AL247" s="226"/>
      <c r="AM247" s="225"/>
      <c r="AN247" s="225"/>
      <c r="AO247" s="254"/>
      <c r="AP247" s="225"/>
      <c r="AQ247" s="225"/>
      <c r="AR247" s="254"/>
      <c r="AS247" s="225"/>
      <c r="AT247" s="225"/>
      <c r="AU247" s="225"/>
      <c r="AV247" s="225"/>
      <c r="AW247" s="267"/>
      <c r="AX247" s="226"/>
      <c r="AY247" s="225"/>
      <c r="AZ247" s="225"/>
      <c r="BA247" s="226"/>
      <c r="BB247" s="225"/>
      <c r="BC247" s="225"/>
      <c r="BD247" s="225"/>
      <c r="BE247" s="225"/>
      <c r="BF247" s="225"/>
      <c r="BG247" s="225"/>
      <c r="BH247" s="225"/>
      <c r="BI247" s="225"/>
      <c r="BJ247" s="225"/>
      <c r="BK247" s="225"/>
      <c r="BL247" s="225"/>
      <c r="BM247" s="225"/>
      <c r="BN247" s="225"/>
      <c r="BO247" s="225"/>
      <c r="BP247" s="225"/>
      <c r="BQ247" s="225"/>
      <c r="BR247" s="225"/>
      <c r="BS247" s="225"/>
      <c r="BT247" s="226"/>
      <c r="BU247" s="225"/>
      <c r="BV247" s="225"/>
      <c r="BW247" s="225"/>
      <c r="BX247" s="225"/>
      <c r="BY247" s="225"/>
      <c r="BZ247" s="225"/>
    </row>
    <row r="248">
      <c r="A248" s="225"/>
      <c r="B248" s="225"/>
      <c r="C248" s="225"/>
      <c r="D248" s="226"/>
      <c r="E248" s="225"/>
      <c r="F248" s="225"/>
      <c r="G248" s="225"/>
      <c r="H248" s="225"/>
      <c r="I248" s="225"/>
      <c r="J248" s="225"/>
      <c r="K248" s="244"/>
      <c r="L248" s="225"/>
      <c r="M248" s="225"/>
      <c r="N248" s="225"/>
      <c r="O248" s="225"/>
      <c r="P248" s="225"/>
      <c r="Q248" s="227"/>
      <c r="R248" s="234"/>
      <c r="S248" s="225"/>
      <c r="T248" s="225"/>
      <c r="U248" s="225"/>
      <c r="V248" s="225"/>
      <c r="W248" s="225"/>
      <c r="X248" s="225"/>
      <c r="Y248" s="229"/>
      <c r="Z248" s="257"/>
      <c r="AA248" s="225"/>
      <c r="AB248" s="257"/>
      <c r="AC248" s="257"/>
      <c r="AD248" s="226"/>
      <c r="AE248" s="259"/>
      <c r="AF248" s="347"/>
      <c r="AG248" s="232"/>
      <c r="AH248" s="257"/>
      <c r="AI248" s="225"/>
      <c r="AJ248" s="267"/>
      <c r="AK248" s="259"/>
      <c r="AL248" s="226"/>
      <c r="AM248" s="225"/>
      <c r="AN248" s="225"/>
      <c r="AO248" s="254"/>
      <c r="AP248" s="225"/>
      <c r="AQ248" s="225"/>
      <c r="AR248" s="254"/>
      <c r="AS248" s="225"/>
      <c r="AT248" s="225"/>
      <c r="AU248" s="225"/>
      <c r="AV248" s="225"/>
      <c r="AW248" s="267"/>
      <c r="AX248" s="226"/>
      <c r="AY248" s="225"/>
      <c r="AZ248" s="225"/>
      <c r="BA248" s="226"/>
      <c r="BB248" s="225"/>
      <c r="BC248" s="225"/>
      <c r="BD248" s="225"/>
      <c r="BE248" s="225"/>
      <c r="BF248" s="225"/>
      <c r="BG248" s="225"/>
      <c r="BH248" s="225"/>
      <c r="BI248" s="225"/>
      <c r="BJ248" s="225"/>
      <c r="BK248" s="225"/>
      <c r="BL248" s="225"/>
      <c r="BM248" s="225"/>
      <c r="BN248" s="225"/>
      <c r="BO248" s="225"/>
      <c r="BP248" s="225"/>
      <c r="BQ248" s="225"/>
      <c r="BR248" s="225"/>
      <c r="BS248" s="225"/>
      <c r="BT248" s="226"/>
      <c r="BU248" s="225"/>
      <c r="BV248" s="225"/>
      <c r="BW248" s="225"/>
      <c r="BX248" s="225"/>
      <c r="BY248" s="225"/>
      <c r="BZ248" s="225"/>
    </row>
    <row r="249">
      <c r="A249" s="225"/>
      <c r="B249" s="225"/>
      <c r="C249" s="225"/>
      <c r="D249" s="226"/>
      <c r="E249" s="225"/>
      <c r="F249" s="225"/>
      <c r="G249" s="225"/>
      <c r="H249" s="225"/>
      <c r="I249" s="225"/>
      <c r="J249" s="225"/>
      <c r="K249" s="244"/>
      <c r="L249" s="225"/>
      <c r="M249" s="225"/>
      <c r="N249" s="225"/>
      <c r="O249" s="225"/>
      <c r="P249" s="225"/>
      <c r="Q249" s="227"/>
      <c r="R249" s="234"/>
      <c r="S249" s="225"/>
      <c r="T249" s="225"/>
      <c r="U249" s="225"/>
      <c r="V249" s="225"/>
      <c r="W249" s="225"/>
      <c r="X249" s="225"/>
      <c r="Y249" s="229"/>
      <c r="Z249" s="257"/>
      <c r="AA249" s="225"/>
      <c r="AB249" s="257"/>
      <c r="AC249" s="257"/>
      <c r="AD249" s="226"/>
      <c r="AE249" s="259"/>
      <c r="AF249" s="347"/>
      <c r="AG249" s="232"/>
      <c r="AH249" s="257"/>
      <c r="AI249" s="225"/>
      <c r="AJ249" s="267"/>
      <c r="AK249" s="259"/>
      <c r="AL249" s="226"/>
      <c r="AM249" s="225"/>
      <c r="AN249" s="225"/>
      <c r="AO249" s="254"/>
      <c r="AP249" s="225"/>
      <c r="AQ249" s="225"/>
      <c r="AR249" s="254"/>
      <c r="AS249" s="225"/>
      <c r="AT249" s="225"/>
      <c r="AU249" s="225"/>
      <c r="AV249" s="225"/>
      <c r="AW249" s="267"/>
      <c r="AX249" s="226"/>
      <c r="AY249" s="225"/>
      <c r="AZ249" s="225"/>
      <c r="BA249" s="226"/>
      <c r="BB249" s="225"/>
      <c r="BC249" s="225"/>
      <c r="BD249" s="225"/>
      <c r="BE249" s="225"/>
      <c r="BF249" s="225"/>
      <c r="BG249" s="225"/>
      <c r="BH249" s="225"/>
      <c r="BI249" s="225"/>
      <c r="BJ249" s="225"/>
      <c r="BK249" s="225"/>
      <c r="BL249" s="225"/>
      <c r="BM249" s="225"/>
      <c r="BN249" s="225"/>
      <c r="BO249" s="225"/>
      <c r="BP249" s="225"/>
      <c r="BQ249" s="225"/>
      <c r="BR249" s="225"/>
      <c r="BS249" s="225"/>
      <c r="BT249" s="226"/>
      <c r="BU249" s="225"/>
      <c r="BV249" s="225"/>
      <c r="BW249" s="225"/>
      <c r="BX249" s="225"/>
      <c r="BY249" s="225"/>
      <c r="BZ249" s="225"/>
    </row>
    <row r="250">
      <c r="A250" s="225"/>
      <c r="B250" s="225"/>
      <c r="C250" s="225"/>
      <c r="D250" s="226"/>
      <c r="E250" s="225"/>
      <c r="F250" s="225"/>
      <c r="G250" s="225"/>
      <c r="H250" s="225"/>
      <c r="I250" s="225"/>
      <c r="J250" s="225"/>
      <c r="K250" s="244"/>
      <c r="L250" s="225"/>
      <c r="M250" s="225"/>
      <c r="N250" s="225"/>
      <c r="O250" s="225"/>
      <c r="P250" s="225"/>
      <c r="Q250" s="227"/>
      <c r="R250" s="234"/>
      <c r="S250" s="225"/>
      <c r="T250" s="225"/>
      <c r="U250" s="225"/>
      <c r="V250" s="225"/>
      <c r="W250" s="225"/>
      <c r="X250" s="225"/>
      <c r="Y250" s="229"/>
      <c r="Z250" s="257"/>
      <c r="AA250" s="225"/>
      <c r="AB250" s="257"/>
      <c r="AC250" s="257"/>
      <c r="AD250" s="226"/>
      <c r="AE250" s="259"/>
      <c r="AF250" s="347"/>
      <c r="AG250" s="232"/>
      <c r="AH250" s="257"/>
      <c r="AI250" s="225"/>
      <c r="AJ250" s="267"/>
      <c r="AK250" s="259"/>
      <c r="AL250" s="226"/>
      <c r="AM250" s="225"/>
      <c r="AN250" s="225"/>
      <c r="AO250" s="254"/>
      <c r="AP250" s="225"/>
      <c r="AQ250" s="225"/>
      <c r="AR250" s="232"/>
      <c r="AS250" s="225"/>
      <c r="AT250" s="225"/>
      <c r="AU250" s="225"/>
      <c r="AV250" s="225"/>
      <c r="AW250" s="257"/>
      <c r="AX250" s="226"/>
      <c r="AY250" s="225"/>
      <c r="AZ250" s="225"/>
      <c r="BA250" s="226"/>
      <c r="BB250" s="225"/>
      <c r="BC250" s="225"/>
      <c r="BD250" s="225"/>
      <c r="BE250" s="225"/>
      <c r="BF250" s="225"/>
      <c r="BG250" s="225"/>
      <c r="BH250" s="225"/>
      <c r="BI250" s="225"/>
      <c r="BJ250" s="225"/>
      <c r="BK250" s="225"/>
      <c r="BL250" s="225"/>
      <c r="BM250" s="225"/>
      <c r="BN250" s="225"/>
      <c r="BO250" s="225"/>
      <c r="BP250" s="225"/>
      <c r="BQ250" s="225"/>
      <c r="BR250" s="225"/>
      <c r="BS250" s="225"/>
      <c r="BT250" s="226"/>
      <c r="BU250" s="225"/>
      <c r="BV250" s="225"/>
      <c r="BW250" s="225"/>
      <c r="BX250" s="225"/>
      <c r="BY250" s="225"/>
      <c r="BZ250" s="225"/>
    </row>
    <row r="251">
      <c r="A251" s="225"/>
      <c r="B251" s="225"/>
      <c r="C251" s="225"/>
      <c r="D251" s="226"/>
      <c r="E251" s="225"/>
      <c r="F251" s="225"/>
      <c r="G251" s="225"/>
      <c r="H251" s="225"/>
      <c r="I251" s="225"/>
      <c r="J251" s="225"/>
      <c r="K251" s="244"/>
      <c r="L251" s="225"/>
      <c r="M251" s="225"/>
      <c r="N251" s="225"/>
      <c r="O251" s="225"/>
      <c r="P251" s="225"/>
      <c r="Q251" s="227"/>
      <c r="R251" s="234"/>
      <c r="S251" s="225"/>
      <c r="T251" s="225"/>
      <c r="U251" s="225"/>
      <c r="V251" s="225"/>
      <c r="W251" s="225"/>
      <c r="X251" s="225"/>
      <c r="Y251" s="229"/>
      <c r="Z251" s="257"/>
      <c r="AA251" s="225"/>
      <c r="AB251" s="257"/>
      <c r="AC251" s="257"/>
      <c r="AD251" s="226"/>
      <c r="AE251" s="259"/>
      <c r="AF251" s="347"/>
      <c r="AG251" s="232"/>
      <c r="AH251" s="257"/>
      <c r="AI251" s="225"/>
      <c r="AJ251" s="267"/>
      <c r="AK251" s="259"/>
      <c r="AL251" s="226"/>
      <c r="AM251" s="225"/>
      <c r="AN251" s="225"/>
      <c r="AO251" s="254"/>
      <c r="AP251" s="225"/>
      <c r="AQ251" s="225"/>
      <c r="AR251" s="232"/>
      <c r="AS251" s="225"/>
      <c r="AT251" s="225"/>
      <c r="AU251" s="225"/>
      <c r="AV251" s="225"/>
      <c r="AW251" s="257"/>
      <c r="AX251" s="226"/>
      <c r="AY251" s="225"/>
      <c r="AZ251" s="225"/>
      <c r="BA251" s="226"/>
      <c r="BB251" s="225"/>
      <c r="BC251" s="225"/>
      <c r="BD251" s="225"/>
      <c r="BE251" s="225"/>
      <c r="BF251" s="225"/>
      <c r="BG251" s="225"/>
      <c r="BH251" s="225"/>
      <c r="BI251" s="225"/>
      <c r="BJ251" s="225"/>
      <c r="BK251" s="225"/>
      <c r="BL251" s="225"/>
      <c r="BM251" s="225"/>
      <c r="BN251" s="225"/>
      <c r="BO251" s="225"/>
      <c r="BP251" s="225"/>
      <c r="BQ251" s="225"/>
      <c r="BR251" s="225"/>
      <c r="BS251" s="225"/>
      <c r="BT251" s="226"/>
      <c r="BU251" s="225"/>
      <c r="BV251" s="225"/>
      <c r="BW251" s="225"/>
      <c r="BX251" s="225"/>
      <c r="BY251" s="225"/>
      <c r="BZ251" s="225"/>
    </row>
    <row r="252">
      <c r="A252" s="225"/>
      <c r="B252" s="225"/>
      <c r="C252" s="225"/>
      <c r="D252" s="226"/>
      <c r="E252" s="225"/>
      <c r="F252" s="225"/>
      <c r="G252" s="225"/>
      <c r="H252" s="225"/>
      <c r="I252" s="225"/>
      <c r="J252" s="225"/>
      <c r="K252" s="244"/>
      <c r="L252" s="225"/>
      <c r="M252" s="225"/>
      <c r="N252" s="225"/>
      <c r="O252" s="225"/>
      <c r="P252" s="225"/>
      <c r="Q252" s="227"/>
      <c r="R252" s="234"/>
      <c r="S252" s="225"/>
      <c r="T252" s="225"/>
      <c r="U252" s="225"/>
      <c r="V252" s="225"/>
      <c r="W252" s="225"/>
      <c r="X252" s="225"/>
      <c r="Y252" s="229"/>
      <c r="Z252" s="257"/>
      <c r="AA252" s="225"/>
      <c r="AB252" s="257"/>
      <c r="AC252" s="257"/>
      <c r="AD252" s="226"/>
      <c r="AE252" s="259"/>
      <c r="AF252" s="347"/>
      <c r="AG252" s="232"/>
      <c r="AH252" s="257"/>
      <c r="AI252" s="225"/>
      <c r="AJ252" s="267"/>
      <c r="AK252" s="259"/>
      <c r="AL252" s="226"/>
      <c r="AM252" s="225"/>
      <c r="AN252" s="225"/>
      <c r="AO252" s="254"/>
      <c r="AP252" s="225"/>
      <c r="AQ252" s="225"/>
      <c r="AR252" s="226"/>
      <c r="AS252" s="225"/>
      <c r="AT252" s="225"/>
      <c r="AU252" s="225"/>
      <c r="AV252" s="225"/>
      <c r="AW252" s="225"/>
      <c r="AX252" s="226"/>
      <c r="AY252" s="225"/>
      <c r="AZ252" s="225"/>
      <c r="BA252" s="226"/>
      <c r="BB252" s="225"/>
      <c r="BC252" s="225"/>
      <c r="BD252" s="225"/>
      <c r="BE252" s="225"/>
      <c r="BF252" s="225"/>
      <c r="BG252" s="225"/>
      <c r="BH252" s="225"/>
      <c r="BI252" s="225"/>
      <c r="BJ252" s="225"/>
      <c r="BK252" s="225"/>
      <c r="BL252" s="225"/>
      <c r="BM252" s="225"/>
      <c r="BN252" s="225"/>
      <c r="BO252" s="225"/>
      <c r="BP252" s="225"/>
      <c r="BQ252" s="225"/>
      <c r="BR252" s="225"/>
      <c r="BS252" s="225"/>
      <c r="BT252" s="226"/>
      <c r="BU252" s="225"/>
      <c r="BV252" s="225"/>
      <c r="BW252" s="225"/>
      <c r="BX252" s="225"/>
      <c r="BY252" s="225"/>
      <c r="BZ252" s="225"/>
    </row>
    <row r="253">
      <c r="A253" s="225"/>
      <c r="B253" s="225"/>
      <c r="C253" s="225"/>
      <c r="D253" s="226"/>
      <c r="E253" s="225"/>
      <c r="F253" s="225"/>
      <c r="G253" s="225"/>
      <c r="H253" s="225"/>
      <c r="I253" s="225"/>
      <c r="J253" s="225"/>
      <c r="K253" s="244"/>
      <c r="L253" s="225"/>
      <c r="M253" s="225"/>
      <c r="N253" s="225"/>
      <c r="O253" s="225"/>
      <c r="P253" s="225"/>
      <c r="Q253" s="227"/>
      <c r="R253" s="234"/>
      <c r="S253" s="225"/>
      <c r="T253" s="225"/>
      <c r="U253" s="225"/>
      <c r="V253" s="225"/>
      <c r="W253" s="225"/>
      <c r="X253" s="225"/>
      <c r="Y253" s="229"/>
      <c r="Z253" s="257"/>
      <c r="AA253" s="225"/>
      <c r="AB253" s="257"/>
      <c r="AC253" s="257"/>
      <c r="AD253" s="226"/>
      <c r="AE253" s="259"/>
      <c r="AF253" s="347"/>
      <c r="AG253" s="232"/>
      <c r="AH253" s="257"/>
      <c r="AI253" s="225"/>
      <c r="AJ253" s="267"/>
      <c r="AK253" s="259"/>
      <c r="AL253" s="226"/>
      <c r="AM253" s="225"/>
      <c r="AN253" s="225"/>
      <c r="AO253" s="254"/>
      <c r="AP253" s="225"/>
      <c r="AQ253" s="225"/>
      <c r="AR253" s="226"/>
      <c r="AS253" s="225"/>
      <c r="AT253" s="225"/>
      <c r="AU253" s="225"/>
      <c r="AV253" s="225"/>
      <c r="AW253" s="225"/>
      <c r="AX253" s="226"/>
      <c r="AY253" s="225"/>
      <c r="AZ253" s="225"/>
      <c r="BA253" s="226"/>
      <c r="BB253" s="225"/>
      <c r="BC253" s="225"/>
      <c r="BD253" s="225"/>
      <c r="BE253" s="225"/>
      <c r="BF253" s="225"/>
      <c r="BG253" s="225"/>
      <c r="BH253" s="225"/>
      <c r="BI253" s="225"/>
      <c r="BJ253" s="225"/>
      <c r="BK253" s="225"/>
      <c r="BL253" s="225"/>
      <c r="BM253" s="225"/>
      <c r="BN253" s="225"/>
      <c r="BO253" s="225"/>
      <c r="BP253" s="225"/>
      <c r="BQ253" s="225"/>
      <c r="BR253" s="225"/>
      <c r="BS253" s="225"/>
      <c r="BT253" s="226"/>
      <c r="BU253" s="225"/>
      <c r="BV253" s="225"/>
      <c r="BW253" s="225"/>
      <c r="BX253" s="225"/>
      <c r="BY253" s="225"/>
      <c r="BZ253" s="225"/>
    </row>
    <row r="254">
      <c r="A254" s="225"/>
      <c r="B254" s="225"/>
      <c r="C254" s="225"/>
      <c r="D254" s="226"/>
      <c r="E254" s="225"/>
      <c r="F254" s="225"/>
      <c r="G254" s="225"/>
      <c r="H254" s="225"/>
      <c r="I254" s="225"/>
      <c r="J254" s="225"/>
      <c r="K254" s="244"/>
      <c r="L254" s="225"/>
      <c r="M254" s="225"/>
      <c r="N254" s="225"/>
      <c r="O254" s="225"/>
      <c r="P254" s="225"/>
      <c r="Q254" s="227"/>
      <c r="R254" s="234"/>
      <c r="S254" s="225"/>
      <c r="T254" s="225"/>
      <c r="U254" s="225"/>
      <c r="V254" s="225"/>
      <c r="W254" s="225"/>
      <c r="X254" s="225"/>
      <c r="Y254" s="229"/>
      <c r="Z254" s="257"/>
      <c r="AA254" s="225"/>
      <c r="AB254" s="257"/>
      <c r="AC254" s="257"/>
      <c r="AD254" s="226"/>
      <c r="AE254" s="259"/>
      <c r="AF254" s="347"/>
      <c r="AG254" s="232"/>
      <c r="AH254" s="257"/>
      <c r="AI254" s="225"/>
      <c r="AJ254" s="267"/>
      <c r="AK254" s="259"/>
      <c r="AL254" s="226"/>
      <c r="AM254" s="225"/>
      <c r="AN254" s="225"/>
      <c r="AO254" s="254"/>
      <c r="AP254" s="225"/>
      <c r="AQ254" s="225"/>
      <c r="AR254" s="226"/>
      <c r="AS254" s="225"/>
      <c r="AT254" s="225"/>
      <c r="AU254" s="225"/>
      <c r="AV254" s="225"/>
      <c r="AW254" s="225"/>
      <c r="AX254" s="226"/>
      <c r="AY254" s="225"/>
      <c r="AZ254" s="225"/>
      <c r="BA254" s="226"/>
      <c r="BB254" s="225"/>
      <c r="BC254" s="225"/>
      <c r="BD254" s="225"/>
      <c r="BE254" s="225"/>
      <c r="BF254" s="225"/>
      <c r="BG254" s="225"/>
      <c r="BH254" s="225"/>
      <c r="BI254" s="225"/>
      <c r="BJ254" s="225"/>
      <c r="BK254" s="225"/>
      <c r="BL254" s="225"/>
      <c r="BM254" s="225"/>
      <c r="BN254" s="225"/>
      <c r="BO254" s="225"/>
      <c r="BP254" s="225"/>
      <c r="BQ254" s="225"/>
      <c r="BR254" s="225"/>
      <c r="BS254" s="225"/>
      <c r="BT254" s="226"/>
      <c r="BU254" s="225"/>
      <c r="BV254" s="225"/>
      <c r="BW254" s="225"/>
      <c r="BX254" s="225"/>
      <c r="BY254" s="225"/>
      <c r="BZ254" s="225"/>
    </row>
    <row r="255">
      <c r="A255" s="225"/>
      <c r="B255" s="225"/>
      <c r="C255" s="225"/>
      <c r="D255" s="226"/>
      <c r="E255" s="225"/>
      <c r="F255" s="225"/>
      <c r="G255" s="225"/>
      <c r="H255" s="225"/>
      <c r="I255" s="225"/>
      <c r="J255" s="225"/>
      <c r="K255" s="244"/>
      <c r="L255" s="225"/>
      <c r="M255" s="225"/>
      <c r="N255" s="225"/>
      <c r="O255" s="225"/>
      <c r="P255" s="225"/>
      <c r="Q255" s="227"/>
      <c r="R255" s="234"/>
      <c r="S255" s="225"/>
      <c r="T255" s="225"/>
      <c r="U255" s="225"/>
      <c r="V255" s="225"/>
      <c r="W255" s="225"/>
      <c r="X255" s="225"/>
      <c r="Y255" s="229"/>
      <c r="Z255" s="257"/>
      <c r="AA255" s="225"/>
      <c r="AB255" s="257"/>
      <c r="AC255" s="257"/>
      <c r="AD255" s="226"/>
      <c r="AE255" s="259"/>
      <c r="AF255" s="347"/>
      <c r="AG255" s="232"/>
      <c r="AH255" s="257"/>
      <c r="AI255" s="225"/>
      <c r="AJ255" s="267"/>
      <c r="AK255" s="259"/>
      <c r="AL255" s="226"/>
      <c r="AM255" s="225"/>
      <c r="AN255" s="225"/>
      <c r="AO255" s="254"/>
      <c r="AP255" s="225"/>
      <c r="AQ255" s="225"/>
      <c r="AR255" s="226"/>
      <c r="AS255" s="225"/>
      <c r="AT255" s="225"/>
      <c r="AU255" s="225"/>
      <c r="AV255" s="225"/>
      <c r="AW255" s="225"/>
      <c r="AX255" s="226"/>
      <c r="AY255" s="225"/>
      <c r="AZ255" s="225"/>
      <c r="BA255" s="226"/>
      <c r="BB255" s="225"/>
      <c r="BC255" s="225"/>
      <c r="BD255" s="225"/>
      <c r="BE255" s="225"/>
      <c r="BF255" s="225"/>
      <c r="BG255" s="225"/>
      <c r="BH255" s="225"/>
      <c r="BI255" s="225"/>
      <c r="BJ255" s="225"/>
      <c r="BK255" s="225"/>
      <c r="BL255" s="225"/>
      <c r="BM255" s="225"/>
      <c r="BN255" s="225"/>
      <c r="BO255" s="225"/>
      <c r="BP255" s="225"/>
      <c r="BQ255" s="225"/>
      <c r="BR255" s="225"/>
      <c r="BS255" s="225"/>
      <c r="BT255" s="226"/>
      <c r="BU255" s="225"/>
      <c r="BV255" s="225"/>
      <c r="BW255" s="225"/>
      <c r="BX255" s="225"/>
      <c r="BY255" s="225"/>
      <c r="BZ255" s="225"/>
    </row>
    <row r="256">
      <c r="A256" s="225"/>
      <c r="B256" s="225"/>
      <c r="C256" s="225"/>
      <c r="D256" s="226"/>
      <c r="E256" s="225"/>
      <c r="F256" s="225"/>
      <c r="G256" s="225"/>
      <c r="H256" s="225"/>
      <c r="I256" s="225"/>
      <c r="J256" s="225"/>
      <c r="K256" s="244"/>
      <c r="L256" s="225"/>
      <c r="M256" s="225"/>
      <c r="N256" s="225"/>
      <c r="O256" s="225"/>
      <c r="P256" s="225"/>
      <c r="Q256" s="227"/>
      <c r="R256" s="234"/>
      <c r="S256" s="225"/>
      <c r="T256" s="225"/>
      <c r="U256" s="225"/>
      <c r="V256" s="225"/>
      <c r="W256" s="225"/>
      <c r="X256" s="225"/>
      <c r="Y256" s="229"/>
      <c r="Z256" s="257"/>
      <c r="AA256" s="225"/>
      <c r="AB256" s="257"/>
      <c r="AC256" s="257"/>
      <c r="AD256" s="226"/>
      <c r="AE256" s="259"/>
      <c r="AF256" s="347"/>
      <c r="AG256" s="232"/>
      <c r="AH256" s="257"/>
      <c r="AI256" s="225"/>
      <c r="AJ256" s="267"/>
      <c r="AK256" s="259"/>
      <c r="AL256" s="226"/>
      <c r="AM256" s="225"/>
      <c r="AN256" s="225"/>
      <c r="AO256" s="254"/>
      <c r="AP256" s="225"/>
      <c r="AQ256" s="225"/>
      <c r="AR256" s="226"/>
      <c r="AS256" s="225"/>
      <c r="AT256" s="225"/>
      <c r="AU256" s="225"/>
      <c r="AV256" s="225"/>
      <c r="AW256" s="225"/>
      <c r="AX256" s="226"/>
      <c r="AY256" s="225"/>
      <c r="AZ256" s="225"/>
      <c r="BA256" s="226"/>
      <c r="BB256" s="225"/>
      <c r="BC256" s="225"/>
      <c r="BD256" s="225"/>
      <c r="BE256" s="225"/>
      <c r="BF256" s="225"/>
      <c r="BG256" s="225"/>
      <c r="BH256" s="225"/>
      <c r="BI256" s="225"/>
      <c r="BJ256" s="225"/>
      <c r="BK256" s="225"/>
      <c r="BL256" s="225"/>
      <c r="BM256" s="225"/>
      <c r="BN256" s="225"/>
      <c r="BO256" s="225"/>
      <c r="BP256" s="225"/>
      <c r="BQ256" s="225"/>
      <c r="BR256" s="225"/>
      <c r="BS256" s="225"/>
      <c r="BT256" s="226"/>
      <c r="BU256" s="225"/>
      <c r="BV256" s="225"/>
      <c r="BW256" s="225"/>
      <c r="BX256" s="225"/>
      <c r="BY256" s="225"/>
      <c r="BZ256" s="225"/>
    </row>
    <row r="257">
      <c r="A257" s="225"/>
      <c r="B257" s="225"/>
      <c r="C257" s="225"/>
      <c r="D257" s="226"/>
      <c r="E257" s="225"/>
      <c r="F257" s="225"/>
      <c r="G257" s="225"/>
      <c r="H257" s="225"/>
      <c r="I257" s="225"/>
      <c r="J257" s="225"/>
      <c r="K257" s="244"/>
      <c r="L257" s="225"/>
      <c r="M257" s="225"/>
      <c r="N257" s="225"/>
      <c r="O257" s="225"/>
      <c r="P257" s="225"/>
      <c r="Q257" s="227"/>
      <c r="R257" s="234"/>
      <c r="S257" s="225"/>
      <c r="T257" s="225"/>
      <c r="U257" s="225"/>
      <c r="V257" s="225"/>
      <c r="W257" s="225"/>
      <c r="X257" s="225"/>
      <c r="Y257" s="229"/>
      <c r="Z257" s="257"/>
      <c r="AA257" s="225"/>
      <c r="AB257" s="257"/>
      <c r="AC257" s="257"/>
      <c r="AD257" s="226"/>
      <c r="AE257" s="259"/>
      <c r="AF257" s="347"/>
      <c r="AG257" s="232"/>
      <c r="AH257" s="257"/>
      <c r="AI257" s="225"/>
      <c r="AJ257" s="267"/>
      <c r="AK257" s="259"/>
      <c r="AL257" s="226"/>
      <c r="AM257" s="225"/>
      <c r="AN257" s="225"/>
      <c r="AO257" s="254"/>
      <c r="AP257" s="225"/>
      <c r="AQ257" s="225"/>
      <c r="AR257" s="226"/>
      <c r="AS257" s="225"/>
      <c r="AT257" s="225"/>
      <c r="AU257" s="225"/>
      <c r="AV257" s="225"/>
      <c r="AW257" s="225"/>
      <c r="AX257" s="226"/>
      <c r="AY257" s="225"/>
      <c r="AZ257" s="225"/>
      <c r="BA257" s="226"/>
      <c r="BB257" s="225"/>
      <c r="BC257" s="225"/>
      <c r="BD257" s="225"/>
      <c r="BE257" s="225"/>
      <c r="BF257" s="225"/>
      <c r="BG257" s="225"/>
      <c r="BH257" s="225"/>
      <c r="BI257" s="225"/>
      <c r="BJ257" s="225"/>
      <c r="BK257" s="225"/>
      <c r="BL257" s="225"/>
      <c r="BM257" s="225"/>
      <c r="BN257" s="225"/>
      <c r="BO257" s="225"/>
      <c r="BP257" s="225"/>
      <c r="BQ257" s="225"/>
      <c r="BR257" s="225"/>
      <c r="BS257" s="225"/>
      <c r="BT257" s="226"/>
      <c r="BU257" s="225"/>
      <c r="BV257" s="225"/>
      <c r="BW257" s="225"/>
      <c r="BX257" s="225"/>
      <c r="BY257" s="225"/>
      <c r="BZ257" s="225"/>
    </row>
    <row r="258">
      <c r="A258" s="225"/>
      <c r="B258" s="225"/>
      <c r="C258" s="225"/>
      <c r="D258" s="226"/>
      <c r="E258" s="225"/>
      <c r="F258" s="225"/>
      <c r="G258" s="225"/>
      <c r="H258" s="225"/>
      <c r="I258" s="225"/>
      <c r="J258" s="225"/>
      <c r="K258" s="244"/>
      <c r="L258" s="225"/>
      <c r="M258" s="225"/>
      <c r="N258" s="225"/>
      <c r="O258" s="225"/>
      <c r="P258" s="225"/>
      <c r="Q258" s="227"/>
      <c r="R258" s="234"/>
      <c r="S258" s="225"/>
      <c r="T258" s="225"/>
      <c r="U258" s="225"/>
      <c r="V258" s="225"/>
      <c r="W258" s="225"/>
      <c r="X258" s="225"/>
      <c r="Y258" s="229"/>
      <c r="Z258" s="257"/>
      <c r="AA258" s="225"/>
      <c r="AB258" s="257"/>
      <c r="AC258" s="257"/>
      <c r="AD258" s="226"/>
      <c r="AE258" s="259"/>
      <c r="AF258" s="347"/>
      <c r="AG258" s="232"/>
      <c r="AH258" s="257"/>
      <c r="AI258" s="225"/>
      <c r="AJ258" s="267"/>
      <c r="AK258" s="259"/>
      <c r="AL258" s="226"/>
      <c r="AM258" s="225"/>
      <c r="AN258" s="225"/>
      <c r="AO258" s="254"/>
      <c r="AP258" s="225"/>
      <c r="AQ258" s="225"/>
      <c r="AR258" s="226"/>
      <c r="AS258" s="225"/>
      <c r="AT258" s="225"/>
      <c r="AU258" s="225"/>
      <c r="AV258" s="225"/>
      <c r="AW258" s="225"/>
      <c r="AX258" s="226"/>
      <c r="AY258" s="225"/>
      <c r="AZ258" s="225"/>
      <c r="BA258" s="226"/>
      <c r="BB258" s="225"/>
      <c r="BC258" s="225"/>
      <c r="BD258" s="225"/>
      <c r="BE258" s="225"/>
      <c r="BF258" s="225"/>
      <c r="BG258" s="225"/>
      <c r="BH258" s="225"/>
      <c r="BI258" s="225"/>
      <c r="BJ258" s="225"/>
      <c r="BK258" s="225"/>
      <c r="BL258" s="225"/>
      <c r="BM258" s="225"/>
      <c r="BN258" s="225"/>
      <c r="BO258" s="225"/>
      <c r="BP258" s="225"/>
      <c r="BQ258" s="225"/>
      <c r="BR258" s="225"/>
      <c r="BS258" s="225"/>
      <c r="BT258" s="226"/>
      <c r="BU258" s="225"/>
      <c r="BV258" s="225"/>
      <c r="BW258" s="225"/>
      <c r="BX258" s="225"/>
      <c r="BY258" s="225"/>
      <c r="BZ258" s="225"/>
    </row>
    <row r="259">
      <c r="A259" s="225"/>
      <c r="B259" s="225"/>
      <c r="C259" s="225"/>
      <c r="D259" s="226"/>
      <c r="E259" s="225"/>
      <c r="F259" s="225"/>
      <c r="G259" s="225"/>
      <c r="H259" s="225"/>
      <c r="I259" s="225"/>
      <c r="J259" s="225"/>
      <c r="K259" s="244"/>
      <c r="L259" s="225"/>
      <c r="M259" s="225"/>
      <c r="N259" s="225"/>
      <c r="O259" s="225"/>
      <c r="P259" s="225"/>
      <c r="Q259" s="227"/>
      <c r="R259" s="234"/>
      <c r="S259" s="225"/>
      <c r="T259" s="225"/>
      <c r="U259" s="225"/>
      <c r="V259" s="225"/>
      <c r="W259" s="225"/>
      <c r="X259" s="225"/>
      <c r="Y259" s="229"/>
      <c r="Z259" s="257"/>
      <c r="AA259" s="225"/>
      <c r="AB259" s="257"/>
      <c r="AC259" s="257"/>
      <c r="AD259" s="226"/>
      <c r="AE259" s="259"/>
      <c r="AF259" s="347"/>
      <c r="AG259" s="232"/>
      <c r="AH259" s="257"/>
      <c r="AI259" s="225"/>
      <c r="AJ259" s="267"/>
      <c r="AK259" s="259"/>
      <c r="AL259" s="226"/>
      <c r="AM259" s="225"/>
      <c r="AN259" s="225"/>
      <c r="AO259" s="254"/>
      <c r="AP259" s="225"/>
      <c r="AQ259" s="225"/>
      <c r="AR259" s="226"/>
      <c r="AS259" s="225"/>
      <c r="AT259" s="225"/>
      <c r="AU259" s="225"/>
      <c r="AV259" s="225"/>
      <c r="AW259" s="225"/>
      <c r="AX259" s="226"/>
      <c r="AY259" s="225"/>
      <c r="AZ259" s="225"/>
      <c r="BA259" s="226"/>
      <c r="BB259" s="225"/>
      <c r="BC259" s="225"/>
      <c r="BD259" s="225"/>
      <c r="BE259" s="225"/>
      <c r="BF259" s="225"/>
      <c r="BG259" s="225"/>
      <c r="BH259" s="225"/>
      <c r="BI259" s="225"/>
      <c r="BJ259" s="225"/>
      <c r="BK259" s="225"/>
      <c r="BL259" s="225"/>
      <c r="BM259" s="225"/>
      <c r="BN259" s="225"/>
      <c r="BO259" s="225"/>
      <c r="BP259" s="225"/>
      <c r="BQ259" s="225"/>
      <c r="BR259" s="225"/>
      <c r="BS259" s="225"/>
      <c r="BT259" s="226"/>
      <c r="BU259" s="225"/>
      <c r="BV259" s="225"/>
      <c r="BW259" s="225"/>
      <c r="BX259" s="225"/>
      <c r="BY259" s="225"/>
      <c r="BZ259" s="225"/>
    </row>
    <row r="260">
      <c r="A260" s="225"/>
      <c r="B260" s="225"/>
      <c r="C260" s="225"/>
      <c r="D260" s="226"/>
      <c r="E260" s="225"/>
      <c r="F260" s="225"/>
      <c r="G260" s="225"/>
      <c r="H260" s="225"/>
      <c r="I260" s="225"/>
      <c r="J260" s="225"/>
      <c r="K260" s="244"/>
      <c r="L260" s="225"/>
      <c r="M260" s="225"/>
      <c r="N260" s="225"/>
      <c r="O260" s="225"/>
      <c r="P260" s="225"/>
      <c r="Q260" s="227"/>
      <c r="R260" s="234"/>
      <c r="S260" s="225"/>
      <c r="T260" s="225"/>
      <c r="U260" s="225"/>
      <c r="V260" s="225"/>
      <c r="W260" s="225"/>
      <c r="X260" s="225"/>
      <c r="Y260" s="229"/>
      <c r="Z260" s="257"/>
      <c r="AA260" s="225"/>
      <c r="AB260" s="257"/>
      <c r="AC260" s="257"/>
      <c r="AD260" s="226"/>
      <c r="AE260" s="259"/>
      <c r="AF260" s="347"/>
      <c r="AG260" s="232"/>
      <c r="AH260" s="257"/>
      <c r="AI260" s="225"/>
      <c r="AJ260" s="267"/>
      <c r="AK260" s="259"/>
      <c r="AL260" s="226"/>
      <c r="AM260" s="225"/>
      <c r="AN260" s="225"/>
      <c r="AO260" s="254"/>
      <c r="AP260" s="225"/>
      <c r="AQ260" s="225"/>
      <c r="AR260" s="226"/>
      <c r="AS260" s="225"/>
      <c r="AT260" s="225"/>
      <c r="AU260" s="225"/>
      <c r="AV260" s="225"/>
      <c r="AW260" s="225"/>
      <c r="AX260" s="226"/>
      <c r="AY260" s="225"/>
      <c r="AZ260" s="225"/>
      <c r="BA260" s="226"/>
      <c r="BB260" s="225"/>
      <c r="BC260" s="225"/>
      <c r="BD260" s="225"/>
      <c r="BE260" s="225"/>
      <c r="BF260" s="225"/>
      <c r="BG260" s="225"/>
      <c r="BH260" s="225"/>
      <c r="BI260" s="225"/>
      <c r="BJ260" s="225"/>
      <c r="BK260" s="225"/>
      <c r="BL260" s="225"/>
      <c r="BM260" s="225"/>
      <c r="BN260" s="225"/>
      <c r="BO260" s="225"/>
      <c r="BP260" s="225"/>
      <c r="BQ260" s="225"/>
      <c r="BR260" s="225"/>
      <c r="BS260" s="225"/>
      <c r="BT260" s="226"/>
      <c r="BU260" s="225"/>
      <c r="BV260" s="225"/>
      <c r="BW260" s="225"/>
      <c r="BX260" s="225"/>
      <c r="BY260" s="225"/>
      <c r="BZ260" s="225"/>
    </row>
    <row r="261">
      <c r="A261" s="225"/>
      <c r="B261" s="225"/>
      <c r="C261" s="225"/>
      <c r="D261" s="226"/>
      <c r="E261" s="225"/>
      <c r="F261" s="225"/>
      <c r="G261" s="225"/>
      <c r="H261" s="225"/>
      <c r="I261" s="225"/>
      <c r="J261" s="225"/>
      <c r="K261" s="244"/>
      <c r="L261" s="225"/>
      <c r="M261" s="225"/>
      <c r="N261" s="225"/>
      <c r="O261" s="225"/>
      <c r="P261" s="225"/>
      <c r="Q261" s="227"/>
      <c r="R261" s="234"/>
      <c r="S261" s="225"/>
      <c r="T261" s="225"/>
      <c r="U261" s="225"/>
      <c r="V261" s="225"/>
      <c r="W261" s="225"/>
      <c r="X261" s="225"/>
      <c r="Y261" s="229"/>
      <c r="Z261" s="257"/>
      <c r="AA261" s="225"/>
      <c r="AB261" s="257"/>
      <c r="AC261" s="257"/>
      <c r="AD261" s="226"/>
      <c r="AE261" s="259"/>
      <c r="AF261" s="347"/>
      <c r="AG261" s="232"/>
      <c r="AH261" s="257"/>
      <c r="AI261" s="225"/>
      <c r="AJ261" s="267"/>
      <c r="AK261" s="259"/>
      <c r="AL261" s="226"/>
      <c r="AM261" s="225"/>
      <c r="AN261" s="225"/>
      <c r="AO261" s="254"/>
      <c r="AP261" s="225"/>
      <c r="AQ261" s="225"/>
      <c r="AR261" s="226"/>
      <c r="AS261" s="225"/>
      <c r="AT261" s="225"/>
      <c r="AU261" s="225"/>
      <c r="AV261" s="225"/>
      <c r="AW261" s="225"/>
      <c r="AX261" s="226"/>
      <c r="AY261" s="225"/>
      <c r="AZ261" s="225"/>
      <c r="BA261" s="226"/>
      <c r="BB261" s="225"/>
      <c r="BC261" s="225"/>
      <c r="BD261" s="225"/>
      <c r="BE261" s="225"/>
      <c r="BF261" s="225"/>
      <c r="BG261" s="225"/>
      <c r="BH261" s="225"/>
      <c r="BI261" s="225"/>
      <c r="BJ261" s="225"/>
      <c r="BK261" s="225"/>
      <c r="BL261" s="225"/>
      <c r="BM261" s="225"/>
      <c r="BN261" s="225"/>
      <c r="BO261" s="225"/>
      <c r="BP261" s="225"/>
      <c r="BQ261" s="225"/>
      <c r="BR261" s="225"/>
      <c r="BS261" s="225"/>
      <c r="BT261" s="226"/>
      <c r="BU261" s="225"/>
      <c r="BV261" s="225"/>
      <c r="BW261" s="225"/>
      <c r="BX261" s="225"/>
      <c r="BY261" s="225"/>
      <c r="BZ261" s="225"/>
    </row>
    <row r="262">
      <c r="A262" s="225"/>
      <c r="B262" s="225"/>
      <c r="C262" s="225"/>
      <c r="D262" s="226"/>
      <c r="E262" s="225"/>
      <c r="F262" s="225"/>
      <c r="G262" s="225"/>
      <c r="H262" s="225"/>
      <c r="I262" s="225"/>
      <c r="J262" s="225"/>
      <c r="K262" s="244"/>
      <c r="L262" s="225"/>
      <c r="M262" s="225"/>
      <c r="N262" s="225"/>
      <c r="O262" s="225"/>
      <c r="P262" s="225"/>
      <c r="Q262" s="227"/>
      <c r="R262" s="234"/>
      <c r="S262" s="225"/>
      <c r="T262" s="225"/>
      <c r="U262" s="225"/>
      <c r="V262" s="225"/>
      <c r="W262" s="225"/>
      <c r="X262" s="225"/>
      <c r="Y262" s="229"/>
      <c r="Z262" s="257"/>
      <c r="AA262" s="225"/>
      <c r="AB262" s="257"/>
      <c r="AC262" s="257"/>
      <c r="AD262" s="226"/>
      <c r="AE262" s="259"/>
      <c r="AF262" s="347"/>
      <c r="AG262" s="232"/>
      <c r="AH262" s="257"/>
      <c r="AI262" s="225"/>
      <c r="AJ262" s="267"/>
      <c r="AK262" s="259"/>
      <c r="AL262" s="226"/>
      <c r="AM262" s="225"/>
      <c r="AN262" s="225"/>
      <c r="AO262" s="254"/>
      <c r="AP262" s="225"/>
      <c r="AQ262" s="225"/>
      <c r="AR262" s="226"/>
      <c r="AS262" s="225"/>
      <c r="AT262" s="225"/>
      <c r="AU262" s="225"/>
      <c r="AV262" s="225"/>
      <c r="AW262" s="225"/>
      <c r="AX262" s="226"/>
      <c r="AY262" s="225"/>
      <c r="AZ262" s="225"/>
      <c r="BA262" s="226"/>
      <c r="BB262" s="225"/>
      <c r="BC262" s="225"/>
      <c r="BD262" s="225"/>
      <c r="BE262" s="225"/>
      <c r="BF262" s="225"/>
      <c r="BG262" s="225"/>
      <c r="BH262" s="225"/>
      <c r="BI262" s="225"/>
      <c r="BJ262" s="225"/>
      <c r="BK262" s="225"/>
      <c r="BL262" s="225"/>
      <c r="BM262" s="225"/>
      <c r="BN262" s="225"/>
      <c r="BO262" s="225"/>
      <c r="BP262" s="225"/>
      <c r="BQ262" s="225"/>
      <c r="BR262" s="225"/>
      <c r="BS262" s="225"/>
      <c r="BT262" s="226"/>
      <c r="BU262" s="225"/>
      <c r="BV262" s="225"/>
      <c r="BW262" s="225"/>
      <c r="BX262" s="225"/>
      <c r="BY262" s="225"/>
      <c r="BZ262" s="225"/>
    </row>
    <row r="263">
      <c r="A263" s="225"/>
      <c r="B263" s="225"/>
      <c r="C263" s="225"/>
      <c r="D263" s="226"/>
      <c r="E263" s="225"/>
      <c r="F263" s="225"/>
      <c r="G263" s="225"/>
      <c r="H263" s="225"/>
      <c r="I263" s="225"/>
      <c r="J263" s="225"/>
      <c r="K263" s="244"/>
      <c r="L263" s="225"/>
      <c r="M263" s="225"/>
      <c r="N263" s="225"/>
      <c r="O263" s="225"/>
      <c r="P263" s="225"/>
      <c r="Q263" s="227"/>
      <c r="R263" s="234"/>
      <c r="S263" s="225"/>
      <c r="T263" s="225"/>
      <c r="U263" s="225"/>
      <c r="V263" s="225"/>
      <c r="W263" s="225"/>
      <c r="X263" s="225"/>
      <c r="Y263" s="229"/>
      <c r="Z263" s="257"/>
      <c r="AA263" s="225"/>
      <c r="AB263" s="257"/>
      <c r="AC263" s="257"/>
      <c r="AD263" s="226"/>
      <c r="AE263" s="259"/>
      <c r="AF263" s="347"/>
      <c r="AG263" s="232"/>
      <c r="AH263" s="257"/>
      <c r="AI263" s="225"/>
      <c r="AJ263" s="267"/>
      <c r="AK263" s="259"/>
      <c r="AL263" s="226"/>
      <c r="AM263" s="225"/>
      <c r="AN263" s="225"/>
      <c r="AO263" s="254"/>
      <c r="AP263" s="225"/>
      <c r="AQ263" s="225"/>
      <c r="AR263" s="226"/>
      <c r="AS263" s="225"/>
      <c r="AT263" s="225"/>
      <c r="AU263" s="225"/>
      <c r="AV263" s="225"/>
      <c r="AW263" s="225"/>
      <c r="AX263" s="226"/>
      <c r="AY263" s="225"/>
      <c r="AZ263" s="225"/>
      <c r="BA263" s="226"/>
      <c r="BB263" s="225"/>
      <c r="BC263" s="225"/>
      <c r="BD263" s="225"/>
      <c r="BE263" s="225"/>
      <c r="BF263" s="225"/>
      <c r="BG263" s="225"/>
      <c r="BH263" s="225"/>
      <c r="BI263" s="225"/>
      <c r="BJ263" s="225"/>
      <c r="BK263" s="225"/>
      <c r="BL263" s="225"/>
      <c r="BM263" s="225"/>
      <c r="BN263" s="225"/>
      <c r="BO263" s="225"/>
      <c r="BP263" s="225"/>
      <c r="BQ263" s="225"/>
      <c r="BR263" s="225"/>
      <c r="BS263" s="225"/>
      <c r="BT263" s="226"/>
      <c r="BU263" s="225"/>
      <c r="BV263" s="225"/>
      <c r="BW263" s="225"/>
      <c r="BX263" s="225"/>
      <c r="BY263" s="225"/>
      <c r="BZ263" s="225"/>
    </row>
    <row r="264">
      <c r="A264" s="225"/>
      <c r="B264" s="225"/>
      <c r="C264" s="225"/>
      <c r="D264" s="226"/>
      <c r="E264" s="225"/>
      <c r="F264" s="225"/>
      <c r="G264" s="225"/>
      <c r="H264" s="225"/>
      <c r="I264" s="225"/>
      <c r="J264" s="225"/>
      <c r="K264" s="244"/>
      <c r="L264" s="225"/>
      <c r="M264" s="225"/>
      <c r="N264" s="225"/>
      <c r="O264" s="225"/>
      <c r="P264" s="225"/>
      <c r="Q264" s="227"/>
      <c r="R264" s="234"/>
      <c r="S264" s="225"/>
      <c r="T264" s="225"/>
      <c r="U264" s="225"/>
      <c r="V264" s="225"/>
      <c r="W264" s="225"/>
      <c r="X264" s="225"/>
      <c r="Y264" s="229"/>
      <c r="Z264" s="257"/>
      <c r="AA264" s="225"/>
      <c r="AB264" s="257"/>
      <c r="AC264" s="257"/>
      <c r="AD264" s="226"/>
      <c r="AE264" s="259"/>
      <c r="AF264" s="347"/>
      <c r="AG264" s="232"/>
      <c r="AH264" s="257"/>
      <c r="AI264" s="225"/>
      <c r="AJ264" s="267"/>
      <c r="AK264" s="259"/>
      <c r="AL264" s="226"/>
      <c r="AM264" s="225"/>
      <c r="AN264" s="225"/>
      <c r="AO264" s="254"/>
      <c r="AP264" s="225"/>
      <c r="AQ264" s="225"/>
      <c r="AR264" s="226"/>
      <c r="AS264" s="225"/>
      <c r="AT264" s="225"/>
      <c r="AU264" s="225"/>
      <c r="AV264" s="225"/>
      <c r="AW264" s="225"/>
      <c r="AX264" s="226"/>
      <c r="AY264" s="225"/>
      <c r="AZ264" s="225"/>
      <c r="BA264" s="226"/>
      <c r="BB264" s="225"/>
      <c r="BC264" s="225"/>
      <c r="BD264" s="225"/>
      <c r="BE264" s="225"/>
      <c r="BF264" s="225"/>
      <c r="BG264" s="225"/>
      <c r="BH264" s="225"/>
      <c r="BI264" s="225"/>
      <c r="BJ264" s="225"/>
      <c r="BK264" s="225"/>
      <c r="BL264" s="225"/>
      <c r="BM264" s="225"/>
      <c r="BN264" s="225"/>
      <c r="BO264" s="225"/>
      <c r="BP264" s="225"/>
      <c r="BQ264" s="225"/>
      <c r="BR264" s="225"/>
      <c r="BS264" s="225"/>
      <c r="BT264" s="226"/>
      <c r="BU264" s="225"/>
      <c r="BV264" s="225"/>
      <c r="BW264" s="225"/>
      <c r="BX264" s="225"/>
      <c r="BY264" s="225"/>
      <c r="BZ264" s="225"/>
    </row>
    <row r="265">
      <c r="A265" s="225"/>
      <c r="B265" s="225"/>
      <c r="C265" s="225"/>
      <c r="D265" s="226"/>
      <c r="E265" s="225"/>
      <c r="F265" s="225"/>
      <c r="G265" s="225"/>
      <c r="H265" s="225"/>
      <c r="I265" s="225"/>
      <c r="J265" s="225"/>
      <c r="K265" s="244"/>
      <c r="L265" s="225"/>
      <c r="M265" s="225"/>
      <c r="N265" s="225"/>
      <c r="O265" s="225"/>
      <c r="P265" s="225"/>
      <c r="Q265" s="227"/>
      <c r="R265" s="234"/>
      <c r="S265" s="225"/>
      <c r="T265" s="225"/>
      <c r="U265" s="225"/>
      <c r="V265" s="225"/>
      <c r="W265" s="225"/>
      <c r="X265" s="225"/>
      <c r="Y265" s="229"/>
      <c r="Z265" s="257"/>
      <c r="AA265" s="225"/>
      <c r="AB265" s="257"/>
      <c r="AC265" s="257"/>
      <c r="AD265" s="226"/>
      <c r="AE265" s="259"/>
      <c r="AF265" s="347"/>
      <c r="AG265" s="232"/>
      <c r="AH265" s="257"/>
      <c r="AI265" s="225"/>
      <c r="AJ265" s="267"/>
      <c r="AK265" s="259"/>
      <c r="AL265" s="226"/>
      <c r="AM265" s="225"/>
      <c r="AN265" s="225"/>
      <c r="AO265" s="254"/>
      <c r="AP265" s="225"/>
      <c r="AQ265" s="225"/>
      <c r="AR265" s="226"/>
      <c r="AS265" s="225"/>
      <c r="AT265" s="225"/>
      <c r="AU265" s="225"/>
      <c r="AV265" s="225"/>
      <c r="AW265" s="225"/>
      <c r="AX265" s="226"/>
      <c r="AY265" s="225"/>
      <c r="AZ265" s="225"/>
      <c r="BA265" s="226"/>
      <c r="BB265" s="225"/>
      <c r="BC265" s="225"/>
      <c r="BD265" s="225"/>
      <c r="BE265" s="225"/>
      <c r="BF265" s="225"/>
      <c r="BG265" s="225"/>
      <c r="BH265" s="225"/>
      <c r="BI265" s="225"/>
      <c r="BJ265" s="225"/>
      <c r="BK265" s="225"/>
      <c r="BL265" s="225"/>
      <c r="BM265" s="225"/>
      <c r="BN265" s="225"/>
      <c r="BO265" s="225"/>
      <c r="BP265" s="225"/>
      <c r="BQ265" s="225"/>
      <c r="BR265" s="225"/>
      <c r="BS265" s="225"/>
      <c r="BT265" s="226"/>
      <c r="BU265" s="225"/>
      <c r="BV265" s="225"/>
      <c r="BW265" s="225"/>
      <c r="BX265" s="225"/>
      <c r="BY265" s="225"/>
      <c r="BZ265" s="225"/>
    </row>
    <row r="266">
      <c r="A266" s="225"/>
      <c r="B266" s="225"/>
      <c r="C266" s="225"/>
      <c r="D266" s="226"/>
      <c r="E266" s="225"/>
      <c r="F266" s="225"/>
      <c r="G266" s="225"/>
      <c r="H266" s="225"/>
      <c r="I266" s="225"/>
      <c r="J266" s="225"/>
      <c r="K266" s="244"/>
      <c r="L266" s="225"/>
      <c r="M266" s="225"/>
      <c r="N266" s="225"/>
      <c r="O266" s="225"/>
      <c r="P266" s="225"/>
      <c r="Q266" s="227"/>
      <c r="R266" s="234"/>
      <c r="S266" s="225"/>
      <c r="T266" s="225"/>
      <c r="U266" s="225"/>
      <c r="V266" s="225"/>
      <c r="W266" s="225"/>
      <c r="X266" s="225"/>
      <c r="Y266" s="229"/>
      <c r="Z266" s="257"/>
      <c r="AA266" s="225"/>
      <c r="AB266" s="257"/>
      <c r="AC266" s="257"/>
      <c r="AD266" s="226"/>
      <c r="AE266" s="259"/>
      <c r="AF266" s="347"/>
      <c r="AG266" s="232"/>
      <c r="AH266" s="257"/>
      <c r="AI266" s="225"/>
      <c r="AJ266" s="267"/>
      <c r="AK266" s="259"/>
      <c r="AL266" s="226"/>
      <c r="AM266" s="225"/>
      <c r="AN266" s="225"/>
      <c r="AO266" s="254"/>
      <c r="AP266" s="225"/>
      <c r="AQ266" s="225"/>
      <c r="AR266" s="226"/>
      <c r="AS266" s="225"/>
      <c r="AT266" s="225"/>
      <c r="AU266" s="225"/>
      <c r="AV266" s="225"/>
      <c r="AW266" s="225"/>
      <c r="AX266" s="226"/>
      <c r="AY266" s="225"/>
      <c r="AZ266" s="225"/>
      <c r="BA266" s="226"/>
      <c r="BB266" s="225"/>
      <c r="BC266" s="225"/>
      <c r="BD266" s="225"/>
      <c r="BE266" s="225"/>
      <c r="BF266" s="225"/>
      <c r="BG266" s="225"/>
      <c r="BH266" s="225"/>
      <c r="BI266" s="225"/>
      <c r="BJ266" s="225"/>
      <c r="BK266" s="225"/>
      <c r="BL266" s="225"/>
      <c r="BM266" s="225"/>
      <c r="BN266" s="225"/>
      <c r="BO266" s="225"/>
      <c r="BP266" s="225"/>
      <c r="BQ266" s="225"/>
      <c r="BR266" s="225"/>
      <c r="BS266" s="225"/>
      <c r="BT266" s="226"/>
      <c r="BU266" s="225"/>
      <c r="BV266" s="225"/>
      <c r="BW266" s="225"/>
      <c r="BX266" s="225"/>
      <c r="BY266" s="225"/>
      <c r="BZ266" s="225"/>
    </row>
    <row r="267">
      <c r="A267" s="225"/>
      <c r="B267" s="225"/>
      <c r="C267" s="225"/>
      <c r="D267" s="226"/>
      <c r="E267" s="225"/>
      <c r="F267" s="225"/>
      <c r="G267" s="225"/>
      <c r="H267" s="225"/>
      <c r="I267" s="225"/>
      <c r="J267" s="225"/>
      <c r="K267" s="244"/>
      <c r="L267" s="225"/>
      <c r="M267" s="225"/>
      <c r="N267" s="225"/>
      <c r="O267" s="225"/>
      <c r="P267" s="225"/>
      <c r="Q267" s="227"/>
      <c r="R267" s="234"/>
      <c r="S267" s="225"/>
      <c r="T267" s="225"/>
      <c r="U267" s="225"/>
      <c r="V267" s="225"/>
      <c r="W267" s="225"/>
      <c r="X267" s="225"/>
      <c r="Y267" s="229"/>
      <c r="Z267" s="257"/>
      <c r="AA267" s="225"/>
      <c r="AB267" s="257"/>
      <c r="AC267" s="257"/>
      <c r="AD267" s="226"/>
      <c r="AE267" s="259"/>
      <c r="AF267" s="347"/>
      <c r="AG267" s="232"/>
      <c r="AH267" s="257"/>
      <c r="AI267" s="225"/>
      <c r="AJ267" s="267"/>
      <c r="AK267" s="259"/>
      <c r="AL267" s="226"/>
      <c r="AM267" s="225"/>
      <c r="AN267" s="225"/>
      <c r="AO267" s="254"/>
      <c r="AP267" s="225"/>
      <c r="AQ267" s="225"/>
      <c r="AR267" s="226"/>
      <c r="AS267" s="225"/>
      <c r="AT267" s="225"/>
      <c r="AU267" s="225"/>
      <c r="AV267" s="225"/>
      <c r="AW267" s="225"/>
      <c r="AX267" s="226"/>
      <c r="AY267" s="225"/>
      <c r="AZ267" s="225"/>
      <c r="BA267" s="226"/>
      <c r="BB267" s="225"/>
      <c r="BC267" s="225"/>
      <c r="BD267" s="225"/>
      <c r="BE267" s="225"/>
      <c r="BF267" s="225"/>
      <c r="BG267" s="225"/>
      <c r="BH267" s="225"/>
      <c r="BI267" s="225"/>
      <c r="BJ267" s="225"/>
      <c r="BK267" s="225"/>
      <c r="BL267" s="225"/>
      <c r="BM267" s="225"/>
      <c r="BN267" s="225"/>
      <c r="BO267" s="225"/>
      <c r="BP267" s="225"/>
      <c r="BQ267" s="225"/>
      <c r="BR267" s="225"/>
      <c r="BS267" s="225"/>
      <c r="BT267" s="226"/>
      <c r="BU267" s="225"/>
      <c r="BV267" s="225"/>
      <c r="BW267" s="225"/>
      <c r="BX267" s="225"/>
      <c r="BY267" s="225"/>
      <c r="BZ267" s="225"/>
    </row>
    <row r="268">
      <c r="A268" s="225"/>
      <c r="B268" s="225"/>
      <c r="C268" s="225"/>
      <c r="D268" s="226"/>
      <c r="E268" s="225"/>
      <c r="F268" s="225"/>
      <c r="G268" s="225"/>
      <c r="H268" s="225"/>
      <c r="I268" s="225"/>
      <c r="J268" s="225"/>
      <c r="K268" s="244"/>
      <c r="L268" s="225"/>
      <c r="M268" s="225"/>
      <c r="N268" s="225"/>
      <c r="O268" s="225"/>
      <c r="P268" s="225"/>
      <c r="Q268" s="227"/>
      <c r="R268" s="234"/>
      <c r="S268" s="225"/>
      <c r="T268" s="225"/>
      <c r="U268" s="225"/>
      <c r="V268" s="225"/>
      <c r="W268" s="225"/>
      <c r="X268" s="225"/>
      <c r="Y268" s="229"/>
      <c r="Z268" s="257"/>
      <c r="AA268" s="225"/>
      <c r="AB268" s="257"/>
      <c r="AC268" s="257"/>
      <c r="AD268" s="226"/>
      <c r="AE268" s="259"/>
      <c r="AF268" s="347"/>
      <c r="AG268" s="232"/>
      <c r="AH268" s="257"/>
      <c r="AI268" s="225"/>
      <c r="AJ268" s="267"/>
      <c r="AK268" s="259"/>
      <c r="AL268" s="226"/>
      <c r="AM268" s="225"/>
      <c r="AN268" s="225"/>
      <c r="AO268" s="254"/>
      <c r="AP268" s="225"/>
      <c r="AQ268" s="225"/>
      <c r="AR268" s="226"/>
      <c r="AS268" s="225"/>
      <c r="AT268" s="225"/>
      <c r="AU268" s="225"/>
      <c r="AV268" s="225"/>
      <c r="AW268" s="225"/>
      <c r="AX268" s="226"/>
      <c r="AY268" s="225"/>
      <c r="AZ268" s="225"/>
      <c r="BA268" s="226"/>
      <c r="BB268" s="225"/>
      <c r="BC268" s="225"/>
      <c r="BD268" s="225"/>
      <c r="BE268" s="225"/>
      <c r="BF268" s="225"/>
      <c r="BG268" s="225"/>
      <c r="BH268" s="225"/>
      <c r="BI268" s="225"/>
      <c r="BJ268" s="225"/>
      <c r="BK268" s="225"/>
      <c r="BL268" s="225"/>
      <c r="BM268" s="225"/>
      <c r="BN268" s="225"/>
      <c r="BO268" s="225"/>
      <c r="BP268" s="225"/>
      <c r="BQ268" s="225"/>
      <c r="BR268" s="225"/>
      <c r="BS268" s="225"/>
      <c r="BT268" s="226"/>
      <c r="BU268" s="225"/>
      <c r="BV268" s="225"/>
      <c r="BW268" s="225"/>
      <c r="BX268" s="225"/>
      <c r="BY268" s="225"/>
      <c r="BZ268" s="225"/>
    </row>
    <row r="269">
      <c r="A269" s="225"/>
      <c r="B269" s="225"/>
      <c r="C269" s="225"/>
      <c r="D269" s="226"/>
      <c r="E269" s="225"/>
      <c r="F269" s="225"/>
      <c r="G269" s="225"/>
      <c r="H269" s="225"/>
      <c r="I269" s="225"/>
      <c r="J269" s="225"/>
      <c r="K269" s="244"/>
      <c r="L269" s="225"/>
      <c r="M269" s="225"/>
      <c r="N269" s="225"/>
      <c r="O269" s="225"/>
      <c r="P269" s="225"/>
      <c r="Q269" s="227"/>
      <c r="R269" s="234"/>
      <c r="S269" s="225"/>
      <c r="T269" s="225"/>
      <c r="U269" s="225"/>
      <c r="V269" s="225"/>
      <c r="W269" s="225"/>
      <c r="X269" s="225"/>
      <c r="Y269" s="229"/>
      <c r="Z269" s="257"/>
      <c r="AA269" s="225"/>
      <c r="AB269" s="257"/>
      <c r="AC269" s="257"/>
      <c r="AD269" s="226"/>
      <c r="AE269" s="259"/>
      <c r="AF269" s="347"/>
      <c r="AG269" s="232"/>
      <c r="AH269" s="257"/>
      <c r="AI269" s="225"/>
      <c r="AJ269" s="267"/>
      <c r="AK269" s="259"/>
      <c r="AL269" s="226"/>
      <c r="AM269" s="225"/>
      <c r="AN269" s="225"/>
      <c r="AO269" s="254"/>
      <c r="AP269" s="225"/>
      <c r="AQ269" s="225"/>
      <c r="AR269" s="226"/>
      <c r="AS269" s="225"/>
      <c r="AT269" s="225"/>
      <c r="AU269" s="225"/>
      <c r="AV269" s="225"/>
      <c r="AW269" s="225"/>
      <c r="AX269" s="226"/>
      <c r="AY269" s="225"/>
      <c r="AZ269" s="225"/>
      <c r="BA269" s="226"/>
      <c r="BB269" s="225"/>
      <c r="BC269" s="225"/>
      <c r="BD269" s="225"/>
      <c r="BE269" s="225"/>
      <c r="BF269" s="225"/>
      <c r="BG269" s="225"/>
      <c r="BH269" s="225"/>
      <c r="BI269" s="225"/>
      <c r="BJ269" s="225"/>
      <c r="BK269" s="225"/>
      <c r="BL269" s="225"/>
      <c r="BM269" s="225"/>
      <c r="BN269" s="225"/>
      <c r="BO269" s="225"/>
      <c r="BP269" s="225"/>
      <c r="BQ269" s="225"/>
      <c r="BR269" s="225"/>
      <c r="BS269" s="225"/>
      <c r="BT269" s="226"/>
      <c r="BU269" s="225"/>
      <c r="BV269" s="225"/>
      <c r="BW269" s="225"/>
      <c r="BX269" s="225"/>
      <c r="BY269" s="225"/>
      <c r="BZ269" s="225"/>
    </row>
    <row r="270">
      <c r="A270" s="225"/>
      <c r="B270" s="225"/>
      <c r="C270" s="225"/>
      <c r="D270" s="226"/>
      <c r="E270" s="225"/>
      <c r="F270" s="225"/>
      <c r="G270" s="225"/>
      <c r="H270" s="225"/>
      <c r="I270" s="225"/>
      <c r="J270" s="225"/>
      <c r="K270" s="244"/>
      <c r="L270" s="225"/>
      <c r="M270" s="225"/>
      <c r="N270" s="225"/>
      <c r="O270" s="225"/>
      <c r="P270" s="225"/>
      <c r="Q270" s="227"/>
      <c r="R270" s="234"/>
      <c r="S270" s="225"/>
      <c r="T270" s="225"/>
      <c r="U270" s="225"/>
      <c r="V270" s="225"/>
      <c r="W270" s="225"/>
      <c r="X270" s="225"/>
      <c r="Y270" s="229"/>
      <c r="Z270" s="257"/>
      <c r="AA270" s="225"/>
      <c r="AB270" s="257"/>
      <c r="AC270" s="257"/>
      <c r="AD270" s="226"/>
      <c r="AE270" s="259"/>
      <c r="AF270" s="347"/>
      <c r="AG270" s="232"/>
      <c r="AH270" s="257"/>
      <c r="AI270" s="225"/>
      <c r="AJ270" s="267"/>
      <c r="AK270" s="259"/>
      <c r="AL270" s="226"/>
      <c r="AM270" s="225"/>
      <c r="AN270" s="225"/>
      <c r="AO270" s="254"/>
      <c r="AP270" s="225"/>
      <c r="AQ270" s="225"/>
      <c r="AR270" s="226"/>
      <c r="AS270" s="225"/>
      <c r="AT270" s="225"/>
      <c r="AU270" s="225"/>
      <c r="AV270" s="225"/>
      <c r="AW270" s="225"/>
      <c r="AX270" s="226"/>
      <c r="AY270" s="225"/>
      <c r="AZ270" s="225"/>
      <c r="BA270" s="226"/>
      <c r="BB270" s="225"/>
      <c r="BC270" s="225"/>
      <c r="BD270" s="225"/>
      <c r="BE270" s="225"/>
      <c r="BF270" s="225"/>
      <c r="BG270" s="225"/>
      <c r="BH270" s="225"/>
      <c r="BI270" s="225"/>
      <c r="BJ270" s="225"/>
      <c r="BK270" s="225"/>
      <c r="BL270" s="225"/>
      <c r="BM270" s="225"/>
      <c r="BN270" s="225"/>
      <c r="BO270" s="225"/>
      <c r="BP270" s="225"/>
      <c r="BQ270" s="225"/>
      <c r="BR270" s="225"/>
      <c r="BS270" s="225"/>
      <c r="BT270" s="226"/>
      <c r="BU270" s="225"/>
      <c r="BV270" s="225"/>
      <c r="BW270" s="225"/>
      <c r="BX270" s="225"/>
      <c r="BY270" s="225"/>
      <c r="BZ270" s="225"/>
    </row>
    <row r="271">
      <c r="A271" s="225"/>
      <c r="B271" s="225"/>
      <c r="C271" s="225"/>
      <c r="D271" s="226"/>
      <c r="E271" s="225"/>
      <c r="F271" s="225"/>
      <c r="G271" s="225"/>
      <c r="H271" s="225"/>
      <c r="I271" s="225"/>
      <c r="J271" s="225"/>
      <c r="K271" s="244"/>
      <c r="L271" s="225"/>
      <c r="M271" s="225"/>
      <c r="N271" s="225"/>
      <c r="O271" s="225"/>
      <c r="P271" s="225"/>
      <c r="Q271" s="227"/>
      <c r="R271" s="234"/>
      <c r="S271" s="225"/>
      <c r="T271" s="225"/>
      <c r="U271" s="225"/>
      <c r="V271" s="225"/>
      <c r="W271" s="225"/>
      <c r="X271" s="225"/>
      <c r="Y271" s="229"/>
      <c r="Z271" s="257"/>
      <c r="AA271" s="225"/>
      <c r="AB271" s="257"/>
      <c r="AC271" s="257"/>
      <c r="AD271" s="226"/>
      <c r="AE271" s="259"/>
      <c r="AF271" s="347"/>
      <c r="AG271" s="232"/>
      <c r="AH271" s="257"/>
      <c r="AI271" s="225"/>
      <c r="AJ271" s="267"/>
      <c r="AK271" s="259"/>
      <c r="AL271" s="226"/>
      <c r="AM271" s="225"/>
      <c r="AN271" s="225"/>
      <c r="AO271" s="254"/>
      <c r="AP271" s="225"/>
      <c r="AQ271" s="225"/>
      <c r="AR271" s="226"/>
      <c r="AS271" s="225"/>
      <c r="AT271" s="225"/>
      <c r="AU271" s="225"/>
      <c r="AV271" s="225"/>
      <c r="AW271" s="225"/>
      <c r="AX271" s="226"/>
      <c r="AY271" s="225"/>
      <c r="AZ271" s="225"/>
      <c r="BA271" s="226"/>
      <c r="BB271" s="225"/>
      <c r="BC271" s="225"/>
      <c r="BD271" s="225"/>
      <c r="BE271" s="225"/>
      <c r="BF271" s="225"/>
      <c r="BG271" s="225"/>
      <c r="BH271" s="225"/>
      <c r="BI271" s="225"/>
      <c r="BJ271" s="225"/>
      <c r="BK271" s="225"/>
      <c r="BL271" s="225"/>
      <c r="BM271" s="225"/>
      <c r="BN271" s="225"/>
      <c r="BO271" s="225"/>
      <c r="BP271" s="225"/>
      <c r="BQ271" s="225"/>
      <c r="BR271" s="225"/>
      <c r="BS271" s="225"/>
      <c r="BT271" s="226"/>
      <c r="BU271" s="225"/>
      <c r="BV271" s="225"/>
      <c r="BW271" s="225"/>
      <c r="BX271" s="225"/>
      <c r="BY271" s="225"/>
      <c r="BZ271" s="225"/>
    </row>
    <row r="272">
      <c r="A272" s="225"/>
      <c r="B272" s="225"/>
      <c r="C272" s="225"/>
      <c r="D272" s="226"/>
      <c r="E272" s="225"/>
      <c r="F272" s="225"/>
      <c r="G272" s="225"/>
      <c r="H272" s="225"/>
      <c r="I272" s="225"/>
      <c r="J272" s="225"/>
      <c r="K272" s="244"/>
      <c r="L272" s="225"/>
      <c r="M272" s="225"/>
      <c r="N272" s="225"/>
      <c r="O272" s="225"/>
      <c r="P272" s="225"/>
      <c r="Q272" s="227"/>
      <c r="R272" s="234"/>
      <c r="S272" s="225"/>
      <c r="T272" s="225"/>
      <c r="U272" s="225"/>
      <c r="V272" s="225"/>
      <c r="W272" s="225"/>
      <c r="X272" s="225"/>
      <c r="Y272" s="229"/>
      <c r="Z272" s="257"/>
      <c r="AA272" s="225"/>
      <c r="AB272" s="257"/>
      <c r="AC272" s="257"/>
      <c r="AD272" s="226"/>
      <c r="AE272" s="259"/>
      <c r="AF272" s="347"/>
      <c r="AG272" s="232"/>
      <c r="AH272" s="257"/>
      <c r="AI272" s="225"/>
      <c r="AJ272" s="267"/>
      <c r="AK272" s="259"/>
      <c r="AL272" s="226"/>
      <c r="AM272" s="225"/>
      <c r="AN272" s="225"/>
      <c r="AO272" s="254"/>
      <c r="AP272" s="225"/>
      <c r="AQ272" s="225"/>
      <c r="AR272" s="226"/>
      <c r="AS272" s="225"/>
      <c r="AT272" s="225"/>
      <c r="AU272" s="225"/>
      <c r="AV272" s="225"/>
      <c r="AW272" s="225"/>
      <c r="AX272" s="226"/>
      <c r="AY272" s="225"/>
      <c r="AZ272" s="225"/>
      <c r="BA272" s="226"/>
      <c r="BB272" s="225"/>
      <c r="BC272" s="225"/>
      <c r="BD272" s="225"/>
      <c r="BE272" s="225"/>
      <c r="BF272" s="225"/>
      <c r="BG272" s="225"/>
      <c r="BH272" s="225"/>
      <c r="BI272" s="225"/>
      <c r="BJ272" s="225"/>
      <c r="BK272" s="225"/>
      <c r="BL272" s="225"/>
      <c r="BM272" s="225"/>
      <c r="BN272" s="225"/>
      <c r="BO272" s="225"/>
      <c r="BP272" s="225"/>
      <c r="BQ272" s="225"/>
      <c r="BR272" s="225"/>
      <c r="BS272" s="225"/>
      <c r="BT272" s="226"/>
      <c r="BU272" s="225"/>
      <c r="BV272" s="225"/>
      <c r="BW272" s="225"/>
      <c r="BX272" s="225"/>
      <c r="BY272" s="225"/>
      <c r="BZ272" s="225"/>
    </row>
    <row r="273">
      <c r="A273" s="225"/>
      <c r="B273" s="225"/>
      <c r="C273" s="225"/>
      <c r="D273" s="226"/>
      <c r="E273" s="225"/>
      <c r="F273" s="225"/>
      <c r="G273" s="225"/>
      <c r="H273" s="225"/>
      <c r="I273" s="225"/>
      <c r="J273" s="225"/>
      <c r="K273" s="244"/>
      <c r="L273" s="225"/>
      <c r="M273" s="225"/>
      <c r="N273" s="225"/>
      <c r="O273" s="225"/>
      <c r="P273" s="225"/>
      <c r="Q273" s="227"/>
      <c r="R273" s="234"/>
      <c r="S273" s="225"/>
      <c r="T273" s="225"/>
      <c r="U273" s="225"/>
      <c r="V273" s="225"/>
      <c r="W273" s="225"/>
      <c r="X273" s="225"/>
      <c r="Y273" s="229"/>
      <c r="Z273" s="257"/>
      <c r="AA273" s="225"/>
      <c r="AB273" s="257"/>
      <c r="AC273" s="257"/>
      <c r="AD273" s="226"/>
      <c r="AE273" s="259"/>
      <c r="AF273" s="347"/>
      <c r="AG273" s="232"/>
      <c r="AH273" s="257"/>
      <c r="AI273" s="225"/>
      <c r="AJ273" s="267"/>
      <c r="AK273" s="259"/>
      <c r="AL273" s="226"/>
      <c r="AM273" s="225"/>
      <c r="AN273" s="225"/>
      <c r="AO273" s="254"/>
      <c r="AP273" s="225"/>
      <c r="AQ273" s="225"/>
      <c r="AR273" s="226"/>
      <c r="AS273" s="225"/>
      <c r="AT273" s="225"/>
      <c r="AU273" s="225"/>
      <c r="AV273" s="225"/>
      <c r="AW273" s="225"/>
      <c r="AX273" s="226"/>
      <c r="AY273" s="225"/>
      <c r="AZ273" s="225"/>
      <c r="BA273" s="226"/>
      <c r="BB273" s="225"/>
      <c r="BC273" s="225"/>
      <c r="BD273" s="225"/>
      <c r="BE273" s="225"/>
      <c r="BF273" s="225"/>
      <c r="BG273" s="225"/>
      <c r="BH273" s="225"/>
      <c r="BI273" s="225"/>
      <c r="BJ273" s="225"/>
      <c r="BK273" s="225"/>
      <c r="BL273" s="225"/>
      <c r="BM273" s="225"/>
      <c r="BN273" s="225"/>
      <c r="BO273" s="225"/>
      <c r="BP273" s="225"/>
      <c r="BQ273" s="225"/>
      <c r="BR273" s="225"/>
      <c r="BS273" s="225"/>
      <c r="BT273" s="226"/>
      <c r="BU273" s="225"/>
      <c r="BV273" s="225"/>
      <c r="BW273" s="225"/>
      <c r="BX273" s="225"/>
      <c r="BY273" s="225"/>
      <c r="BZ273" s="225"/>
    </row>
    <row r="274">
      <c r="A274" s="225"/>
      <c r="B274" s="225"/>
      <c r="C274" s="225"/>
      <c r="D274" s="226"/>
      <c r="E274" s="225"/>
      <c r="F274" s="225"/>
      <c r="G274" s="225"/>
      <c r="H274" s="225"/>
      <c r="I274" s="225"/>
      <c r="J274" s="225"/>
      <c r="K274" s="244"/>
      <c r="L274" s="225"/>
      <c r="M274" s="225"/>
      <c r="N274" s="225"/>
      <c r="O274" s="225"/>
      <c r="P274" s="225"/>
      <c r="Q274" s="227"/>
      <c r="R274" s="234"/>
      <c r="S274" s="225"/>
      <c r="T274" s="225"/>
      <c r="U274" s="225"/>
      <c r="V274" s="225"/>
      <c r="W274" s="225"/>
      <c r="X274" s="225"/>
      <c r="Y274" s="229"/>
      <c r="Z274" s="257"/>
      <c r="AA274" s="225"/>
      <c r="AB274" s="257"/>
      <c r="AC274" s="257"/>
      <c r="AD274" s="226"/>
      <c r="AE274" s="259"/>
      <c r="AF274" s="347"/>
      <c r="AG274" s="232"/>
      <c r="AH274" s="257"/>
      <c r="AI274" s="225"/>
      <c r="AJ274" s="267"/>
      <c r="AK274" s="259"/>
      <c r="AL274" s="226"/>
      <c r="AM274" s="225"/>
      <c r="AN274" s="225"/>
      <c r="AO274" s="254"/>
      <c r="AP274" s="225"/>
      <c r="AQ274" s="225"/>
      <c r="AR274" s="226"/>
      <c r="AS274" s="225"/>
      <c r="AT274" s="225"/>
      <c r="AU274" s="225"/>
      <c r="AV274" s="225"/>
      <c r="AW274" s="225"/>
      <c r="AX274" s="226"/>
      <c r="AY274" s="225"/>
      <c r="AZ274" s="225"/>
      <c r="BA274" s="226"/>
      <c r="BB274" s="225"/>
      <c r="BC274" s="225"/>
      <c r="BD274" s="225"/>
      <c r="BE274" s="225"/>
      <c r="BF274" s="225"/>
      <c r="BG274" s="225"/>
      <c r="BH274" s="225"/>
      <c r="BI274" s="225"/>
      <c r="BJ274" s="225"/>
      <c r="BK274" s="225"/>
      <c r="BL274" s="225"/>
      <c r="BM274" s="225"/>
      <c r="BN274" s="225"/>
      <c r="BO274" s="225"/>
      <c r="BP274" s="225"/>
      <c r="BQ274" s="225"/>
      <c r="BR274" s="225"/>
      <c r="BS274" s="225"/>
      <c r="BT274" s="226"/>
      <c r="BU274" s="225"/>
      <c r="BV274" s="225"/>
      <c r="BW274" s="225"/>
      <c r="BX274" s="225"/>
      <c r="BY274" s="225"/>
      <c r="BZ274" s="225"/>
    </row>
    <row r="275">
      <c r="A275" s="225"/>
      <c r="B275" s="225"/>
      <c r="C275" s="225"/>
      <c r="D275" s="226"/>
      <c r="E275" s="225"/>
      <c r="F275" s="225"/>
      <c r="G275" s="225"/>
      <c r="H275" s="225"/>
      <c r="I275" s="225"/>
      <c r="J275" s="225"/>
      <c r="K275" s="244"/>
      <c r="L275" s="225"/>
      <c r="M275" s="225"/>
      <c r="N275" s="225"/>
      <c r="O275" s="225"/>
      <c r="P275" s="225"/>
      <c r="Q275" s="227"/>
      <c r="R275" s="234"/>
      <c r="S275" s="225"/>
      <c r="T275" s="225"/>
      <c r="U275" s="225"/>
      <c r="V275" s="225"/>
      <c r="W275" s="225"/>
      <c r="X275" s="225"/>
      <c r="Y275" s="229"/>
      <c r="Z275" s="257"/>
      <c r="AA275" s="225"/>
      <c r="AB275" s="257"/>
      <c r="AC275" s="257"/>
      <c r="AD275" s="226"/>
      <c r="AE275" s="259"/>
      <c r="AF275" s="347"/>
      <c r="AG275" s="232"/>
      <c r="AH275" s="257"/>
      <c r="AI275" s="225"/>
      <c r="AJ275" s="267"/>
      <c r="AK275" s="259"/>
      <c r="AL275" s="226"/>
      <c r="AM275" s="225"/>
      <c r="AN275" s="225"/>
      <c r="AO275" s="254"/>
      <c r="AP275" s="225"/>
      <c r="AQ275" s="225"/>
      <c r="AR275" s="226"/>
      <c r="AS275" s="225"/>
      <c r="AT275" s="225"/>
      <c r="AU275" s="225"/>
      <c r="AV275" s="225"/>
      <c r="AW275" s="225"/>
      <c r="AX275" s="226"/>
      <c r="AY275" s="225"/>
      <c r="AZ275" s="225"/>
      <c r="BA275" s="226"/>
      <c r="BB275" s="225"/>
      <c r="BC275" s="225"/>
      <c r="BD275" s="225"/>
      <c r="BE275" s="225"/>
      <c r="BF275" s="225"/>
      <c r="BG275" s="225"/>
      <c r="BH275" s="225"/>
      <c r="BI275" s="225"/>
      <c r="BJ275" s="225"/>
      <c r="BK275" s="225"/>
      <c r="BL275" s="225"/>
      <c r="BM275" s="225"/>
      <c r="BN275" s="225"/>
      <c r="BO275" s="225"/>
      <c r="BP275" s="225"/>
      <c r="BQ275" s="225"/>
      <c r="BR275" s="225"/>
      <c r="BS275" s="225"/>
      <c r="BT275" s="226"/>
      <c r="BU275" s="225"/>
      <c r="BV275" s="225"/>
      <c r="BW275" s="225"/>
      <c r="BX275" s="225"/>
      <c r="BY275" s="225"/>
      <c r="BZ275" s="225"/>
    </row>
    <row r="276">
      <c r="A276" s="225"/>
      <c r="B276" s="225"/>
      <c r="C276" s="225"/>
      <c r="D276" s="226"/>
      <c r="E276" s="225"/>
      <c r="F276" s="225"/>
      <c r="G276" s="225"/>
      <c r="H276" s="225"/>
      <c r="I276" s="225"/>
      <c r="J276" s="225"/>
      <c r="K276" s="244"/>
      <c r="L276" s="225"/>
      <c r="M276" s="225"/>
      <c r="N276" s="225"/>
      <c r="O276" s="225"/>
      <c r="P276" s="225"/>
      <c r="Q276" s="227"/>
      <c r="R276" s="234"/>
      <c r="S276" s="225"/>
      <c r="T276" s="225"/>
      <c r="U276" s="225"/>
      <c r="V276" s="225"/>
      <c r="W276" s="225"/>
      <c r="X276" s="225"/>
      <c r="Y276" s="229"/>
      <c r="Z276" s="257"/>
      <c r="AA276" s="225"/>
      <c r="AB276" s="257"/>
      <c r="AC276" s="257"/>
      <c r="AD276" s="226"/>
      <c r="AE276" s="259"/>
      <c r="AF276" s="347"/>
      <c r="AG276" s="232"/>
      <c r="AH276" s="257"/>
      <c r="AI276" s="225"/>
      <c r="AJ276" s="267"/>
      <c r="AK276" s="259"/>
      <c r="AL276" s="226"/>
      <c r="AM276" s="225"/>
      <c r="AN276" s="225"/>
      <c r="AO276" s="254"/>
      <c r="AP276" s="225"/>
      <c r="AQ276" s="225"/>
      <c r="AR276" s="226"/>
      <c r="AS276" s="225"/>
      <c r="AT276" s="225"/>
      <c r="AU276" s="225"/>
      <c r="AV276" s="225"/>
      <c r="AW276" s="225"/>
      <c r="AX276" s="226"/>
      <c r="AY276" s="225"/>
      <c r="AZ276" s="225"/>
      <c r="BA276" s="226"/>
      <c r="BB276" s="225"/>
      <c r="BC276" s="225"/>
      <c r="BD276" s="225"/>
      <c r="BE276" s="225"/>
      <c r="BF276" s="225"/>
      <c r="BG276" s="225"/>
      <c r="BH276" s="225"/>
      <c r="BI276" s="225"/>
      <c r="BJ276" s="225"/>
      <c r="BK276" s="225"/>
      <c r="BL276" s="225"/>
      <c r="BM276" s="225"/>
      <c r="BN276" s="225"/>
      <c r="BO276" s="225"/>
      <c r="BP276" s="225"/>
      <c r="BQ276" s="225"/>
      <c r="BR276" s="225"/>
      <c r="BS276" s="225"/>
      <c r="BT276" s="226"/>
      <c r="BU276" s="225"/>
      <c r="BV276" s="225"/>
      <c r="BW276" s="225"/>
      <c r="BX276" s="225"/>
      <c r="BY276" s="225"/>
      <c r="BZ276" s="225"/>
    </row>
    <row r="277">
      <c r="A277" s="225"/>
      <c r="B277" s="225"/>
      <c r="C277" s="225"/>
      <c r="D277" s="226"/>
      <c r="E277" s="225"/>
      <c r="F277" s="225"/>
      <c r="G277" s="225"/>
      <c r="H277" s="225"/>
      <c r="I277" s="225"/>
      <c r="J277" s="225"/>
      <c r="K277" s="244"/>
      <c r="L277" s="225"/>
      <c r="M277" s="225"/>
      <c r="N277" s="225"/>
      <c r="O277" s="225"/>
      <c r="P277" s="225"/>
      <c r="Q277" s="227"/>
      <c r="R277" s="234"/>
      <c r="S277" s="225"/>
      <c r="T277" s="225"/>
      <c r="U277" s="225"/>
      <c r="V277" s="225"/>
      <c r="W277" s="225"/>
      <c r="X277" s="225"/>
      <c r="Y277" s="229"/>
      <c r="Z277" s="257"/>
      <c r="AA277" s="225"/>
      <c r="AB277" s="257"/>
      <c r="AC277" s="257"/>
      <c r="AD277" s="226"/>
      <c r="AE277" s="259"/>
      <c r="AF277" s="347"/>
      <c r="AG277" s="232"/>
      <c r="AH277" s="257"/>
      <c r="AI277" s="225"/>
      <c r="AJ277" s="267"/>
      <c r="AK277" s="259"/>
      <c r="AL277" s="226"/>
      <c r="AM277" s="225"/>
      <c r="AN277" s="225"/>
      <c r="AO277" s="254"/>
      <c r="AP277" s="225"/>
      <c r="AQ277" s="225"/>
      <c r="AR277" s="226"/>
      <c r="AS277" s="225"/>
      <c r="AT277" s="225"/>
      <c r="AU277" s="225"/>
      <c r="AV277" s="225"/>
      <c r="AW277" s="225"/>
      <c r="AX277" s="226"/>
      <c r="AY277" s="225"/>
      <c r="AZ277" s="225"/>
      <c r="BA277" s="226"/>
      <c r="BB277" s="225"/>
      <c r="BC277" s="225"/>
      <c r="BD277" s="225"/>
      <c r="BE277" s="225"/>
      <c r="BF277" s="225"/>
      <c r="BG277" s="225"/>
      <c r="BH277" s="225"/>
      <c r="BI277" s="225"/>
      <c r="BJ277" s="225"/>
      <c r="BK277" s="225"/>
      <c r="BL277" s="225"/>
      <c r="BM277" s="225"/>
      <c r="BN277" s="225"/>
      <c r="BO277" s="225"/>
      <c r="BP277" s="225"/>
      <c r="BQ277" s="225"/>
      <c r="BR277" s="225"/>
      <c r="BS277" s="225"/>
      <c r="BT277" s="226"/>
      <c r="BU277" s="225"/>
      <c r="BV277" s="225"/>
      <c r="BW277" s="225"/>
      <c r="BX277" s="225"/>
      <c r="BY277" s="225"/>
      <c r="BZ277" s="225"/>
    </row>
    <row r="278">
      <c r="A278" s="225"/>
      <c r="B278" s="225"/>
      <c r="C278" s="225"/>
      <c r="D278" s="226"/>
      <c r="E278" s="225"/>
      <c r="F278" s="225"/>
      <c r="G278" s="225"/>
      <c r="H278" s="225"/>
      <c r="I278" s="225"/>
      <c r="J278" s="225"/>
      <c r="K278" s="244"/>
      <c r="L278" s="225"/>
      <c r="M278" s="225"/>
      <c r="N278" s="225"/>
      <c r="O278" s="225"/>
      <c r="P278" s="225"/>
      <c r="Q278" s="227"/>
      <c r="R278" s="234"/>
      <c r="S278" s="225"/>
      <c r="T278" s="225"/>
      <c r="U278" s="225"/>
      <c r="V278" s="225"/>
      <c r="W278" s="225"/>
      <c r="X278" s="225"/>
      <c r="Y278" s="229"/>
      <c r="Z278" s="257"/>
      <c r="AA278" s="225"/>
      <c r="AB278" s="257"/>
      <c r="AC278" s="257"/>
      <c r="AD278" s="226"/>
      <c r="AE278" s="259"/>
      <c r="AF278" s="347"/>
      <c r="AG278" s="232"/>
      <c r="AH278" s="257"/>
      <c r="AI278" s="225"/>
      <c r="AJ278" s="267"/>
      <c r="AK278" s="259"/>
      <c r="AL278" s="226"/>
      <c r="AM278" s="225"/>
      <c r="AN278" s="225"/>
      <c r="AO278" s="254"/>
      <c r="AP278" s="225"/>
      <c r="AQ278" s="225"/>
      <c r="AR278" s="226"/>
      <c r="AS278" s="225"/>
      <c r="AT278" s="225"/>
      <c r="AU278" s="225"/>
      <c r="AV278" s="225"/>
      <c r="AW278" s="225"/>
      <c r="AX278" s="226"/>
      <c r="AY278" s="225"/>
      <c r="AZ278" s="225"/>
      <c r="BA278" s="226"/>
      <c r="BB278" s="225"/>
      <c r="BC278" s="225"/>
      <c r="BD278" s="225"/>
      <c r="BE278" s="225"/>
      <c r="BF278" s="225"/>
      <c r="BG278" s="225"/>
      <c r="BH278" s="225"/>
      <c r="BI278" s="225"/>
      <c r="BJ278" s="225"/>
      <c r="BK278" s="225"/>
      <c r="BL278" s="225"/>
      <c r="BM278" s="225"/>
      <c r="BN278" s="225"/>
      <c r="BO278" s="225"/>
      <c r="BP278" s="225"/>
      <c r="BQ278" s="225"/>
      <c r="BR278" s="225"/>
      <c r="BS278" s="225"/>
      <c r="BT278" s="226"/>
      <c r="BU278" s="225"/>
      <c r="BV278" s="225"/>
      <c r="BW278" s="225"/>
      <c r="BX278" s="225"/>
      <c r="BY278" s="225"/>
      <c r="BZ278" s="225"/>
    </row>
    <row r="279">
      <c r="A279" s="225"/>
      <c r="B279" s="225"/>
      <c r="C279" s="225"/>
      <c r="D279" s="226"/>
      <c r="E279" s="225"/>
      <c r="F279" s="225"/>
      <c r="G279" s="225"/>
      <c r="H279" s="225"/>
      <c r="I279" s="225"/>
      <c r="J279" s="225"/>
      <c r="K279" s="244"/>
      <c r="L279" s="225"/>
      <c r="M279" s="225"/>
      <c r="N279" s="225"/>
      <c r="O279" s="225"/>
      <c r="P279" s="225"/>
      <c r="Q279" s="227"/>
      <c r="R279" s="234"/>
      <c r="S279" s="225"/>
      <c r="T279" s="225"/>
      <c r="U279" s="225"/>
      <c r="V279" s="225"/>
      <c r="W279" s="225"/>
      <c r="X279" s="225"/>
      <c r="Y279" s="229"/>
      <c r="Z279" s="257"/>
      <c r="AA279" s="225"/>
      <c r="AB279" s="257"/>
      <c r="AC279" s="257"/>
      <c r="AD279" s="226"/>
      <c r="AE279" s="259"/>
      <c r="AF279" s="347"/>
      <c r="AG279" s="232"/>
      <c r="AH279" s="257"/>
      <c r="AI279" s="225"/>
      <c r="AJ279" s="267"/>
      <c r="AK279" s="259"/>
      <c r="AL279" s="226"/>
      <c r="AM279" s="225"/>
      <c r="AN279" s="225"/>
      <c r="AO279" s="254"/>
      <c r="AP279" s="225"/>
      <c r="AQ279" s="225"/>
      <c r="AR279" s="226"/>
      <c r="AS279" s="225"/>
      <c r="AT279" s="225"/>
      <c r="AU279" s="225"/>
      <c r="AV279" s="225"/>
      <c r="AW279" s="225"/>
      <c r="AX279" s="226"/>
      <c r="AY279" s="225"/>
      <c r="AZ279" s="225"/>
      <c r="BA279" s="226"/>
      <c r="BB279" s="225"/>
      <c r="BC279" s="225"/>
      <c r="BD279" s="225"/>
      <c r="BE279" s="225"/>
      <c r="BF279" s="225"/>
      <c r="BG279" s="225"/>
      <c r="BH279" s="225"/>
      <c r="BI279" s="225"/>
      <c r="BJ279" s="225"/>
      <c r="BK279" s="225"/>
      <c r="BL279" s="225"/>
      <c r="BM279" s="225"/>
      <c r="BN279" s="225"/>
      <c r="BO279" s="225"/>
      <c r="BP279" s="225"/>
      <c r="BQ279" s="225"/>
      <c r="BR279" s="225"/>
      <c r="BS279" s="225"/>
      <c r="BT279" s="226"/>
      <c r="BU279" s="225"/>
      <c r="BV279" s="225"/>
      <c r="BW279" s="225"/>
      <c r="BX279" s="225"/>
      <c r="BY279" s="225"/>
      <c r="BZ279" s="225"/>
    </row>
    <row r="280">
      <c r="A280" s="225"/>
      <c r="B280" s="225"/>
      <c r="C280" s="225"/>
      <c r="D280" s="226"/>
      <c r="E280" s="225"/>
      <c r="F280" s="225"/>
      <c r="G280" s="225"/>
      <c r="H280" s="225"/>
      <c r="I280" s="225"/>
      <c r="J280" s="225"/>
      <c r="K280" s="244"/>
      <c r="L280" s="225"/>
      <c r="M280" s="225"/>
      <c r="N280" s="225"/>
      <c r="O280" s="225"/>
      <c r="P280" s="225"/>
      <c r="Q280" s="227"/>
      <c r="R280" s="234"/>
      <c r="S280" s="225"/>
      <c r="T280" s="225"/>
      <c r="U280" s="225"/>
      <c r="V280" s="225"/>
      <c r="W280" s="225"/>
      <c r="X280" s="225"/>
      <c r="Y280" s="229"/>
      <c r="Z280" s="257"/>
      <c r="AA280" s="225"/>
      <c r="AB280" s="257"/>
      <c r="AC280" s="257"/>
      <c r="AD280" s="226"/>
      <c r="AE280" s="259"/>
      <c r="AF280" s="347"/>
      <c r="AG280" s="232"/>
      <c r="AH280" s="257"/>
      <c r="AI280" s="225"/>
      <c r="AJ280" s="267"/>
      <c r="AK280" s="259"/>
      <c r="AL280" s="226"/>
      <c r="AM280" s="225"/>
      <c r="AN280" s="225"/>
      <c r="AO280" s="254"/>
      <c r="AP280" s="225"/>
      <c r="AQ280" s="225"/>
      <c r="AR280" s="226"/>
      <c r="AS280" s="225"/>
      <c r="AT280" s="225"/>
      <c r="AU280" s="225"/>
      <c r="AV280" s="225"/>
      <c r="AW280" s="225"/>
      <c r="AX280" s="226"/>
      <c r="AY280" s="225"/>
      <c r="AZ280" s="225"/>
      <c r="BA280" s="226"/>
      <c r="BB280" s="225"/>
      <c r="BC280" s="225"/>
      <c r="BD280" s="225"/>
      <c r="BE280" s="225"/>
      <c r="BF280" s="225"/>
      <c r="BG280" s="225"/>
      <c r="BH280" s="225"/>
      <c r="BI280" s="225"/>
      <c r="BJ280" s="225"/>
      <c r="BK280" s="225"/>
      <c r="BL280" s="225"/>
      <c r="BM280" s="225"/>
      <c r="BN280" s="225"/>
      <c r="BO280" s="225"/>
      <c r="BP280" s="225"/>
      <c r="BQ280" s="225"/>
      <c r="BR280" s="225"/>
      <c r="BS280" s="225"/>
      <c r="BT280" s="226"/>
      <c r="BU280" s="225"/>
      <c r="BV280" s="225"/>
      <c r="BW280" s="225"/>
      <c r="BX280" s="225"/>
      <c r="BY280" s="225"/>
      <c r="BZ280" s="225"/>
    </row>
    <row r="281">
      <c r="A281" s="225"/>
      <c r="B281" s="225"/>
      <c r="C281" s="225"/>
      <c r="D281" s="226"/>
      <c r="E281" s="225"/>
      <c r="F281" s="225"/>
      <c r="G281" s="225"/>
      <c r="H281" s="225"/>
      <c r="I281" s="225"/>
      <c r="J281" s="225"/>
      <c r="K281" s="244"/>
      <c r="L281" s="225"/>
      <c r="M281" s="225"/>
      <c r="N281" s="225"/>
      <c r="O281" s="225"/>
      <c r="P281" s="225"/>
      <c r="Q281" s="227"/>
      <c r="R281" s="234"/>
      <c r="S281" s="225"/>
      <c r="T281" s="225"/>
      <c r="U281" s="225"/>
      <c r="V281" s="225"/>
      <c r="W281" s="225"/>
      <c r="X281" s="225"/>
      <c r="Y281" s="229"/>
      <c r="Z281" s="257"/>
      <c r="AA281" s="225"/>
      <c r="AB281" s="257"/>
      <c r="AC281" s="257"/>
      <c r="AD281" s="226"/>
      <c r="AE281" s="259"/>
      <c r="AF281" s="347"/>
      <c r="AG281" s="232"/>
      <c r="AH281" s="257"/>
      <c r="AI281" s="225"/>
      <c r="AJ281" s="267"/>
      <c r="AK281" s="259"/>
      <c r="AL281" s="226"/>
      <c r="AM281" s="225"/>
      <c r="AN281" s="225"/>
      <c r="AO281" s="254"/>
      <c r="AP281" s="225"/>
      <c r="AQ281" s="225"/>
      <c r="AR281" s="226"/>
      <c r="AS281" s="225"/>
      <c r="AT281" s="225"/>
      <c r="AU281" s="225"/>
      <c r="AV281" s="225"/>
      <c r="AW281" s="225"/>
      <c r="AX281" s="226"/>
      <c r="AY281" s="225"/>
      <c r="AZ281" s="225"/>
      <c r="BA281" s="226"/>
      <c r="BB281" s="225"/>
      <c r="BC281" s="225"/>
      <c r="BD281" s="225"/>
      <c r="BE281" s="225"/>
      <c r="BF281" s="225"/>
      <c r="BG281" s="225"/>
      <c r="BH281" s="225"/>
      <c r="BI281" s="225"/>
      <c r="BJ281" s="225"/>
      <c r="BK281" s="225"/>
      <c r="BL281" s="225"/>
      <c r="BM281" s="225"/>
      <c r="BN281" s="225"/>
      <c r="BO281" s="225"/>
      <c r="BP281" s="225"/>
      <c r="BQ281" s="225"/>
      <c r="BR281" s="225"/>
      <c r="BS281" s="225"/>
      <c r="BT281" s="226"/>
      <c r="BU281" s="225"/>
      <c r="BV281" s="225"/>
      <c r="BW281" s="225"/>
      <c r="BX281" s="225"/>
      <c r="BY281" s="225"/>
      <c r="BZ281" s="225"/>
    </row>
    <row r="282">
      <c r="A282" s="225"/>
      <c r="B282" s="225"/>
      <c r="C282" s="225"/>
      <c r="D282" s="226"/>
      <c r="E282" s="225"/>
      <c r="F282" s="225"/>
      <c r="G282" s="225"/>
      <c r="H282" s="225"/>
      <c r="I282" s="225"/>
      <c r="J282" s="225"/>
      <c r="K282" s="244"/>
      <c r="L282" s="225"/>
      <c r="M282" s="225"/>
      <c r="N282" s="225"/>
      <c r="O282" s="225"/>
      <c r="P282" s="225"/>
      <c r="Q282" s="227"/>
      <c r="R282" s="234"/>
      <c r="S282" s="225"/>
      <c r="T282" s="225"/>
      <c r="U282" s="225"/>
      <c r="V282" s="225"/>
      <c r="W282" s="225"/>
      <c r="X282" s="225"/>
      <c r="Y282" s="229"/>
      <c r="Z282" s="257"/>
      <c r="AA282" s="225"/>
      <c r="AB282" s="257"/>
      <c r="AC282" s="257"/>
      <c r="AD282" s="226"/>
      <c r="AE282" s="259"/>
      <c r="AF282" s="347"/>
      <c r="AG282" s="232"/>
      <c r="AH282" s="257"/>
      <c r="AI282" s="225"/>
      <c r="AJ282" s="267"/>
      <c r="AK282" s="259"/>
      <c r="AL282" s="226"/>
      <c r="AM282" s="225"/>
      <c r="AN282" s="225"/>
      <c r="AO282" s="254"/>
      <c r="AP282" s="225"/>
      <c r="AQ282" s="225"/>
      <c r="AR282" s="226"/>
      <c r="AS282" s="225"/>
      <c r="AT282" s="225"/>
      <c r="AU282" s="225"/>
      <c r="AV282" s="225"/>
      <c r="AW282" s="225"/>
      <c r="AX282" s="226"/>
      <c r="AY282" s="225"/>
      <c r="AZ282" s="225"/>
      <c r="BA282" s="226"/>
      <c r="BB282" s="225"/>
      <c r="BC282" s="225"/>
      <c r="BD282" s="225"/>
      <c r="BE282" s="225"/>
      <c r="BF282" s="225"/>
      <c r="BG282" s="225"/>
      <c r="BH282" s="225"/>
      <c r="BI282" s="225"/>
      <c r="BJ282" s="225"/>
      <c r="BK282" s="225"/>
      <c r="BL282" s="225"/>
      <c r="BM282" s="225"/>
      <c r="BN282" s="225"/>
      <c r="BO282" s="225"/>
      <c r="BP282" s="225"/>
      <c r="BQ282" s="225"/>
      <c r="BR282" s="225"/>
      <c r="BS282" s="225"/>
      <c r="BT282" s="226"/>
      <c r="BU282" s="225"/>
      <c r="BV282" s="225"/>
      <c r="BW282" s="225"/>
      <c r="BX282" s="225"/>
      <c r="BY282" s="225"/>
      <c r="BZ282" s="225"/>
    </row>
    <row r="283">
      <c r="A283" s="225"/>
      <c r="B283" s="225"/>
      <c r="C283" s="225"/>
      <c r="D283" s="226"/>
      <c r="E283" s="225"/>
      <c r="F283" s="225"/>
      <c r="G283" s="225"/>
      <c r="H283" s="225"/>
      <c r="I283" s="225"/>
      <c r="J283" s="225"/>
      <c r="K283" s="244"/>
      <c r="L283" s="225"/>
      <c r="M283" s="225"/>
      <c r="N283" s="225"/>
      <c r="O283" s="225"/>
      <c r="P283" s="225"/>
      <c r="Q283" s="227"/>
      <c r="R283" s="234"/>
      <c r="S283" s="225"/>
      <c r="T283" s="225"/>
      <c r="U283" s="225"/>
      <c r="V283" s="225"/>
      <c r="W283" s="225"/>
      <c r="X283" s="225"/>
      <c r="Y283" s="229"/>
      <c r="Z283" s="257"/>
      <c r="AA283" s="225"/>
      <c r="AB283" s="257"/>
      <c r="AC283" s="257"/>
      <c r="AD283" s="226"/>
      <c r="AE283" s="259"/>
      <c r="AF283" s="347"/>
      <c r="AG283" s="232"/>
      <c r="AH283" s="257"/>
      <c r="AI283" s="225"/>
      <c r="AJ283" s="267"/>
      <c r="AK283" s="259"/>
      <c r="AL283" s="226"/>
      <c r="AM283" s="225"/>
      <c r="AN283" s="225"/>
      <c r="AO283" s="254"/>
      <c r="AP283" s="225"/>
      <c r="AQ283" s="225"/>
      <c r="AR283" s="226"/>
      <c r="AS283" s="225"/>
      <c r="AT283" s="225"/>
      <c r="AU283" s="225"/>
      <c r="AV283" s="225"/>
      <c r="AW283" s="225"/>
      <c r="AX283" s="226"/>
      <c r="AY283" s="225"/>
      <c r="AZ283" s="225"/>
      <c r="BA283" s="226"/>
      <c r="BB283" s="225"/>
      <c r="BC283" s="225"/>
      <c r="BD283" s="225"/>
      <c r="BE283" s="225"/>
      <c r="BF283" s="225"/>
      <c r="BG283" s="225"/>
      <c r="BH283" s="225"/>
      <c r="BI283" s="225"/>
      <c r="BJ283" s="225"/>
      <c r="BK283" s="225"/>
      <c r="BL283" s="225"/>
      <c r="BM283" s="225"/>
      <c r="BN283" s="225"/>
      <c r="BO283" s="225"/>
      <c r="BP283" s="225"/>
      <c r="BQ283" s="225"/>
      <c r="BR283" s="225"/>
      <c r="BS283" s="225"/>
      <c r="BT283" s="226"/>
      <c r="BU283" s="225"/>
      <c r="BV283" s="225"/>
      <c r="BW283" s="225"/>
      <c r="BX283" s="225"/>
      <c r="BY283" s="225"/>
      <c r="BZ283" s="225"/>
    </row>
    <row r="284">
      <c r="A284" s="225"/>
      <c r="B284" s="225"/>
      <c r="C284" s="225"/>
      <c r="D284" s="226"/>
      <c r="E284" s="225"/>
      <c r="F284" s="225"/>
      <c r="G284" s="225"/>
      <c r="H284" s="225"/>
      <c r="I284" s="225"/>
      <c r="J284" s="225"/>
      <c r="K284" s="244"/>
      <c r="L284" s="225"/>
      <c r="M284" s="225"/>
      <c r="N284" s="225"/>
      <c r="O284" s="225"/>
      <c r="P284" s="225"/>
      <c r="Q284" s="227"/>
      <c r="R284" s="234"/>
      <c r="S284" s="225"/>
      <c r="T284" s="225"/>
      <c r="U284" s="225"/>
      <c r="V284" s="225"/>
      <c r="W284" s="225"/>
      <c r="X284" s="225"/>
      <c r="Y284" s="229"/>
      <c r="Z284" s="257"/>
      <c r="AA284" s="225"/>
      <c r="AB284" s="257"/>
      <c r="AC284" s="257"/>
      <c r="AD284" s="226"/>
      <c r="AE284" s="259"/>
      <c r="AF284" s="347"/>
      <c r="AG284" s="232"/>
      <c r="AH284" s="257"/>
      <c r="AI284" s="225"/>
      <c r="AJ284" s="267"/>
      <c r="AK284" s="259"/>
      <c r="AL284" s="226"/>
      <c r="AM284" s="225"/>
      <c r="AN284" s="225"/>
      <c r="AO284" s="254"/>
      <c r="AP284" s="225"/>
      <c r="AQ284" s="225"/>
      <c r="AR284" s="226"/>
      <c r="AS284" s="225"/>
      <c r="AT284" s="225"/>
      <c r="AU284" s="225"/>
      <c r="AV284" s="225"/>
      <c r="AW284" s="225"/>
      <c r="AX284" s="226"/>
      <c r="AY284" s="225"/>
      <c r="AZ284" s="225"/>
      <c r="BA284" s="226"/>
      <c r="BB284" s="225"/>
      <c r="BC284" s="225"/>
      <c r="BD284" s="225"/>
      <c r="BE284" s="225"/>
      <c r="BF284" s="225"/>
      <c r="BG284" s="225"/>
      <c r="BH284" s="225"/>
      <c r="BI284" s="225"/>
      <c r="BJ284" s="225"/>
      <c r="BK284" s="225"/>
      <c r="BL284" s="225"/>
      <c r="BM284" s="225"/>
      <c r="BN284" s="225"/>
      <c r="BO284" s="225"/>
      <c r="BP284" s="225"/>
      <c r="BQ284" s="225"/>
      <c r="BR284" s="225"/>
      <c r="BS284" s="225"/>
      <c r="BT284" s="226"/>
      <c r="BU284" s="225"/>
      <c r="BV284" s="225"/>
      <c r="BW284" s="225"/>
      <c r="BX284" s="225"/>
      <c r="BY284" s="225"/>
      <c r="BZ284" s="225"/>
    </row>
    <row r="285">
      <c r="A285" s="225"/>
      <c r="B285" s="225"/>
      <c r="C285" s="225"/>
      <c r="D285" s="226"/>
      <c r="E285" s="225"/>
      <c r="F285" s="225"/>
      <c r="G285" s="225"/>
      <c r="H285" s="225"/>
      <c r="I285" s="225"/>
      <c r="J285" s="225"/>
      <c r="K285" s="244"/>
      <c r="L285" s="225"/>
      <c r="M285" s="225"/>
      <c r="N285" s="225"/>
      <c r="O285" s="225"/>
      <c r="P285" s="225"/>
      <c r="Q285" s="227"/>
      <c r="R285" s="234"/>
      <c r="S285" s="225"/>
      <c r="T285" s="225"/>
      <c r="U285" s="225"/>
      <c r="V285" s="225"/>
      <c r="W285" s="225"/>
      <c r="X285" s="225"/>
      <c r="Y285" s="229"/>
      <c r="Z285" s="257"/>
      <c r="AA285" s="225"/>
      <c r="AB285" s="257"/>
      <c r="AC285" s="257"/>
      <c r="AD285" s="226"/>
      <c r="AE285" s="259"/>
      <c r="AF285" s="347"/>
      <c r="AG285" s="232"/>
      <c r="AH285" s="257"/>
      <c r="AI285" s="225"/>
      <c r="AJ285" s="267"/>
      <c r="AK285" s="259"/>
      <c r="AL285" s="226"/>
      <c r="AM285" s="225"/>
      <c r="AN285" s="225"/>
      <c r="AO285" s="254"/>
      <c r="AP285" s="225"/>
      <c r="AQ285" s="225"/>
      <c r="AR285" s="226"/>
      <c r="AS285" s="225"/>
      <c r="AT285" s="225"/>
      <c r="AU285" s="225"/>
      <c r="AV285" s="225"/>
      <c r="AW285" s="225"/>
      <c r="AX285" s="226"/>
      <c r="AY285" s="225"/>
      <c r="AZ285" s="225"/>
      <c r="BA285" s="226"/>
      <c r="BB285" s="225"/>
      <c r="BC285" s="225"/>
      <c r="BD285" s="225"/>
      <c r="BE285" s="225"/>
      <c r="BF285" s="225"/>
      <c r="BG285" s="225"/>
      <c r="BH285" s="225"/>
      <c r="BI285" s="225"/>
      <c r="BJ285" s="225"/>
      <c r="BK285" s="225"/>
      <c r="BL285" s="225"/>
      <c r="BM285" s="225"/>
      <c r="BN285" s="225"/>
      <c r="BO285" s="225"/>
      <c r="BP285" s="225"/>
      <c r="BQ285" s="225"/>
      <c r="BR285" s="225"/>
      <c r="BS285" s="225"/>
      <c r="BT285" s="226"/>
      <c r="BU285" s="225"/>
      <c r="BV285" s="225"/>
      <c r="BW285" s="225"/>
      <c r="BX285" s="225"/>
      <c r="BY285" s="225"/>
      <c r="BZ285" s="225"/>
    </row>
    <row r="286">
      <c r="A286" s="225"/>
      <c r="B286" s="225"/>
      <c r="C286" s="225"/>
      <c r="D286" s="226"/>
      <c r="E286" s="225"/>
      <c r="F286" s="225"/>
      <c r="G286" s="225"/>
      <c r="H286" s="225"/>
      <c r="I286" s="225"/>
      <c r="J286" s="225"/>
      <c r="K286" s="244"/>
      <c r="L286" s="225"/>
      <c r="M286" s="225"/>
      <c r="N286" s="225"/>
      <c r="O286" s="225"/>
      <c r="P286" s="225"/>
      <c r="Q286" s="227"/>
      <c r="R286" s="234"/>
      <c r="S286" s="225"/>
      <c r="T286" s="225"/>
      <c r="U286" s="225"/>
      <c r="V286" s="225"/>
      <c r="W286" s="225"/>
      <c r="X286" s="225"/>
      <c r="Y286" s="229"/>
      <c r="Z286" s="257"/>
      <c r="AA286" s="225"/>
      <c r="AB286" s="257"/>
      <c r="AC286" s="257"/>
      <c r="AD286" s="226"/>
      <c r="AE286" s="259"/>
      <c r="AF286" s="347"/>
      <c r="AG286" s="232"/>
      <c r="AH286" s="257"/>
      <c r="AI286" s="225"/>
      <c r="AJ286" s="267"/>
      <c r="AK286" s="259"/>
      <c r="AL286" s="226"/>
      <c r="AM286" s="225"/>
      <c r="AN286" s="225"/>
      <c r="AO286" s="254"/>
      <c r="AP286" s="225"/>
      <c r="AQ286" s="225"/>
      <c r="AR286" s="226"/>
      <c r="AS286" s="225"/>
      <c r="AT286" s="225"/>
      <c r="AU286" s="225"/>
      <c r="AV286" s="225"/>
      <c r="AW286" s="225"/>
      <c r="AX286" s="226"/>
      <c r="AY286" s="225"/>
      <c r="AZ286" s="225"/>
      <c r="BA286" s="226"/>
      <c r="BB286" s="225"/>
      <c r="BC286" s="225"/>
      <c r="BD286" s="225"/>
      <c r="BE286" s="225"/>
      <c r="BF286" s="225"/>
      <c r="BG286" s="225"/>
      <c r="BH286" s="225"/>
      <c r="BI286" s="225"/>
      <c r="BJ286" s="225"/>
      <c r="BK286" s="225"/>
      <c r="BL286" s="225"/>
      <c r="BM286" s="225"/>
      <c r="BN286" s="225"/>
      <c r="BO286" s="225"/>
      <c r="BP286" s="225"/>
      <c r="BQ286" s="225"/>
      <c r="BR286" s="225"/>
      <c r="BS286" s="225"/>
      <c r="BT286" s="226"/>
      <c r="BU286" s="225"/>
      <c r="BV286" s="225"/>
      <c r="BW286" s="225"/>
      <c r="BX286" s="225"/>
      <c r="BY286" s="225"/>
      <c r="BZ286" s="225"/>
    </row>
    <row r="287">
      <c r="A287" s="225"/>
      <c r="B287" s="225"/>
      <c r="C287" s="225"/>
      <c r="D287" s="226"/>
      <c r="E287" s="225"/>
      <c r="F287" s="225"/>
      <c r="G287" s="225"/>
      <c r="H287" s="225"/>
      <c r="I287" s="225"/>
      <c r="J287" s="225"/>
      <c r="K287" s="244"/>
      <c r="L287" s="225"/>
      <c r="M287" s="225"/>
      <c r="N287" s="225"/>
      <c r="O287" s="225"/>
      <c r="P287" s="225"/>
      <c r="Q287" s="227"/>
      <c r="R287" s="234"/>
      <c r="S287" s="225"/>
      <c r="T287" s="225"/>
      <c r="U287" s="225"/>
      <c r="V287" s="225"/>
      <c r="W287" s="225"/>
      <c r="X287" s="225"/>
      <c r="Y287" s="229"/>
      <c r="Z287" s="257"/>
      <c r="AA287" s="225"/>
      <c r="AB287" s="257"/>
      <c r="AC287" s="257"/>
      <c r="AD287" s="226"/>
      <c r="AE287" s="259"/>
      <c r="AF287" s="347"/>
      <c r="AG287" s="232"/>
      <c r="AH287" s="257"/>
      <c r="AI287" s="225"/>
      <c r="AJ287" s="267"/>
      <c r="AK287" s="259"/>
      <c r="AL287" s="226"/>
      <c r="AM287" s="225"/>
      <c r="AN287" s="225"/>
      <c r="AO287" s="254"/>
      <c r="AP287" s="225"/>
      <c r="AQ287" s="225"/>
      <c r="AR287" s="226"/>
      <c r="AS287" s="225"/>
      <c r="AT287" s="225"/>
      <c r="AU287" s="225"/>
      <c r="AV287" s="225"/>
      <c r="AW287" s="225"/>
      <c r="AX287" s="226"/>
      <c r="AY287" s="225"/>
      <c r="AZ287" s="225"/>
      <c r="BA287" s="226"/>
      <c r="BB287" s="225"/>
      <c r="BC287" s="225"/>
      <c r="BD287" s="225"/>
      <c r="BE287" s="225"/>
      <c r="BF287" s="225"/>
      <c r="BG287" s="225"/>
      <c r="BH287" s="225"/>
      <c r="BI287" s="225"/>
      <c r="BJ287" s="225"/>
      <c r="BK287" s="225"/>
      <c r="BL287" s="225"/>
      <c r="BM287" s="225"/>
      <c r="BN287" s="225"/>
      <c r="BO287" s="225"/>
      <c r="BP287" s="225"/>
      <c r="BQ287" s="225"/>
      <c r="BR287" s="225"/>
      <c r="BS287" s="225"/>
      <c r="BT287" s="226"/>
      <c r="BU287" s="225"/>
      <c r="BV287" s="225"/>
      <c r="BW287" s="225"/>
      <c r="BX287" s="225"/>
      <c r="BY287" s="225"/>
      <c r="BZ287" s="225"/>
    </row>
    <row r="288">
      <c r="A288" s="225"/>
      <c r="B288" s="225"/>
      <c r="C288" s="225"/>
      <c r="D288" s="226"/>
      <c r="E288" s="225"/>
      <c r="F288" s="225"/>
      <c r="G288" s="225"/>
      <c r="H288" s="225"/>
      <c r="I288" s="225"/>
      <c r="J288" s="225"/>
      <c r="K288" s="244"/>
      <c r="L288" s="225"/>
      <c r="M288" s="225"/>
      <c r="N288" s="225"/>
      <c r="O288" s="225"/>
      <c r="P288" s="225"/>
      <c r="Q288" s="227"/>
      <c r="R288" s="234"/>
      <c r="S288" s="225"/>
      <c r="T288" s="225"/>
      <c r="U288" s="225"/>
      <c r="V288" s="225"/>
      <c r="W288" s="225"/>
      <c r="X288" s="225"/>
      <c r="Y288" s="229"/>
      <c r="Z288" s="257"/>
      <c r="AA288" s="225"/>
      <c r="AB288" s="257"/>
      <c r="AC288" s="257"/>
      <c r="AD288" s="226"/>
      <c r="AE288" s="259"/>
      <c r="AF288" s="347"/>
      <c r="AG288" s="232"/>
      <c r="AH288" s="257"/>
      <c r="AI288" s="225"/>
      <c r="AJ288" s="267"/>
      <c r="AK288" s="259"/>
      <c r="AL288" s="226"/>
      <c r="AM288" s="225"/>
      <c r="AN288" s="225"/>
      <c r="AO288" s="254"/>
      <c r="AP288" s="225"/>
      <c r="AQ288" s="225"/>
      <c r="AR288" s="226"/>
      <c r="AS288" s="225"/>
      <c r="AT288" s="225"/>
      <c r="AU288" s="225"/>
      <c r="AV288" s="225"/>
      <c r="AW288" s="225"/>
      <c r="AX288" s="226"/>
      <c r="AY288" s="225"/>
      <c r="AZ288" s="225"/>
      <c r="BA288" s="226"/>
      <c r="BB288" s="225"/>
      <c r="BC288" s="225"/>
      <c r="BD288" s="225"/>
      <c r="BE288" s="225"/>
      <c r="BF288" s="225"/>
      <c r="BG288" s="225"/>
      <c r="BH288" s="225"/>
      <c r="BI288" s="225"/>
      <c r="BJ288" s="225"/>
      <c r="BK288" s="225"/>
      <c r="BL288" s="225"/>
      <c r="BM288" s="225"/>
      <c r="BN288" s="225"/>
      <c r="BO288" s="225"/>
      <c r="BP288" s="225"/>
      <c r="BQ288" s="225"/>
      <c r="BR288" s="225"/>
      <c r="BS288" s="225"/>
      <c r="BT288" s="226"/>
      <c r="BU288" s="225"/>
      <c r="BV288" s="225"/>
      <c r="BW288" s="225"/>
      <c r="BX288" s="225"/>
      <c r="BY288" s="225"/>
      <c r="BZ288" s="225"/>
    </row>
    <row r="289">
      <c r="A289" s="225"/>
      <c r="B289" s="225"/>
      <c r="C289" s="225"/>
      <c r="D289" s="226"/>
      <c r="E289" s="225"/>
      <c r="F289" s="225"/>
      <c r="G289" s="225"/>
      <c r="H289" s="225"/>
      <c r="I289" s="225"/>
      <c r="J289" s="225"/>
      <c r="K289" s="244"/>
      <c r="L289" s="225"/>
      <c r="M289" s="225"/>
      <c r="N289" s="225"/>
      <c r="O289" s="225"/>
      <c r="P289" s="225"/>
      <c r="Q289" s="227"/>
      <c r="R289" s="234"/>
      <c r="S289" s="225"/>
      <c r="T289" s="225"/>
      <c r="U289" s="225"/>
      <c r="V289" s="225"/>
      <c r="W289" s="225"/>
      <c r="X289" s="225"/>
      <c r="Y289" s="229"/>
      <c r="Z289" s="257"/>
      <c r="AA289" s="225"/>
      <c r="AB289" s="257"/>
      <c r="AC289" s="257"/>
      <c r="AD289" s="226"/>
      <c r="AE289" s="259"/>
      <c r="AF289" s="347"/>
      <c r="AG289" s="232"/>
      <c r="AH289" s="257"/>
      <c r="AI289" s="225"/>
      <c r="AJ289" s="267"/>
      <c r="AK289" s="259"/>
      <c r="AL289" s="226"/>
      <c r="AM289" s="225"/>
      <c r="AN289" s="225"/>
      <c r="AO289" s="254"/>
      <c r="AP289" s="225"/>
      <c r="AQ289" s="225"/>
      <c r="AR289" s="226"/>
      <c r="AS289" s="225"/>
      <c r="AT289" s="225"/>
      <c r="AU289" s="225"/>
      <c r="AV289" s="225"/>
      <c r="AW289" s="225"/>
      <c r="AX289" s="226"/>
      <c r="AY289" s="225"/>
      <c r="AZ289" s="225"/>
      <c r="BA289" s="226"/>
      <c r="BB289" s="225"/>
      <c r="BC289" s="225"/>
      <c r="BD289" s="225"/>
      <c r="BE289" s="225"/>
      <c r="BF289" s="225"/>
      <c r="BG289" s="225"/>
      <c r="BH289" s="225"/>
      <c r="BI289" s="225"/>
      <c r="BJ289" s="225"/>
      <c r="BK289" s="225"/>
      <c r="BL289" s="225"/>
      <c r="BM289" s="225"/>
      <c r="BN289" s="225"/>
      <c r="BO289" s="225"/>
      <c r="BP289" s="225"/>
      <c r="BQ289" s="225"/>
      <c r="BR289" s="225"/>
      <c r="BS289" s="225"/>
      <c r="BT289" s="226"/>
      <c r="BU289" s="225"/>
      <c r="BV289" s="225"/>
      <c r="BW289" s="225"/>
      <c r="BX289" s="225"/>
      <c r="BY289" s="225"/>
      <c r="BZ289" s="225"/>
    </row>
    <row r="290">
      <c r="A290" s="225"/>
      <c r="B290" s="225"/>
      <c r="C290" s="225"/>
      <c r="D290" s="226"/>
      <c r="E290" s="225"/>
      <c r="F290" s="225"/>
      <c r="G290" s="225"/>
      <c r="H290" s="225"/>
      <c r="I290" s="225"/>
      <c r="J290" s="225"/>
      <c r="K290" s="244"/>
      <c r="L290" s="225"/>
      <c r="M290" s="225"/>
      <c r="N290" s="225"/>
      <c r="O290" s="225"/>
      <c r="P290" s="225"/>
      <c r="Q290" s="227"/>
      <c r="R290" s="234"/>
      <c r="S290" s="225"/>
      <c r="T290" s="225"/>
      <c r="U290" s="225"/>
      <c r="V290" s="225"/>
      <c r="W290" s="225"/>
      <c r="X290" s="225"/>
      <c r="Y290" s="229"/>
      <c r="Z290" s="257"/>
      <c r="AA290" s="225"/>
      <c r="AB290" s="257"/>
      <c r="AC290" s="257"/>
      <c r="AD290" s="226"/>
      <c r="AE290" s="259"/>
      <c r="AF290" s="347"/>
      <c r="AG290" s="232"/>
      <c r="AH290" s="257"/>
      <c r="AI290" s="225"/>
      <c r="AJ290" s="267"/>
      <c r="AK290" s="259"/>
      <c r="AL290" s="226"/>
      <c r="AM290" s="225"/>
      <c r="AN290" s="225"/>
      <c r="AO290" s="254"/>
      <c r="AP290" s="225"/>
      <c r="AQ290" s="225"/>
      <c r="AR290" s="226"/>
      <c r="AS290" s="225"/>
      <c r="AT290" s="225"/>
      <c r="AU290" s="225"/>
      <c r="AV290" s="225"/>
      <c r="AW290" s="225"/>
      <c r="AX290" s="226"/>
      <c r="AY290" s="225"/>
      <c r="AZ290" s="225"/>
      <c r="BA290" s="226"/>
      <c r="BB290" s="225"/>
      <c r="BC290" s="225"/>
      <c r="BD290" s="225"/>
      <c r="BE290" s="225"/>
      <c r="BF290" s="225"/>
      <c r="BG290" s="225"/>
      <c r="BH290" s="225"/>
      <c r="BI290" s="225"/>
      <c r="BJ290" s="225"/>
      <c r="BK290" s="225"/>
      <c r="BL290" s="225"/>
      <c r="BM290" s="225"/>
      <c r="BN290" s="225"/>
      <c r="BO290" s="225"/>
      <c r="BP290" s="225"/>
      <c r="BQ290" s="225"/>
      <c r="BR290" s="225"/>
      <c r="BS290" s="225"/>
      <c r="BT290" s="226"/>
      <c r="BU290" s="225"/>
      <c r="BV290" s="225"/>
      <c r="BW290" s="225"/>
      <c r="BX290" s="225"/>
      <c r="BY290" s="225"/>
      <c r="BZ290" s="225"/>
    </row>
    <row r="291">
      <c r="A291" s="225"/>
      <c r="B291" s="225"/>
      <c r="C291" s="225"/>
      <c r="D291" s="226"/>
      <c r="E291" s="225"/>
      <c r="F291" s="225"/>
      <c r="G291" s="225"/>
      <c r="H291" s="225"/>
      <c r="I291" s="225"/>
      <c r="J291" s="225"/>
      <c r="K291" s="244"/>
      <c r="L291" s="225"/>
      <c r="M291" s="225"/>
      <c r="N291" s="225"/>
      <c r="O291" s="225"/>
      <c r="P291" s="225"/>
      <c r="Q291" s="227"/>
      <c r="R291" s="234"/>
      <c r="S291" s="225"/>
      <c r="T291" s="225"/>
      <c r="U291" s="225"/>
      <c r="V291" s="225"/>
      <c r="W291" s="225"/>
      <c r="X291" s="225"/>
      <c r="Y291" s="229"/>
      <c r="Z291" s="257"/>
      <c r="AA291" s="225"/>
      <c r="AB291" s="257"/>
      <c r="AC291" s="257"/>
      <c r="AD291" s="226"/>
      <c r="AE291" s="259"/>
      <c r="AF291" s="347"/>
      <c r="AG291" s="232"/>
      <c r="AH291" s="257"/>
      <c r="AI291" s="225"/>
      <c r="AJ291" s="267"/>
      <c r="AK291" s="259"/>
      <c r="AL291" s="226"/>
      <c r="AM291" s="225"/>
      <c r="AN291" s="225"/>
      <c r="AO291" s="254"/>
      <c r="AP291" s="225"/>
      <c r="AQ291" s="225"/>
      <c r="AR291" s="226"/>
      <c r="AS291" s="225"/>
      <c r="AT291" s="225"/>
      <c r="AU291" s="225"/>
      <c r="AV291" s="225"/>
      <c r="AW291" s="225"/>
      <c r="AX291" s="226"/>
      <c r="AY291" s="225"/>
      <c r="AZ291" s="225"/>
      <c r="BA291" s="226"/>
      <c r="BB291" s="225"/>
      <c r="BC291" s="225"/>
      <c r="BD291" s="225"/>
      <c r="BE291" s="225"/>
      <c r="BF291" s="225"/>
      <c r="BG291" s="225"/>
      <c r="BH291" s="225"/>
      <c r="BI291" s="225"/>
      <c r="BJ291" s="225"/>
      <c r="BK291" s="225"/>
      <c r="BL291" s="225"/>
      <c r="BM291" s="225"/>
      <c r="BN291" s="225"/>
      <c r="BO291" s="225"/>
      <c r="BP291" s="225"/>
      <c r="BQ291" s="225"/>
      <c r="BR291" s="225"/>
      <c r="BS291" s="225"/>
      <c r="BT291" s="226"/>
      <c r="BU291" s="225"/>
      <c r="BV291" s="225"/>
      <c r="BW291" s="225"/>
      <c r="BX291" s="225"/>
      <c r="BY291" s="225"/>
      <c r="BZ291" s="225"/>
    </row>
    <row r="292">
      <c r="A292" s="284"/>
      <c r="B292" s="225"/>
      <c r="C292" s="225"/>
      <c r="D292" s="226"/>
      <c r="E292" s="225"/>
      <c r="F292" s="225"/>
      <c r="G292" s="225"/>
      <c r="H292" s="225"/>
      <c r="I292" s="225"/>
      <c r="J292" s="225"/>
      <c r="K292" s="244"/>
      <c r="L292" s="225"/>
      <c r="M292" s="225"/>
      <c r="N292" s="225"/>
      <c r="O292" s="225"/>
      <c r="P292" s="225"/>
      <c r="Q292" s="227"/>
      <c r="R292" s="234"/>
      <c r="S292" s="225"/>
      <c r="T292" s="225"/>
      <c r="U292" s="225"/>
      <c r="V292" s="225"/>
      <c r="W292" s="225"/>
      <c r="X292" s="225"/>
      <c r="Y292" s="229"/>
      <c r="Z292" s="257"/>
      <c r="AA292" s="225"/>
      <c r="AB292" s="257"/>
      <c r="AC292" s="257"/>
      <c r="AD292" s="226"/>
      <c r="AE292" s="259"/>
      <c r="AF292" s="347"/>
      <c r="AG292" s="232"/>
      <c r="AH292" s="257"/>
      <c r="AI292" s="225"/>
      <c r="AJ292" s="267"/>
      <c r="AK292" s="259"/>
      <c r="AL292" s="226"/>
      <c r="AM292" s="225"/>
      <c r="AN292" s="225"/>
      <c r="AO292" s="254"/>
      <c r="AP292" s="225"/>
      <c r="AQ292" s="225"/>
      <c r="AR292" s="226"/>
      <c r="AS292" s="225"/>
      <c r="AT292" s="225"/>
      <c r="AU292" s="225"/>
      <c r="AV292" s="225"/>
      <c r="AW292" s="225"/>
      <c r="AX292" s="226"/>
      <c r="AY292" s="225"/>
      <c r="AZ292" s="225"/>
      <c r="BA292" s="226"/>
      <c r="BB292" s="225"/>
      <c r="BC292" s="225"/>
      <c r="BD292" s="225"/>
      <c r="BE292" s="225"/>
      <c r="BF292" s="225"/>
      <c r="BG292" s="225"/>
      <c r="BH292" s="225"/>
      <c r="BI292" s="225"/>
      <c r="BJ292" s="225"/>
      <c r="BK292" s="225"/>
      <c r="BL292" s="225"/>
      <c r="BM292" s="225"/>
      <c r="BN292" s="225"/>
      <c r="BO292" s="225"/>
      <c r="BP292" s="225"/>
      <c r="BQ292" s="225"/>
      <c r="BR292" s="225"/>
      <c r="BS292" s="225"/>
      <c r="BT292" s="226"/>
      <c r="BU292" s="225"/>
      <c r="BV292" s="225"/>
      <c r="BW292" s="225"/>
      <c r="BX292" s="225"/>
      <c r="BY292" s="225"/>
      <c r="BZ292" s="225"/>
    </row>
    <row r="293">
      <c r="A293" s="225"/>
      <c r="B293" s="225"/>
      <c r="C293" s="225"/>
      <c r="D293" s="226"/>
      <c r="E293" s="225"/>
      <c r="F293" s="225"/>
      <c r="G293" s="225"/>
      <c r="H293" s="225"/>
      <c r="I293" s="225"/>
      <c r="J293" s="225"/>
      <c r="K293" s="244"/>
      <c r="L293" s="225"/>
      <c r="M293" s="225"/>
      <c r="N293" s="225"/>
      <c r="O293" s="225"/>
      <c r="P293" s="225"/>
      <c r="Q293" s="227"/>
      <c r="R293" s="234"/>
      <c r="S293" s="225"/>
      <c r="T293" s="225"/>
      <c r="U293" s="225"/>
      <c r="V293" s="225"/>
      <c r="W293" s="225"/>
      <c r="X293" s="225"/>
      <c r="Y293" s="229"/>
      <c r="Z293" s="257"/>
      <c r="AA293" s="225"/>
      <c r="AB293" s="257"/>
      <c r="AC293" s="257"/>
      <c r="AD293" s="226"/>
      <c r="AE293" s="259"/>
      <c r="AF293" s="347"/>
      <c r="AG293" s="232"/>
      <c r="AH293" s="257"/>
      <c r="AI293" s="225"/>
      <c r="AJ293" s="267"/>
      <c r="AK293" s="259"/>
      <c r="AL293" s="226"/>
      <c r="AM293" s="225"/>
      <c r="AN293" s="225"/>
      <c r="AO293" s="254"/>
      <c r="AP293" s="225"/>
      <c r="AQ293" s="225"/>
      <c r="AR293" s="226"/>
      <c r="AS293" s="225"/>
      <c r="AT293" s="225"/>
      <c r="AU293" s="225"/>
      <c r="AV293" s="225"/>
      <c r="AW293" s="225"/>
      <c r="AX293" s="226"/>
      <c r="AY293" s="225"/>
      <c r="AZ293" s="225"/>
      <c r="BA293" s="226"/>
      <c r="BB293" s="225"/>
      <c r="BC293" s="225"/>
      <c r="BD293" s="225"/>
      <c r="BE293" s="225"/>
      <c r="BF293" s="225"/>
      <c r="BG293" s="225"/>
      <c r="BH293" s="225"/>
      <c r="BI293" s="225"/>
      <c r="BJ293" s="225"/>
      <c r="BK293" s="225"/>
      <c r="BL293" s="225"/>
      <c r="BM293" s="225"/>
      <c r="BN293" s="225"/>
      <c r="BO293" s="225"/>
      <c r="BP293" s="225"/>
      <c r="BQ293" s="225"/>
      <c r="BR293" s="225"/>
      <c r="BS293" s="225"/>
      <c r="BT293" s="226"/>
      <c r="BU293" s="225"/>
      <c r="BV293" s="225"/>
      <c r="BW293" s="225"/>
      <c r="BX293" s="225"/>
      <c r="BY293" s="225"/>
      <c r="BZ293" s="225"/>
    </row>
    <row r="294">
      <c r="A294" s="225"/>
      <c r="B294" s="225"/>
      <c r="C294" s="225"/>
      <c r="D294" s="226"/>
      <c r="E294" s="225"/>
      <c r="F294" s="225"/>
      <c r="G294" s="225"/>
      <c r="H294" s="225"/>
      <c r="I294" s="225"/>
      <c r="J294" s="225"/>
      <c r="K294" s="244"/>
      <c r="L294" s="225"/>
      <c r="M294" s="225"/>
      <c r="N294" s="225"/>
      <c r="O294" s="225"/>
      <c r="P294" s="225"/>
      <c r="Q294" s="227"/>
      <c r="R294" s="234"/>
      <c r="S294" s="225"/>
      <c r="T294" s="225"/>
      <c r="U294" s="225"/>
      <c r="V294" s="225"/>
      <c r="W294" s="225"/>
      <c r="X294" s="225"/>
      <c r="Y294" s="229"/>
      <c r="Z294" s="257"/>
      <c r="AA294" s="225"/>
      <c r="AB294" s="257"/>
      <c r="AC294" s="257"/>
      <c r="AD294" s="226"/>
      <c r="AE294" s="259"/>
      <c r="AF294" s="347"/>
      <c r="AG294" s="232"/>
      <c r="AH294" s="257"/>
      <c r="AI294" s="225"/>
      <c r="AJ294" s="267"/>
      <c r="AK294" s="259"/>
      <c r="AL294" s="226"/>
      <c r="AM294" s="225"/>
      <c r="AN294" s="225"/>
      <c r="AO294" s="254"/>
      <c r="AP294" s="225"/>
      <c r="AQ294" s="225"/>
      <c r="AR294" s="226"/>
      <c r="AS294" s="225"/>
      <c r="AT294" s="225"/>
      <c r="AU294" s="225"/>
      <c r="AV294" s="225"/>
      <c r="AW294" s="225"/>
      <c r="AX294" s="226"/>
      <c r="AY294" s="225"/>
      <c r="AZ294" s="225"/>
      <c r="BA294" s="226"/>
      <c r="BB294" s="225"/>
      <c r="BC294" s="225"/>
      <c r="BD294" s="225"/>
      <c r="BE294" s="225"/>
      <c r="BF294" s="225"/>
      <c r="BG294" s="225"/>
      <c r="BH294" s="225"/>
      <c r="BI294" s="225"/>
      <c r="BJ294" s="225"/>
      <c r="BK294" s="225"/>
      <c r="BL294" s="225"/>
      <c r="BM294" s="225"/>
      <c r="BN294" s="225"/>
      <c r="BO294" s="225"/>
      <c r="BP294" s="225"/>
      <c r="BQ294" s="225"/>
      <c r="BR294" s="225"/>
      <c r="BS294" s="225"/>
      <c r="BT294" s="226"/>
      <c r="BU294" s="225"/>
      <c r="BV294" s="225"/>
      <c r="BW294" s="225"/>
      <c r="BX294" s="225"/>
      <c r="BY294" s="225"/>
      <c r="BZ294" s="225"/>
    </row>
    <row r="295">
      <c r="A295" s="225"/>
      <c r="B295" s="225"/>
      <c r="C295" s="225"/>
      <c r="D295" s="226"/>
      <c r="E295" s="225"/>
      <c r="F295" s="225"/>
      <c r="G295" s="225"/>
      <c r="H295" s="225"/>
      <c r="I295" s="225"/>
      <c r="J295" s="225"/>
      <c r="K295" s="244"/>
      <c r="L295" s="225"/>
      <c r="M295" s="225"/>
      <c r="N295" s="225"/>
      <c r="O295" s="225"/>
      <c r="P295" s="225"/>
      <c r="Q295" s="227"/>
      <c r="R295" s="234"/>
      <c r="S295" s="225"/>
      <c r="T295" s="225"/>
      <c r="U295" s="225"/>
      <c r="V295" s="225"/>
      <c r="W295" s="225"/>
      <c r="X295" s="225"/>
      <c r="Y295" s="229"/>
      <c r="Z295" s="257"/>
      <c r="AA295" s="225"/>
      <c r="AB295" s="257"/>
      <c r="AC295" s="257"/>
      <c r="AD295" s="226"/>
      <c r="AE295" s="259"/>
      <c r="AF295" s="347"/>
      <c r="AG295" s="232"/>
      <c r="AH295" s="257"/>
      <c r="AI295" s="225"/>
      <c r="AJ295" s="267"/>
      <c r="AK295" s="259"/>
      <c r="AL295" s="226"/>
      <c r="AM295" s="225"/>
      <c r="AN295" s="225"/>
      <c r="AO295" s="254"/>
      <c r="AP295" s="225"/>
      <c r="AQ295" s="225"/>
      <c r="AR295" s="226"/>
      <c r="AS295" s="225"/>
      <c r="AT295" s="225"/>
      <c r="AU295" s="225"/>
      <c r="AV295" s="225"/>
      <c r="AW295" s="225"/>
      <c r="AX295" s="226"/>
      <c r="AY295" s="225"/>
      <c r="AZ295" s="225"/>
      <c r="BA295" s="226"/>
      <c r="BB295" s="225"/>
      <c r="BC295" s="225"/>
      <c r="BD295" s="225"/>
      <c r="BE295" s="225"/>
      <c r="BF295" s="225"/>
      <c r="BG295" s="225"/>
      <c r="BH295" s="225"/>
      <c r="BI295" s="225"/>
      <c r="BJ295" s="225"/>
      <c r="BK295" s="225"/>
      <c r="BL295" s="225"/>
      <c r="BM295" s="225"/>
      <c r="BN295" s="225"/>
      <c r="BO295" s="225"/>
      <c r="BP295" s="225"/>
      <c r="BQ295" s="225"/>
      <c r="BR295" s="225"/>
      <c r="BS295" s="225"/>
      <c r="BT295" s="226"/>
      <c r="BU295" s="225"/>
      <c r="BV295" s="225"/>
      <c r="BW295" s="225"/>
      <c r="BX295" s="225"/>
      <c r="BY295" s="225"/>
      <c r="BZ295" s="225"/>
    </row>
    <row r="296">
      <c r="A296" s="225"/>
      <c r="B296" s="225"/>
      <c r="C296" s="225"/>
      <c r="D296" s="226"/>
      <c r="E296" s="225"/>
      <c r="F296" s="225"/>
      <c r="G296" s="225"/>
      <c r="H296" s="225"/>
      <c r="I296" s="225"/>
      <c r="J296" s="225"/>
      <c r="K296" s="244"/>
      <c r="L296" s="225"/>
      <c r="M296" s="225"/>
      <c r="N296" s="225"/>
      <c r="O296" s="225"/>
      <c r="P296" s="225"/>
      <c r="Q296" s="227"/>
      <c r="R296" s="234"/>
      <c r="S296" s="225"/>
      <c r="T296" s="225"/>
      <c r="U296" s="225"/>
      <c r="V296" s="225"/>
      <c r="W296" s="225"/>
      <c r="X296" s="225"/>
      <c r="Y296" s="229"/>
      <c r="Z296" s="257"/>
      <c r="AA296" s="225"/>
      <c r="AB296" s="257"/>
      <c r="AC296" s="257"/>
      <c r="AD296" s="226"/>
      <c r="AE296" s="259"/>
      <c r="AF296" s="347"/>
      <c r="AG296" s="232"/>
      <c r="AH296" s="257"/>
      <c r="AI296" s="225"/>
      <c r="AJ296" s="267"/>
      <c r="AK296" s="259"/>
      <c r="AL296" s="226"/>
      <c r="AM296" s="225"/>
      <c r="AN296" s="225"/>
      <c r="AO296" s="254"/>
      <c r="AP296" s="225"/>
      <c r="AQ296" s="225"/>
      <c r="AR296" s="226"/>
      <c r="AS296" s="225"/>
      <c r="AT296" s="225"/>
      <c r="AU296" s="225"/>
      <c r="AV296" s="225"/>
      <c r="AW296" s="225"/>
      <c r="AX296" s="226"/>
      <c r="AY296" s="225"/>
      <c r="AZ296" s="225"/>
      <c r="BA296" s="226"/>
      <c r="BB296" s="225"/>
      <c r="BC296" s="225"/>
      <c r="BD296" s="225"/>
      <c r="BE296" s="225"/>
      <c r="BF296" s="225"/>
      <c r="BG296" s="225"/>
      <c r="BH296" s="225"/>
      <c r="BI296" s="225"/>
      <c r="BJ296" s="225"/>
      <c r="BK296" s="225"/>
      <c r="BL296" s="225"/>
      <c r="BM296" s="225"/>
      <c r="BN296" s="225"/>
      <c r="BO296" s="225"/>
      <c r="BP296" s="225"/>
      <c r="BQ296" s="225"/>
      <c r="BR296" s="225"/>
      <c r="BS296" s="225"/>
      <c r="BT296" s="226"/>
      <c r="BU296" s="225"/>
      <c r="BV296" s="225"/>
      <c r="BW296" s="225"/>
      <c r="BX296" s="225"/>
      <c r="BY296" s="225"/>
      <c r="BZ296" s="225"/>
    </row>
    <row r="297">
      <c r="A297" s="225"/>
      <c r="B297" s="225"/>
      <c r="C297" s="225"/>
      <c r="D297" s="226"/>
      <c r="E297" s="225"/>
      <c r="F297" s="225"/>
      <c r="G297" s="225"/>
      <c r="H297" s="225"/>
      <c r="I297" s="225"/>
      <c r="J297" s="225"/>
      <c r="K297" s="244"/>
      <c r="L297" s="225"/>
      <c r="M297" s="225"/>
      <c r="N297" s="225"/>
      <c r="O297" s="225"/>
      <c r="P297" s="225"/>
      <c r="Q297" s="227"/>
      <c r="R297" s="234"/>
      <c r="S297" s="225"/>
      <c r="T297" s="225"/>
      <c r="U297" s="225"/>
      <c r="V297" s="225"/>
      <c r="W297" s="225"/>
      <c r="X297" s="225"/>
      <c r="Y297" s="229"/>
      <c r="Z297" s="257"/>
      <c r="AA297" s="225"/>
      <c r="AB297" s="257"/>
      <c r="AC297" s="257"/>
      <c r="AD297" s="226"/>
      <c r="AE297" s="259"/>
      <c r="AF297" s="347"/>
      <c r="AG297" s="232"/>
      <c r="AH297" s="257"/>
      <c r="AI297" s="225"/>
      <c r="AJ297" s="267"/>
      <c r="AK297" s="259"/>
      <c r="AL297" s="226"/>
      <c r="AM297" s="225"/>
      <c r="AN297" s="225"/>
      <c r="AO297" s="254"/>
      <c r="AP297" s="225"/>
      <c r="AQ297" s="225"/>
      <c r="AR297" s="226"/>
      <c r="AS297" s="225"/>
      <c r="AT297" s="225"/>
      <c r="AU297" s="225"/>
      <c r="AV297" s="225"/>
      <c r="AW297" s="225"/>
      <c r="AX297" s="226"/>
      <c r="AY297" s="225"/>
      <c r="AZ297" s="225"/>
      <c r="BA297" s="226"/>
      <c r="BB297" s="225"/>
      <c r="BC297" s="225"/>
      <c r="BD297" s="225"/>
      <c r="BE297" s="225"/>
      <c r="BF297" s="225"/>
      <c r="BG297" s="225"/>
      <c r="BH297" s="225"/>
      <c r="BI297" s="225"/>
      <c r="BJ297" s="225"/>
      <c r="BK297" s="225"/>
      <c r="BL297" s="225"/>
      <c r="BM297" s="225"/>
      <c r="BN297" s="225"/>
      <c r="BO297" s="225"/>
      <c r="BP297" s="225"/>
      <c r="BQ297" s="225"/>
      <c r="BR297" s="225"/>
      <c r="BS297" s="225"/>
      <c r="BT297" s="226"/>
      <c r="BU297" s="225"/>
      <c r="BV297" s="225"/>
      <c r="BW297" s="225"/>
      <c r="BX297" s="225"/>
      <c r="BY297" s="225"/>
      <c r="BZ297" s="225"/>
    </row>
    <row r="298">
      <c r="A298" s="225"/>
      <c r="B298" s="225"/>
      <c r="C298" s="225"/>
      <c r="D298" s="226"/>
      <c r="E298" s="225"/>
      <c r="F298" s="225"/>
      <c r="G298" s="225"/>
      <c r="H298" s="225"/>
      <c r="I298" s="225"/>
      <c r="J298" s="225"/>
      <c r="K298" s="244"/>
      <c r="L298" s="225"/>
      <c r="M298" s="225"/>
      <c r="N298" s="225"/>
      <c r="O298" s="225"/>
      <c r="P298" s="225"/>
      <c r="Q298" s="227"/>
      <c r="R298" s="234"/>
      <c r="S298" s="225"/>
      <c r="T298" s="225"/>
      <c r="U298" s="225"/>
      <c r="V298" s="225"/>
      <c r="W298" s="225"/>
      <c r="X298" s="225"/>
      <c r="Y298" s="229"/>
      <c r="Z298" s="257"/>
      <c r="AA298" s="225"/>
      <c r="AB298" s="257"/>
      <c r="AC298" s="257"/>
      <c r="AD298" s="226"/>
      <c r="AE298" s="259"/>
      <c r="AF298" s="347"/>
      <c r="AG298" s="232"/>
      <c r="AH298" s="257"/>
      <c r="AI298" s="225"/>
      <c r="AJ298" s="267"/>
      <c r="AK298" s="259"/>
      <c r="AL298" s="226"/>
      <c r="AM298" s="225"/>
      <c r="AN298" s="225"/>
      <c r="AO298" s="254"/>
      <c r="AP298" s="225"/>
      <c r="AQ298" s="225"/>
      <c r="AR298" s="226"/>
      <c r="AS298" s="225"/>
      <c r="AT298" s="225"/>
      <c r="AU298" s="225"/>
      <c r="AV298" s="225"/>
      <c r="AW298" s="225"/>
      <c r="AX298" s="226"/>
      <c r="AY298" s="225"/>
      <c r="AZ298" s="225"/>
      <c r="BA298" s="226"/>
      <c r="BB298" s="225"/>
      <c r="BC298" s="225"/>
      <c r="BD298" s="225"/>
      <c r="BE298" s="225"/>
      <c r="BF298" s="225"/>
      <c r="BG298" s="225"/>
      <c r="BH298" s="225"/>
      <c r="BI298" s="225"/>
      <c r="BJ298" s="225"/>
      <c r="BK298" s="225"/>
      <c r="BL298" s="225"/>
      <c r="BM298" s="225"/>
      <c r="BN298" s="225"/>
      <c r="BO298" s="225"/>
      <c r="BP298" s="225"/>
      <c r="BQ298" s="225"/>
      <c r="BR298" s="225"/>
      <c r="BS298" s="225"/>
      <c r="BT298" s="226"/>
      <c r="BU298" s="225"/>
      <c r="BV298" s="225"/>
      <c r="BW298" s="225"/>
      <c r="BX298" s="225"/>
      <c r="BY298" s="225"/>
      <c r="BZ298" s="225"/>
    </row>
    <row r="299">
      <c r="A299" s="225"/>
      <c r="B299" s="225"/>
      <c r="C299" s="225"/>
      <c r="D299" s="226"/>
      <c r="E299" s="225"/>
      <c r="F299" s="225"/>
      <c r="G299" s="225"/>
      <c r="H299" s="225"/>
      <c r="I299" s="225"/>
      <c r="J299" s="225"/>
      <c r="K299" s="244"/>
      <c r="L299" s="225"/>
      <c r="M299" s="225"/>
      <c r="N299" s="225"/>
      <c r="O299" s="225"/>
      <c r="P299" s="225"/>
      <c r="Q299" s="227"/>
      <c r="R299" s="234"/>
      <c r="S299" s="225"/>
      <c r="T299" s="225"/>
      <c r="U299" s="225"/>
      <c r="V299" s="225"/>
      <c r="W299" s="225"/>
      <c r="X299" s="225"/>
      <c r="Y299" s="229"/>
      <c r="Z299" s="257"/>
      <c r="AA299" s="225"/>
      <c r="AB299" s="257"/>
      <c r="AC299" s="257"/>
      <c r="AD299" s="226"/>
      <c r="AE299" s="259"/>
      <c r="AF299" s="347"/>
      <c r="AG299" s="232"/>
      <c r="AH299" s="257"/>
      <c r="AI299" s="225"/>
      <c r="AJ299" s="267"/>
      <c r="AK299" s="259"/>
      <c r="AL299" s="226"/>
      <c r="AM299" s="225"/>
      <c r="AN299" s="225"/>
      <c r="AO299" s="254"/>
      <c r="AP299" s="225"/>
      <c r="AQ299" s="225"/>
      <c r="AR299" s="226"/>
      <c r="AS299" s="225"/>
      <c r="AT299" s="225"/>
      <c r="AU299" s="225"/>
      <c r="AV299" s="225"/>
      <c r="AW299" s="225"/>
      <c r="AX299" s="226"/>
      <c r="AY299" s="225"/>
      <c r="AZ299" s="225"/>
      <c r="BA299" s="226"/>
      <c r="BB299" s="225"/>
      <c r="BC299" s="225"/>
      <c r="BD299" s="225"/>
      <c r="BE299" s="225"/>
      <c r="BF299" s="225"/>
      <c r="BG299" s="225"/>
      <c r="BH299" s="225"/>
      <c r="BI299" s="225"/>
      <c r="BJ299" s="225"/>
      <c r="BK299" s="225"/>
      <c r="BL299" s="225"/>
      <c r="BM299" s="225"/>
      <c r="BN299" s="225"/>
      <c r="BO299" s="225"/>
      <c r="BP299" s="225"/>
      <c r="BQ299" s="225"/>
      <c r="BR299" s="225"/>
      <c r="BS299" s="225"/>
      <c r="BT299" s="226"/>
      <c r="BU299" s="225"/>
      <c r="BV299" s="225"/>
      <c r="BW299" s="225"/>
      <c r="BX299" s="225"/>
      <c r="BY299" s="225"/>
      <c r="BZ299" s="225"/>
    </row>
    <row r="300">
      <c r="A300" s="225"/>
      <c r="B300" s="225"/>
      <c r="C300" s="225"/>
      <c r="D300" s="226"/>
      <c r="E300" s="225"/>
      <c r="F300" s="225"/>
      <c r="G300" s="225"/>
      <c r="H300" s="225"/>
      <c r="I300" s="225"/>
      <c r="J300" s="225"/>
      <c r="K300" s="244"/>
      <c r="L300" s="225"/>
      <c r="M300" s="225"/>
      <c r="N300" s="225"/>
      <c r="O300" s="225"/>
      <c r="P300" s="225"/>
      <c r="Q300" s="227"/>
      <c r="R300" s="234"/>
      <c r="S300" s="225"/>
      <c r="T300" s="225"/>
      <c r="U300" s="225"/>
      <c r="V300" s="225"/>
      <c r="W300" s="225"/>
      <c r="X300" s="225"/>
      <c r="Y300" s="229"/>
      <c r="Z300" s="257"/>
      <c r="AA300" s="225"/>
      <c r="AB300" s="257"/>
      <c r="AC300" s="257"/>
      <c r="AD300" s="226"/>
      <c r="AE300" s="259"/>
      <c r="AF300" s="347"/>
      <c r="AG300" s="232"/>
      <c r="AH300" s="257"/>
      <c r="AI300" s="225"/>
      <c r="AJ300" s="267"/>
      <c r="AK300" s="259"/>
      <c r="AL300" s="226"/>
      <c r="AM300" s="225"/>
      <c r="AN300" s="225"/>
      <c r="AO300" s="254"/>
      <c r="AP300" s="225"/>
      <c r="AQ300" s="225"/>
      <c r="AR300" s="226"/>
      <c r="AS300" s="225"/>
      <c r="AT300" s="225"/>
      <c r="AU300" s="225"/>
      <c r="AV300" s="225"/>
      <c r="AW300" s="225"/>
      <c r="AX300" s="226"/>
      <c r="AY300" s="225"/>
      <c r="AZ300" s="225"/>
      <c r="BA300" s="226"/>
      <c r="BB300" s="225"/>
      <c r="BC300" s="225"/>
      <c r="BD300" s="225"/>
      <c r="BE300" s="225"/>
      <c r="BF300" s="225"/>
      <c r="BG300" s="225"/>
      <c r="BH300" s="225"/>
      <c r="BI300" s="225"/>
      <c r="BJ300" s="225"/>
      <c r="BK300" s="225"/>
      <c r="BL300" s="225"/>
      <c r="BM300" s="225"/>
      <c r="BN300" s="225"/>
      <c r="BO300" s="225"/>
      <c r="BP300" s="225"/>
      <c r="BQ300" s="225"/>
      <c r="BR300" s="225"/>
      <c r="BS300" s="225"/>
      <c r="BT300" s="226"/>
      <c r="BU300" s="225"/>
      <c r="BV300" s="225"/>
      <c r="BW300" s="225"/>
      <c r="BX300" s="225"/>
      <c r="BY300" s="225"/>
      <c r="BZ300" s="225"/>
    </row>
    <row r="301">
      <c r="A301" s="225"/>
      <c r="B301" s="225"/>
      <c r="C301" s="225"/>
      <c r="D301" s="226"/>
      <c r="E301" s="225"/>
      <c r="F301" s="225"/>
      <c r="G301" s="225"/>
      <c r="H301" s="225"/>
      <c r="I301" s="225"/>
      <c r="J301" s="225"/>
      <c r="K301" s="244"/>
      <c r="L301" s="225"/>
      <c r="M301" s="225"/>
      <c r="N301" s="225"/>
      <c r="O301" s="225"/>
      <c r="P301" s="225"/>
      <c r="Q301" s="227"/>
      <c r="R301" s="234"/>
      <c r="S301" s="225"/>
      <c r="T301" s="225"/>
      <c r="U301" s="225"/>
      <c r="V301" s="225"/>
      <c r="W301" s="225"/>
      <c r="X301" s="225"/>
      <c r="Y301" s="229"/>
      <c r="Z301" s="257"/>
      <c r="AA301" s="225"/>
      <c r="AB301" s="257"/>
      <c r="AC301" s="257"/>
      <c r="AD301" s="226"/>
      <c r="AE301" s="259"/>
      <c r="AF301" s="347"/>
      <c r="AG301" s="232"/>
      <c r="AH301" s="257"/>
      <c r="AI301" s="225"/>
      <c r="AJ301" s="267"/>
      <c r="AK301" s="259"/>
      <c r="AL301" s="226"/>
      <c r="AM301" s="225"/>
      <c r="AN301" s="225"/>
      <c r="AO301" s="254"/>
      <c r="AP301" s="225"/>
      <c r="AQ301" s="225"/>
      <c r="AR301" s="226"/>
      <c r="AS301" s="225"/>
      <c r="AT301" s="225"/>
      <c r="AU301" s="225"/>
      <c r="AV301" s="225"/>
      <c r="AW301" s="225"/>
      <c r="AX301" s="226"/>
      <c r="AY301" s="225"/>
      <c r="AZ301" s="225"/>
      <c r="BA301" s="226"/>
      <c r="BB301" s="225"/>
      <c r="BC301" s="225"/>
      <c r="BD301" s="225"/>
      <c r="BE301" s="225"/>
      <c r="BF301" s="225"/>
      <c r="BG301" s="225"/>
      <c r="BH301" s="225"/>
      <c r="BI301" s="225"/>
      <c r="BJ301" s="225"/>
      <c r="BK301" s="225"/>
      <c r="BL301" s="225"/>
      <c r="BM301" s="225"/>
      <c r="BN301" s="225"/>
      <c r="BO301" s="225"/>
      <c r="BP301" s="225"/>
      <c r="BQ301" s="225"/>
      <c r="BR301" s="225"/>
      <c r="BS301" s="225"/>
      <c r="BT301" s="226"/>
      <c r="BU301" s="225"/>
      <c r="BV301" s="225"/>
      <c r="BW301" s="225"/>
      <c r="BX301" s="225"/>
      <c r="BY301" s="225"/>
      <c r="BZ301" s="225"/>
    </row>
    <row r="302">
      <c r="A302" s="225"/>
      <c r="B302" s="225"/>
      <c r="C302" s="225"/>
      <c r="D302" s="226"/>
      <c r="E302" s="225"/>
      <c r="F302" s="225"/>
      <c r="G302" s="225"/>
      <c r="H302" s="225"/>
      <c r="I302" s="225"/>
      <c r="J302" s="225"/>
      <c r="K302" s="244"/>
      <c r="L302" s="225"/>
      <c r="M302" s="225"/>
      <c r="N302" s="225"/>
      <c r="O302" s="225"/>
      <c r="P302" s="225"/>
      <c r="Q302" s="227"/>
      <c r="R302" s="234"/>
      <c r="S302" s="225"/>
      <c r="T302" s="225"/>
      <c r="U302" s="225"/>
      <c r="V302" s="225"/>
      <c r="W302" s="225"/>
      <c r="X302" s="225"/>
      <c r="Y302" s="229"/>
      <c r="Z302" s="257"/>
      <c r="AA302" s="225"/>
      <c r="AB302" s="257"/>
      <c r="AC302" s="257"/>
      <c r="AD302" s="226"/>
      <c r="AE302" s="259"/>
      <c r="AF302" s="347"/>
      <c r="AG302" s="232"/>
      <c r="AH302" s="257"/>
      <c r="AI302" s="225"/>
      <c r="AJ302" s="267"/>
      <c r="AK302" s="259"/>
      <c r="AL302" s="226"/>
      <c r="AM302" s="225"/>
      <c r="AN302" s="225"/>
      <c r="AO302" s="254"/>
      <c r="AP302" s="225"/>
      <c r="AQ302" s="225"/>
      <c r="AR302" s="226"/>
      <c r="AS302" s="225"/>
      <c r="AT302" s="225"/>
      <c r="AU302" s="225"/>
      <c r="AV302" s="225"/>
      <c r="AW302" s="225"/>
      <c r="AX302" s="226"/>
      <c r="AY302" s="225"/>
      <c r="AZ302" s="225"/>
      <c r="BA302" s="226"/>
      <c r="BB302" s="225"/>
      <c r="BC302" s="225"/>
      <c r="BD302" s="225"/>
      <c r="BE302" s="225"/>
      <c r="BF302" s="225"/>
      <c r="BG302" s="225"/>
      <c r="BH302" s="225"/>
      <c r="BI302" s="225"/>
      <c r="BJ302" s="225"/>
      <c r="BK302" s="225"/>
      <c r="BL302" s="225"/>
      <c r="BM302" s="225"/>
      <c r="BN302" s="225"/>
      <c r="BO302" s="225"/>
      <c r="BP302" s="225"/>
      <c r="BQ302" s="225"/>
      <c r="BR302" s="225"/>
      <c r="BS302" s="225"/>
      <c r="BT302" s="226"/>
      <c r="BU302" s="225"/>
      <c r="BV302" s="225"/>
      <c r="BW302" s="225"/>
      <c r="BX302" s="225"/>
      <c r="BY302" s="225"/>
      <c r="BZ302" s="225"/>
    </row>
    <row r="303">
      <c r="A303" s="225"/>
      <c r="B303" s="225"/>
      <c r="C303" s="225"/>
      <c r="D303" s="226"/>
      <c r="E303" s="225"/>
      <c r="F303" s="225"/>
      <c r="G303" s="225"/>
      <c r="H303" s="225"/>
      <c r="I303" s="225"/>
      <c r="J303" s="225"/>
      <c r="K303" s="244"/>
      <c r="L303" s="225"/>
      <c r="M303" s="225"/>
      <c r="N303" s="225"/>
      <c r="O303" s="225"/>
      <c r="P303" s="225"/>
      <c r="Q303" s="227"/>
      <c r="R303" s="234"/>
      <c r="S303" s="225"/>
      <c r="T303" s="225"/>
      <c r="U303" s="225"/>
      <c r="V303" s="225"/>
      <c r="W303" s="225"/>
      <c r="X303" s="225"/>
      <c r="Y303" s="229"/>
      <c r="Z303" s="257"/>
      <c r="AA303" s="225"/>
      <c r="AB303" s="257"/>
      <c r="AC303" s="257"/>
      <c r="AD303" s="226"/>
      <c r="AE303" s="259"/>
      <c r="AF303" s="347"/>
      <c r="AG303" s="232"/>
      <c r="AH303" s="257"/>
      <c r="AI303" s="225"/>
      <c r="AJ303" s="267"/>
      <c r="AK303" s="259"/>
      <c r="AL303" s="226"/>
      <c r="AM303" s="225"/>
      <c r="AN303" s="225"/>
      <c r="AO303" s="254"/>
      <c r="AP303" s="225"/>
      <c r="AQ303" s="225"/>
      <c r="AR303" s="226"/>
      <c r="AS303" s="225"/>
      <c r="AT303" s="225"/>
      <c r="AU303" s="225"/>
      <c r="AV303" s="225"/>
      <c r="AW303" s="225"/>
      <c r="AX303" s="226"/>
      <c r="AY303" s="225"/>
      <c r="AZ303" s="225"/>
      <c r="BA303" s="226"/>
      <c r="BB303" s="225"/>
      <c r="BC303" s="225"/>
      <c r="BD303" s="225"/>
      <c r="BE303" s="225"/>
      <c r="BF303" s="225"/>
      <c r="BG303" s="225"/>
      <c r="BH303" s="225"/>
      <c r="BI303" s="225"/>
      <c r="BJ303" s="225"/>
      <c r="BK303" s="225"/>
      <c r="BL303" s="225"/>
      <c r="BM303" s="225"/>
      <c r="BN303" s="225"/>
      <c r="BO303" s="225"/>
      <c r="BP303" s="225"/>
      <c r="BQ303" s="225"/>
      <c r="BR303" s="225"/>
      <c r="BS303" s="225"/>
      <c r="BT303" s="226"/>
      <c r="BU303" s="225"/>
      <c r="BV303" s="225"/>
      <c r="BW303" s="225"/>
      <c r="BX303" s="225"/>
      <c r="BY303" s="225"/>
      <c r="BZ303" s="225"/>
    </row>
    <row r="304">
      <c r="A304" s="225"/>
      <c r="B304" s="225"/>
      <c r="C304" s="225"/>
      <c r="D304" s="226"/>
      <c r="E304" s="225"/>
      <c r="F304" s="225"/>
      <c r="G304" s="225"/>
      <c r="H304" s="225"/>
      <c r="I304" s="225"/>
      <c r="J304" s="225"/>
      <c r="K304" s="244"/>
      <c r="L304" s="225"/>
      <c r="M304" s="225"/>
      <c r="N304" s="225"/>
      <c r="O304" s="225"/>
      <c r="P304" s="225"/>
      <c r="Q304" s="227"/>
      <c r="R304" s="234"/>
      <c r="S304" s="225"/>
      <c r="T304" s="225"/>
      <c r="U304" s="225"/>
      <c r="V304" s="225"/>
      <c r="W304" s="225"/>
      <c r="X304" s="225"/>
      <c r="Y304" s="229"/>
      <c r="Z304" s="257"/>
      <c r="AA304" s="225"/>
      <c r="AB304" s="257"/>
      <c r="AC304" s="257"/>
      <c r="AD304" s="226"/>
      <c r="AE304" s="259"/>
      <c r="AF304" s="347"/>
      <c r="AG304" s="232"/>
      <c r="AH304" s="257"/>
      <c r="AI304" s="225"/>
      <c r="AJ304" s="267"/>
      <c r="AK304" s="259"/>
      <c r="AL304" s="226"/>
      <c r="AM304" s="225"/>
      <c r="AN304" s="225"/>
      <c r="AO304" s="254"/>
      <c r="AP304" s="225"/>
      <c r="AQ304" s="225"/>
      <c r="AR304" s="226"/>
      <c r="AS304" s="225"/>
      <c r="AT304" s="225"/>
      <c r="AU304" s="225"/>
      <c r="AV304" s="225"/>
      <c r="AW304" s="225"/>
      <c r="AX304" s="226"/>
      <c r="AY304" s="225"/>
      <c r="AZ304" s="225"/>
      <c r="BA304" s="226"/>
      <c r="BB304" s="225"/>
      <c r="BC304" s="225"/>
      <c r="BD304" s="225"/>
      <c r="BE304" s="225"/>
      <c r="BF304" s="225"/>
      <c r="BG304" s="225"/>
      <c r="BH304" s="225"/>
      <c r="BI304" s="225"/>
      <c r="BJ304" s="225"/>
      <c r="BK304" s="225"/>
      <c r="BL304" s="225"/>
      <c r="BM304" s="225"/>
      <c r="BN304" s="225"/>
      <c r="BO304" s="225"/>
      <c r="BP304" s="225"/>
      <c r="BQ304" s="225"/>
      <c r="BR304" s="225"/>
      <c r="BS304" s="225"/>
      <c r="BT304" s="226"/>
      <c r="BU304" s="225"/>
      <c r="BV304" s="225"/>
      <c r="BW304" s="225"/>
      <c r="BX304" s="225"/>
      <c r="BY304" s="225"/>
      <c r="BZ304" s="225"/>
    </row>
    <row r="305">
      <c r="A305" s="225"/>
      <c r="B305" s="225"/>
      <c r="C305" s="225"/>
      <c r="D305" s="226"/>
      <c r="E305" s="225"/>
      <c r="F305" s="225"/>
      <c r="G305" s="225"/>
      <c r="H305" s="225"/>
      <c r="I305" s="225"/>
      <c r="J305" s="225"/>
      <c r="K305" s="244"/>
      <c r="L305" s="225"/>
      <c r="M305" s="225"/>
      <c r="N305" s="225"/>
      <c r="O305" s="225"/>
      <c r="P305" s="225"/>
      <c r="Q305" s="227"/>
      <c r="R305" s="234"/>
      <c r="S305" s="225"/>
      <c r="T305" s="225"/>
      <c r="U305" s="225"/>
      <c r="V305" s="225"/>
      <c r="W305" s="225"/>
      <c r="X305" s="225"/>
      <c r="Y305" s="229"/>
      <c r="Z305" s="257"/>
      <c r="AA305" s="225"/>
      <c r="AB305" s="257"/>
      <c r="AC305" s="257"/>
      <c r="AD305" s="226"/>
      <c r="AE305" s="259"/>
      <c r="AF305" s="347"/>
      <c r="AG305" s="232"/>
      <c r="AH305" s="257"/>
      <c r="AI305" s="225"/>
      <c r="AJ305" s="267"/>
      <c r="AK305" s="259"/>
      <c r="AL305" s="226"/>
      <c r="AM305" s="225"/>
      <c r="AN305" s="225"/>
      <c r="AO305" s="254"/>
      <c r="AP305" s="225"/>
      <c r="AQ305" s="225"/>
      <c r="AR305" s="226"/>
      <c r="AS305" s="225"/>
      <c r="AT305" s="225"/>
      <c r="AU305" s="225"/>
      <c r="AV305" s="225"/>
      <c r="AW305" s="225"/>
      <c r="AX305" s="226"/>
      <c r="AY305" s="225"/>
      <c r="AZ305" s="225"/>
      <c r="BA305" s="226"/>
      <c r="BB305" s="225"/>
      <c r="BC305" s="225"/>
      <c r="BD305" s="225"/>
      <c r="BE305" s="225"/>
      <c r="BF305" s="225"/>
      <c r="BG305" s="225"/>
      <c r="BH305" s="225"/>
      <c r="BI305" s="225"/>
      <c r="BJ305" s="225"/>
      <c r="BK305" s="225"/>
      <c r="BL305" s="225"/>
      <c r="BM305" s="225"/>
      <c r="BN305" s="225"/>
      <c r="BO305" s="225"/>
      <c r="BP305" s="225"/>
      <c r="BQ305" s="225"/>
      <c r="BR305" s="225"/>
      <c r="BS305" s="225"/>
      <c r="BT305" s="226"/>
      <c r="BU305" s="225"/>
      <c r="BV305" s="225"/>
      <c r="BW305" s="225"/>
      <c r="BX305" s="225"/>
      <c r="BY305" s="225"/>
      <c r="BZ305" s="225"/>
    </row>
    <row r="306">
      <c r="A306" s="225"/>
      <c r="B306" s="225"/>
      <c r="C306" s="225"/>
      <c r="D306" s="226"/>
      <c r="E306" s="225"/>
      <c r="F306" s="225"/>
      <c r="G306" s="225"/>
      <c r="H306" s="225"/>
      <c r="I306" s="225"/>
      <c r="J306" s="225"/>
      <c r="K306" s="244"/>
      <c r="L306" s="225"/>
      <c r="M306" s="225"/>
      <c r="N306" s="225"/>
      <c r="O306" s="225"/>
      <c r="P306" s="225"/>
      <c r="Q306" s="227"/>
      <c r="R306" s="234"/>
      <c r="S306" s="225"/>
      <c r="T306" s="225"/>
      <c r="U306" s="225"/>
      <c r="V306" s="225"/>
      <c r="W306" s="225"/>
      <c r="X306" s="225"/>
      <c r="Y306" s="229"/>
      <c r="Z306" s="257"/>
      <c r="AA306" s="225"/>
      <c r="AB306" s="257"/>
      <c r="AC306" s="257"/>
      <c r="AD306" s="226"/>
      <c r="AE306" s="259"/>
      <c r="AF306" s="347"/>
      <c r="AG306" s="232"/>
      <c r="AH306" s="257"/>
      <c r="AI306" s="225"/>
      <c r="AJ306" s="267"/>
      <c r="AK306" s="259"/>
      <c r="AL306" s="226"/>
      <c r="AM306" s="225"/>
      <c r="AN306" s="225"/>
      <c r="AO306" s="254"/>
      <c r="AP306" s="225"/>
      <c r="AQ306" s="225"/>
      <c r="AR306" s="226"/>
      <c r="AS306" s="225"/>
      <c r="AT306" s="225"/>
      <c r="AU306" s="225"/>
      <c r="AV306" s="225"/>
      <c r="AW306" s="225"/>
      <c r="AX306" s="226"/>
      <c r="AY306" s="225"/>
      <c r="AZ306" s="225"/>
      <c r="BA306" s="226"/>
      <c r="BB306" s="225"/>
      <c r="BC306" s="225"/>
      <c r="BD306" s="225"/>
      <c r="BE306" s="225"/>
      <c r="BF306" s="225"/>
      <c r="BG306" s="225"/>
      <c r="BH306" s="225"/>
      <c r="BI306" s="225"/>
      <c r="BJ306" s="225"/>
      <c r="BK306" s="225"/>
      <c r="BL306" s="225"/>
      <c r="BM306" s="225"/>
      <c r="BN306" s="225"/>
      <c r="BO306" s="225"/>
      <c r="BP306" s="225"/>
      <c r="BQ306" s="225"/>
      <c r="BR306" s="225"/>
      <c r="BS306" s="225"/>
      <c r="BT306" s="226"/>
      <c r="BU306" s="225"/>
      <c r="BV306" s="225"/>
      <c r="BW306" s="225"/>
      <c r="BX306" s="225"/>
      <c r="BY306" s="225"/>
      <c r="BZ306" s="225"/>
    </row>
    <row r="307">
      <c r="A307" s="225"/>
      <c r="B307" s="225"/>
      <c r="C307" s="225"/>
      <c r="D307" s="226"/>
      <c r="E307" s="225"/>
      <c r="F307" s="225"/>
      <c r="G307" s="225"/>
      <c r="H307" s="225"/>
      <c r="I307" s="225"/>
      <c r="J307" s="225"/>
      <c r="K307" s="244"/>
      <c r="L307" s="225"/>
      <c r="M307" s="225"/>
      <c r="N307" s="225"/>
      <c r="O307" s="225"/>
      <c r="P307" s="225"/>
      <c r="Q307" s="227"/>
      <c r="R307" s="234"/>
      <c r="S307" s="225"/>
      <c r="T307" s="225"/>
      <c r="U307" s="225"/>
      <c r="V307" s="225"/>
      <c r="W307" s="225"/>
      <c r="X307" s="225"/>
      <c r="Y307" s="229"/>
      <c r="Z307" s="257"/>
      <c r="AA307" s="225"/>
      <c r="AB307" s="257"/>
      <c r="AC307" s="257"/>
      <c r="AD307" s="226"/>
      <c r="AE307" s="259"/>
      <c r="AF307" s="347"/>
      <c r="AG307" s="232"/>
      <c r="AH307" s="257"/>
      <c r="AI307" s="225"/>
      <c r="AJ307" s="267"/>
      <c r="AK307" s="259"/>
      <c r="AL307" s="226"/>
      <c r="AM307" s="225"/>
      <c r="AN307" s="225"/>
      <c r="AO307" s="254"/>
      <c r="AP307" s="225"/>
      <c r="AQ307" s="225"/>
      <c r="AR307" s="226"/>
      <c r="AS307" s="225"/>
      <c r="AT307" s="225"/>
      <c r="AU307" s="225"/>
      <c r="AV307" s="225"/>
      <c r="AW307" s="225"/>
      <c r="AX307" s="226"/>
      <c r="AY307" s="225"/>
      <c r="AZ307" s="225"/>
      <c r="BA307" s="226"/>
      <c r="BB307" s="225"/>
      <c r="BC307" s="225"/>
      <c r="BD307" s="225"/>
      <c r="BE307" s="225"/>
      <c r="BF307" s="225"/>
      <c r="BG307" s="225"/>
      <c r="BH307" s="225"/>
      <c r="BI307" s="225"/>
      <c r="BJ307" s="225"/>
      <c r="BK307" s="225"/>
      <c r="BL307" s="225"/>
      <c r="BM307" s="225"/>
      <c r="BN307" s="225"/>
      <c r="BO307" s="225"/>
      <c r="BP307" s="225"/>
      <c r="BQ307" s="225"/>
      <c r="BR307" s="225"/>
      <c r="BS307" s="225"/>
      <c r="BT307" s="226"/>
      <c r="BU307" s="225"/>
      <c r="BV307" s="225"/>
      <c r="BW307" s="225"/>
      <c r="BX307" s="225"/>
      <c r="BY307" s="225"/>
      <c r="BZ307" s="225"/>
    </row>
    <row r="308">
      <c r="A308" s="225"/>
      <c r="B308" s="225"/>
      <c r="C308" s="225"/>
      <c r="D308" s="226"/>
      <c r="E308" s="225"/>
      <c r="F308" s="225"/>
      <c r="G308" s="225"/>
      <c r="H308" s="225"/>
      <c r="I308" s="225"/>
      <c r="J308" s="225"/>
      <c r="K308" s="244"/>
      <c r="L308" s="225"/>
      <c r="M308" s="225"/>
      <c r="N308" s="225"/>
      <c r="O308" s="225"/>
      <c r="P308" s="225"/>
      <c r="Q308" s="227"/>
      <c r="R308" s="234"/>
      <c r="S308" s="225"/>
      <c r="T308" s="225"/>
      <c r="U308" s="225"/>
      <c r="V308" s="225"/>
      <c r="W308" s="225"/>
      <c r="X308" s="225"/>
      <c r="Y308" s="229"/>
      <c r="Z308" s="257"/>
      <c r="AA308" s="225"/>
      <c r="AB308" s="257"/>
      <c r="AC308" s="257"/>
      <c r="AD308" s="226"/>
      <c r="AE308" s="259"/>
      <c r="AF308" s="347"/>
      <c r="AG308" s="232"/>
      <c r="AH308" s="257"/>
      <c r="AI308" s="225"/>
      <c r="AJ308" s="267"/>
      <c r="AK308" s="259"/>
      <c r="AL308" s="226"/>
      <c r="AM308" s="225"/>
      <c r="AN308" s="225"/>
      <c r="AO308" s="254"/>
      <c r="AP308" s="225"/>
      <c r="AQ308" s="225"/>
      <c r="AR308" s="226"/>
      <c r="AS308" s="225"/>
      <c r="AT308" s="225"/>
      <c r="AU308" s="225"/>
      <c r="AV308" s="225"/>
      <c r="AW308" s="225"/>
      <c r="AX308" s="226"/>
      <c r="AY308" s="225"/>
      <c r="AZ308" s="225"/>
      <c r="BA308" s="226"/>
      <c r="BB308" s="225"/>
      <c r="BC308" s="225"/>
      <c r="BD308" s="225"/>
      <c r="BE308" s="225"/>
      <c r="BF308" s="225"/>
      <c r="BG308" s="225"/>
      <c r="BH308" s="225"/>
      <c r="BI308" s="225"/>
      <c r="BJ308" s="225"/>
      <c r="BK308" s="225"/>
      <c r="BL308" s="225"/>
      <c r="BM308" s="225"/>
      <c r="BN308" s="225"/>
      <c r="BO308" s="225"/>
      <c r="BP308" s="225"/>
      <c r="BQ308" s="225"/>
      <c r="BR308" s="225"/>
      <c r="BS308" s="225"/>
      <c r="BT308" s="226"/>
      <c r="BU308" s="225"/>
      <c r="BV308" s="225"/>
      <c r="BW308" s="225"/>
      <c r="BX308" s="225"/>
      <c r="BY308" s="225"/>
      <c r="BZ308" s="225"/>
    </row>
    <row r="309">
      <c r="A309" s="225"/>
      <c r="B309" s="225"/>
      <c r="C309" s="225"/>
      <c r="D309" s="226"/>
      <c r="E309" s="225"/>
      <c r="F309" s="225"/>
      <c r="G309" s="225"/>
      <c r="H309" s="225"/>
      <c r="I309" s="225"/>
      <c r="J309" s="225"/>
      <c r="K309" s="244"/>
      <c r="L309" s="225"/>
      <c r="M309" s="225"/>
      <c r="N309" s="225"/>
      <c r="O309" s="225"/>
      <c r="P309" s="225"/>
      <c r="Q309" s="227"/>
      <c r="R309" s="234"/>
      <c r="S309" s="225"/>
      <c r="T309" s="225"/>
      <c r="U309" s="225"/>
      <c r="V309" s="225"/>
      <c r="W309" s="225"/>
      <c r="X309" s="225"/>
      <c r="Y309" s="229"/>
      <c r="Z309" s="257"/>
      <c r="AA309" s="225"/>
      <c r="AB309" s="257"/>
      <c r="AC309" s="257"/>
      <c r="AD309" s="226"/>
      <c r="AE309" s="259"/>
      <c r="AF309" s="347"/>
      <c r="AG309" s="232"/>
      <c r="AH309" s="257"/>
      <c r="AI309" s="225"/>
      <c r="AJ309" s="267"/>
      <c r="AK309" s="259"/>
      <c r="AL309" s="226"/>
      <c r="AM309" s="225"/>
      <c r="AN309" s="225"/>
      <c r="AO309" s="254"/>
      <c r="AP309" s="225"/>
      <c r="AQ309" s="225"/>
      <c r="AR309" s="226"/>
      <c r="AS309" s="225"/>
      <c r="AT309" s="225"/>
      <c r="AU309" s="225"/>
      <c r="AV309" s="225"/>
      <c r="AW309" s="225"/>
      <c r="AX309" s="226"/>
      <c r="AY309" s="225"/>
      <c r="AZ309" s="225"/>
      <c r="BA309" s="226"/>
      <c r="BB309" s="225"/>
      <c r="BC309" s="225"/>
      <c r="BD309" s="225"/>
      <c r="BE309" s="225"/>
      <c r="BF309" s="225"/>
      <c r="BG309" s="225"/>
      <c r="BH309" s="225"/>
      <c r="BI309" s="225"/>
      <c r="BJ309" s="225"/>
      <c r="BK309" s="225"/>
      <c r="BL309" s="225"/>
      <c r="BM309" s="225"/>
      <c r="BN309" s="225"/>
      <c r="BO309" s="225"/>
      <c r="BP309" s="225"/>
      <c r="BQ309" s="225"/>
      <c r="BR309" s="225"/>
      <c r="BS309" s="225"/>
      <c r="BT309" s="226"/>
      <c r="BU309" s="225"/>
      <c r="BV309" s="225"/>
      <c r="BW309" s="225"/>
      <c r="BX309" s="225"/>
      <c r="BY309" s="225"/>
      <c r="BZ309" s="225"/>
    </row>
    <row r="310">
      <c r="A310" s="225"/>
      <c r="B310" s="225"/>
      <c r="C310" s="225"/>
      <c r="D310" s="226"/>
      <c r="E310" s="225"/>
      <c r="F310" s="225"/>
      <c r="G310" s="225"/>
      <c r="H310" s="225"/>
      <c r="I310" s="225"/>
      <c r="J310" s="225"/>
      <c r="K310" s="244"/>
      <c r="L310" s="225"/>
      <c r="M310" s="225"/>
      <c r="N310" s="225"/>
      <c r="O310" s="225"/>
      <c r="P310" s="225"/>
      <c r="Q310" s="227"/>
      <c r="R310" s="234"/>
      <c r="S310" s="225"/>
      <c r="T310" s="225"/>
      <c r="U310" s="225"/>
      <c r="V310" s="225"/>
      <c r="W310" s="225"/>
      <c r="X310" s="225"/>
      <c r="Y310" s="229"/>
      <c r="Z310" s="257"/>
      <c r="AA310" s="225"/>
      <c r="AB310" s="257"/>
      <c r="AC310" s="257"/>
      <c r="AD310" s="226"/>
      <c r="AE310" s="259"/>
      <c r="AF310" s="347"/>
      <c r="AG310" s="232"/>
      <c r="AH310" s="257"/>
      <c r="AI310" s="225"/>
      <c r="AJ310" s="267"/>
      <c r="AK310" s="259"/>
      <c r="AL310" s="226"/>
      <c r="AM310" s="225"/>
      <c r="AN310" s="225"/>
      <c r="AO310" s="254"/>
      <c r="AP310" s="225"/>
      <c r="AQ310" s="225"/>
      <c r="AR310" s="226"/>
      <c r="AS310" s="225"/>
      <c r="AT310" s="225"/>
      <c r="AU310" s="225"/>
      <c r="AV310" s="225"/>
      <c r="AW310" s="225"/>
      <c r="AX310" s="226"/>
      <c r="AY310" s="225"/>
      <c r="AZ310" s="225"/>
      <c r="BA310" s="226"/>
      <c r="BB310" s="225"/>
      <c r="BC310" s="225"/>
      <c r="BD310" s="225"/>
      <c r="BE310" s="225"/>
      <c r="BF310" s="225"/>
      <c r="BG310" s="225"/>
      <c r="BH310" s="225"/>
      <c r="BI310" s="225"/>
      <c r="BJ310" s="225"/>
      <c r="BK310" s="225"/>
      <c r="BL310" s="225"/>
      <c r="BM310" s="225"/>
      <c r="BN310" s="225"/>
      <c r="BO310" s="225"/>
      <c r="BP310" s="225"/>
      <c r="BQ310" s="225"/>
      <c r="BR310" s="225"/>
      <c r="BS310" s="225"/>
      <c r="BT310" s="226"/>
      <c r="BU310" s="225"/>
      <c r="BV310" s="225"/>
      <c r="BW310" s="225"/>
      <c r="BX310" s="225"/>
      <c r="BY310" s="225"/>
      <c r="BZ310" s="225"/>
    </row>
    <row r="311">
      <c r="A311" s="225"/>
      <c r="B311" s="225"/>
      <c r="C311" s="225"/>
      <c r="D311" s="226"/>
      <c r="E311" s="225"/>
      <c r="F311" s="225"/>
      <c r="G311" s="225"/>
      <c r="H311" s="225"/>
      <c r="I311" s="225"/>
      <c r="J311" s="225"/>
      <c r="K311" s="244"/>
      <c r="L311" s="225"/>
      <c r="M311" s="225"/>
      <c r="N311" s="225"/>
      <c r="O311" s="225"/>
      <c r="P311" s="225"/>
      <c r="Q311" s="227"/>
      <c r="R311" s="234"/>
      <c r="S311" s="225"/>
      <c r="T311" s="225"/>
      <c r="U311" s="225"/>
      <c r="V311" s="225"/>
      <c r="W311" s="225"/>
      <c r="X311" s="225"/>
      <c r="Y311" s="229"/>
      <c r="Z311" s="257"/>
      <c r="AA311" s="225"/>
      <c r="AB311" s="257"/>
      <c r="AC311" s="257"/>
      <c r="AD311" s="226"/>
      <c r="AE311" s="259"/>
      <c r="AF311" s="347"/>
      <c r="AG311" s="232"/>
      <c r="AH311" s="257"/>
      <c r="AI311" s="225"/>
      <c r="AJ311" s="267"/>
      <c r="AK311" s="259"/>
      <c r="AL311" s="226"/>
      <c r="AM311" s="225"/>
      <c r="AN311" s="225"/>
      <c r="AO311" s="254"/>
      <c r="AP311" s="225"/>
      <c r="AQ311" s="225"/>
      <c r="AR311" s="226"/>
      <c r="AS311" s="225"/>
      <c r="AT311" s="225"/>
      <c r="AU311" s="225"/>
      <c r="AV311" s="225"/>
      <c r="AW311" s="225"/>
      <c r="AX311" s="226"/>
      <c r="AY311" s="225"/>
      <c r="AZ311" s="225"/>
      <c r="BA311" s="226"/>
      <c r="BB311" s="225"/>
      <c r="BC311" s="225"/>
      <c r="BD311" s="225"/>
      <c r="BE311" s="225"/>
      <c r="BF311" s="225"/>
      <c r="BG311" s="225"/>
      <c r="BH311" s="225"/>
      <c r="BI311" s="225"/>
      <c r="BJ311" s="225"/>
      <c r="BK311" s="225"/>
      <c r="BL311" s="225"/>
      <c r="BM311" s="225"/>
      <c r="BN311" s="225"/>
      <c r="BO311" s="225"/>
      <c r="BP311" s="225"/>
      <c r="BQ311" s="225"/>
      <c r="BR311" s="225"/>
      <c r="BS311" s="225"/>
      <c r="BT311" s="226"/>
      <c r="BU311" s="225"/>
      <c r="BV311" s="225"/>
      <c r="BW311" s="225"/>
      <c r="BX311" s="225"/>
      <c r="BY311" s="225"/>
      <c r="BZ311" s="225"/>
    </row>
    <row r="312">
      <c r="A312" s="225"/>
      <c r="B312" s="225"/>
      <c r="C312" s="225"/>
      <c r="D312" s="226"/>
      <c r="E312" s="225"/>
      <c r="F312" s="225"/>
      <c r="G312" s="225"/>
      <c r="H312" s="225"/>
      <c r="I312" s="225"/>
      <c r="J312" s="225"/>
      <c r="K312" s="244"/>
      <c r="L312" s="225"/>
      <c r="M312" s="225"/>
      <c r="N312" s="225"/>
      <c r="O312" s="225"/>
      <c r="P312" s="225"/>
      <c r="Q312" s="227"/>
      <c r="R312" s="234"/>
      <c r="S312" s="225"/>
      <c r="T312" s="225"/>
      <c r="U312" s="225"/>
      <c r="V312" s="225"/>
      <c r="W312" s="225"/>
      <c r="X312" s="225"/>
      <c r="Y312" s="229"/>
      <c r="Z312" s="257"/>
      <c r="AA312" s="225"/>
      <c r="AB312" s="257"/>
      <c r="AC312" s="257"/>
      <c r="AD312" s="226"/>
      <c r="AE312" s="259"/>
      <c r="AF312" s="347"/>
      <c r="AG312" s="232"/>
      <c r="AH312" s="257"/>
      <c r="AI312" s="225"/>
      <c r="AJ312" s="267"/>
      <c r="AK312" s="259"/>
      <c r="AL312" s="226"/>
      <c r="AM312" s="225"/>
      <c r="AN312" s="225"/>
      <c r="AO312" s="254"/>
      <c r="AP312" s="225"/>
      <c r="AQ312" s="225"/>
      <c r="AR312" s="226"/>
      <c r="AS312" s="225"/>
      <c r="AT312" s="225"/>
      <c r="AU312" s="225"/>
      <c r="AV312" s="225"/>
      <c r="AW312" s="225"/>
      <c r="AX312" s="226"/>
      <c r="AY312" s="225"/>
      <c r="AZ312" s="225"/>
      <c r="BA312" s="226"/>
      <c r="BB312" s="225"/>
      <c r="BC312" s="225"/>
      <c r="BD312" s="225"/>
      <c r="BE312" s="225"/>
      <c r="BF312" s="225"/>
      <c r="BG312" s="225"/>
      <c r="BH312" s="225"/>
      <c r="BI312" s="225"/>
      <c r="BJ312" s="225"/>
      <c r="BK312" s="225"/>
      <c r="BL312" s="225"/>
      <c r="BM312" s="225"/>
      <c r="BN312" s="225"/>
      <c r="BO312" s="225"/>
      <c r="BP312" s="225"/>
      <c r="BQ312" s="225"/>
      <c r="BR312" s="225"/>
      <c r="BS312" s="225"/>
      <c r="BT312" s="226"/>
      <c r="BU312" s="225"/>
      <c r="BV312" s="225"/>
      <c r="BW312" s="225"/>
      <c r="BX312" s="225"/>
      <c r="BY312" s="225"/>
      <c r="BZ312" s="225"/>
    </row>
    <row r="313">
      <c r="A313" s="225"/>
      <c r="B313" s="225"/>
      <c r="C313" s="225"/>
      <c r="D313" s="226"/>
      <c r="E313" s="225"/>
      <c r="F313" s="225"/>
      <c r="G313" s="225"/>
      <c r="H313" s="225"/>
      <c r="I313" s="225"/>
      <c r="J313" s="225"/>
      <c r="K313" s="244"/>
      <c r="L313" s="225"/>
      <c r="M313" s="225"/>
      <c r="N313" s="225"/>
      <c r="O313" s="225"/>
      <c r="P313" s="225"/>
      <c r="Q313" s="227"/>
      <c r="R313" s="234"/>
      <c r="S313" s="225"/>
      <c r="T313" s="225"/>
      <c r="U313" s="225"/>
      <c r="V313" s="225"/>
      <c r="W313" s="225"/>
      <c r="X313" s="225"/>
      <c r="Y313" s="229"/>
      <c r="Z313" s="257"/>
      <c r="AA313" s="225"/>
      <c r="AB313" s="257"/>
      <c r="AC313" s="257"/>
      <c r="AD313" s="226"/>
      <c r="AE313" s="259"/>
      <c r="AF313" s="347"/>
      <c r="AG313" s="232"/>
      <c r="AH313" s="257"/>
      <c r="AI313" s="225"/>
      <c r="AJ313" s="267"/>
      <c r="AK313" s="259"/>
      <c r="AL313" s="226"/>
      <c r="AM313" s="225"/>
      <c r="AN313" s="225"/>
      <c r="AO313" s="254"/>
      <c r="AP313" s="225"/>
      <c r="AQ313" s="225"/>
      <c r="AR313" s="226"/>
      <c r="AS313" s="225"/>
      <c r="AT313" s="225"/>
      <c r="AU313" s="225"/>
      <c r="AV313" s="225"/>
      <c r="AW313" s="225"/>
      <c r="AX313" s="226"/>
      <c r="AY313" s="225"/>
      <c r="AZ313" s="225"/>
      <c r="BA313" s="226"/>
      <c r="BB313" s="225"/>
      <c r="BC313" s="225"/>
      <c r="BD313" s="225"/>
      <c r="BE313" s="225"/>
      <c r="BF313" s="225"/>
      <c r="BG313" s="225"/>
      <c r="BH313" s="225"/>
      <c r="BI313" s="225"/>
      <c r="BJ313" s="225"/>
      <c r="BK313" s="225"/>
      <c r="BL313" s="225"/>
      <c r="BM313" s="225"/>
      <c r="BN313" s="225"/>
      <c r="BO313" s="225"/>
      <c r="BP313" s="225"/>
      <c r="BQ313" s="225"/>
      <c r="BR313" s="225"/>
      <c r="BS313" s="225"/>
      <c r="BT313" s="226"/>
      <c r="BU313" s="225"/>
      <c r="BV313" s="225"/>
      <c r="BW313" s="225"/>
      <c r="BX313" s="225"/>
      <c r="BY313" s="225"/>
      <c r="BZ313" s="225"/>
    </row>
    <row r="314">
      <c r="A314" s="225"/>
      <c r="B314" s="225"/>
      <c r="C314" s="225"/>
      <c r="D314" s="226"/>
      <c r="E314" s="225"/>
      <c r="F314" s="225"/>
      <c r="G314" s="225"/>
      <c r="H314" s="225"/>
      <c r="I314" s="225"/>
      <c r="J314" s="225"/>
      <c r="K314" s="244"/>
      <c r="L314" s="225"/>
      <c r="M314" s="225"/>
      <c r="N314" s="225"/>
      <c r="O314" s="225"/>
      <c r="P314" s="225"/>
      <c r="Q314" s="227"/>
      <c r="R314" s="234"/>
      <c r="S314" s="225"/>
      <c r="T314" s="225"/>
      <c r="U314" s="225"/>
      <c r="V314" s="225"/>
      <c r="W314" s="225"/>
      <c r="X314" s="225"/>
      <c r="Y314" s="229"/>
      <c r="Z314" s="257"/>
      <c r="AA314" s="225"/>
      <c r="AB314" s="257"/>
      <c r="AC314" s="257"/>
      <c r="AD314" s="226"/>
      <c r="AE314" s="259"/>
      <c r="AF314" s="347"/>
      <c r="AG314" s="232"/>
      <c r="AH314" s="257"/>
      <c r="AI314" s="225"/>
      <c r="AJ314" s="267"/>
      <c r="AK314" s="259"/>
      <c r="AL314" s="226"/>
      <c r="AM314" s="225"/>
      <c r="AN314" s="225"/>
      <c r="AO314" s="254"/>
      <c r="AP314" s="225"/>
      <c r="AQ314" s="225"/>
      <c r="AR314" s="226"/>
      <c r="AS314" s="225"/>
      <c r="AT314" s="225"/>
      <c r="AU314" s="225"/>
      <c r="AV314" s="225"/>
      <c r="AW314" s="225"/>
      <c r="AX314" s="226"/>
      <c r="AY314" s="225"/>
      <c r="AZ314" s="225"/>
      <c r="BA314" s="226"/>
      <c r="BB314" s="225"/>
      <c r="BC314" s="225"/>
      <c r="BD314" s="225"/>
      <c r="BE314" s="225"/>
      <c r="BF314" s="225"/>
      <c r="BG314" s="225"/>
      <c r="BH314" s="225"/>
      <c r="BI314" s="225"/>
      <c r="BJ314" s="225"/>
      <c r="BK314" s="225"/>
      <c r="BL314" s="225"/>
      <c r="BM314" s="225"/>
      <c r="BN314" s="225"/>
      <c r="BO314" s="225"/>
      <c r="BP314" s="225"/>
      <c r="BQ314" s="225"/>
      <c r="BR314" s="225"/>
      <c r="BS314" s="225"/>
      <c r="BT314" s="226"/>
      <c r="BU314" s="225"/>
      <c r="BV314" s="225"/>
      <c r="BW314" s="225"/>
      <c r="BX314" s="225"/>
      <c r="BY314" s="225"/>
      <c r="BZ314" s="225"/>
    </row>
    <row r="315">
      <c r="A315" s="225"/>
      <c r="B315" s="225"/>
      <c r="C315" s="225"/>
      <c r="D315" s="226"/>
      <c r="E315" s="225"/>
      <c r="F315" s="225"/>
      <c r="G315" s="225"/>
      <c r="H315" s="225"/>
      <c r="I315" s="225"/>
      <c r="J315" s="225"/>
      <c r="K315" s="244"/>
      <c r="L315" s="225"/>
      <c r="M315" s="225"/>
      <c r="N315" s="225"/>
      <c r="O315" s="225"/>
      <c r="P315" s="225"/>
      <c r="Q315" s="227"/>
      <c r="R315" s="234"/>
      <c r="S315" s="225"/>
      <c r="T315" s="225"/>
      <c r="U315" s="225"/>
      <c r="V315" s="225"/>
      <c r="W315" s="225"/>
      <c r="X315" s="225"/>
      <c r="Y315" s="229"/>
      <c r="Z315" s="257"/>
      <c r="AA315" s="225"/>
      <c r="AB315" s="257"/>
      <c r="AC315" s="257"/>
      <c r="AD315" s="226"/>
      <c r="AE315" s="259"/>
      <c r="AF315" s="347"/>
      <c r="AG315" s="232"/>
      <c r="AH315" s="257"/>
      <c r="AI315" s="225"/>
      <c r="AJ315" s="267"/>
      <c r="AK315" s="259"/>
      <c r="AL315" s="226"/>
      <c r="AM315" s="225"/>
      <c r="AN315" s="225"/>
      <c r="AO315" s="254"/>
      <c r="AP315" s="225"/>
      <c r="AQ315" s="225"/>
      <c r="AR315" s="226"/>
      <c r="AS315" s="225"/>
      <c r="AT315" s="225"/>
      <c r="AU315" s="225"/>
      <c r="AV315" s="225"/>
      <c r="AW315" s="225"/>
      <c r="AX315" s="226"/>
      <c r="AY315" s="225"/>
      <c r="AZ315" s="225"/>
      <c r="BA315" s="226"/>
      <c r="BB315" s="225"/>
      <c r="BC315" s="225"/>
      <c r="BD315" s="225"/>
      <c r="BE315" s="225"/>
      <c r="BF315" s="225"/>
      <c r="BG315" s="225"/>
      <c r="BH315" s="225"/>
      <c r="BI315" s="225"/>
      <c r="BJ315" s="225"/>
      <c r="BK315" s="225"/>
      <c r="BL315" s="225"/>
      <c r="BM315" s="225"/>
      <c r="BN315" s="225"/>
      <c r="BO315" s="225"/>
      <c r="BP315" s="225"/>
      <c r="BQ315" s="225"/>
      <c r="BR315" s="225"/>
      <c r="BS315" s="225"/>
      <c r="BT315" s="226"/>
      <c r="BU315" s="225"/>
      <c r="BV315" s="225"/>
      <c r="BW315" s="225"/>
      <c r="BX315" s="225"/>
      <c r="BY315" s="225"/>
      <c r="BZ315" s="225"/>
    </row>
    <row r="316">
      <c r="A316" s="225"/>
      <c r="B316" s="225"/>
      <c r="C316" s="225"/>
      <c r="D316" s="226"/>
      <c r="E316" s="225"/>
      <c r="F316" s="225"/>
      <c r="G316" s="225"/>
      <c r="H316" s="225"/>
      <c r="I316" s="225"/>
      <c r="J316" s="225"/>
      <c r="K316" s="244"/>
      <c r="L316" s="225"/>
      <c r="M316" s="225"/>
      <c r="N316" s="225"/>
      <c r="O316" s="225"/>
      <c r="P316" s="225"/>
      <c r="Q316" s="227"/>
      <c r="R316" s="234"/>
      <c r="S316" s="225"/>
      <c r="T316" s="225"/>
      <c r="U316" s="225"/>
      <c r="V316" s="225"/>
      <c r="W316" s="225"/>
      <c r="X316" s="225"/>
      <c r="Y316" s="229"/>
      <c r="Z316" s="257"/>
      <c r="AA316" s="225"/>
      <c r="AB316" s="257"/>
      <c r="AC316" s="257"/>
      <c r="AD316" s="226"/>
      <c r="AE316" s="259"/>
      <c r="AF316" s="347"/>
      <c r="AG316" s="232"/>
      <c r="AH316" s="257"/>
      <c r="AI316" s="225"/>
      <c r="AJ316" s="267"/>
      <c r="AK316" s="259"/>
      <c r="AL316" s="226"/>
      <c r="AM316" s="225"/>
      <c r="AN316" s="225"/>
      <c r="AO316" s="254"/>
      <c r="AP316" s="225"/>
      <c r="AQ316" s="225"/>
      <c r="AR316" s="226"/>
      <c r="AS316" s="225"/>
      <c r="AT316" s="225"/>
      <c r="AU316" s="225"/>
      <c r="AV316" s="225"/>
      <c r="AW316" s="225"/>
      <c r="AX316" s="226"/>
      <c r="AY316" s="225"/>
      <c r="AZ316" s="225"/>
      <c r="BA316" s="226"/>
      <c r="BB316" s="225"/>
      <c r="BC316" s="225"/>
      <c r="BD316" s="225"/>
      <c r="BE316" s="225"/>
      <c r="BF316" s="225"/>
      <c r="BG316" s="225"/>
      <c r="BH316" s="225"/>
      <c r="BI316" s="225"/>
      <c r="BJ316" s="225"/>
      <c r="BK316" s="225"/>
      <c r="BL316" s="225"/>
      <c r="BM316" s="225"/>
      <c r="BN316" s="225"/>
      <c r="BO316" s="225"/>
      <c r="BP316" s="225"/>
      <c r="BQ316" s="225"/>
      <c r="BR316" s="225"/>
      <c r="BS316" s="225"/>
      <c r="BT316" s="226"/>
      <c r="BU316" s="225"/>
      <c r="BV316" s="225"/>
      <c r="BW316" s="225"/>
      <c r="BX316" s="225"/>
      <c r="BY316" s="225"/>
      <c r="BZ316" s="225"/>
    </row>
    <row r="317">
      <c r="A317" s="225"/>
      <c r="B317" s="225"/>
      <c r="C317" s="225"/>
      <c r="D317" s="226"/>
      <c r="E317" s="225"/>
      <c r="F317" s="225"/>
      <c r="G317" s="225"/>
      <c r="H317" s="225"/>
      <c r="I317" s="225"/>
      <c r="J317" s="225"/>
      <c r="K317" s="244"/>
      <c r="L317" s="225"/>
      <c r="M317" s="225"/>
      <c r="N317" s="225"/>
      <c r="O317" s="225"/>
      <c r="P317" s="225"/>
      <c r="Q317" s="227"/>
      <c r="R317" s="234"/>
      <c r="S317" s="225"/>
      <c r="T317" s="225"/>
      <c r="U317" s="225"/>
      <c r="V317" s="225"/>
      <c r="W317" s="225"/>
      <c r="X317" s="225"/>
      <c r="Y317" s="229"/>
      <c r="Z317" s="257"/>
      <c r="AA317" s="225"/>
      <c r="AB317" s="257"/>
      <c r="AC317" s="257"/>
      <c r="AD317" s="226"/>
      <c r="AE317" s="259"/>
      <c r="AF317" s="347"/>
      <c r="AG317" s="232"/>
      <c r="AH317" s="257"/>
      <c r="AI317" s="225"/>
      <c r="AJ317" s="267"/>
      <c r="AK317" s="259"/>
      <c r="AL317" s="226"/>
      <c r="AM317" s="225"/>
      <c r="AN317" s="225"/>
      <c r="AO317" s="254"/>
      <c r="AP317" s="225"/>
      <c r="AQ317" s="225"/>
      <c r="AR317" s="226"/>
      <c r="AS317" s="225"/>
      <c r="AT317" s="225"/>
      <c r="AU317" s="225"/>
      <c r="AV317" s="225"/>
      <c r="AW317" s="225"/>
      <c r="AX317" s="226"/>
      <c r="AY317" s="225"/>
      <c r="AZ317" s="225"/>
      <c r="BA317" s="226"/>
      <c r="BB317" s="225"/>
      <c r="BC317" s="225"/>
      <c r="BD317" s="225"/>
      <c r="BE317" s="225"/>
      <c r="BF317" s="225"/>
      <c r="BG317" s="225"/>
      <c r="BH317" s="225"/>
      <c r="BI317" s="225"/>
      <c r="BJ317" s="225"/>
      <c r="BK317" s="225"/>
      <c r="BL317" s="225"/>
      <c r="BM317" s="225"/>
      <c r="BN317" s="225"/>
      <c r="BO317" s="225"/>
      <c r="BP317" s="225"/>
      <c r="BQ317" s="225"/>
      <c r="BR317" s="225"/>
      <c r="BS317" s="225"/>
      <c r="BT317" s="226"/>
      <c r="BU317" s="225"/>
      <c r="BV317" s="225"/>
      <c r="BW317" s="225"/>
      <c r="BX317" s="225"/>
      <c r="BY317" s="225"/>
      <c r="BZ317" s="225"/>
    </row>
    <row r="318">
      <c r="A318" s="225"/>
      <c r="B318" s="225"/>
      <c r="C318" s="225"/>
      <c r="D318" s="226"/>
      <c r="E318" s="225"/>
      <c r="F318" s="225"/>
      <c r="G318" s="225"/>
      <c r="H318" s="225"/>
      <c r="I318" s="225"/>
      <c r="J318" s="225"/>
      <c r="K318" s="244"/>
      <c r="L318" s="225"/>
      <c r="M318" s="225"/>
      <c r="N318" s="225"/>
      <c r="O318" s="225"/>
      <c r="P318" s="225"/>
      <c r="Q318" s="227"/>
      <c r="R318" s="234"/>
      <c r="S318" s="225"/>
      <c r="T318" s="225"/>
      <c r="U318" s="225"/>
      <c r="V318" s="225"/>
      <c r="W318" s="225"/>
      <c r="X318" s="225"/>
      <c r="Y318" s="229"/>
      <c r="Z318" s="257"/>
      <c r="AA318" s="225"/>
      <c r="AB318" s="257"/>
      <c r="AC318" s="257"/>
      <c r="AD318" s="226"/>
      <c r="AE318" s="259"/>
      <c r="AF318" s="347"/>
      <c r="AG318" s="232"/>
      <c r="AH318" s="257"/>
      <c r="AI318" s="225"/>
      <c r="AJ318" s="267"/>
      <c r="AK318" s="259"/>
      <c r="AL318" s="226"/>
      <c r="AM318" s="225"/>
      <c r="AN318" s="225"/>
      <c r="AO318" s="254"/>
      <c r="AP318" s="225"/>
      <c r="AQ318" s="225"/>
      <c r="AR318" s="226"/>
      <c r="AS318" s="225"/>
      <c r="AT318" s="225"/>
      <c r="AU318" s="225"/>
      <c r="AV318" s="225"/>
      <c r="AW318" s="225"/>
      <c r="AX318" s="226"/>
      <c r="AY318" s="225"/>
      <c r="AZ318" s="225"/>
      <c r="BA318" s="226"/>
      <c r="BB318" s="225"/>
      <c r="BC318" s="225"/>
      <c r="BD318" s="225"/>
      <c r="BE318" s="225"/>
      <c r="BF318" s="225"/>
      <c r="BG318" s="225"/>
      <c r="BH318" s="225"/>
      <c r="BI318" s="225"/>
      <c r="BJ318" s="225"/>
      <c r="BK318" s="225"/>
      <c r="BL318" s="225"/>
      <c r="BM318" s="225"/>
      <c r="BN318" s="225"/>
      <c r="BO318" s="225"/>
      <c r="BP318" s="225"/>
      <c r="BQ318" s="225"/>
      <c r="BR318" s="225"/>
      <c r="BS318" s="225"/>
      <c r="BT318" s="226"/>
      <c r="BU318" s="225"/>
      <c r="BV318" s="225"/>
      <c r="BW318" s="225"/>
      <c r="BX318" s="225"/>
      <c r="BY318" s="225"/>
      <c r="BZ318" s="225"/>
    </row>
    <row r="319">
      <c r="A319" s="225"/>
      <c r="B319" s="225"/>
      <c r="C319" s="225"/>
      <c r="D319" s="226"/>
      <c r="E319" s="225"/>
      <c r="F319" s="225"/>
      <c r="G319" s="225"/>
      <c r="H319" s="225"/>
      <c r="I319" s="225"/>
      <c r="J319" s="225"/>
      <c r="K319" s="244"/>
      <c r="L319" s="225"/>
      <c r="M319" s="225"/>
      <c r="N319" s="225"/>
      <c r="O319" s="225"/>
      <c r="P319" s="225"/>
      <c r="Q319" s="227"/>
      <c r="R319" s="234"/>
      <c r="S319" s="225"/>
      <c r="T319" s="225"/>
      <c r="U319" s="225"/>
      <c r="V319" s="225"/>
      <c r="W319" s="225"/>
      <c r="X319" s="225"/>
      <c r="Y319" s="229"/>
      <c r="Z319" s="257"/>
      <c r="AA319" s="225"/>
      <c r="AB319" s="257"/>
      <c r="AC319" s="257"/>
      <c r="AD319" s="226"/>
      <c r="AE319" s="259"/>
      <c r="AF319" s="347"/>
      <c r="AG319" s="232"/>
      <c r="AH319" s="257"/>
      <c r="AI319" s="225"/>
      <c r="AJ319" s="267"/>
      <c r="AK319" s="259"/>
      <c r="AL319" s="226"/>
      <c r="AM319" s="225"/>
      <c r="AN319" s="225"/>
      <c r="AO319" s="254"/>
      <c r="AP319" s="225"/>
      <c r="AQ319" s="225"/>
      <c r="AR319" s="226"/>
      <c r="AS319" s="225"/>
      <c r="AT319" s="225"/>
      <c r="AU319" s="225"/>
      <c r="AV319" s="225"/>
      <c r="AW319" s="225"/>
      <c r="AX319" s="226"/>
      <c r="AY319" s="225"/>
      <c r="AZ319" s="225"/>
      <c r="BA319" s="226"/>
      <c r="BB319" s="225"/>
      <c r="BC319" s="225"/>
      <c r="BD319" s="225"/>
      <c r="BE319" s="225"/>
      <c r="BF319" s="225"/>
      <c r="BG319" s="225"/>
      <c r="BH319" s="225"/>
      <c r="BI319" s="225"/>
      <c r="BJ319" s="225"/>
      <c r="BK319" s="225"/>
      <c r="BL319" s="225"/>
      <c r="BM319" s="225"/>
      <c r="BN319" s="225"/>
      <c r="BO319" s="225"/>
      <c r="BP319" s="225"/>
      <c r="BQ319" s="225"/>
      <c r="BR319" s="225"/>
      <c r="BS319" s="225"/>
      <c r="BT319" s="226"/>
      <c r="BU319" s="225"/>
      <c r="BV319" s="225"/>
      <c r="BW319" s="225"/>
      <c r="BX319" s="225"/>
      <c r="BY319" s="225"/>
      <c r="BZ319" s="225"/>
    </row>
    <row r="320">
      <c r="A320" s="225"/>
      <c r="B320" s="225"/>
      <c r="C320" s="225"/>
      <c r="D320" s="226"/>
      <c r="E320" s="225"/>
      <c r="F320" s="225"/>
      <c r="G320" s="225"/>
      <c r="H320" s="225"/>
      <c r="I320" s="225"/>
      <c r="J320" s="225"/>
      <c r="K320" s="244"/>
      <c r="L320" s="225"/>
      <c r="M320" s="225"/>
      <c r="N320" s="225"/>
      <c r="O320" s="225"/>
      <c r="P320" s="225"/>
      <c r="Q320" s="227"/>
      <c r="R320" s="234"/>
      <c r="S320" s="225"/>
      <c r="T320" s="225"/>
      <c r="U320" s="225"/>
      <c r="V320" s="225"/>
      <c r="W320" s="225"/>
      <c r="X320" s="225"/>
      <c r="Y320" s="229"/>
      <c r="Z320" s="257"/>
      <c r="AA320" s="225"/>
      <c r="AB320" s="257"/>
      <c r="AC320" s="257"/>
      <c r="AD320" s="226"/>
      <c r="AE320" s="259"/>
      <c r="AF320" s="347"/>
      <c r="AG320" s="232"/>
      <c r="AH320" s="257"/>
      <c r="AI320" s="225"/>
      <c r="AJ320" s="267"/>
      <c r="AK320" s="259"/>
      <c r="AL320" s="226"/>
      <c r="AM320" s="225"/>
      <c r="AN320" s="225"/>
      <c r="AO320" s="254"/>
      <c r="AP320" s="225"/>
      <c r="AQ320" s="225"/>
      <c r="AR320" s="226"/>
      <c r="AS320" s="225"/>
      <c r="AT320" s="225"/>
      <c r="AU320" s="225"/>
      <c r="AV320" s="225"/>
      <c r="AW320" s="225"/>
      <c r="AX320" s="226"/>
      <c r="AY320" s="225"/>
      <c r="AZ320" s="225"/>
      <c r="BA320" s="226"/>
      <c r="BB320" s="225"/>
      <c r="BC320" s="225"/>
      <c r="BD320" s="225"/>
      <c r="BE320" s="225"/>
      <c r="BF320" s="225"/>
      <c r="BG320" s="225"/>
      <c r="BH320" s="225"/>
      <c r="BI320" s="225"/>
      <c r="BJ320" s="225"/>
      <c r="BK320" s="225"/>
      <c r="BL320" s="225"/>
      <c r="BM320" s="225"/>
      <c r="BN320" s="225"/>
      <c r="BO320" s="225"/>
      <c r="BP320" s="225"/>
      <c r="BQ320" s="225"/>
      <c r="BR320" s="225"/>
      <c r="BS320" s="225"/>
      <c r="BT320" s="226"/>
      <c r="BU320" s="225"/>
      <c r="BV320" s="225"/>
      <c r="BW320" s="225"/>
      <c r="BX320" s="225"/>
      <c r="BY320" s="225"/>
      <c r="BZ320" s="225"/>
    </row>
    <row r="321">
      <c r="A321" s="225"/>
      <c r="B321" s="225"/>
      <c r="C321" s="225"/>
      <c r="D321" s="226"/>
      <c r="E321" s="225"/>
      <c r="F321" s="225"/>
      <c r="G321" s="225"/>
      <c r="H321" s="225"/>
      <c r="I321" s="225"/>
      <c r="J321" s="225"/>
      <c r="K321" s="244"/>
      <c r="L321" s="225"/>
      <c r="M321" s="225"/>
      <c r="N321" s="225"/>
      <c r="O321" s="225"/>
      <c r="P321" s="225"/>
      <c r="Q321" s="227"/>
      <c r="R321" s="234"/>
      <c r="S321" s="225"/>
      <c r="T321" s="225"/>
      <c r="U321" s="225"/>
      <c r="V321" s="225"/>
      <c r="W321" s="225"/>
      <c r="X321" s="225"/>
      <c r="Y321" s="229"/>
      <c r="Z321" s="257"/>
      <c r="AA321" s="225"/>
      <c r="AB321" s="257"/>
      <c r="AC321" s="257"/>
      <c r="AD321" s="226"/>
      <c r="AE321" s="259"/>
      <c r="AF321" s="347"/>
      <c r="AG321" s="232"/>
      <c r="AH321" s="257"/>
      <c r="AI321" s="225"/>
      <c r="AJ321" s="267"/>
      <c r="AK321" s="259"/>
      <c r="AL321" s="226"/>
      <c r="AM321" s="225"/>
      <c r="AN321" s="225"/>
      <c r="AO321" s="254"/>
      <c r="AP321" s="225"/>
      <c r="AQ321" s="225"/>
      <c r="AR321" s="226"/>
      <c r="AS321" s="225"/>
      <c r="AT321" s="225"/>
      <c r="AU321" s="225"/>
      <c r="AV321" s="225"/>
      <c r="AW321" s="225"/>
      <c r="AX321" s="226"/>
      <c r="AY321" s="225"/>
      <c r="AZ321" s="225"/>
      <c r="BA321" s="226"/>
      <c r="BB321" s="225"/>
      <c r="BC321" s="225"/>
      <c r="BD321" s="225"/>
      <c r="BE321" s="225"/>
      <c r="BF321" s="225"/>
      <c r="BG321" s="225"/>
      <c r="BH321" s="225"/>
      <c r="BI321" s="225"/>
      <c r="BJ321" s="225"/>
      <c r="BK321" s="225"/>
      <c r="BL321" s="225"/>
      <c r="BM321" s="225"/>
      <c r="BN321" s="225"/>
      <c r="BO321" s="225"/>
      <c r="BP321" s="225"/>
      <c r="BQ321" s="225"/>
      <c r="BR321" s="225"/>
      <c r="BS321" s="225"/>
      <c r="BT321" s="226"/>
      <c r="BU321" s="225"/>
      <c r="BV321" s="225"/>
      <c r="BW321" s="225"/>
      <c r="BX321" s="225"/>
      <c r="BY321" s="225"/>
      <c r="BZ321" s="225"/>
    </row>
    <row r="322">
      <c r="A322" s="225"/>
      <c r="B322" s="225"/>
      <c r="C322" s="225"/>
      <c r="D322" s="226"/>
      <c r="E322" s="225"/>
      <c r="F322" s="225"/>
      <c r="G322" s="225"/>
      <c r="H322" s="225"/>
      <c r="I322" s="225"/>
      <c r="J322" s="225"/>
      <c r="K322" s="244"/>
      <c r="L322" s="225"/>
      <c r="M322" s="225"/>
      <c r="N322" s="225"/>
      <c r="O322" s="225"/>
      <c r="P322" s="225"/>
      <c r="Q322" s="227"/>
      <c r="R322" s="234"/>
      <c r="S322" s="225"/>
      <c r="T322" s="225"/>
      <c r="U322" s="225"/>
      <c r="V322" s="225"/>
      <c r="W322" s="225"/>
      <c r="X322" s="225"/>
      <c r="Y322" s="229"/>
      <c r="Z322" s="257"/>
      <c r="AA322" s="225"/>
      <c r="AB322" s="257"/>
      <c r="AC322" s="257"/>
      <c r="AD322" s="226"/>
      <c r="AE322" s="259"/>
      <c r="AF322" s="347"/>
      <c r="AG322" s="232"/>
      <c r="AH322" s="257"/>
      <c r="AI322" s="225"/>
      <c r="AJ322" s="267"/>
      <c r="AK322" s="259"/>
      <c r="AL322" s="226"/>
      <c r="AM322" s="225"/>
      <c r="AN322" s="225"/>
      <c r="AO322" s="254"/>
      <c r="AP322" s="225"/>
      <c r="AQ322" s="225"/>
      <c r="AR322" s="226"/>
      <c r="AS322" s="225"/>
      <c r="AT322" s="225"/>
      <c r="AU322" s="225"/>
      <c r="AV322" s="225"/>
      <c r="AW322" s="225"/>
      <c r="AX322" s="226"/>
      <c r="AY322" s="225"/>
      <c r="AZ322" s="225"/>
      <c r="BA322" s="226"/>
      <c r="BB322" s="225"/>
      <c r="BC322" s="225"/>
      <c r="BD322" s="225"/>
      <c r="BE322" s="225"/>
      <c r="BF322" s="225"/>
      <c r="BG322" s="225"/>
      <c r="BH322" s="225"/>
      <c r="BI322" s="225"/>
      <c r="BJ322" s="225"/>
      <c r="BK322" s="225"/>
      <c r="BL322" s="225"/>
      <c r="BM322" s="225"/>
      <c r="BN322" s="225"/>
      <c r="BO322" s="225"/>
      <c r="BP322" s="225"/>
      <c r="BQ322" s="225"/>
      <c r="BR322" s="225"/>
      <c r="BS322" s="225"/>
      <c r="BT322" s="226"/>
      <c r="BU322" s="225"/>
      <c r="BV322" s="225"/>
      <c r="BW322" s="225"/>
      <c r="BX322" s="225"/>
      <c r="BY322" s="225"/>
      <c r="BZ322" s="225"/>
    </row>
    <row r="323">
      <c r="A323" s="225"/>
      <c r="B323" s="225"/>
      <c r="C323" s="225"/>
      <c r="D323" s="226"/>
      <c r="E323" s="225"/>
      <c r="F323" s="225"/>
      <c r="G323" s="225"/>
      <c r="H323" s="225"/>
      <c r="I323" s="225"/>
      <c r="J323" s="225"/>
      <c r="K323" s="244"/>
      <c r="L323" s="225"/>
      <c r="M323" s="225"/>
      <c r="N323" s="225"/>
      <c r="O323" s="225"/>
      <c r="P323" s="225"/>
      <c r="Q323" s="227"/>
      <c r="R323" s="234"/>
      <c r="S323" s="225"/>
      <c r="T323" s="225"/>
      <c r="U323" s="225"/>
      <c r="V323" s="225"/>
      <c r="W323" s="225"/>
      <c r="X323" s="225"/>
      <c r="Y323" s="229"/>
      <c r="Z323" s="257"/>
      <c r="AA323" s="225"/>
      <c r="AB323" s="257"/>
      <c r="AC323" s="257"/>
      <c r="AD323" s="226"/>
      <c r="AE323" s="259"/>
      <c r="AF323" s="347"/>
      <c r="AG323" s="232"/>
      <c r="AH323" s="257"/>
      <c r="AI323" s="225"/>
      <c r="AJ323" s="267"/>
      <c r="AK323" s="259"/>
      <c r="AL323" s="226"/>
      <c r="AM323" s="225"/>
      <c r="AN323" s="225"/>
      <c r="AO323" s="254"/>
      <c r="AP323" s="225"/>
      <c r="AQ323" s="225"/>
      <c r="AR323" s="226"/>
      <c r="AS323" s="225"/>
      <c r="AT323" s="225"/>
      <c r="AU323" s="225"/>
      <c r="AV323" s="225"/>
      <c r="AW323" s="225"/>
      <c r="AX323" s="226"/>
      <c r="AY323" s="225"/>
      <c r="AZ323" s="225"/>
      <c r="BA323" s="226"/>
      <c r="BB323" s="225"/>
      <c r="BC323" s="225"/>
      <c r="BD323" s="225"/>
      <c r="BE323" s="225"/>
      <c r="BF323" s="225"/>
      <c r="BG323" s="225"/>
      <c r="BH323" s="225"/>
      <c r="BI323" s="225"/>
      <c r="BJ323" s="225"/>
      <c r="BK323" s="225"/>
      <c r="BL323" s="225"/>
      <c r="BM323" s="225"/>
      <c r="BN323" s="225"/>
      <c r="BO323" s="225"/>
      <c r="BP323" s="225"/>
      <c r="BQ323" s="225"/>
      <c r="BR323" s="225"/>
      <c r="BS323" s="225"/>
      <c r="BT323" s="226"/>
      <c r="BU323" s="225"/>
      <c r="BV323" s="225"/>
      <c r="BW323" s="225"/>
      <c r="BX323" s="225"/>
      <c r="BY323" s="225"/>
      <c r="BZ323" s="225"/>
    </row>
    <row r="324">
      <c r="A324" s="225"/>
      <c r="B324" s="225"/>
      <c r="C324" s="225"/>
      <c r="D324" s="226"/>
      <c r="E324" s="225"/>
      <c r="F324" s="225"/>
      <c r="G324" s="225"/>
      <c r="H324" s="225"/>
      <c r="I324" s="225"/>
      <c r="J324" s="225"/>
      <c r="K324" s="244"/>
      <c r="L324" s="225"/>
      <c r="M324" s="225"/>
      <c r="N324" s="225"/>
      <c r="O324" s="225"/>
      <c r="P324" s="225"/>
      <c r="Q324" s="227"/>
      <c r="R324" s="234"/>
      <c r="S324" s="225"/>
      <c r="T324" s="225"/>
      <c r="U324" s="225"/>
      <c r="V324" s="225"/>
      <c r="W324" s="225"/>
      <c r="X324" s="225"/>
      <c r="Y324" s="229"/>
      <c r="Z324" s="257"/>
      <c r="AA324" s="225"/>
      <c r="AB324" s="257"/>
      <c r="AC324" s="257"/>
      <c r="AD324" s="226"/>
      <c r="AE324" s="259"/>
      <c r="AF324" s="347"/>
      <c r="AG324" s="232"/>
      <c r="AH324" s="257"/>
      <c r="AI324" s="225"/>
      <c r="AJ324" s="267"/>
      <c r="AK324" s="259"/>
      <c r="AL324" s="226"/>
      <c r="AM324" s="225"/>
      <c r="AN324" s="225"/>
      <c r="AO324" s="254"/>
      <c r="AP324" s="225"/>
      <c r="AQ324" s="225"/>
      <c r="AR324" s="226"/>
      <c r="AS324" s="225"/>
      <c r="AT324" s="225"/>
      <c r="AU324" s="225"/>
      <c r="AV324" s="225"/>
      <c r="AW324" s="225"/>
      <c r="AX324" s="226"/>
      <c r="AY324" s="225"/>
      <c r="AZ324" s="225"/>
      <c r="BA324" s="226"/>
      <c r="BB324" s="225"/>
      <c r="BC324" s="225"/>
      <c r="BD324" s="225"/>
      <c r="BE324" s="225"/>
      <c r="BF324" s="225"/>
      <c r="BG324" s="225"/>
      <c r="BH324" s="225"/>
      <c r="BI324" s="225"/>
      <c r="BJ324" s="225"/>
      <c r="BK324" s="225"/>
      <c r="BL324" s="225"/>
      <c r="BM324" s="225"/>
      <c r="BN324" s="225"/>
      <c r="BO324" s="225"/>
      <c r="BP324" s="225"/>
      <c r="BQ324" s="225"/>
      <c r="BR324" s="225"/>
      <c r="BS324" s="225"/>
      <c r="BT324" s="226"/>
      <c r="BU324" s="225"/>
      <c r="BV324" s="225"/>
      <c r="BW324" s="225"/>
      <c r="BX324" s="225"/>
      <c r="BY324" s="225"/>
      <c r="BZ324" s="225"/>
    </row>
    <row r="325">
      <c r="A325" s="225"/>
      <c r="B325" s="225"/>
      <c r="C325" s="225"/>
      <c r="D325" s="226"/>
      <c r="E325" s="225"/>
      <c r="F325" s="225"/>
      <c r="G325" s="225"/>
      <c r="H325" s="225"/>
      <c r="I325" s="225"/>
      <c r="J325" s="225"/>
      <c r="K325" s="244"/>
      <c r="L325" s="225"/>
      <c r="M325" s="225"/>
      <c r="N325" s="225"/>
      <c r="O325" s="225"/>
      <c r="P325" s="225"/>
      <c r="Q325" s="227"/>
      <c r="R325" s="234"/>
      <c r="S325" s="225"/>
      <c r="T325" s="225"/>
      <c r="U325" s="225"/>
      <c r="V325" s="225"/>
      <c r="W325" s="225"/>
      <c r="X325" s="225"/>
      <c r="Y325" s="229"/>
      <c r="Z325" s="257"/>
      <c r="AA325" s="225"/>
      <c r="AB325" s="257"/>
      <c r="AC325" s="257"/>
      <c r="AD325" s="226"/>
      <c r="AE325" s="259"/>
      <c r="AF325" s="347"/>
      <c r="AG325" s="232"/>
      <c r="AH325" s="257"/>
      <c r="AI325" s="225"/>
      <c r="AJ325" s="267"/>
      <c r="AK325" s="259"/>
      <c r="AL325" s="226"/>
      <c r="AM325" s="225"/>
      <c r="AN325" s="225"/>
      <c r="AO325" s="254"/>
      <c r="AP325" s="225"/>
      <c r="AQ325" s="225"/>
      <c r="AR325" s="226"/>
      <c r="AS325" s="225"/>
      <c r="AT325" s="225"/>
      <c r="AU325" s="225"/>
      <c r="AV325" s="225"/>
      <c r="AW325" s="225"/>
      <c r="AX325" s="226"/>
      <c r="AY325" s="225"/>
      <c r="AZ325" s="225"/>
      <c r="BA325" s="226"/>
      <c r="BB325" s="225"/>
      <c r="BC325" s="225"/>
      <c r="BD325" s="225"/>
      <c r="BE325" s="225"/>
      <c r="BF325" s="225"/>
      <c r="BG325" s="225"/>
      <c r="BH325" s="225"/>
      <c r="BI325" s="225"/>
      <c r="BJ325" s="225"/>
      <c r="BK325" s="225"/>
      <c r="BL325" s="225"/>
      <c r="BM325" s="225"/>
      <c r="BN325" s="225"/>
      <c r="BO325" s="225"/>
      <c r="BP325" s="225"/>
      <c r="BQ325" s="225"/>
      <c r="BR325" s="225"/>
      <c r="BS325" s="225"/>
      <c r="BT325" s="226"/>
      <c r="BU325" s="225"/>
      <c r="BV325" s="225"/>
      <c r="BW325" s="225"/>
      <c r="BX325" s="225"/>
      <c r="BY325" s="225"/>
      <c r="BZ325" s="225"/>
    </row>
    <row r="326">
      <c r="A326" s="225"/>
      <c r="B326" s="225"/>
      <c r="C326" s="225"/>
      <c r="D326" s="226"/>
      <c r="E326" s="225"/>
      <c r="F326" s="225"/>
      <c r="G326" s="225"/>
      <c r="H326" s="225"/>
      <c r="I326" s="225"/>
      <c r="J326" s="225"/>
      <c r="K326" s="244"/>
      <c r="L326" s="225"/>
      <c r="M326" s="225"/>
      <c r="N326" s="225"/>
      <c r="O326" s="225"/>
      <c r="P326" s="225"/>
      <c r="Q326" s="227"/>
      <c r="R326" s="234"/>
      <c r="S326" s="225"/>
      <c r="T326" s="225"/>
      <c r="U326" s="225"/>
      <c r="V326" s="225"/>
      <c r="W326" s="225"/>
      <c r="X326" s="225"/>
      <c r="Y326" s="229"/>
      <c r="Z326" s="257"/>
      <c r="AA326" s="225"/>
      <c r="AB326" s="257"/>
      <c r="AC326" s="257"/>
      <c r="AD326" s="226"/>
      <c r="AE326" s="259"/>
      <c r="AF326" s="347"/>
      <c r="AG326" s="232"/>
      <c r="AH326" s="257"/>
      <c r="AI326" s="225"/>
      <c r="AJ326" s="267"/>
      <c r="AK326" s="259"/>
      <c r="AL326" s="226"/>
      <c r="AM326" s="225"/>
      <c r="AN326" s="225"/>
      <c r="AO326" s="254"/>
      <c r="AP326" s="225"/>
      <c r="AQ326" s="225"/>
      <c r="AR326" s="226"/>
      <c r="AS326" s="225"/>
      <c r="AT326" s="225"/>
      <c r="AU326" s="225"/>
      <c r="AV326" s="225"/>
      <c r="AW326" s="225"/>
      <c r="AX326" s="226"/>
      <c r="AY326" s="225"/>
      <c r="AZ326" s="225"/>
      <c r="BA326" s="226"/>
      <c r="BB326" s="225"/>
      <c r="BC326" s="225"/>
      <c r="BD326" s="225"/>
      <c r="BE326" s="225"/>
      <c r="BF326" s="225"/>
      <c r="BG326" s="225"/>
      <c r="BH326" s="225"/>
      <c r="BI326" s="225"/>
      <c r="BJ326" s="225"/>
      <c r="BK326" s="225"/>
      <c r="BL326" s="225"/>
      <c r="BM326" s="225"/>
      <c r="BN326" s="225"/>
      <c r="BO326" s="225"/>
      <c r="BP326" s="225"/>
      <c r="BQ326" s="225"/>
      <c r="BR326" s="225"/>
      <c r="BS326" s="225"/>
      <c r="BT326" s="226"/>
      <c r="BU326" s="225"/>
      <c r="BV326" s="225"/>
      <c r="BW326" s="225"/>
      <c r="BX326" s="225"/>
      <c r="BY326" s="225"/>
      <c r="BZ326" s="225"/>
    </row>
    <row r="327">
      <c r="A327" s="225"/>
      <c r="B327" s="225"/>
      <c r="C327" s="225"/>
      <c r="D327" s="226"/>
      <c r="E327" s="225"/>
      <c r="F327" s="225"/>
      <c r="G327" s="225"/>
      <c r="H327" s="225"/>
      <c r="I327" s="225"/>
      <c r="J327" s="225"/>
      <c r="K327" s="244"/>
      <c r="L327" s="225"/>
      <c r="M327" s="225"/>
      <c r="N327" s="225"/>
      <c r="O327" s="225"/>
      <c r="P327" s="225"/>
      <c r="Q327" s="227"/>
      <c r="R327" s="234"/>
      <c r="S327" s="225"/>
      <c r="T327" s="225"/>
      <c r="U327" s="225"/>
      <c r="V327" s="225"/>
      <c r="W327" s="225"/>
      <c r="X327" s="225"/>
      <c r="Y327" s="229"/>
      <c r="Z327" s="257"/>
      <c r="AA327" s="225"/>
      <c r="AB327" s="257"/>
      <c r="AC327" s="257"/>
      <c r="AD327" s="226"/>
      <c r="AE327" s="259"/>
      <c r="AF327" s="347"/>
      <c r="AG327" s="232"/>
      <c r="AH327" s="257"/>
      <c r="AI327" s="225"/>
      <c r="AJ327" s="267"/>
      <c r="AK327" s="259"/>
      <c r="AL327" s="226"/>
      <c r="AM327" s="225"/>
      <c r="AN327" s="225"/>
      <c r="AO327" s="254"/>
      <c r="AP327" s="225"/>
      <c r="AQ327" s="225"/>
      <c r="AR327" s="226"/>
      <c r="AS327" s="225"/>
      <c r="AT327" s="225"/>
      <c r="AU327" s="225"/>
      <c r="AV327" s="225"/>
      <c r="AW327" s="225"/>
      <c r="AX327" s="226"/>
      <c r="AY327" s="225"/>
      <c r="AZ327" s="225"/>
      <c r="BA327" s="226"/>
      <c r="BB327" s="225"/>
      <c r="BC327" s="225"/>
      <c r="BD327" s="225"/>
      <c r="BE327" s="225"/>
      <c r="BF327" s="225"/>
      <c r="BG327" s="225"/>
      <c r="BH327" s="225"/>
      <c r="BI327" s="225"/>
      <c r="BJ327" s="225"/>
      <c r="BK327" s="225"/>
      <c r="BL327" s="225"/>
      <c r="BM327" s="225"/>
      <c r="BN327" s="225"/>
      <c r="BO327" s="225"/>
      <c r="BP327" s="225"/>
      <c r="BQ327" s="225"/>
      <c r="BR327" s="225"/>
      <c r="BS327" s="225"/>
      <c r="BT327" s="226"/>
      <c r="BU327" s="225"/>
      <c r="BV327" s="225"/>
      <c r="BW327" s="225"/>
      <c r="BX327" s="225"/>
      <c r="BY327" s="225"/>
      <c r="BZ327" s="225"/>
    </row>
    <row r="328">
      <c r="A328" s="225"/>
      <c r="B328" s="225"/>
      <c r="C328" s="225"/>
      <c r="D328" s="226"/>
      <c r="E328" s="225"/>
      <c r="F328" s="225"/>
      <c r="G328" s="225"/>
      <c r="H328" s="225"/>
      <c r="I328" s="225"/>
      <c r="J328" s="225"/>
      <c r="K328" s="244"/>
      <c r="L328" s="225"/>
      <c r="M328" s="225"/>
      <c r="N328" s="225"/>
      <c r="O328" s="225"/>
      <c r="P328" s="225"/>
      <c r="Q328" s="227"/>
      <c r="R328" s="234"/>
      <c r="S328" s="225"/>
      <c r="T328" s="225"/>
      <c r="U328" s="225"/>
      <c r="V328" s="225"/>
      <c r="W328" s="225"/>
      <c r="X328" s="225"/>
      <c r="Y328" s="229"/>
      <c r="Z328" s="257"/>
      <c r="AA328" s="225"/>
      <c r="AB328" s="257"/>
      <c r="AC328" s="257"/>
      <c r="AD328" s="226"/>
      <c r="AE328" s="259"/>
      <c r="AF328" s="347"/>
      <c r="AG328" s="232"/>
      <c r="AH328" s="257"/>
      <c r="AI328" s="225"/>
      <c r="AJ328" s="267"/>
      <c r="AK328" s="259"/>
      <c r="AL328" s="226"/>
      <c r="AM328" s="225"/>
      <c r="AN328" s="225"/>
      <c r="AO328" s="254"/>
      <c r="AP328" s="225"/>
      <c r="AQ328" s="225"/>
      <c r="AR328" s="226"/>
      <c r="AS328" s="225"/>
      <c r="AT328" s="225"/>
      <c r="AU328" s="225"/>
      <c r="AV328" s="225"/>
      <c r="AW328" s="225"/>
      <c r="AX328" s="226"/>
      <c r="AY328" s="225"/>
      <c r="AZ328" s="225"/>
      <c r="BA328" s="226"/>
      <c r="BB328" s="225"/>
      <c r="BC328" s="225"/>
      <c r="BD328" s="225"/>
      <c r="BE328" s="225"/>
      <c r="BF328" s="225"/>
      <c r="BG328" s="225"/>
      <c r="BH328" s="225"/>
      <c r="BI328" s="225"/>
      <c r="BJ328" s="225"/>
      <c r="BK328" s="225"/>
      <c r="BL328" s="225"/>
      <c r="BM328" s="225"/>
      <c r="BN328" s="225"/>
      <c r="BO328" s="225"/>
      <c r="BP328" s="225"/>
      <c r="BQ328" s="225"/>
      <c r="BR328" s="225"/>
      <c r="BS328" s="225"/>
      <c r="BT328" s="226"/>
      <c r="BU328" s="225"/>
      <c r="BV328" s="225"/>
      <c r="BW328" s="225"/>
      <c r="BX328" s="225"/>
      <c r="BY328" s="225"/>
      <c r="BZ328" s="225"/>
    </row>
    <row r="329">
      <c r="A329" s="225"/>
      <c r="B329" s="225"/>
      <c r="C329" s="225"/>
      <c r="D329" s="226"/>
      <c r="E329" s="225"/>
      <c r="F329" s="225"/>
      <c r="G329" s="225"/>
      <c r="H329" s="225"/>
      <c r="I329" s="225"/>
      <c r="J329" s="225"/>
      <c r="K329" s="244"/>
      <c r="L329" s="225"/>
      <c r="M329" s="225"/>
      <c r="N329" s="225"/>
      <c r="O329" s="225"/>
      <c r="P329" s="225"/>
      <c r="Q329" s="227"/>
      <c r="R329" s="234"/>
      <c r="S329" s="225"/>
      <c r="T329" s="225"/>
      <c r="U329" s="225"/>
      <c r="V329" s="225"/>
      <c r="W329" s="225"/>
      <c r="X329" s="225"/>
      <c r="Y329" s="229"/>
      <c r="Z329" s="257"/>
      <c r="AA329" s="225"/>
      <c r="AB329" s="257"/>
      <c r="AC329" s="257"/>
      <c r="AD329" s="226"/>
      <c r="AE329" s="259"/>
      <c r="AF329" s="347"/>
      <c r="AG329" s="232"/>
      <c r="AH329" s="257"/>
      <c r="AI329" s="225"/>
      <c r="AJ329" s="267"/>
      <c r="AK329" s="259"/>
      <c r="AL329" s="226"/>
      <c r="AM329" s="225"/>
      <c r="AN329" s="225"/>
      <c r="AO329" s="254"/>
      <c r="AP329" s="225"/>
      <c r="AQ329" s="225"/>
      <c r="AR329" s="226"/>
      <c r="AS329" s="225"/>
      <c r="AT329" s="225"/>
      <c r="AU329" s="225"/>
      <c r="AV329" s="225"/>
      <c r="AW329" s="225"/>
      <c r="AX329" s="226"/>
      <c r="AY329" s="225"/>
      <c r="AZ329" s="225"/>
      <c r="BA329" s="226"/>
      <c r="BB329" s="225"/>
      <c r="BC329" s="225"/>
      <c r="BD329" s="225"/>
      <c r="BE329" s="225"/>
      <c r="BF329" s="225"/>
      <c r="BG329" s="225"/>
      <c r="BH329" s="225"/>
      <c r="BI329" s="225"/>
      <c r="BJ329" s="225"/>
      <c r="BK329" s="225"/>
      <c r="BL329" s="225"/>
      <c r="BM329" s="225"/>
      <c r="BN329" s="225"/>
      <c r="BO329" s="225"/>
      <c r="BP329" s="225"/>
      <c r="BQ329" s="225"/>
      <c r="BR329" s="225"/>
      <c r="BS329" s="225"/>
      <c r="BT329" s="226"/>
      <c r="BU329" s="225"/>
      <c r="BV329" s="225"/>
      <c r="BW329" s="225"/>
      <c r="BX329" s="225"/>
      <c r="BY329" s="225"/>
      <c r="BZ329" s="225"/>
    </row>
    <row r="330">
      <c r="A330" s="225"/>
      <c r="B330" s="225"/>
      <c r="C330" s="225"/>
      <c r="D330" s="226"/>
      <c r="E330" s="225"/>
      <c r="F330" s="225"/>
      <c r="G330" s="225"/>
      <c r="H330" s="225"/>
      <c r="I330" s="225"/>
      <c r="J330" s="225"/>
      <c r="K330" s="244"/>
      <c r="L330" s="225"/>
      <c r="M330" s="225"/>
      <c r="N330" s="225"/>
      <c r="O330" s="225"/>
      <c r="P330" s="225"/>
      <c r="Q330" s="227"/>
      <c r="R330" s="234"/>
      <c r="S330" s="225"/>
      <c r="T330" s="225"/>
      <c r="U330" s="225"/>
      <c r="V330" s="225"/>
      <c r="W330" s="225"/>
      <c r="X330" s="225"/>
      <c r="Y330" s="229"/>
      <c r="Z330" s="257"/>
      <c r="AA330" s="225"/>
      <c r="AB330" s="257"/>
      <c r="AC330" s="257"/>
      <c r="AD330" s="226"/>
      <c r="AE330" s="259"/>
      <c r="AF330" s="347"/>
      <c r="AG330" s="232"/>
      <c r="AH330" s="257"/>
      <c r="AI330" s="225"/>
      <c r="AJ330" s="267"/>
      <c r="AK330" s="259"/>
      <c r="AL330" s="226"/>
      <c r="AM330" s="225"/>
      <c r="AN330" s="225"/>
      <c r="AO330" s="254"/>
      <c r="AP330" s="225"/>
      <c r="AQ330" s="225"/>
      <c r="AR330" s="226"/>
      <c r="AS330" s="225"/>
      <c r="AT330" s="225"/>
      <c r="AU330" s="225"/>
      <c r="AV330" s="225"/>
      <c r="AW330" s="225"/>
      <c r="AX330" s="226"/>
      <c r="AY330" s="225"/>
      <c r="AZ330" s="225"/>
      <c r="BA330" s="226"/>
      <c r="BB330" s="225"/>
      <c r="BC330" s="225"/>
      <c r="BD330" s="225"/>
      <c r="BE330" s="225"/>
      <c r="BF330" s="225"/>
      <c r="BG330" s="225"/>
      <c r="BH330" s="225"/>
      <c r="BI330" s="225"/>
      <c r="BJ330" s="225"/>
      <c r="BK330" s="225"/>
      <c r="BL330" s="225"/>
      <c r="BM330" s="225"/>
      <c r="BN330" s="225"/>
      <c r="BO330" s="225"/>
      <c r="BP330" s="225"/>
      <c r="BQ330" s="225"/>
      <c r="BR330" s="225"/>
      <c r="BS330" s="225"/>
      <c r="BT330" s="226"/>
      <c r="BU330" s="225"/>
      <c r="BV330" s="225"/>
      <c r="BW330" s="225"/>
      <c r="BX330" s="225"/>
      <c r="BY330" s="225"/>
      <c r="BZ330" s="225"/>
    </row>
    <row r="331">
      <c r="A331" s="225"/>
      <c r="B331" s="225"/>
      <c r="C331" s="225"/>
      <c r="D331" s="226"/>
      <c r="E331" s="225"/>
      <c r="F331" s="225"/>
      <c r="G331" s="225"/>
      <c r="H331" s="225"/>
      <c r="I331" s="225"/>
      <c r="J331" s="225"/>
      <c r="K331" s="244"/>
      <c r="L331" s="225"/>
      <c r="M331" s="225"/>
      <c r="N331" s="225"/>
      <c r="O331" s="225"/>
      <c r="P331" s="225"/>
      <c r="Q331" s="227"/>
      <c r="R331" s="234"/>
      <c r="S331" s="225"/>
      <c r="T331" s="225"/>
      <c r="U331" s="225"/>
      <c r="V331" s="225"/>
      <c r="W331" s="225"/>
      <c r="X331" s="225"/>
      <c r="Y331" s="229"/>
      <c r="Z331" s="257"/>
      <c r="AA331" s="225"/>
      <c r="AB331" s="257"/>
      <c r="AC331" s="257"/>
      <c r="AD331" s="226"/>
      <c r="AE331" s="259"/>
      <c r="AF331" s="347"/>
      <c r="AG331" s="232"/>
      <c r="AH331" s="257"/>
      <c r="AI331" s="225"/>
      <c r="AJ331" s="267"/>
      <c r="AK331" s="259"/>
      <c r="AL331" s="226"/>
      <c r="AM331" s="225"/>
      <c r="AN331" s="225"/>
      <c r="AO331" s="254"/>
      <c r="AP331" s="225"/>
      <c r="AQ331" s="225"/>
      <c r="AR331" s="226"/>
      <c r="AS331" s="225"/>
      <c r="AT331" s="225"/>
      <c r="AU331" s="225"/>
      <c r="AV331" s="225"/>
      <c r="AW331" s="225"/>
      <c r="AX331" s="226"/>
      <c r="AY331" s="225"/>
      <c r="AZ331" s="225"/>
      <c r="BA331" s="226"/>
      <c r="BB331" s="225"/>
      <c r="BC331" s="225"/>
      <c r="BD331" s="225"/>
      <c r="BE331" s="225"/>
      <c r="BF331" s="225"/>
      <c r="BG331" s="225"/>
      <c r="BH331" s="225"/>
      <c r="BI331" s="225"/>
      <c r="BJ331" s="225"/>
      <c r="BK331" s="225"/>
      <c r="BL331" s="225"/>
      <c r="BM331" s="225"/>
      <c r="BN331" s="225"/>
      <c r="BO331" s="225"/>
      <c r="BP331" s="225"/>
      <c r="BQ331" s="225"/>
      <c r="BR331" s="225"/>
      <c r="BS331" s="225"/>
      <c r="BT331" s="226"/>
      <c r="BU331" s="225"/>
      <c r="BV331" s="225"/>
      <c r="BW331" s="225"/>
      <c r="BX331" s="225"/>
      <c r="BY331" s="225"/>
      <c r="BZ331" s="225"/>
    </row>
    <row r="332">
      <c r="A332" s="225"/>
      <c r="B332" s="225"/>
      <c r="C332" s="225"/>
      <c r="D332" s="226"/>
      <c r="E332" s="225"/>
      <c r="F332" s="225"/>
      <c r="G332" s="225"/>
      <c r="H332" s="225"/>
      <c r="I332" s="225"/>
      <c r="J332" s="225"/>
      <c r="K332" s="244"/>
      <c r="L332" s="225"/>
      <c r="M332" s="225"/>
      <c r="N332" s="225"/>
      <c r="O332" s="225"/>
      <c r="P332" s="225"/>
      <c r="Q332" s="227"/>
      <c r="R332" s="234"/>
      <c r="S332" s="225"/>
      <c r="T332" s="225"/>
      <c r="U332" s="225"/>
      <c r="V332" s="225"/>
      <c r="W332" s="225"/>
      <c r="X332" s="225"/>
      <c r="Y332" s="229"/>
      <c r="Z332" s="257"/>
      <c r="AA332" s="225"/>
      <c r="AB332" s="257"/>
      <c r="AC332" s="257"/>
      <c r="AD332" s="226"/>
      <c r="AE332" s="259"/>
      <c r="AF332" s="347"/>
      <c r="AG332" s="232"/>
      <c r="AH332" s="257"/>
      <c r="AI332" s="225"/>
      <c r="AJ332" s="267"/>
      <c r="AK332" s="259"/>
      <c r="AL332" s="226"/>
      <c r="AM332" s="225"/>
      <c r="AN332" s="225"/>
      <c r="AO332" s="254"/>
      <c r="AP332" s="225"/>
      <c r="AQ332" s="225"/>
      <c r="AR332" s="226"/>
      <c r="AS332" s="225"/>
      <c r="AT332" s="225"/>
      <c r="AU332" s="225"/>
      <c r="AV332" s="225"/>
      <c r="AW332" s="225"/>
      <c r="AX332" s="226"/>
      <c r="AY332" s="225"/>
      <c r="AZ332" s="225"/>
      <c r="BA332" s="226"/>
      <c r="BB332" s="225"/>
      <c r="BC332" s="225"/>
      <c r="BD332" s="225"/>
      <c r="BE332" s="225"/>
      <c r="BF332" s="225"/>
      <c r="BG332" s="225"/>
      <c r="BH332" s="225"/>
      <c r="BI332" s="225"/>
      <c r="BJ332" s="225"/>
      <c r="BK332" s="225"/>
      <c r="BL332" s="225"/>
      <c r="BM332" s="225"/>
      <c r="BN332" s="225"/>
      <c r="BO332" s="225"/>
      <c r="BP332" s="225"/>
      <c r="BQ332" s="225"/>
      <c r="BR332" s="225"/>
      <c r="BS332" s="225"/>
      <c r="BT332" s="226"/>
      <c r="BU332" s="225"/>
      <c r="BV332" s="225"/>
      <c r="BW332" s="225"/>
      <c r="BX332" s="225"/>
      <c r="BY332" s="225"/>
      <c r="BZ332" s="225"/>
    </row>
    <row r="333">
      <c r="A333" s="225"/>
      <c r="B333" s="225"/>
      <c r="C333" s="225"/>
      <c r="D333" s="226"/>
      <c r="E333" s="225"/>
      <c r="F333" s="225"/>
      <c r="G333" s="225"/>
      <c r="H333" s="225"/>
      <c r="I333" s="225"/>
      <c r="J333" s="225"/>
      <c r="K333" s="244"/>
      <c r="L333" s="225"/>
      <c r="M333" s="225"/>
      <c r="N333" s="225"/>
      <c r="O333" s="225"/>
      <c r="P333" s="225"/>
      <c r="Q333" s="227"/>
      <c r="R333" s="234"/>
      <c r="S333" s="225"/>
      <c r="T333" s="225"/>
      <c r="U333" s="225"/>
      <c r="V333" s="225"/>
      <c r="W333" s="225"/>
      <c r="X333" s="225"/>
      <c r="Y333" s="229"/>
      <c r="Z333" s="257"/>
      <c r="AA333" s="225"/>
      <c r="AB333" s="257"/>
      <c r="AC333" s="257"/>
      <c r="AD333" s="226"/>
      <c r="AE333" s="259"/>
      <c r="AF333" s="347"/>
      <c r="AG333" s="232"/>
      <c r="AH333" s="257"/>
      <c r="AI333" s="225"/>
      <c r="AJ333" s="267"/>
      <c r="AK333" s="259"/>
      <c r="AL333" s="226"/>
      <c r="AM333" s="225"/>
      <c r="AN333" s="225"/>
      <c r="AO333" s="254"/>
      <c r="AP333" s="225"/>
      <c r="AQ333" s="225"/>
      <c r="AR333" s="226"/>
      <c r="AS333" s="225"/>
      <c r="AT333" s="225"/>
      <c r="AU333" s="225"/>
      <c r="AV333" s="225"/>
      <c r="AW333" s="225"/>
      <c r="AX333" s="226"/>
      <c r="AY333" s="225"/>
      <c r="AZ333" s="225"/>
      <c r="BA333" s="226"/>
      <c r="BB333" s="225"/>
      <c r="BC333" s="225"/>
      <c r="BD333" s="225"/>
      <c r="BE333" s="225"/>
      <c r="BF333" s="225"/>
      <c r="BG333" s="225"/>
      <c r="BH333" s="225"/>
      <c r="BI333" s="225"/>
      <c r="BJ333" s="225"/>
      <c r="BK333" s="225"/>
      <c r="BL333" s="225"/>
      <c r="BM333" s="225"/>
      <c r="BN333" s="225"/>
      <c r="BO333" s="225"/>
      <c r="BP333" s="225"/>
      <c r="BQ333" s="225"/>
      <c r="BR333" s="225"/>
      <c r="BS333" s="225"/>
      <c r="BT333" s="226"/>
      <c r="BU333" s="225"/>
      <c r="BV333" s="225"/>
      <c r="BW333" s="225"/>
      <c r="BX333" s="225"/>
      <c r="BY333" s="225"/>
      <c r="BZ333" s="225"/>
    </row>
    <row r="334">
      <c r="A334" s="225"/>
      <c r="B334" s="225"/>
      <c r="C334" s="225"/>
      <c r="D334" s="226"/>
      <c r="E334" s="225"/>
      <c r="F334" s="225"/>
      <c r="G334" s="225"/>
      <c r="H334" s="225"/>
      <c r="I334" s="225"/>
      <c r="J334" s="225"/>
      <c r="K334" s="244"/>
      <c r="L334" s="225"/>
      <c r="M334" s="225"/>
      <c r="N334" s="225"/>
      <c r="O334" s="225"/>
      <c r="P334" s="225"/>
      <c r="Q334" s="227"/>
      <c r="R334" s="234"/>
      <c r="S334" s="225"/>
      <c r="T334" s="225"/>
      <c r="U334" s="225"/>
      <c r="V334" s="225"/>
      <c r="W334" s="225"/>
      <c r="X334" s="225"/>
      <c r="Y334" s="229"/>
      <c r="Z334" s="257"/>
      <c r="AA334" s="225"/>
      <c r="AB334" s="257"/>
      <c r="AC334" s="257"/>
      <c r="AD334" s="226"/>
      <c r="AE334" s="259"/>
      <c r="AF334" s="347"/>
      <c r="AG334" s="232"/>
      <c r="AH334" s="257"/>
      <c r="AI334" s="225"/>
      <c r="AJ334" s="267"/>
      <c r="AK334" s="259"/>
      <c r="AL334" s="226"/>
      <c r="AM334" s="225"/>
      <c r="AN334" s="225"/>
      <c r="AO334" s="254"/>
      <c r="AP334" s="225"/>
      <c r="AQ334" s="225"/>
      <c r="AR334" s="226"/>
      <c r="AS334" s="225"/>
      <c r="AT334" s="225"/>
      <c r="AU334" s="225"/>
      <c r="AV334" s="225"/>
      <c r="AW334" s="225"/>
      <c r="AX334" s="226"/>
      <c r="AY334" s="225"/>
      <c r="AZ334" s="225"/>
      <c r="BA334" s="226"/>
      <c r="BB334" s="225"/>
      <c r="BC334" s="225"/>
      <c r="BD334" s="225"/>
      <c r="BE334" s="225"/>
      <c r="BF334" s="225"/>
      <c r="BG334" s="225"/>
      <c r="BH334" s="225"/>
      <c r="BI334" s="225"/>
      <c r="BJ334" s="225"/>
      <c r="BK334" s="225"/>
      <c r="BL334" s="225"/>
      <c r="BM334" s="225"/>
      <c r="BN334" s="225"/>
      <c r="BO334" s="225"/>
      <c r="BP334" s="225"/>
      <c r="BQ334" s="225"/>
      <c r="BR334" s="225"/>
      <c r="BS334" s="225"/>
      <c r="BT334" s="226"/>
      <c r="BU334" s="225"/>
      <c r="BV334" s="225"/>
      <c r="BW334" s="225"/>
      <c r="BX334" s="225"/>
      <c r="BY334" s="225"/>
      <c r="BZ334" s="225"/>
    </row>
    <row r="335">
      <c r="A335" s="225"/>
      <c r="B335" s="225"/>
      <c r="C335" s="225"/>
      <c r="D335" s="226"/>
      <c r="E335" s="225"/>
      <c r="F335" s="225"/>
      <c r="G335" s="225"/>
      <c r="H335" s="225"/>
      <c r="I335" s="225"/>
      <c r="J335" s="225"/>
      <c r="K335" s="244"/>
      <c r="L335" s="225"/>
      <c r="M335" s="225"/>
      <c r="N335" s="225"/>
      <c r="O335" s="225"/>
      <c r="P335" s="225"/>
      <c r="Q335" s="227"/>
      <c r="R335" s="234"/>
      <c r="S335" s="225"/>
      <c r="T335" s="225"/>
      <c r="U335" s="225"/>
      <c r="V335" s="225"/>
      <c r="W335" s="225"/>
      <c r="X335" s="225"/>
      <c r="Y335" s="229"/>
      <c r="Z335" s="257"/>
      <c r="AA335" s="225"/>
      <c r="AB335" s="257"/>
      <c r="AC335" s="257"/>
      <c r="AD335" s="226"/>
      <c r="AE335" s="259"/>
      <c r="AF335" s="347"/>
      <c r="AG335" s="232"/>
      <c r="AH335" s="257"/>
      <c r="AI335" s="225"/>
      <c r="AJ335" s="267"/>
      <c r="AK335" s="259"/>
      <c r="AL335" s="226"/>
      <c r="AM335" s="225"/>
      <c r="AN335" s="225"/>
      <c r="AO335" s="254"/>
      <c r="AP335" s="225"/>
      <c r="AQ335" s="225"/>
      <c r="AR335" s="226"/>
      <c r="AS335" s="225"/>
      <c r="AT335" s="225"/>
      <c r="AU335" s="225"/>
      <c r="AV335" s="225"/>
      <c r="AW335" s="225"/>
      <c r="AX335" s="226"/>
      <c r="AY335" s="225"/>
      <c r="AZ335" s="225"/>
      <c r="BA335" s="226"/>
      <c r="BB335" s="225"/>
      <c r="BC335" s="225"/>
      <c r="BD335" s="225"/>
      <c r="BE335" s="225"/>
      <c r="BF335" s="225"/>
      <c r="BG335" s="225"/>
      <c r="BH335" s="225"/>
      <c r="BI335" s="225"/>
      <c r="BJ335" s="225"/>
      <c r="BK335" s="225"/>
      <c r="BL335" s="225"/>
      <c r="BM335" s="225"/>
      <c r="BN335" s="225"/>
      <c r="BO335" s="225"/>
      <c r="BP335" s="225"/>
      <c r="BQ335" s="225"/>
      <c r="BR335" s="225"/>
      <c r="BS335" s="225"/>
      <c r="BT335" s="226"/>
      <c r="BU335" s="225"/>
      <c r="BV335" s="225"/>
      <c r="BW335" s="225"/>
      <c r="BX335" s="225"/>
      <c r="BY335" s="225"/>
      <c r="BZ335" s="225"/>
    </row>
    <row r="336">
      <c r="A336" s="225"/>
      <c r="B336" s="225"/>
      <c r="C336" s="225"/>
      <c r="D336" s="226"/>
      <c r="E336" s="225"/>
      <c r="F336" s="225"/>
      <c r="G336" s="225"/>
      <c r="H336" s="225"/>
      <c r="I336" s="225"/>
      <c r="J336" s="225"/>
      <c r="K336" s="244"/>
      <c r="L336" s="225"/>
      <c r="M336" s="225"/>
      <c r="N336" s="225"/>
      <c r="O336" s="225"/>
      <c r="P336" s="225"/>
      <c r="Q336" s="227"/>
      <c r="R336" s="234"/>
      <c r="S336" s="225"/>
      <c r="T336" s="225"/>
      <c r="U336" s="225"/>
      <c r="V336" s="225"/>
      <c r="W336" s="225"/>
      <c r="X336" s="225"/>
      <c r="Y336" s="229"/>
      <c r="Z336" s="257"/>
      <c r="AA336" s="225"/>
      <c r="AB336" s="257"/>
      <c r="AC336" s="257"/>
      <c r="AD336" s="226"/>
      <c r="AE336" s="259"/>
      <c r="AF336" s="347"/>
      <c r="AG336" s="232"/>
      <c r="AH336" s="257"/>
      <c r="AI336" s="225"/>
      <c r="AJ336" s="267"/>
      <c r="AK336" s="259"/>
      <c r="AL336" s="226"/>
      <c r="AM336" s="225"/>
      <c r="AN336" s="225"/>
      <c r="AO336" s="254"/>
      <c r="AP336" s="225"/>
      <c r="AQ336" s="225"/>
      <c r="AR336" s="226"/>
      <c r="AS336" s="225"/>
      <c r="AT336" s="225"/>
      <c r="AU336" s="225"/>
      <c r="AV336" s="225"/>
      <c r="AW336" s="225"/>
      <c r="AX336" s="226"/>
      <c r="AY336" s="225"/>
      <c r="AZ336" s="225"/>
      <c r="BA336" s="226"/>
      <c r="BB336" s="225"/>
      <c r="BC336" s="225"/>
      <c r="BD336" s="225"/>
      <c r="BE336" s="225"/>
      <c r="BF336" s="225"/>
      <c r="BG336" s="225"/>
      <c r="BH336" s="225"/>
      <c r="BI336" s="225"/>
      <c r="BJ336" s="225"/>
      <c r="BK336" s="225"/>
      <c r="BL336" s="225"/>
      <c r="BM336" s="225"/>
      <c r="BN336" s="225"/>
      <c r="BO336" s="225"/>
      <c r="BP336" s="225"/>
      <c r="BQ336" s="225"/>
      <c r="BR336" s="225"/>
      <c r="BS336" s="225"/>
      <c r="BT336" s="226"/>
      <c r="BU336" s="225"/>
      <c r="BV336" s="225"/>
      <c r="BW336" s="225"/>
      <c r="BX336" s="225"/>
      <c r="BY336" s="225"/>
      <c r="BZ336" s="225"/>
    </row>
    <row r="337">
      <c r="A337" s="225"/>
      <c r="B337" s="225"/>
      <c r="C337" s="225"/>
      <c r="D337" s="226"/>
      <c r="E337" s="225"/>
      <c r="F337" s="225"/>
      <c r="G337" s="225"/>
      <c r="H337" s="225"/>
      <c r="I337" s="225"/>
      <c r="J337" s="225"/>
      <c r="K337" s="244"/>
      <c r="L337" s="225"/>
      <c r="M337" s="225"/>
      <c r="N337" s="225"/>
      <c r="O337" s="225"/>
      <c r="P337" s="225"/>
      <c r="Q337" s="227"/>
      <c r="R337" s="234"/>
      <c r="S337" s="225"/>
      <c r="T337" s="225"/>
      <c r="U337" s="225"/>
      <c r="V337" s="225"/>
      <c r="W337" s="225"/>
      <c r="X337" s="225"/>
      <c r="Y337" s="229"/>
      <c r="Z337" s="257"/>
      <c r="AA337" s="225"/>
      <c r="AB337" s="257"/>
      <c r="AC337" s="257"/>
      <c r="AD337" s="226"/>
      <c r="AE337" s="259"/>
      <c r="AF337" s="347"/>
      <c r="AG337" s="232"/>
      <c r="AH337" s="257"/>
      <c r="AI337" s="225"/>
      <c r="AJ337" s="267"/>
      <c r="AK337" s="259"/>
      <c r="AL337" s="226"/>
      <c r="AM337" s="225"/>
      <c r="AN337" s="225"/>
      <c r="AO337" s="254"/>
      <c r="AP337" s="225"/>
      <c r="AQ337" s="225"/>
      <c r="AR337" s="226"/>
      <c r="AS337" s="225"/>
      <c r="AT337" s="225"/>
      <c r="AU337" s="225"/>
      <c r="AV337" s="225"/>
      <c r="AW337" s="225"/>
      <c r="AX337" s="226"/>
      <c r="AY337" s="225"/>
      <c r="AZ337" s="225"/>
      <c r="BA337" s="226"/>
      <c r="BB337" s="225"/>
      <c r="BC337" s="225"/>
      <c r="BD337" s="225"/>
      <c r="BE337" s="225"/>
      <c r="BF337" s="225"/>
      <c r="BG337" s="225"/>
      <c r="BH337" s="225"/>
      <c r="BI337" s="225"/>
      <c r="BJ337" s="225"/>
      <c r="BK337" s="225"/>
      <c r="BL337" s="225"/>
      <c r="BM337" s="225"/>
      <c r="BN337" s="225"/>
      <c r="BO337" s="225"/>
      <c r="BP337" s="225"/>
      <c r="BQ337" s="225"/>
      <c r="BR337" s="225"/>
      <c r="BS337" s="225"/>
      <c r="BT337" s="226"/>
      <c r="BU337" s="225"/>
      <c r="BV337" s="225"/>
      <c r="BW337" s="225"/>
      <c r="BX337" s="225"/>
      <c r="BY337" s="225"/>
      <c r="BZ337" s="225"/>
    </row>
    <row r="338">
      <c r="A338" s="225"/>
      <c r="B338" s="225"/>
      <c r="C338" s="225"/>
      <c r="D338" s="226"/>
      <c r="E338" s="225"/>
      <c r="F338" s="225"/>
      <c r="G338" s="225"/>
      <c r="H338" s="225"/>
      <c r="I338" s="225"/>
      <c r="J338" s="225"/>
      <c r="K338" s="244"/>
      <c r="L338" s="225"/>
      <c r="M338" s="225"/>
      <c r="N338" s="225"/>
      <c r="O338" s="225"/>
      <c r="P338" s="225"/>
      <c r="Q338" s="227"/>
      <c r="R338" s="234"/>
      <c r="S338" s="225"/>
      <c r="T338" s="225"/>
      <c r="U338" s="225"/>
      <c r="V338" s="225"/>
      <c r="W338" s="225"/>
      <c r="X338" s="225"/>
      <c r="Y338" s="229"/>
      <c r="Z338" s="257"/>
      <c r="AA338" s="225"/>
      <c r="AB338" s="257"/>
      <c r="AC338" s="257"/>
      <c r="AD338" s="226"/>
      <c r="AE338" s="259"/>
      <c r="AF338" s="347"/>
      <c r="AG338" s="232"/>
      <c r="AH338" s="257"/>
      <c r="AI338" s="225"/>
      <c r="AJ338" s="267"/>
      <c r="AK338" s="259"/>
      <c r="AL338" s="226"/>
      <c r="AM338" s="225"/>
      <c r="AN338" s="225"/>
      <c r="AO338" s="254"/>
      <c r="AP338" s="225"/>
      <c r="AQ338" s="225"/>
      <c r="AR338" s="226"/>
      <c r="AS338" s="225"/>
      <c r="AT338" s="225"/>
      <c r="AU338" s="225"/>
      <c r="AV338" s="225"/>
      <c r="AW338" s="225"/>
      <c r="AX338" s="226"/>
      <c r="AY338" s="225"/>
      <c r="AZ338" s="225"/>
      <c r="BA338" s="226"/>
      <c r="BB338" s="225"/>
      <c r="BC338" s="225"/>
      <c r="BD338" s="225"/>
      <c r="BE338" s="225"/>
      <c r="BF338" s="225"/>
      <c r="BG338" s="225"/>
      <c r="BH338" s="225"/>
      <c r="BI338" s="225"/>
      <c r="BJ338" s="225"/>
      <c r="BK338" s="225"/>
      <c r="BL338" s="225"/>
      <c r="BM338" s="225"/>
      <c r="BN338" s="225"/>
      <c r="BO338" s="225"/>
      <c r="BP338" s="225"/>
      <c r="BQ338" s="225"/>
      <c r="BR338" s="225"/>
      <c r="BS338" s="225"/>
      <c r="BT338" s="226"/>
      <c r="BU338" s="225"/>
      <c r="BV338" s="225"/>
      <c r="BW338" s="225"/>
      <c r="BX338" s="225"/>
      <c r="BY338" s="225"/>
      <c r="BZ338" s="225"/>
    </row>
    <row r="339">
      <c r="A339" s="225"/>
      <c r="B339" s="225"/>
      <c r="C339" s="225"/>
      <c r="D339" s="226"/>
      <c r="E339" s="225"/>
      <c r="F339" s="225"/>
      <c r="G339" s="225"/>
      <c r="H339" s="225"/>
      <c r="I339" s="225"/>
      <c r="J339" s="225"/>
      <c r="K339" s="244"/>
      <c r="L339" s="225"/>
      <c r="M339" s="225"/>
      <c r="N339" s="225"/>
      <c r="O339" s="225"/>
      <c r="P339" s="225"/>
      <c r="Q339" s="227"/>
      <c r="R339" s="234"/>
      <c r="S339" s="225"/>
      <c r="T339" s="225"/>
      <c r="U339" s="225"/>
      <c r="V339" s="225"/>
      <c r="W339" s="225"/>
      <c r="X339" s="225"/>
      <c r="Y339" s="229"/>
      <c r="Z339" s="257"/>
      <c r="AA339" s="225"/>
      <c r="AB339" s="257"/>
      <c r="AC339" s="257"/>
      <c r="AD339" s="226"/>
      <c r="AE339" s="259"/>
      <c r="AF339" s="347"/>
      <c r="AG339" s="232"/>
      <c r="AH339" s="257"/>
      <c r="AI339" s="225"/>
      <c r="AJ339" s="267"/>
      <c r="AK339" s="259"/>
      <c r="AL339" s="226"/>
      <c r="AM339" s="225"/>
      <c r="AN339" s="225"/>
      <c r="AO339" s="254"/>
      <c r="AP339" s="225"/>
      <c r="AQ339" s="225"/>
      <c r="AR339" s="226"/>
      <c r="AS339" s="225"/>
      <c r="AT339" s="225"/>
      <c r="AU339" s="225"/>
      <c r="AV339" s="225"/>
      <c r="AW339" s="225"/>
      <c r="AX339" s="226"/>
      <c r="AY339" s="225"/>
      <c r="AZ339" s="225"/>
      <c r="BA339" s="226"/>
      <c r="BB339" s="225"/>
      <c r="BC339" s="225"/>
      <c r="BD339" s="225"/>
      <c r="BE339" s="225"/>
      <c r="BF339" s="225"/>
      <c r="BG339" s="225"/>
      <c r="BH339" s="225"/>
      <c r="BI339" s="225"/>
      <c r="BJ339" s="225"/>
      <c r="BK339" s="225"/>
      <c r="BL339" s="225"/>
      <c r="BM339" s="225"/>
      <c r="BN339" s="225"/>
      <c r="BO339" s="225"/>
      <c r="BP339" s="225"/>
      <c r="BQ339" s="225"/>
      <c r="BR339" s="225"/>
      <c r="BS339" s="225"/>
      <c r="BT339" s="226"/>
      <c r="BU339" s="225"/>
      <c r="BV339" s="225"/>
      <c r="BW339" s="225"/>
      <c r="BX339" s="225"/>
      <c r="BY339" s="225"/>
      <c r="BZ339" s="225"/>
    </row>
    <row r="340">
      <c r="A340" s="225"/>
      <c r="B340" s="225"/>
      <c r="C340" s="225"/>
      <c r="D340" s="226"/>
      <c r="E340" s="225"/>
      <c r="F340" s="225"/>
      <c r="G340" s="225"/>
      <c r="H340" s="225"/>
      <c r="I340" s="225"/>
      <c r="J340" s="225"/>
      <c r="K340" s="244"/>
      <c r="L340" s="225"/>
      <c r="M340" s="225"/>
      <c r="N340" s="225"/>
      <c r="O340" s="225"/>
      <c r="P340" s="225"/>
      <c r="Q340" s="227"/>
      <c r="R340" s="234"/>
      <c r="S340" s="225"/>
      <c r="T340" s="225"/>
      <c r="U340" s="225"/>
      <c r="V340" s="225"/>
      <c r="W340" s="225"/>
      <c r="X340" s="225"/>
      <c r="Y340" s="229"/>
      <c r="Z340" s="257"/>
      <c r="AA340" s="225"/>
      <c r="AB340" s="257"/>
      <c r="AC340" s="257"/>
      <c r="AD340" s="226"/>
      <c r="AE340" s="259"/>
      <c r="AF340" s="347"/>
      <c r="AG340" s="232"/>
      <c r="AH340" s="257"/>
      <c r="AI340" s="225"/>
      <c r="AJ340" s="267"/>
      <c r="AK340" s="259"/>
      <c r="AL340" s="226"/>
      <c r="AM340" s="225"/>
      <c r="AN340" s="225"/>
      <c r="AO340" s="254"/>
      <c r="AP340" s="225"/>
      <c r="AQ340" s="225"/>
      <c r="AR340" s="226"/>
      <c r="AS340" s="225"/>
      <c r="AT340" s="225"/>
      <c r="AU340" s="225"/>
      <c r="AV340" s="225"/>
      <c r="AW340" s="225"/>
      <c r="AX340" s="226"/>
      <c r="AY340" s="225"/>
      <c r="AZ340" s="225"/>
      <c r="BA340" s="226"/>
      <c r="BB340" s="225"/>
      <c r="BC340" s="225"/>
      <c r="BD340" s="225"/>
      <c r="BE340" s="225"/>
      <c r="BF340" s="225"/>
      <c r="BG340" s="225"/>
      <c r="BH340" s="225"/>
      <c r="BI340" s="225"/>
      <c r="BJ340" s="225"/>
      <c r="BK340" s="225"/>
      <c r="BL340" s="225"/>
      <c r="BM340" s="225"/>
      <c r="BN340" s="225"/>
      <c r="BO340" s="225"/>
      <c r="BP340" s="225"/>
      <c r="BQ340" s="225"/>
      <c r="BR340" s="225"/>
      <c r="BS340" s="225"/>
      <c r="BT340" s="226"/>
      <c r="BU340" s="225"/>
      <c r="BV340" s="225"/>
      <c r="BW340" s="225"/>
      <c r="BX340" s="225"/>
      <c r="BY340" s="225"/>
      <c r="BZ340" s="225"/>
    </row>
    <row r="341">
      <c r="A341" s="225"/>
      <c r="B341" s="225"/>
      <c r="C341" s="225"/>
      <c r="D341" s="226"/>
      <c r="E341" s="225"/>
      <c r="F341" s="225"/>
      <c r="G341" s="225"/>
      <c r="H341" s="225"/>
      <c r="I341" s="225"/>
      <c r="J341" s="225"/>
      <c r="K341" s="244"/>
      <c r="L341" s="225"/>
      <c r="M341" s="225"/>
      <c r="N341" s="225"/>
      <c r="O341" s="225"/>
      <c r="P341" s="225"/>
      <c r="Q341" s="227"/>
      <c r="R341" s="234"/>
      <c r="S341" s="225"/>
      <c r="T341" s="225"/>
      <c r="U341" s="225"/>
      <c r="V341" s="225"/>
      <c r="W341" s="225"/>
      <c r="X341" s="225"/>
      <c r="Y341" s="229"/>
      <c r="Z341" s="257"/>
      <c r="AA341" s="225"/>
      <c r="AB341" s="257"/>
      <c r="AC341" s="257"/>
      <c r="AD341" s="226"/>
      <c r="AE341" s="259"/>
      <c r="AF341" s="347"/>
      <c r="AG341" s="232"/>
      <c r="AH341" s="257"/>
      <c r="AI341" s="225"/>
      <c r="AJ341" s="267"/>
      <c r="AK341" s="259"/>
      <c r="AL341" s="226"/>
      <c r="AM341" s="225"/>
      <c r="AN341" s="225"/>
      <c r="AO341" s="254"/>
      <c r="AP341" s="225"/>
      <c r="AQ341" s="225"/>
      <c r="AR341" s="226"/>
      <c r="AS341" s="225"/>
      <c r="AT341" s="225"/>
      <c r="AU341" s="225"/>
      <c r="AV341" s="225"/>
      <c r="AW341" s="225"/>
      <c r="AX341" s="226"/>
      <c r="AY341" s="225"/>
      <c r="AZ341" s="225"/>
      <c r="BA341" s="226"/>
      <c r="BB341" s="225"/>
      <c r="BC341" s="225"/>
      <c r="BD341" s="225"/>
      <c r="BE341" s="225"/>
      <c r="BF341" s="225"/>
      <c r="BG341" s="225"/>
      <c r="BH341" s="225"/>
      <c r="BI341" s="225"/>
      <c r="BJ341" s="225"/>
      <c r="BK341" s="225"/>
      <c r="BL341" s="225"/>
      <c r="BM341" s="225"/>
      <c r="BN341" s="225"/>
      <c r="BO341" s="225"/>
      <c r="BP341" s="225"/>
      <c r="BQ341" s="225"/>
      <c r="BR341" s="225"/>
      <c r="BS341" s="225"/>
      <c r="BT341" s="226"/>
      <c r="BU341" s="225"/>
      <c r="BV341" s="225"/>
      <c r="BW341" s="225"/>
      <c r="BX341" s="225"/>
      <c r="BY341" s="225"/>
      <c r="BZ341" s="225"/>
    </row>
    <row r="342">
      <c r="A342" s="225"/>
      <c r="B342" s="225"/>
      <c r="C342" s="225"/>
      <c r="D342" s="226"/>
      <c r="E342" s="225"/>
      <c r="F342" s="225"/>
      <c r="G342" s="225"/>
      <c r="H342" s="225"/>
      <c r="I342" s="225"/>
      <c r="J342" s="225"/>
      <c r="K342" s="244"/>
      <c r="L342" s="225"/>
      <c r="M342" s="225"/>
      <c r="N342" s="225"/>
      <c r="O342" s="225"/>
      <c r="P342" s="225"/>
      <c r="Q342" s="227"/>
      <c r="R342" s="234"/>
      <c r="S342" s="225"/>
      <c r="T342" s="225"/>
      <c r="U342" s="225"/>
      <c r="V342" s="225"/>
      <c r="W342" s="225"/>
      <c r="X342" s="225"/>
      <c r="Y342" s="229"/>
      <c r="Z342" s="257"/>
      <c r="AA342" s="225"/>
      <c r="AB342" s="257"/>
      <c r="AC342" s="257"/>
      <c r="AD342" s="226"/>
      <c r="AE342" s="259"/>
      <c r="AF342" s="347"/>
      <c r="AG342" s="232"/>
      <c r="AH342" s="257"/>
      <c r="AI342" s="225"/>
      <c r="AJ342" s="267"/>
      <c r="AK342" s="259"/>
      <c r="AL342" s="226"/>
      <c r="AM342" s="225"/>
      <c r="AN342" s="225"/>
      <c r="AO342" s="254"/>
      <c r="AP342" s="225"/>
      <c r="AQ342" s="225"/>
      <c r="AR342" s="226"/>
      <c r="AS342" s="225"/>
      <c r="AT342" s="225"/>
      <c r="AU342" s="225"/>
      <c r="AV342" s="225"/>
      <c r="AW342" s="225"/>
      <c r="AX342" s="226"/>
      <c r="AY342" s="225"/>
      <c r="AZ342" s="225"/>
      <c r="BA342" s="226"/>
      <c r="BB342" s="225"/>
      <c r="BC342" s="225"/>
      <c r="BD342" s="225"/>
      <c r="BE342" s="225"/>
      <c r="BF342" s="225"/>
      <c r="BG342" s="225"/>
      <c r="BH342" s="225"/>
      <c r="BI342" s="225"/>
      <c r="BJ342" s="225"/>
      <c r="BK342" s="225"/>
      <c r="BL342" s="225"/>
      <c r="BM342" s="225"/>
      <c r="BN342" s="225"/>
      <c r="BO342" s="225"/>
      <c r="BP342" s="225"/>
      <c r="BQ342" s="225"/>
      <c r="BR342" s="225"/>
      <c r="BS342" s="225"/>
      <c r="BT342" s="226"/>
      <c r="BU342" s="225"/>
      <c r="BV342" s="225"/>
      <c r="BW342" s="225"/>
      <c r="BX342" s="225"/>
      <c r="BY342" s="225"/>
      <c r="BZ342" s="225"/>
    </row>
    <row r="343">
      <c r="A343" s="225"/>
      <c r="B343" s="225"/>
      <c r="C343" s="225"/>
      <c r="D343" s="226"/>
      <c r="E343" s="225"/>
      <c r="F343" s="225"/>
      <c r="G343" s="225"/>
      <c r="H343" s="225"/>
      <c r="I343" s="225"/>
      <c r="J343" s="225"/>
      <c r="K343" s="244"/>
      <c r="L343" s="225"/>
      <c r="M343" s="225"/>
      <c r="N343" s="225"/>
      <c r="O343" s="225"/>
      <c r="P343" s="225"/>
      <c r="Q343" s="227"/>
      <c r="R343" s="234"/>
      <c r="S343" s="225"/>
      <c r="T343" s="225"/>
      <c r="U343" s="225"/>
      <c r="V343" s="225"/>
      <c r="W343" s="225"/>
      <c r="X343" s="225"/>
      <c r="Y343" s="229"/>
      <c r="Z343" s="257"/>
      <c r="AA343" s="225"/>
      <c r="AB343" s="257"/>
      <c r="AC343" s="257"/>
      <c r="AD343" s="226"/>
      <c r="AE343" s="259"/>
      <c r="AF343" s="347"/>
      <c r="AG343" s="232"/>
      <c r="AH343" s="257"/>
      <c r="AI343" s="225"/>
      <c r="AJ343" s="267"/>
      <c r="AK343" s="259"/>
      <c r="AL343" s="226"/>
      <c r="AM343" s="225"/>
      <c r="AN343" s="225"/>
      <c r="AO343" s="254"/>
      <c r="AP343" s="225"/>
      <c r="AQ343" s="225"/>
      <c r="AR343" s="226"/>
      <c r="AS343" s="225"/>
      <c r="AT343" s="225"/>
      <c r="AU343" s="225"/>
      <c r="AV343" s="225"/>
      <c r="AW343" s="225"/>
      <c r="AX343" s="226"/>
      <c r="AY343" s="225"/>
      <c r="AZ343" s="225"/>
      <c r="BA343" s="226"/>
      <c r="BB343" s="225"/>
      <c r="BC343" s="225"/>
      <c r="BD343" s="225"/>
      <c r="BE343" s="225"/>
      <c r="BF343" s="225"/>
      <c r="BG343" s="225"/>
      <c r="BH343" s="225"/>
      <c r="BI343" s="225"/>
      <c r="BJ343" s="225"/>
      <c r="BK343" s="225"/>
      <c r="BL343" s="225"/>
      <c r="BM343" s="225"/>
      <c r="BN343" s="225"/>
      <c r="BO343" s="225"/>
      <c r="BP343" s="225"/>
      <c r="BQ343" s="225"/>
      <c r="BR343" s="225"/>
      <c r="BS343" s="225"/>
      <c r="BT343" s="226"/>
      <c r="BU343" s="225"/>
      <c r="BV343" s="225"/>
      <c r="BW343" s="225"/>
      <c r="BX343" s="225"/>
      <c r="BY343" s="225"/>
      <c r="BZ343" s="225"/>
    </row>
    <row r="344">
      <c r="A344" s="225"/>
      <c r="B344" s="225"/>
      <c r="C344" s="225"/>
      <c r="D344" s="226"/>
      <c r="E344" s="225"/>
      <c r="F344" s="225"/>
      <c r="G344" s="225"/>
      <c r="H344" s="225"/>
      <c r="I344" s="225"/>
      <c r="J344" s="225"/>
      <c r="K344" s="244"/>
      <c r="L344" s="225"/>
      <c r="M344" s="225"/>
      <c r="N344" s="225"/>
      <c r="O344" s="225"/>
      <c r="P344" s="225"/>
      <c r="Q344" s="227"/>
      <c r="R344" s="234"/>
      <c r="S344" s="225"/>
      <c r="T344" s="225"/>
      <c r="U344" s="225"/>
      <c r="V344" s="225"/>
      <c r="W344" s="225"/>
      <c r="X344" s="225"/>
      <c r="Y344" s="229"/>
      <c r="Z344" s="257"/>
      <c r="AA344" s="225"/>
      <c r="AB344" s="257"/>
      <c r="AC344" s="257"/>
      <c r="AD344" s="226"/>
      <c r="AE344" s="259"/>
      <c r="AF344" s="347"/>
      <c r="AG344" s="232"/>
      <c r="AH344" s="257"/>
      <c r="AI344" s="225"/>
      <c r="AJ344" s="267"/>
      <c r="AK344" s="259"/>
      <c r="AL344" s="226"/>
      <c r="AM344" s="225"/>
      <c r="AN344" s="225"/>
      <c r="AO344" s="254"/>
      <c r="AP344" s="225"/>
      <c r="AQ344" s="225"/>
      <c r="AR344" s="226"/>
      <c r="AS344" s="225"/>
      <c r="AT344" s="225"/>
      <c r="AU344" s="225"/>
      <c r="AV344" s="225"/>
      <c r="AW344" s="225"/>
      <c r="AX344" s="226"/>
      <c r="AY344" s="225"/>
      <c r="AZ344" s="225"/>
      <c r="BA344" s="226"/>
      <c r="BB344" s="225"/>
      <c r="BC344" s="225"/>
      <c r="BD344" s="225"/>
      <c r="BE344" s="225"/>
      <c r="BF344" s="225"/>
      <c r="BG344" s="225"/>
      <c r="BH344" s="225"/>
      <c r="BI344" s="225"/>
      <c r="BJ344" s="225"/>
      <c r="BK344" s="225"/>
      <c r="BL344" s="225"/>
      <c r="BM344" s="225"/>
      <c r="BN344" s="225"/>
      <c r="BO344" s="225"/>
      <c r="BP344" s="225"/>
      <c r="BQ344" s="225"/>
      <c r="BR344" s="225"/>
      <c r="BS344" s="225"/>
      <c r="BT344" s="226"/>
      <c r="BU344" s="225"/>
      <c r="BV344" s="225"/>
      <c r="BW344" s="225"/>
      <c r="BX344" s="225"/>
      <c r="BY344" s="225"/>
      <c r="BZ344" s="225"/>
    </row>
    <row r="345">
      <c r="A345" s="284"/>
      <c r="B345" s="225"/>
      <c r="C345" s="225"/>
      <c r="D345" s="226"/>
      <c r="E345" s="225"/>
      <c r="F345" s="225"/>
      <c r="G345" s="225"/>
      <c r="H345" s="225"/>
      <c r="I345" s="225"/>
      <c r="J345" s="225"/>
      <c r="K345" s="244"/>
      <c r="L345" s="225"/>
      <c r="M345" s="225"/>
      <c r="N345" s="225"/>
      <c r="O345" s="225"/>
      <c r="P345" s="225"/>
      <c r="Q345" s="227"/>
      <c r="R345" s="234"/>
      <c r="S345" s="225"/>
      <c r="T345" s="225"/>
      <c r="U345" s="225"/>
      <c r="V345" s="225"/>
      <c r="W345" s="225"/>
      <c r="X345" s="225"/>
      <c r="Y345" s="229"/>
      <c r="Z345" s="257"/>
      <c r="AA345" s="225"/>
      <c r="AB345" s="257"/>
      <c r="AC345" s="257"/>
      <c r="AD345" s="226"/>
      <c r="AE345" s="259"/>
      <c r="AF345" s="347"/>
      <c r="AG345" s="232"/>
      <c r="AH345" s="257"/>
      <c r="AI345" s="225"/>
      <c r="AJ345" s="267"/>
      <c r="AK345" s="259"/>
      <c r="AL345" s="226"/>
      <c r="AM345" s="225"/>
      <c r="AN345" s="225"/>
      <c r="AO345" s="254"/>
      <c r="AP345" s="225"/>
      <c r="AQ345" s="225"/>
      <c r="AR345" s="226"/>
      <c r="AS345" s="225"/>
      <c r="AT345" s="225"/>
      <c r="AU345" s="225"/>
      <c r="AV345" s="225"/>
      <c r="AW345" s="225"/>
      <c r="AX345" s="226"/>
      <c r="AY345" s="225"/>
      <c r="AZ345" s="225"/>
      <c r="BA345" s="226"/>
      <c r="BB345" s="225"/>
      <c r="BC345" s="225"/>
      <c r="BD345" s="225"/>
      <c r="BE345" s="225"/>
      <c r="BF345" s="225"/>
      <c r="BG345" s="225"/>
      <c r="BH345" s="225"/>
      <c r="BI345" s="225"/>
      <c r="BJ345" s="225"/>
      <c r="BK345" s="225"/>
      <c r="BL345" s="225"/>
      <c r="BM345" s="225"/>
      <c r="BN345" s="225"/>
      <c r="BO345" s="225"/>
      <c r="BP345" s="225"/>
      <c r="BQ345" s="225"/>
      <c r="BR345" s="225"/>
      <c r="BS345" s="225"/>
      <c r="BT345" s="226"/>
      <c r="BU345" s="225"/>
      <c r="BV345" s="225"/>
      <c r="BW345" s="225"/>
      <c r="BX345" s="225"/>
      <c r="BY345" s="225"/>
      <c r="BZ345" s="225"/>
    </row>
    <row r="346">
      <c r="A346" s="284"/>
      <c r="B346" s="225"/>
      <c r="C346" s="225"/>
      <c r="D346" s="226"/>
      <c r="E346" s="225"/>
      <c r="F346" s="225"/>
      <c r="G346" s="225"/>
      <c r="H346" s="225"/>
      <c r="I346" s="225"/>
      <c r="J346" s="225"/>
      <c r="K346" s="244"/>
      <c r="L346" s="225"/>
      <c r="M346" s="225"/>
      <c r="N346" s="225"/>
      <c r="O346" s="225"/>
      <c r="P346" s="225"/>
      <c r="Q346" s="227"/>
      <c r="R346" s="234"/>
      <c r="S346" s="225"/>
      <c r="T346" s="225"/>
      <c r="U346" s="225"/>
      <c r="V346" s="225"/>
      <c r="W346" s="225"/>
      <c r="X346" s="225"/>
      <c r="Y346" s="229"/>
      <c r="Z346" s="257"/>
      <c r="AA346" s="225"/>
      <c r="AB346" s="257"/>
      <c r="AC346" s="257"/>
      <c r="AD346" s="226"/>
      <c r="AE346" s="259"/>
      <c r="AF346" s="347"/>
      <c r="AG346" s="232"/>
      <c r="AH346" s="257"/>
      <c r="AI346" s="225"/>
      <c r="AJ346" s="267"/>
      <c r="AK346" s="259"/>
      <c r="AL346" s="226"/>
      <c r="AM346" s="225"/>
      <c r="AN346" s="225"/>
      <c r="AO346" s="254"/>
      <c r="AP346" s="225"/>
      <c r="AQ346" s="225"/>
      <c r="AR346" s="226"/>
      <c r="AS346" s="225"/>
      <c r="AT346" s="225"/>
      <c r="AU346" s="225"/>
      <c r="AV346" s="225"/>
      <c r="AW346" s="225"/>
      <c r="AX346" s="226"/>
      <c r="AY346" s="225"/>
      <c r="AZ346" s="225"/>
      <c r="BA346" s="226"/>
      <c r="BB346" s="225"/>
      <c r="BC346" s="225"/>
      <c r="BD346" s="225"/>
      <c r="BE346" s="225"/>
      <c r="BF346" s="225"/>
      <c r="BG346" s="225"/>
      <c r="BH346" s="225"/>
      <c r="BI346" s="225"/>
      <c r="BJ346" s="225"/>
      <c r="BK346" s="225"/>
      <c r="BL346" s="225"/>
      <c r="BM346" s="225"/>
      <c r="BN346" s="225"/>
      <c r="BO346" s="225"/>
      <c r="BP346" s="225"/>
      <c r="BQ346" s="225"/>
      <c r="BR346" s="225"/>
      <c r="BS346" s="225"/>
      <c r="BT346" s="226"/>
      <c r="BU346" s="225"/>
      <c r="BV346" s="225"/>
      <c r="BW346" s="225"/>
      <c r="BX346" s="225"/>
      <c r="BY346" s="225"/>
      <c r="BZ346" s="225"/>
    </row>
    <row r="347">
      <c r="A347" s="284"/>
      <c r="B347" s="225"/>
      <c r="C347" s="225"/>
      <c r="D347" s="226"/>
      <c r="E347" s="225"/>
      <c r="F347" s="225"/>
      <c r="G347" s="225"/>
      <c r="H347" s="225"/>
      <c r="I347" s="225"/>
      <c r="J347" s="225"/>
      <c r="K347" s="244"/>
      <c r="L347" s="225"/>
      <c r="M347" s="225"/>
      <c r="N347" s="225"/>
      <c r="O347" s="225"/>
      <c r="P347" s="225"/>
      <c r="Q347" s="227"/>
      <c r="R347" s="234"/>
      <c r="S347" s="225"/>
      <c r="T347" s="225"/>
      <c r="U347" s="225"/>
      <c r="V347" s="225"/>
      <c r="W347" s="225"/>
      <c r="X347" s="225"/>
      <c r="Y347" s="229"/>
      <c r="Z347" s="257"/>
      <c r="AA347" s="225"/>
      <c r="AB347" s="257"/>
      <c r="AC347" s="257"/>
      <c r="AD347" s="226"/>
      <c r="AE347" s="259"/>
      <c r="AF347" s="347"/>
      <c r="AG347" s="232"/>
      <c r="AH347" s="257"/>
      <c r="AI347" s="225"/>
      <c r="AJ347" s="267"/>
      <c r="AK347" s="259"/>
      <c r="AL347" s="226"/>
      <c r="AM347" s="225"/>
      <c r="AN347" s="225"/>
      <c r="AO347" s="254"/>
      <c r="AP347" s="225"/>
      <c r="AQ347" s="225"/>
      <c r="AR347" s="226"/>
      <c r="AS347" s="225"/>
      <c r="AT347" s="225"/>
      <c r="AU347" s="225"/>
      <c r="AV347" s="225"/>
      <c r="AW347" s="225"/>
      <c r="AX347" s="226"/>
      <c r="AY347" s="225"/>
      <c r="AZ347" s="225"/>
      <c r="BA347" s="226"/>
      <c r="BB347" s="225"/>
      <c r="BC347" s="225"/>
      <c r="BD347" s="225"/>
      <c r="BE347" s="225"/>
      <c r="BF347" s="225"/>
      <c r="BG347" s="225"/>
      <c r="BH347" s="225"/>
      <c r="BI347" s="225"/>
      <c r="BJ347" s="225"/>
      <c r="BK347" s="225"/>
      <c r="BL347" s="225"/>
      <c r="BM347" s="225"/>
      <c r="BN347" s="225"/>
      <c r="BO347" s="225"/>
      <c r="BP347" s="225"/>
      <c r="BQ347" s="225"/>
      <c r="BR347" s="225"/>
      <c r="BS347" s="225"/>
      <c r="BT347" s="226"/>
      <c r="BU347" s="225"/>
      <c r="BV347" s="225"/>
      <c r="BW347" s="225"/>
      <c r="BX347" s="225"/>
      <c r="BY347" s="225"/>
      <c r="BZ347" s="225"/>
    </row>
    <row r="348">
      <c r="A348" s="284"/>
      <c r="B348" s="225"/>
      <c r="C348" s="225"/>
      <c r="D348" s="226"/>
      <c r="E348" s="225"/>
      <c r="F348" s="225"/>
      <c r="G348" s="225"/>
      <c r="H348" s="225"/>
      <c r="I348" s="225"/>
      <c r="J348" s="225"/>
      <c r="K348" s="244"/>
      <c r="L348" s="225"/>
      <c r="M348" s="225"/>
      <c r="N348" s="225"/>
      <c r="O348" s="225"/>
      <c r="P348" s="225"/>
      <c r="Q348" s="227"/>
      <c r="R348" s="234"/>
      <c r="S348" s="225"/>
      <c r="T348" s="225"/>
      <c r="U348" s="225"/>
      <c r="V348" s="225"/>
      <c r="W348" s="225"/>
      <c r="X348" s="225"/>
      <c r="Y348" s="229"/>
      <c r="Z348" s="257"/>
      <c r="AA348" s="225"/>
      <c r="AB348" s="257"/>
      <c r="AC348" s="257"/>
      <c r="AD348" s="226"/>
      <c r="AE348" s="259"/>
      <c r="AF348" s="347"/>
      <c r="AG348" s="232"/>
      <c r="AH348" s="257"/>
      <c r="AI348" s="225"/>
      <c r="AJ348" s="267"/>
      <c r="AK348" s="259"/>
      <c r="AL348" s="226"/>
      <c r="AM348" s="225"/>
      <c r="AN348" s="225"/>
      <c r="AO348" s="254"/>
      <c r="AP348" s="225"/>
      <c r="AQ348" s="225"/>
      <c r="AR348" s="226"/>
      <c r="AS348" s="225"/>
      <c r="AT348" s="225"/>
      <c r="AU348" s="225"/>
      <c r="AV348" s="225"/>
      <c r="AW348" s="225"/>
      <c r="AX348" s="226"/>
      <c r="AY348" s="225"/>
      <c r="AZ348" s="225"/>
      <c r="BA348" s="226"/>
      <c r="BB348" s="225"/>
      <c r="BC348" s="225"/>
      <c r="BD348" s="225"/>
      <c r="BE348" s="225"/>
      <c r="BF348" s="225"/>
      <c r="BG348" s="225"/>
      <c r="BH348" s="225"/>
      <c r="BI348" s="225"/>
      <c r="BJ348" s="225"/>
      <c r="BK348" s="225"/>
      <c r="BL348" s="225"/>
      <c r="BM348" s="225"/>
      <c r="BN348" s="225"/>
      <c r="BO348" s="225"/>
      <c r="BP348" s="225"/>
      <c r="BQ348" s="225"/>
      <c r="BR348" s="225"/>
      <c r="BS348" s="225"/>
      <c r="BT348" s="226"/>
      <c r="BU348" s="225"/>
      <c r="BV348" s="225"/>
      <c r="BW348" s="225"/>
      <c r="BX348" s="225"/>
      <c r="BY348" s="225"/>
      <c r="BZ348" s="225"/>
    </row>
    <row r="349">
      <c r="A349" s="284"/>
      <c r="B349" s="225"/>
      <c r="C349" s="225"/>
      <c r="D349" s="226"/>
      <c r="E349" s="225"/>
      <c r="F349" s="225"/>
      <c r="G349" s="225"/>
      <c r="H349" s="225"/>
      <c r="I349" s="225"/>
      <c r="J349" s="225"/>
      <c r="K349" s="244"/>
      <c r="L349" s="225"/>
      <c r="M349" s="225"/>
      <c r="N349" s="225"/>
      <c r="O349" s="225"/>
      <c r="P349" s="225"/>
      <c r="Q349" s="227"/>
      <c r="R349" s="234"/>
      <c r="S349" s="225"/>
      <c r="T349" s="225"/>
      <c r="U349" s="225"/>
      <c r="V349" s="225"/>
      <c r="W349" s="225"/>
      <c r="X349" s="225"/>
      <c r="Y349" s="229"/>
      <c r="Z349" s="257"/>
      <c r="AA349" s="225"/>
      <c r="AB349" s="257"/>
      <c r="AC349" s="257"/>
      <c r="AD349" s="226"/>
      <c r="AE349" s="259"/>
      <c r="AF349" s="347"/>
      <c r="AG349" s="232"/>
      <c r="AH349" s="257"/>
      <c r="AI349" s="225"/>
      <c r="AJ349" s="267"/>
      <c r="AK349" s="259"/>
      <c r="AL349" s="226"/>
      <c r="AM349" s="225"/>
      <c r="AN349" s="225"/>
      <c r="AO349" s="254"/>
      <c r="AP349" s="225"/>
      <c r="AQ349" s="225"/>
      <c r="AR349" s="226"/>
      <c r="AS349" s="225"/>
      <c r="AT349" s="225"/>
      <c r="AU349" s="225"/>
      <c r="AV349" s="225"/>
      <c r="AW349" s="225"/>
      <c r="AX349" s="226"/>
      <c r="AY349" s="225"/>
      <c r="AZ349" s="225"/>
      <c r="BA349" s="226"/>
      <c r="BB349" s="225"/>
      <c r="BC349" s="225"/>
      <c r="BD349" s="225"/>
      <c r="BE349" s="225"/>
      <c r="BF349" s="225"/>
      <c r="BG349" s="225"/>
      <c r="BH349" s="225"/>
      <c r="BI349" s="225"/>
      <c r="BJ349" s="225"/>
      <c r="BK349" s="225"/>
      <c r="BL349" s="225"/>
      <c r="BM349" s="225"/>
      <c r="BN349" s="225"/>
      <c r="BO349" s="225"/>
      <c r="BP349" s="225"/>
      <c r="BQ349" s="225"/>
      <c r="BR349" s="225"/>
      <c r="BS349" s="225"/>
      <c r="BT349" s="226"/>
      <c r="BU349" s="225"/>
      <c r="BV349" s="225"/>
      <c r="BW349" s="225"/>
      <c r="BX349" s="225"/>
      <c r="BY349" s="225"/>
      <c r="BZ349" s="225"/>
    </row>
    <row r="350">
      <c r="A350" s="284"/>
      <c r="B350" s="225"/>
      <c r="C350" s="225"/>
      <c r="D350" s="226"/>
      <c r="E350" s="225"/>
      <c r="F350" s="225"/>
      <c r="G350" s="225"/>
      <c r="H350" s="225"/>
      <c r="I350" s="225"/>
      <c r="J350" s="225"/>
      <c r="K350" s="244"/>
      <c r="L350" s="225"/>
      <c r="M350" s="225"/>
      <c r="N350" s="225"/>
      <c r="O350" s="225"/>
      <c r="P350" s="225"/>
      <c r="Q350" s="227"/>
      <c r="R350" s="234"/>
      <c r="S350" s="225"/>
      <c r="T350" s="225"/>
      <c r="U350" s="225"/>
      <c r="V350" s="225"/>
      <c r="W350" s="225"/>
      <c r="X350" s="225"/>
      <c r="Y350" s="229"/>
      <c r="Z350" s="257"/>
      <c r="AA350" s="225"/>
      <c r="AB350" s="257"/>
      <c r="AC350" s="257"/>
      <c r="AD350" s="226"/>
      <c r="AE350" s="259"/>
      <c r="AF350" s="347"/>
      <c r="AG350" s="232"/>
      <c r="AH350" s="257"/>
      <c r="AI350" s="225"/>
      <c r="AJ350" s="267"/>
      <c r="AK350" s="259"/>
      <c r="AL350" s="226"/>
      <c r="AM350" s="225"/>
      <c r="AN350" s="225"/>
      <c r="AO350" s="254"/>
      <c r="AP350" s="225"/>
      <c r="AQ350" s="225"/>
      <c r="AR350" s="226"/>
      <c r="AS350" s="225"/>
      <c r="AT350" s="225"/>
      <c r="AU350" s="225"/>
      <c r="AV350" s="225"/>
      <c r="AW350" s="225"/>
      <c r="AX350" s="226"/>
      <c r="AY350" s="225"/>
      <c r="AZ350" s="225"/>
      <c r="BA350" s="226"/>
      <c r="BB350" s="225"/>
      <c r="BC350" s="225"/>
      <c r="BD350" s="225"/>
      <c r="BE350" s="225"/>
      <c r="BF350" s="225"/>
      <c r="BG350" s="225"/>
      <c r="BH350" s="225"/>
      <c r="BI350" s="225"/>
      <c r="BJ350" s="225"/>
      <c r="BK350" s="225"/>
      <c r="BL350" s="225"/>
      <c r="BM350" s="225"/>
      <c r="BN350" s="225"/>
      <c r="BO350" s="225"/>
      <c r="BP350" s="225"/>
      <c r="BQ350" s="225"/>
      <c r="BR350" s="225"/>
      <c r="BS350" s="225"/>
      <c r="BT350" s="226"/>
      <c r="BU350" s="225"/>
      <c r="BV350" s="225"/>
      <c r="BW350" s="225"/>
      <c r="BX350" s="225"/>
      <c r="BY350" s="225"/>
      <c r="BZ350" s="225"/>
    </row>
    <row r="351">
      <c r="A351" s="284"/>
      <c r="B351" s="225"/>
      <c r="C351" s="225"/>
      <c r="D351" s="226"/>
      <c r="E351" s="225"/>
      <c r="F351" s="225"/>
      <c r="G351" s="225"/>
      <c r="H351" s="225"/>
      <c r="I351" s="225"/>
      <c r="J351" s="225"/>
      <c r="K351" s="244"/>
      <c r="L351" s="225"/>
      <c r="M351" s="225"/>
      <c r="N351" s="225"/>
      <c r="O351" s="225"/>
      <c r="P351" s="225"/>
      <c r="Q351" s="227"/>
      <c r="R351" s="234"/>
      <c r="S351" s="225"/>
      <c r="T351" s="225"/>
      <c r="U351" s="225"/>
      <c r="V351" s="225"/>
      <c r="W351" s="225"/>
      <c r="X351" s="225"/>
      <c r="Y351" s="229"/>
      <c r="Z351" s="257"/>
      <c r="AA351" s="225"/>
      <c r="AB351" s="257"/>
      <c r="AC351" s="257"/>
      <c r="AD351" s="226"/>
      <c r="AE351" s="259"/>
      <c r="AF351" s="347"/>
      <c r="AG351" s="232"/>
      <c r="AH351" s="257"/>
      <c r="AI351" s="225"/>
      <c r="AJ351" s="267"/>
      <c r="AK351" s="259"/>
      <c r="AL351" s="226"/>
      <c r="AM351" s="225"/>
      <c r="AN351" s="225"/>
      <c r="AO351" s="254"/>
      <c r="AP351" s="225"/>
      <c r="AQ351" s="225"/>
      <c r="AR351" s="226"/>
      <c r="AS351" s="225"/>
      <c r="AT351" s="225"/>
      <c r="AU351" s="225"/>
      <c r="AV351" s="225"/>
      <c r="AW351" s="225"/>
      <c r="AX351" s="226"/>
      <c r="AY351" s="225"/>
      <c r="AZ351" s="225"/>
      <c r="BA351" s="226"/>
      <c r="BB351" s="225"/>
      <c r="BC351" s="225"/>
      <c r="BD351" s="225"/>
      <c r="BE351" s="225"/>
      <c r="BF351" s="225"/>
      <c r="BG351" s="225"/>
      <c r="BH351" s="225"/>
      <c r="BI351" s="225"/>
      <c r="BJ351" s="225"/>
      <c r="BK351" s="225"/>
      <c r="BL351" s="225"/>
      <c r="BM351" s="225"/>
      <c r="BN351" s="225"/>
      <c r="BO351" s="225"/>
      <c r="BP351" s="225"/>
      <c r="BQ351" s="225"/>
      <c r="BR351" s="225"/>
      <c r="BS351" s="225"/>
      <c r="BT351" s="226"/>
      <c r="BU351" s="225"/>
      <c r="BV351" s="225"/>
      <c r="BW351" s="225"/>
      <c r="BX351" s="225"/>
      <c r="BY351" s="225"/>
      <c r="BZ351" s="225"/>
    </row>
    <row r="352">
      <c r="A352" s="284"/>
      <c r="B352" s="225"/>
      <c r="C352" s="225"/>
      <c r="D352" s="226"/>
      <c r="E352" s="225"/>
      <c r="F352" s="225"/>
      <c r="G352" s="225"/>
      <c r="H352" s="225"/>
      <c r="I352" s="225"/>
      <c r="J352" s="225"/>
      <c r="K352" s="244"/>
      <c r="L352" s="225"/>
      <c r="M352" s="225"/>
      <c r="N352" s="225"/>
      <c r="O352" s="225"/>
      <c r="P352" s="225"/>
      <c r="Q352" s="227"/>
      <c r="R352" s="234"/>
      <c r="S352" s="225"/>
      <c r="T352" s="225"/>
      <c r="U352" s="225"/>
      <c r="V352" s="225"/>
      <c r="W352" s="225"/>
      <c r="X352" s="225"/>
      <c r="Y352" s="229"/>
      <c r="Z352" s="257"/>
      <c r="AA352" s="225"/>
      <c r="AB352" s="257"/>
      <c r="AC352" s="257"/>
      <c r="AD352" s="226"/>
      <c r="AE352" s="259"/>
      <c r="AF352" s="347"/>
      <c r="AG352" s="232"/>
      <c r="AH352" s="257"/>
      <c r="AI352" s="225"/>
      <c r="AJ352" s="267"/>
      <c r="AK352" s="259"/>
      <c r="AL352" s="226"/>
      <c r="AM352" s="225"/>
      <c r="AN352" s="225"/>
      <c r="AO352" s="254"/>
      <c r="AP352" s="225"/>
      <c r="AQ352" s="225"/>
      <c r="AR352" s="226"/>
      <c r="AS352" s="225"/>
      <c r="AT352" s="225"/>
      <c r="AU352" s="225"/>
      <c r="AV352" s="225"/>
      <c r="AW352" s="225"/>
      <c r="AX352" s="226"/>
      <c r="AY352" s="225"/>
      <c r="AZ352" s="225"/>
      <c r="BA352" s="226"/>
      <c r="BB352" s="225"/>
      <c r="BC352" s="225"/>
      <c r="BD352" s="225"/>
      <c r="BE352" s="225"/>
      <c r="BF352" s="225"/>
      <c r="BG352" s="225"/>
      <c r="BH352" s="225"/>
      <c r="BI352" s="225"/>
      <c r="BJ352" s="225"/>
      <c r="BK352" s="225"/>
      <c r="BL352" s="225"/>
      <c r="BM352" s="225"/>
      <c r="BN352" s="225"/>
      <c r="BO352" s="225"/>
      <c r="BP352" s="225"/>
      <c r="BQ352" s="225"/>
      <c r="BR352" s="225"/>
      <c r="BS352" s="225"/>
      <c r="BT352" s="226"/>
      <c r="BU352" s="225"/>
      <c r="BV352" s="225"/>
      <c r="BW352" s="225"/>
      <c r="BX352" s="225"/>
      <c r="BY352" s="225"/>
      <c r="BZ352" s="225"/>
    </row>
    <row r="353">
      <c r="A353" s="284"/>
      <c r="B353" s="225"/>
      <c r="C353" s="225"/>
      <c r="D353" s="226"/>
      <c r="E353" s="225"/>
      <c r="F353" s="225"/>
      <c r="G353" s="225"/>
      <c r="H353" s="225"/>
      <c r="I353" s="225"/>
      <c r="J353" s="225"/>
      <c r="K353" s="244"/>
      <c r="L353" s="225"/>
      <c r="M353" s="225"/>
      <c r="N353" s="225"/>
      <c r="O353" s="225"/>
      <c r="P353" s="225"/>
      <c r="Q353" s="227"/>
      <c r="R353" s="234"/>
      <c r="S353" s="225"/>
      <c r="T353" s="225"/>
      <c r="U353" s="225"/>
      <c r="V353" s="225"/>
      <c r="W353" s="225"/>
      <c r="X353" s="225"/>
      <c r="Y353" s="229"/>
      <c r="Z353" s="257"/>
      <c r="AA353" s="225"/>
      <c r="AB353" s="257"/>
      <c r="AC353" s="257"/>
      <c r="AD353" s="226"/>
      <c r="AE353" s="259"/>
      <c r="AF353" s="347"/>
      <c r="AG353" s="232"/>
      <c r="AH353" s="257"/>
      <c r="AI353" s="225"/>
      <c r="AJ353" s="267"/>
      <c r="AK353" s="259"/>
      <c r="AL353" s="226"/>
      <c r="AM353" s="225"/>
      <c r="AN353" s="225"/>
      <c r="AO353" s="254"/>
      <c r="AP353" s="225"/>
      <c r="AQ353" s="225"/>
      <c r="AR353" s="226"/>
      <c r="AS353" s="225"/>
      <c r="AT353" s="225"/>
      <c r="AU353" s="225"/>
      <c r="AV353" s="225"/>
      <c r="AW353" s="225"/>
      <c r="AX353" s="226"/>
      <c r="AY353" s="225"/>
      <c r="AZ353" s="225"/>
      <c r="BA353" s="226"/>
      <c r="BB353" s="225"/>
      <c r="BC353" s="225"/>
      <c r="BD353" s="225"/>
      <c r="BE353" s="225"/>
      <c r="BF353" s="225"/>
      <c r="BG353" s="225"/>
      <c r="BH353" s="225"/>
      <c r="BI353" s="225"/>
      <c r="BJ353" s="225"/>
      <c r="BK353" s="225"/>
      <c r="BL353" s="225"/>
      <c r="BM353" s="225"/>
      <c r="BN353" s="225"/>
      <c r="BO353" s="225"/>
      <c r="BP353" s="225"/>
      <c r="BQ353" s="225"/>
      <c r="BR353" s="225"/>
      <c r="BS353" s="225"/>
      <c r="BT353" s="226"/>
      <c r="BU353" s="225"/>
      <c r="BV353" s="225"/>
      <c r="BW353" s="225"/>
      <c r="BX353" s="225"/>
      <c r="BY353" s="225"/>
      <c r="BZ353" s="225"/>
    </row>
    <row r="354">
      <c r="A354" s="284"/>
      <c r="B354" s="225"/>
      <c r="C354" s="225"/>
      <c r="D354" s="226"/>
      <c r="E354" s="225"/>
      <c r="F354" s="225"/>
      <c r="G354" s="225"/>
      <c r="H354" s="225"/>
      <c r="I354" s="225"/>
      <c r="J354" s="225"/>
      <c r="K354" s="244"/>
      <c r="L354" s="225"/>
      <c r="M354" s="225"/>
      <c r="N354" s="225"/>
      <c r="O354" s="225"/>
      <c r="P354" s="225"/>
      <c r="Q354" s="227"/>
      <c r="R354" s="234"/>
      <c r="S354" s="225"/>
      <c r="T354" s="225"/>
      <c r="U354" s="225"/>
      <c r="V354" s="225"/>
      <c r="W354" s="225"/>
      <c r="X354" s="225"/>
      <c r="Y354" s="229"/>
      <c r="Z354" s="257"/>
      <c r="AA354" s="225"/>
      <c r="AB354" s="257"/>
      <c r="AC354" s="257"/>
      <c r="AD354" s="226"/>
      <c r="AE354" s="259"/>
      <c r="AF354" s="347"/>
      <c r="AG354" s="232"/>
      <c r="AH354" s="257"/>
      <c r="AI354" s="225"/>
      <c r="AJ354" s="267"/>
      <c r="AK354" s="259"/>
      <c r="AL354" s="226"/>
      <c r="AM354" s="225"/>
      <c r="AN354" s="225"/>
      <c r="AO354" s="254"/>
      <c r="AP354" s="225"/>
      <c r="AQ354" s="225"/>
      <c r="AR354" s="226"/>
      <c r="AS354" s="225"/>
      <c r="AT354" s="225"/>
      <c r="AU354" s="225"/>
      <c r="AV354" s="225"/>
      <c r="AW354" s="225"/>
      <c r="AX354" s="226"/>
      <c r="AY354" s="225"/>
      <c r="AZ354" s="225"/>
      <c r="BA354" s="226"/>
      <c r="BB354" s="225"/>
      <c r="BC354" s="225"/>
      <c r="BD354" s="225"/>
      <c r="BE354" s="225"/>
      <c r="BF354" s="225"/>
      <c r="BG354" s="225"/>
      <c r="BH354" s="225"/>
      <c r="BI354" s="225"/>
      <c r="BJ354" s="225"/>
      <c r="BK354" s="225"/>
      <c r="BL354" s="225"/>
      <c r="BM354" s="225"/>
      <c r="BN354" s="225"/>
      <c r="BO354" s="225"/>
      <c r="BP354" s="225"/>
      <c r="BQ354" s="225"/>
      <c r="BR354" s="225"/>
      <c r="BS354" s="225"/>
      <c r="BT354" s="226"/>
      <c r="BU354" s="225"/>
      <c r="BV354" s="225"/>
      <c r="BW354" s="225"/>
      <c r="BX354" s="225"/>
      <c r="BY354" s="225"/>
      <c r="BZ354" s="225"/>
    </row>
    <row r="355">
      <c r="A355" s="284"/>
      <c r="B355" s="225"/>
      <c r="C355" s="225"/>
      <c r="D355" s="226"/>
      <c r="E355" s="225"/>
      <c r="F355" s="225"/>
      <c r="G355" s="225"/>
      <c r="H355" s="225"/>
      <c r="I355" s="225"/>
      <c r="J355" s="225"/>
      <c r="K355" s="244"/>
      <c r="L355" s="225"/>
      <c r="M355" s="225"/>
      <c r="N355" s="225"/>
      <c r="O355" s="225"/>
      <c r="P355" s="225"/>
      <c r="Q355" s="227"/>
      <c r="R355" s="234"/>
      <c r="S355" s="225"/>
      <c r="T355" s="225"/>
      <c r="U355" s="225"/>
      <c r="V355" s="225"/>
      <c r="W355" s="225"/>
      <c r="X355" s="225"/>
      <c r="Y355" s="229"/>
      <c r="Z355" s="257"/>
      <c r="AA355" s="225"/>
      <c r="AB355" s="257"/>
      <c r="AC355" s="257"/>
      <c r="AD355" s="226"/>
      <c r="AE355" s="259"/>
      <c r="AF355" s="347"/>
      <c r="AG355" s="232"/>
      <c r="AH355" s="257"/>
      <c r="AI355" s="225"/>
      <c r="AJ355" s="267"/>
      <c r="AK355" s="259"/>
      <c r="AL355" s="226"/>
      <c r="AM355" s="225"/>
      <c r="AN355" s="225"/>
      <c r="AO355" s="254"/>
      <c r="AP355" s="225"/>
      <c r="AQ355" s="225"/>
      <c r="AR355" s="226"/>
      <c r="AS355" s="225"/>
      <c r="AT355" s="225"/>
      <c r="AU355" s="225"/>
      <c r="AV355" s="225"/>
      <c r="AW355" s="225"/>
      <c r="AX355" s="226"/>
      <c r="AY355" s="225"/>
      <c r="AZ355" s="225"/>
      <c r="BA355" s="226"/>
      <c r="BB355" s="225"/>
      <c r="BC355" s="225"/>
      <c r="BD355" s="225"/>
      <c r="BE355" s="225"/>
      <c r="BF355" s="225"/>
      <c r="BG355" s="225"/>
      <c r="BH355" s="225"/>
      <c r="BI355" s="225"/>
      <c r="BJ355" s="225"/>
      <c r="BK355" s="225"/>
      <c r="BL355" s="225"/>
      <c r="BM355" s="225"/>
      <c r="BN355" s="225"/>
      <c r="BO355" s="225"/>
      <c r="BP355" s="225"/>
      <c r="BQ355" s="225"/>
      <c r="BR355" s="225"/>
      <c r="BS355" s="225"/>
      <c r="BT355" s="226"/>
      <c r="BU355" s="225"/>
      <c r="BV355" s="225"/>
      <c r="BW355" s="225"/>
      <c r="BX355" s="225"/>
      <c r="BY355" s="225"/>
      <c r="BZ355" s="225"/>
    </row>
    <row r="356">
      <c r="A356" s="284"/>
      <c r="B356" s="225"/>
      <c r="C356" s="225"/>
      <c r="D356" s="226"/>
      <c r="E356" s="225"/>
      <c r="F356" s="225"/>
      <c r="G356" s="225"/>
      <c r="H356" s="225"/>
      <c r="I356" s="225"/>
      <c r="J356" s="225"/>
      <c r="K356" s="244"/>
      <c r="L356" s="225"/>
      <c r="M356" s="225"/>
      <c r="N356" s="225"/>
      <c r="O356" s="225"/>
      <c r="P356" s="225"/>
      <c r="Q356" s="227"/>
      <c r="R356" s="234"/>
      <c r="S356" s="225"/>
      <c r="T356" s="225"/>
      <c r="U356" s="225"/>
      <c r="V356" s="225"/>
      <c r="W356" s="225"/>
      <c r="X356" s="225"/>
      <c r="Y356" s="229"/>
      <c r="Z356" s="257"/>
      <c r="AA356" s="225"/>
      <c r="AB356" s="257"/>
      <c r="AC356" s="257"/>
      <c r="AD356" s="226"/>
      <c r="AE356" s="259"/>
      <c r="AF356" s="347"/>
      <c r="AG356" s="232"/>
      <c r="AH356" s="257"/>
      <c r="AI356" s="225"/>
      <c r="AJ356" s="267"/>
      <c r="AK356" s="259"/>
      <c r="AL356" s="226"/>
      <c r="AM356" s="225"/>
      <c r="AN356" s="225"/>
      <c r="AO356" s="254"/>
      <c r="AP356" s="225"/>
      <c r="AQ356" s="225"/>
      <c r="AR356" s="226"/>
      <c r="AS356" s="225"/>
      <c r="AT356" s="225"/>
      <c r="AU356" s="225"/>
      <c r="AV356" s="225"/>
      <c r="AW356" s="225"/>
      <c r="AX356" s="226"/>
      <c r="AY356" s="225"/>
      <c r="AZ356" s="225"/>
      <c r="BA356" s="226"/>
      <c r="BB356" s="225"/>
      <c r="BC356" s="225"/>
      <c r="BD356" s="225"/>
      <c r="BE356" s="225"/>
      <c r="BF356" s="225"/>
      <c r="BG356" s="225"/>
      <c r="BH356" s="225"/>
      <c r="BI356" s="225"/>
      <c r="BJ356" s="225"/>
      <c r="BK356" s="225"/>
      <c r="BL356" s="225"/>
      <c r="BM356" s="225"/>
      <c r="BN356" s="225"/>
      <c r="BO356" s="225"/>
      <c r="BP356" s="225"/>
      <c r="BQ356" s="225"/>
      <c r="BR356" s="225"/>
      <c r="BS356" s="225"/>
      <c r="BT356" s="226"/>
      <c r="BU356" s="225"/>
      <c r="BV356" s="225"/>
      <c r="BW356" s="225"/>
      <c r="BX356" s="225"/>
      <c r="BY356" s="225"/>
      <c r="BZ356" s="225"/>
    </row>
    <row r="357">
      <c r="A357" s="284"/>
      <c r="B357" s="225"/>
      <c r="C357" s="225"/>
      <c r="D357" s="226"/>
      <c r="E357" s="225"/>
      <c r="F357" s="225"/>
      <c r="G357" s="225"/>
      <c r="H357" s="225"/>
      <c r="I357" s="225"/>
      <c r="J357" s="225"/>
      <c r="K357" s="244"/>
      <c r="L357" s="225"/>
      <c r="M357" s="225"/>
      <c r="N357" s="225"/>
      <c r="O357" s="225"/>
      <c r="P357" s="225"/>
      <c r="Q357" s="227"/>
      <c r="R357" s="234"/>
      <c r="S357" s="225"/>
      <c r="T357" s="225"/>
      <c r="U357" s="225"/>
      <c r="V357" s="225"/>
      <c r="W357" s="225"/>
      <c r="X357" s="225"/>
      <c r="Y357" s="229"/>
      <c r="Z357" s="257"/>
      <c r="AA357" s="225"/>
      <c r="AB357" s="257"/>
      <c r="AC357" s="257"/>
      <c r="AD357" s="226"/>
      <c r="AE357" s="259"/>
      <c r="AF357" s="347"/>
      <c r="AG357" s="232"/>
      <c r="AH357" s="257"/>
      <c r="AI357" s="225"/>
      <c r="AJ357" s="267"/>
      <c r="AK357" s="259"/>
      <c r="AL357" s="226"/>
      <c r="AM357" s="225"/>
      <c r="AN357" s="225"/>
      <c r="AO357" s="254"/>
      <c r="AP357" s="225"/>
      <c r="AQ357" s="225"/>
      <c r="AR357" s="226"/>
      <c r="AS357" s="225"/>
      <c r="AT357" s="225"/>
      <c r="AU357" s="225"/>
      <c r="AV357" s="225"/>
      <c r="AW357" s="225"/>
      <c r="AX357" s="226"/>
      <c r="AY357" s="225"/>
      <c r="AZ357" s="225"/>
      <c r="BA357" s="226"/>
      <c r="BB357" s="225"/>
      <c r="BC357" s="225"/>
      <c r="BD357" s="225"/>
      <c r="BE357" s="225"/>
      <c r="BF357" s="225"/>
      <c r="BG357" s="225"/>
      <c r="BH357" s="225"/>
      <c r="BI357" s="225"/>
      <c r="BJ357" s="225"/>
      <c r="BK357" s="225"/>
      <c r="BL357" s="225"/>
      <c r="BM357" s="225"/>
      <c r="BN357" s="225"/>
      <c r="BO357" s="225"/>
      <c r="BP357" s="225"/>
      <c r="BQ357" s="225"/>
      <c r="BR357" s="225"/>
      <c r="BS357" s="225"/>
      <c r="BT357" s="226"/>
      <c r="BU357" s="225"/>
      <c r="BV357" s="225"/>
      <c r="BW357" s="225"/>
      <c r="BX357" s="225"/>
      <c r="BY357" s="225"/>
      <c r="BZ357" s="225"/>
    </row>
    <row r="358">
      <c r="A358" s="284"/>
      <c r="B358" s="225"/>
      <c r="C358" s="225"/>
      <c r="D358" s="226"/>
      <c r="E358" s="225"/>
      <c r="F358" s="225"/>
      <c r="G358" s="225"/>
      <c r="H358" s="225"/>
      <c r="I358" s="225"/>
      <c r="J358" s="225"/>
      <c r="K358" s="244"/>
      <c r="L358" s="225"/>
      <c r="M358" s="225"/>
      <c r="N358" s="225"/>
      <c r="O358" s="225"/>
      <c r="P358" s="225"/>
      <c r="Q358" s="227"/>
      <c r="R358" s="234"/>
      <c r="S358" s="225"/>
      <c r="T358" s="225"/>
      <c r="U358" s="225"/>
      <c r="V358" s="225"/>
      <c r="W358" s="225"/>
      <c r="X358" s="225"/>
      <c r="Y358" s="229"/>
      <c r="Z358" s="257"/>
      <c r="AA358" s="225"/>
      <c r="AB358" s="257"/>
      <c r="AC358" s="257"/>
      <c r="AD358" s="226"/>
      <c r="AE358" s="259"/>
      <c r="AF358" s="347"/>
      <c r="AG358" s="232"/>
      <c r="AH358" s="257"/>
      <c r="AI358" s="225"/>
      <c r="AJ358" s="267"/>
      <c r="AK358" s="259"/>
      <c r="AL358" s="226"/>
      <c r="AM358" s="225"/>
      <c r="AN358" s="225"/>
      <c r="AO358" s="254"/>
      <c r="AP358" s="225"/>
      <c r="AQ358" s="225"/>
      <c r="AR358" s="226"/>
      <c r="AS358" s="225"/>
      <c r="AT358" s="225"/>
      <c r="AU358" s="225"/>
      <c r="AV358" s="225"/>
      <c r="AW358" s="225"/>
      <c r="AX358" s="226"/>
      <c r="AY358" s="225"/>
      <c r="AZ358" s="225"/>
      <c r="BA358" s="226"/>
      <c r="BB358" s="225"/>
      <c r="BC358" s="225"/>
      <c r="BD358" s="225"/>
      <c r="BE358" s="225"/>
      <c r="BF358" s="225"/>
      <c r="BG358" s="225"/>
      <c r="BH358" s="225"/>
      <c r="BI358" s="225"/>
      <c r="BJ358" s="225"/>
      <c r="BK358" s="225"/>
      <c r="BL358" s="225"/>
      <c r="BM358" s="225"/>
      <c r="BN358" s="225"/>
      <c r="BO358" s="225"/>
      <c r="BP358" s="225"/>
      <c r="BQ358" s="225"/>
      <c r="BR358" s="225"/>
      <c r="BS358" s="225"/>
      <c r="BT358" s="226"/>
      <c r="BU358" s="225"/>
      <c r="BV358" s="225"/>
      <c r="BW358" s="225"/>
      <c r="BX358" s="225"/>
      <c r="BY358" s="225"/>
      <c r="BZ358" s="225"/>
    </row>
    <row r="359">
      <c r="A359" s="284"/>
      <c r="B359" s="225"/>
      <c r="C359" s="225"/>
      <c r="D359" s="226"/>
      <c r="E359" s="225"/>
      <c r="F359" s="225"/>
      <c r="G359" s="225"/>
      <c r="H359" s="225"/>
      <c r="I359" s="225"/>
      <c r="J359" s="225"/>
      <c r="K359" s="244"/>
      <c r="L359" s="225"/>
      <c r="M359" s="225"/>
      <c r="N359" s="225"/>
      <c r="O359" s="225"/>
      <c r="P359" s="225"/>
      <c r="Q359" s="227"/>
      <c r="R359" s="234"/>
      <c r="S359" s="225"/>
      <c r="T359" s="225"/>
      <c r="U359" s="225"/>
      <c r="V359" s="225"/>
      <c r="W359" s="225"/>
      <c r="X359" s="225"/>
      <c r="Y359" s="229"/>
      <c r="Z359" s="257"/>
      <c r="AA359" s="225"/>
      <c r="AB359" s="257"/>
      <c r="AC359" s="257"/>
      <c r="AD359" s="226"/>
      <c r="AE359" s="259"/>
      <c r="AF359" s="347"/>
      <c r="AG359" s="232"/>
      <c r="AH359" s="257"/>
      <c r="AI359" s="225"/>
      <c r="AJ359" s="267"/>
      <c r="AK359" s="259"/>
      <c r="AL359" s="226"/>
      <c r="AM359" s="225"/>
      <c r="AN359" s="225"/>
      <c r="AO359" s="254"/>
      <c r="AP359" s="225"/>
      <c r="AQ359" s="225"/>
      <c r="AR359" s="226"/>
      <c r="AS359" s="225"/>
      <c r="AT359" s="225"/>
      <c r="AU359" s="225"/>
      <c r="AV359" s="225"/>
      <c r="AW359" s="225"/>
      <c r="AX359" s="226"/>
      <c r="AY359" s="225"/>
      <c r="AZ359" s="225"/>
      <c r="BA359" s="226"/>
      <c r="BB359" s="225"/>
      <c r="BC359" s="225"/>
      <c r="BD359" s="225"/>
      <c r="BE359" s="225"/>
      <c r="BF359" s="225"/>
      <c r="BG359" s="225"/>
      <c r="BH359" s="225"/>
      <c r="BI359" s="225"/>
      <c r="BJ359" s="225"/>
      <c r="BK359" s="225"/>
      <c r="BL359" s="225"/>
      <c r="BM359" s="225"/>
      <c r="BN359" s="225"/>
      <c r="BO359" s="225"/>
      <c r="BP359" s="225"/>
      <c r="BQ359" s="225"/>
      <c r="BR359" s="225"/>
      <c r="BS359" s="225"/>
      <c r="BT359" s="226"/>
      <c r="BU359" s="225"/>
      <c r="BV359" s="225"/>
      <c r="BW359" s="225"/>
      <c r="BX359" s="225"/>
      <c r="BY359" s="225"/>
      <c r="BZ359" s="225"/>
    </row>
    <row r="360">
      <c r="A360" s="284"/>
      <c r="B360" s="225"/>
      <c r="C360" s="225"/>
      <c r="D360" s="226"/>
      <c r="E360" s="225"/>
      <c r="F360" s="225"/>
      <c r="G360" s="225"/>
      <c r="H360" s="225"/>
      <c r="I360" s="225"/>
      <c r="J360" s="225"/>
      <c r="K360" s="244"/>
      <c r="L360" s="225"/>
      <c r="M360" s="225"/>
      <c r="N360" s="225"/>
      <c r="O360" s="225"/>
      <c r="P360" s="225"/>
      <c r="Q360" s="227"/>
      <c r="R360" s="234"/>
      <c r="S360" s="225"/>
      <c r="T360" s="225"/>
      <c r="U360" s="225"/>
      <c r="V360" s="225"/>
      <c r="W360" s="225"/>
      <c r="X360" s="225"/>
      <c r="Y360" s="229"/>
      <c r="Z360" s="257"/>
      <c r="AA360" s="225"/>
      <c r="AB360" s="257"/>
      <c r="AC360" s="257"/>
      <c r="AD360" s="226"/>
      <c r="AE360" s="259"/>
      <c r="AF360" s="347"/>
      <c r="AG360" s="232"/>
      <c r="AH360" s="257"/>
      <c r="AI360" s="225"/>
      <c r="AJ360" s="267"/>
      <c r="AK360" s="259"/>
      <c r="AL360" s="226"/>
      <c r="AM360" s="225"/>
      <c r="AN360" s="225"/>
      <c r="AO360" s="254"/>
      <c r="AP360" s="225"/>
      <c r="AQ360" s="225"/>
      <c r="AR360" s="226"/>
      <c r="AS360" s="225"/>
      <c r="AT360" s="225"/>
      <c r="AU360" s="225"/>
      <c r="AV360" s="225"/>
      <c r="AW360" s="225"/>
      <c r="AX360" s="226"/>
      <c r="AY360" s="225"/>
      <c r="AZ360" s="225"/>
      <c r="BA360" s="226"/>
      <c r="BB360" s="225"/>
      <c r="BC360" s="225"/>
      <c r="BD360" s="225"/>
      <c r="BE360" s="225"/>
      <c r="BF360" s="225"/>
      <c r="BG360" s="225"/>
      <c r="BH360" s="225"/>
      <c r="BI360" s="225"/>
      <c r="BJ360" s="225"/>
      <c r="BK360" s="225"/>
      <c r="BL360" s="225"/>
      <c r="BM360" s="225"/>
      <c r="BN360" s="225"/>
      <c r="BO360" s="225"/>
      <c r="BP360" s="225"/>
      <c r="BQ360" s="225"/>
      <c r="BR360" s="225"/>
      <c r="BS360" s="225"/>
      <c r="BT360" s="226"/>
      <c r="BU360" s="225"/>
      <c r="BV360" s="225"/>
      <c r="BW360" s="225"/>
      <c r="BX360" s="225"/>
      <c r="BY360" s="225"/>
      <c r="BZ360" s="225"/>
    </row>
    <row r="361">
      <c r="A361" s="284"/>
      <c r="B361" s="225"/>
      <c r="C361" s="225"/>
      <c r="D361" s="226"/>
      <c r="E361" s="225"/>
      <c r="F361" s="225"/>
      <c r="G361" s="225"/>
      <c r="H361" s="225"/>
      <c r="I361" s="225"/>
      <c r="J361" s="225"/>
      <c r="K361" s="244"/>
      <c r="L361" s="225"/>
      <c r="M361" s="225"/>
      <c r="N361" s="225"/>
      <c r="O361" s="225"/>
      <c r="P361" s="225"/>
      <c r="Q361" s="227"/>
      <c r="R361" s="234"/>
      <c r="S361" s="225"/>
      <c r="T361" s="225"/>
      <c r="U361" s="225"/>
      <c r="V361" s="225"/>
      <c r="W361" s="225"/>
      <c r="X361" s="225"/>
      <c r="Y361" s="229"/>
      <c r="Z361" s="257"/>
      <c r="AA361" s="225"/>
      <c r="AB361" s="257"/>
      <c r="AC361" s="257"/>
      <c r="AD361" s="226"/>
      <c r="AE361" s="259"/>
      <c r="AF361" s="347"/>
      <c r="AG361" s="232"/>
      <c r="AH361" s="257"/>
      <c r="AI361" s="225"/>
      <c r="AJ361" s="267"/>
      <c r="AK361" s="259"/>
      <c r="AL361" s="226"/>
      <c r="AM361" s="225"/>
      <c r="AN361" s="225"/>
      <c r="AO361" s="254"/>
      <c r="AP361" s="225"/>
      <c r="AQ361" s="225"/>
      <c r="AR361" s="226"/>
      <c r="AS361" s="225"/>
      <c r="AT361" s="225"/>
      <c r="AU361" s="225"/>
      <c r="AV361" s="225"/>
      <c r="AW361" s="225"/>
      <c r="AX361" s="226"/>
      <c r="AY361" s="225"/>
      <c r="AZ361" s="225"/>
      <c r="BA361" s="226"/>
      <c r="BB361" s="225"/>
      <c r="BC361" s="225"/>
      <c r="BD361" s="225"/>
      <c r="BE361" s="225"/>
      <c r="BF361" s="225"/>
      <c r="BG361" s="225"/>
      <c r="BH361" s="225"/>
      <c r="BI361" s="225"/>
      <c r="BJ361" s="225"/>
      <c r="BK361" s="225"/>
      <c r="BL361" s="225"/>
      <c r="BM361" s="225"/>
      <c r="BN361" s="225"/>
      <c r="BO361" s="225"/>
      <c r="BP361" s="225"/>
      <c r="BQ361" s="225"/>
      <c r="BR361" s="225"/>
      <c r="BS361" s="225"/>
      <c r="BT361" s="226"/>
      <c r="BU361" s="225"/>
      <c r="BV361" s="225"/>
      <c r="BW361" s="225"/>
      <c r="BX361" s="225"/>
      <c r="BY361" s="225"/>
      <c r="BZ361" s="225"/>
    </row>
    <row r="362">
      <c r="A362" s="284"/>
      <c r="B362" s="225"/>
      <c r="C362" s="225"/>
      <c r="D362" s="226"/>
      <c r="E362" s="225"/>
      <c r="F362" s="225"/>
      <c r="G362" s="225"/>
      <c r="H362" s="225"/>
      <c r="I362" s="225"/>
      <c r="J362" s="225"/>
      <c r="K362" s="244"/>
      <c r="L362" s="225"/>
      <c r="M362" s="225"/>
      <c r="N362" s="225"/>
      <c r="O362" s="225"/>
      <c r="P362" s="225"/>
      <c r="Q362" s="227"/>
      <c r="R362" s="234"/>
      <c r="S362" s="225"/>
      <c r="T362" s="225"/>
      <c r="U362" s="225"/>
      <c r="V362" s="225"/>
      <c r="W362" s="225"/>
      <c r="X362" s="225"/>
      <c r="Y362" s="229"/>
      <c r="Z362" s="257"/>
      <c r="AA362" s="225"/>
      <c r="AB362" s="257"/>
      <c r="AC362" s="257"/>
      <c r="AD362" s="226"/>
      <c r="AE362" s="259"/>
      <c r="AF362" s="347"/>
      <c r="AG362" s="232"/>
      <c r="AH362" s="257"/>
      <c r="AI362" s="225"/>
      <c r="AJ362" s="267"/>
      <c r="AK362" s="259"/>
      <c r="AL362" s="226"/>
      <c r="AM362" s="225"/>
      <c r="AN362" s="225"/>
      <c r="AO362" s="254"/>
      <c r="AP362" s="225"/>
      <c r="AQ362" s="225"/>
      <c r="AR362" s="226"/>
      <c r="AS362" s="225"/>
      <c r="AT362" s="225"/>
      <c r="AU362" s="225"/>
      <c r="AV362" s="225"/>
      <c r="AW362" s="225"/>
      <c r="AX362" s="226"/>
      <c r="AY362" s="225"/>
      <c r="AZ362" s="225"/>
      <c r="BA362" s="226"/>
      <c r="BB362" s="225"/>
      <c r="BC362" s="225"/>
      <c r="BD362" s="225"/>
      <c r="BE362" s="225"/>
      <c r="BF362" s="225"/>
      <c r="BG362" s="225"/>
      <c r="BH362" s="225"/>
      <c r="BI362" s="225"/>
      <c r="BJ362" s="225"/>
      <c r="BK362" s="225"/>
      <c r="BL362" s="225"/>
      <c r="BM362" s="225"/>
      <c r="BN362" s="225"/>
      <c r="BO362" s="225"/>
      <c r="BP362" s="225"/>
      <c r="BQ362" s="225"/>
      <c r="BR362" s="225"/>
      <c r="BS362" s="225"/>
      <c r="BT362" s="226"/>
      <c r="BU362" s="225"/>
      <c r="BV362" s="225"/>
      <c r="BW362" s="225"/>
      <c r="BX362" s="225"/>
      <c r="BY362" s="225"/>
      <c r="BZ362" s="225"/>
    </row>
    <row r="363">
      <c r="A363" s="284"/>
      <c r="B363" s="225"/>
      <c r="C363" s="225"/>
      <c r="D363" s="226"/>
      <c r="E363" s="225"/>
      <c r="F363" s="225"/>
      <c r="G363" s="225"/>
      <c r="H363" s="225"/>
      <c r="I363" s="225"/>
      <c r="J363" s="225"/>
      <c r="K363" s="244"/>
      <c r="L363" s="225"/>
      <c r="M363" s="225"/>
      <c r="N363" s="225"/>
      <c r="O363" s="225"/>
      <c r="P363" s="225"/>
      <c r="Q363" s="227"/>
      <c r="R363" s="234"/>
      <c r="S363" s="225"/>
      <c r="T363" s="225"/>
      <c r="U363" s="225"/>
      <c r="V363" s="225"/>
      <c r="W363" s="225"/>
      <c r="X363" s="225"/>
      <c r="Y363" s="229"/>
      <c r="Z363" s="257"/>
      <c r="AA363" s="225"/>
      <c r="AB363" s="257"/>
      <c r="AC363" s="257"/>
      <c r="AD363" s="226"/>
      <c r="AE363" s="259"/>
      <c r="AF363" s="347"/>
      <c r="AG363" s="232"/>
      <c r="AH363" s="257"/>
      <c r="AI363" s="225"/>
      <c r="AJ363" s="267"/>
      <c r="AK363" s="259"/>
      <c r="AL363" s="226"/>
      <c r="AM363" s="225"/>
      <c r="AN363" s="225"/>
      <c r="AO363" s="254"/>
      <c r="AP363" s="225"/>
      <c r="AQ363" s="225"/>
      <c r="AR363" s="226"/>
      <c r="AS363" s="225"/>
      <c r="AT363" s="225"/>
      <c r="AU363" s="225"/>
      <c r="AV363" s="225"/>
      <c r="AW363" s="225"/>
      <c r="AX363" s="226"/>
      <c r="AY363" s="225"/>
      <c r="AZ363" s="225"/>
      <c r="BA363" s="226"/>
      <c r="BB363" s="225"/>
      <c r="BC363" s="225"/>
      <c r="BD363" s="225"/>
      <c r="BE363" s="225"/>
      <c r="BF363" s="225"/>
      <c r="BG363" s="225"/>
      <c r="BH363" s="225"/>
      <c r="BI363" s="225"/>
      <c r="BJ363" s="225"/>
      <c r="BK363" s="225"/>
      <c r="BL363" s="225"/>
      <c r="BM363" s="225"/>
      <c r="BN363" s="225"/>
      <c r="BO363" s="225"/>
      <c r="BP363" s="225"/>
      <c r="BQ363" s="225"/>
      <c r="BR363" s="225"/>
      <c r="BS363" s="225"/>
      <c r="BT363" s="226"/>
      <c r="BU363" s="225"/>
      <c r="BV363" s="225"/>
      <c r="BW363" s="225"/>
      <c r="BX363" s="225"/>
      <c r="BY363" s="225"/>
      <c r="BZ363" s="225"/>
    </row>
    <row r="364">
      <c r="A364" s="284"/>
      <c r="B364" s="225"/>
      <c r="C364" s="225"/>
      <c r="D364" s="226"/>
      <c r="E364" s="225"/>
      <c r="F364" s="225"/>
      <c r="G364" s="225"/>
      <c r="H364" s="225"/>
      <c r="I364" s="225"/>
      <c r="J364" s="225"/>
      <c r="K364" s="244"/>
      <c r="L364" s="225"/>
      <c r="M364" s="225"/>
      <c r="N364" s="225"/>
      <c r="O364" s="225"/>
      <c r="P364" s="225"/>
      <c r="Q364" s="227"/>
      <c r="R364" s="234"/>
      <c r="S364" s="225"/>
      <c r="T364" s="225"/>
      <c r="U364" s="225"/>
      <c r="V364" s="225"/>
      <c r="W364" s="225"/>
      <c r="X364" s="225"/>
      <c r="Y364" s="229"/>
      <c r="Z364" s="257"/>
      <c r="AA364" s="225"/>
      <c r="AB364" s="257"/>
      <c r="AC364" s="257"/>
      <c r="AD364" s="226"/>
      <c r="AE364" s="259"/>
      <c r="AF364" s="347"/>
      <c r="AG364" s="232"/>
      <c r="AH364" s="257"/>
      <c r="AI364" s="225"/>
      <c r="AJ364" s="267"/>
      <c r="AK364" s="259"/>
      <c r="AL364" s="226"/>
      <c r="AM364" s="225"/>
      <c r="AN364" s="225"/>
      <c r="AO364" s="254"/>
      <c r="AP364" s="225"/>
      <c r="AQ364" s="225"/>
      <c r="AR364" s="226"/>
      <c r="AS364" s="225"/>
      <c r="AT364" s="225"/>
      <c r="AU364" s="225"/>
      <c r="AV364" s="225"/>
      <c r="AW364" s="225"/>
      <c r="AX364" s="226"/>
      <c r="AY364" s="225"/>
      <c r="AZ364" s="225"/>
      <c r="BA364" s="226"/>
      <c r="BB364" s="225"/>
      <c r="BC364" s="225"/>
      <c r="BD364" s="225"/>
      <c r="BE364" s="225"/>
      <c r="BF364" s="225"/>
      <c r="BG364" s="225"/>
      <c r="BH364" s="225"/>
      <c r="BI364" s="225"/>
      <c r="BJ364" s="225"/>
      <c r="BK364" s="225"/>
      <c r="BL364" s="225"/>
      <c r="BM364" s="225"/>
      <c r="BN364" s="225"/>
      <c r="BO364" s="225"/>
      <c r="BP364" s="225"/>
      <c r="BQ364" s="225"/>
      <c r="BR364" s="225"/>
      <c r="BS364" s="225"/>
      <c r="BT364" s="226"/>
      <c r="BU364" s="225"/>
      <c r="BV364" s="225"/>
      <c r="BW364" s="225"/>
      <c r="BX364" s="225"/>
      <c r="BY364" s="225"/>
      <c r="BZ364" s="225"/>
    </row>
    <row r="365">
      <c r="A365" s="284"/>
      <c r="B365" s="225"/>
      <c r="C365" s="225"/>
      <c r="D365" s="226"/>
      <c r="E365" s="225"/>
      <c r="F365" s="225"/>
      <c r="G365" s="225"/>
      <c r="H365" s="225"/>
      <c r="I365" s="225"/>
      <c r="J365" s="225"/>
      <c r="K365" s="244"/>
      <c r="L365" s="225"/>
      <c r="M365" s="225"/>
      <c r="N365" s="225"/>
      <c r="O365" s="225"/>
      <c r="P365" s="225"/>
      <c r="Q365" s="227"/>
      <c r="R365" s="234"/>
      <c r="S365" s="225"/>
      <c r="T365" s="225"/>
      <c r="U365" s="225"/>
      <c r="V365" s="225"/>
      <c r="W365" s="225"/>
      <c r="X365" s="225"/>
      <c r="Y365" s="229"/>
      <c r="Z365" s="257"/>
      <c r="AA365" s="225"/>
      <c r="AB365" s="257"/>
      <c r="AC365" s="257"/>
      <c r="AD365" s="226"/>
      <c r="AE365" s="259"/>
      <c r="AF365" s="347"/>
      <c r="AG365" s="232"/>
      <c r="AH365" s="257"/>
      <c r="AI365" s="225"/>
      <c r="AJ365" s="267"/>
      <c r="AK365" s="259"/>
      <c r="AL365" s="226"/>
      <c r="AM365" s="225"/>
      <c r="AN365" s="225"/>
      <c r="AO365" s="254"/>
      <c r="AP365" s="225"/>
      <c r="AQ365" s="225"/>
      <c r="AR365" s="226"/>
      <c r="AS365" s="225"/>
      <c r="AT365" s="225"/>
      <c r="AU365" s="225"/>
      <c r="AV365" s="225"/>
      <c r="AW365" s="225"/>
      <c r="AX365" s="226"/>
      <c r="AY365" s="225"/>
      <c r="AZ365" s="225"/>
      <c r="BA365" s="226"/>
      <c r="BB365" s="225"/>
      <c r="BC365" s="225"/>
      <c r="BD365" s="225"/>
      <c r="BE365" s="225"/>
      <c r="BF365" s="225"/>
      <c r="BG365" s="225"/>
      <c r="BH365" s="225"/>
      <c r="BI365" s="225"/>
      <c r="BJ365" s="225"/>
      <c r="BK365" s="225"/>
      <c r="BL365" s="225"/>
      <c r="BM365" s="225"/>
      <c r="BN365" s="225"/>
      <c r="BO365" s="225"/>
      <c r="BP365" s="225"/>
      <c r="BQ365" s="225"/>
      <c r="BR365" s="225"/>
      <c r="BS365" s="225"/>
      <c r="BT365" s="226"/>
      <c r="BU365" s="225"/>
      <c r="BV365" s="225"/>
      <c r="BW365" s="225"/>
      <c r="BX365" s="225"/>
      <c r="BY365" s="225"/>
      <c r="BZ365" s="225"/>
    </row>
    <row r="366">
      <c r="A366" s="284"/>
      <c r="B366" s="225"/>
      <c r="C366" s="225"/>
      <c r="D366" s="226"/>
      <c r="E366" s="225"/>
      <c r="F366" s="225"/>
      <c r="G366" s="225"/>
      <c r="H366" s="225"/>
      <c r="I366" s="225"/>
      <c r="J366" s="225"/>
      <c r="K366" s="244"/>
      <c r="L366" s="225"/>
      <c r="M366" s="225"/>
      <c r="N366" s="225"/>
      <c r="O366" s="225"/>
      <c r="P366" s="225"/>
      <c r="Q366" s="227"/>
      <c r="R366" s="234"/>
      <c r="S366" s="225"/>
      <c r="T366" s="225"/>
      <c r="U366" s="225"/>
      <c r="V366" s="225"/>
      <c r="W366" s="225"/>
      <c r="X366" s="225"/>
      <c r="Y366" s="229"/>
      <c r="Z366" s="257"/>
      <c r="AA366" s="225"/>
      <c r="AB366" s="257"/>
      <c r="AC366" s="257"/>
      <c r="AD366" s="226"/>
      <c r="AE366" s="259"/>
      <c r="AF366" s="347"/>
      <c r="AG366" s="232"/>
      <c r="AH366" s="257"/>
      <c r="AI366" s="225"/>
      <c r="AJ366" s="267"/>
      <c r="AK366" s="259"/>
      <c r="AL366" s="226"/>
      <c r="AM366" s="225"/>
      <c r="AN366" s="225"/>
      <c r="AO366" s="254"/>
      <c r="AP366" s="225"/>
      <c r="AQ366" s="225"/>
      <c r="AR366" s="226"/>
      <c r="AS366" s="225"/>
      <c r="AT366" s="225"/>
      <c r="AU366" s="225"/>
      <c r="AV366" s="225"/>
      <c r="AW366" s="225"/>
      <c r="AX366" s="226"/>
      <c r="AY366" s="225"/>
      <c r="AZ366" s="225"/>
      <c r="BA366" s="226"/>
      <c r="BB366" s="225"/>
      <c r="BC366" s="225"/>
      <c r="BD366" s="225"/>
      <c r="BE366" s="225"/>
      <c r="BF366" s="225"/>
      <c r="BG366" s="225"/>
      <c r="BH366" s="225"/>
      <c r="BI366" s="225"/>
      <c r="BJ366" s="225"/>
      <c r="BK366" s="225"/>
      <c r="BL366" s="225"/>
      <c r="BM366" s="225"/>
      <c r="BN366" s="225"/>
      <c r="BO366" s="225"/>
      <c r="BP366" s="225"/>
      <c r="BQ366" s="225"/>
      <c r="BR366" s="225"/>
      <c r="BS366" s="225"/>
      <c r="BT366" s="226"/>
      <c r="BU366" s="225"/>
      <c r="BV366" s="225"/>
      <c r="BW366" s="225"/>
      <c r="BX366" s="225"/>
      <c r="BY366" s="225"/>
      <c r="BZ366" s="225"/>
    </row>
    <row r="367">
      <c r="A367" s="284"/>
      <c r="B367" s="225"/>
      <c r="C367" s="225"/>
      <c r="D367" s="226"/>
      <c r="E367" s="225"/>
      <c r="F367" s="225"/>
      <c r="G367" s="225"/>
      <c r="H367" s="225"/>
      <c r="I367" s="225"/>
      <c r="J367" s="225"/>
      <c r="K367" s="244"/>
      <c r="L367" s="225"/>
      <c r="M367" s="225"/>
      <c r="N367" s="225"/>
      <c r="O367" s="225"/>
      <c r="P367" s="225"/>
      <c r="Q367" s="227"/>
      <c r="R367" s="234"/>
      <c r="S367" s="225"/>
      <c r="T367" s="225"/>
      <c r="U367" s="225"/>
      <c r="V367" s="225"/>
      <c r="W367" s="225"/>
      <c r="X367" s="225"/>
      <c r="Y367" s="229"/>
      <c r="Z367" s="257"/>
      <c r="AA367" s="225"/>
      <c r="AB367" s="257"/>
      <c r="AC367" s="257"/>
      <c r="AD367" s="226"/>
      <c r="AE367" s="259"/>
      <c r="AF367" s="347"/>
      <c r="AG367" s="232"/>
      <c r="AH367" s="257"/>
      <c r="AI367" s="225"/>
      <c r="AJ367" s="267"/>
      <c r="AK367" s="259"/>
      <c r="AL367" s="226"/>
      <c r="AM367" s="225"/>
      <c r="AN367" s="225"/>
      <c r="AO367" s="254"/>
      <c r="AP367" s="225"/>
      <c r="AQ367" s="225"/>
      <c r="AR367" s="226"/>
      <c r="AS367" s="225"/>
      <c r="AT367" s="225"/>
      <c r="AU367" s="225"/>
      <c r="AV367" s="225"/>
      <c r="AW367" s="225"/>
      <c r="AX367" s="226"/>
      <c r="AY367" s="225"/>
      <c r="AZ367" s="225"/>
      <c r="BA367" s="226"/>
      <c r="BB367" s="225"/>
      <c r="BC367" s="225"/>
      <c r="BD367" s="225"/>
      <c r="BE367" s="225"/>
      <c r="BF367" s="225"/>
      <c r="BG367" s="225"/>
      <c r="BH367" s="225"/>
      <c r="BI367" s="225"/>
      <c r="BJ367" s="225"/>
      <c r="BK367" s="225"/>
      <c r="BL367" s="225"/>
      <c r="BM367" s="225"/>
      <c r="BN367" s="225"/>
      <c r="BO367" s="225"/>
      <c r="BP367" s="225"/>
      <c r="BQ367" s="225"/>
      <c r="BR367" s="225"/>
      <c r="BS367" s="225"/>
      <c r="BT367" s="226"/>
      <c r="BU367" s="225"/>
      <c r="BV367" s="225"/>
      <c r="BW367" s="225"/>
      <c r="BX367" s="225"/>
      <c r="BY367" s="225"/>
      <c r="BZ367" s="225"/>
    </row>
    <row r="368">
      <c r="A368" s="284"/>
      <c r="B368" s="225"/>
      <c r="C368" s="225"/>
      <c r="D368" s="226"/>
      <c r="E368" s="225"/>
      <c r="F368" s="225"/>
      <c r="G368" s="225"/>
      <c r="H368" s="225"/>
      <c r="I368" s="225"/>
      <c r="J368" s="225"/>
      <c r="K368" s="244"/>
      <c r="L368" s="225"/>
      <c r="M368" s="225"/>
      <c r="N368" s="225"/>
      <c r="O368" s="225"/>
      <c r="P368" s="225"/>
      <c r="Q368" s="227"/>
      <c r="R368" s="234"/>
      <c r="S368" s="225"/>
      <c r="T368" s="225"/>
      <c r="U368" s="225"/>
      <c r="V368" s="225"/>
      <c r="W368" s="225"/>
      <c r="X368" s="225"/>
      <c r="Y368" s="229"/>
      <c r="Z368" s="257"/>
      <c r="AA368" s="225"/>
      <c r="AB368" s="257"/>
      <c r="AC368" s="257"/>
      <c r="AD368" s="226"/>
      <c r="AE368" s="259"/>
      <c r="AF368" s="347"/>
      <c r="AG368" s="232"/>
      <c r="AH368" s="257"/>
      <c r="AI368" s="225"/>
      <c r="AJ368" s="267"/>
      <c r="AK368" s="259"/>
      <c r="AL368" s="226"/>
      <c r="AM368" s="225"/>
      <c r="AN368" s="225"/>
      <c r="AO368" s="254"/>
      <c r="AP368" s="225"/>
      <c r="AQ368" s="225"/>
      <c r="AR368" s="226"/>
      <c r="AS368" s="225"/>
      <c r="AT368" s="225"/>
      <c r="AU368" s="225"/>
      <c r="AV368" s="225"/>
      <c r="AW368" s="225"/>
      <c r="AX368" s="226"/>
      <c r="AY368" s="225"/>
      <c r="AZ368" s="225"/>
      <c r="BA368" s="226"/>
      <c r="BB368" s="225"/>
      <c r="BC368" s="225"/>
      <c r="BD368" s="225"/>
      <c r="BE368" s="225"/>
      <c r="BF368" s="225"/>
      <c r="BG368" s="225"/>
      <c r="BH368" s="225"/>
      <c r="BI368" s="225"/>
      <c r="BJ368" s="225"/>
      <c r="BK368" s="225"/>
      <c r="BL368" s="225"/>
      <c r="BM368" s="225"/>
      <c r="BN368" s="225"/>
      <c r="BO368" s="225"/>
      <c r="BP368" s="225"/>
      <c r="BQ368" s="225"/>
      <c r="BR368" s="225"/>
      <c r="BS368" s="225"/>
      <c r="BT368" s="226"/>
      <c r="BU368" s="225"/>
      <c r="BV368" s="225"/>
      <c r="BW368" s="225"/>
      <c r="BX368" s="225"/>
      <c r="BY368" s="225"/>
      <c r="BZ368" s="225"/>
    </row>
    <row r="369">
      <c r="A369" s="284"/>
      <c r="B369" s="225"/>
      <c r="C369" s="225"/>
      <c r="D369" s="226"/>
      <c r="E369" s="225"/>
      <c r="F369" s="225"/>
      <c r="G369" s="225"/>
      <c r="H369" s="225"/>
      <c r="I369" s="225"/>
      <c r="J369" s="225"/>
      <c r="K369" s="244"/>
      <c r="L369" s="225"/>
      <c r="M369" s="225"/>
      <c r="N369" s="225"/>
      <c r="O369" s="225"/>
      <c r="P369" s="225"/>
      <c r="Q369" s="227"/>
      <c r="R369" s="234"/>
      <c r="S369" s="225"/>
      <c r="T369" s="225"/>
      <c r="U369" s="225"/>
      <c r="V369" s="225"/>
      <c r="W369" s="225"/>
      <c r="X369" s="225"/>
      <c r="Y369" s="229"/>
      <c r="Z369" s="257"/>
      <c r="AA369" s="225"/>
      <c r="AB369" s="257"/>
      <c r="AC369" s="257"/>
      <c r="AD369" s="226"/>
      <c r="AE369" s="259"/>
      <c r="AF369" s="347"/>
      <c r="AG369" s="232"/>
      <c r="AH369" s="257"/>
      <c r="AI369" s="225"/>
      <c r="AJ369" s="267"/>
      <c r="AK369" s="259"/>
      <c r="AL369" s="226"/>
      <c r="AM369" s="225"/>
      <c r="AN369" s="225"/>
      <c r="AO369" s="254"/>
      <c r="AP369" s="225"/>
      <c r="AQ369" s="225"/>
      <c r="AR369" s="226"/>
      <c r="AS369" s="225"/>
      <c r="AT369" s="225"/>
      <c r="AU369" s="225"/>
      <c r="AV369" s="225"/>
      <c r="AW369" s="225"/>
      <c r="AX369" s="226"/>
      <c r="AY369" s="225"/>
      <c r="AZ369" s="225"/>
      <c r="BA369" s="226"/>
      <c r="BB369" s="225"/>
      <c r="BC369" s="225"/>
      <c r="BD369" s="225"/>
      <c r="BE369" s="225"/>
      <c r="BF369" s="225"/>
      <c r="BG369" s="225"/>
      <c r="BH369" s="225"/>
      <c r="BI369" s="225"/>
      <c r="BJ369" s="225"/>
      <c r="BK369" s="225"/>
      <c r="BL369" s="225"/>
      <c r="BM369" s="225"/>
      <c r="BN369" s="225"/>
      <c r="BO369" s="225"/>
      <c r="BP369" s="225"/>
      <c r="BQ369" s="225"/>
      <c r="BR369" s="225"/>
      <c r="BS369" s="225"/>
      <c r="BT369" s="226"/>
      <c r="BU369" s="225"/>
      <c r="BV369" s="225"/>
      <c r="BW369" s="225"/>
      <c r="BX369" s="225"/>
      <c r="BY369" s="225"/>
      <c r="BZ369" s="225"/>
    </row>
    <row r="370">
      <c r="A370" s="284"/>
      <c r="B370" s="225"/>
      <c r="C370" s="225"/>
      <c r="D370" s="226"/>
      <c r="E370" s="225"/>
      <c r="F370" s="225"/>
      <c r="G370" s="225"/>
      <c r="H370" s="225"/>
      <c r="I370" s="225"/>
      <c r="J370" s="225"/>
      <c r="K370" s="244"/>
      <c r="L370" s="225"/>
      <c r="M370" s="225"/>
      <c r="N370" s="225"/>
      <c r="O370" s="225"/>
      <c r="P370" s="225"/>
      <c r="Q370" s="227"/>
      <c r="R370" s="234"/>
      <c r="S370" s="225"/>
      <c r="T370" s="225"/>
      <c r="U370" s="225"/>
      <c r="V370" s="225"/>
      <c r="W370" s="225"/>
      <c r="X370" s="225"/>
      <c r="Y370" s="229"/>
      <c r="Z370" s="257"/>
      <c r="AA370" s="225"/>
      <c r="AB370" s="257"/>
      <c r="AC370" s="257"/>
      <c r="AD370" s="226"/>
      <c r="AE370" s="259"/>
      <c r="AF370" s="347"/>
      <c r="AG370" s="232"/>
      <c r="AH370" s="257"/>
      <c r="AI370" s="225"/>
      <c r="AJ370" s="267"/>
      <c r="AK370" s="259"/>
      <c r="AL370" s="226"/>
      <c r="AM370" s="225"/>
      <c r="AN370" s="225"/>
      <c r="AO370" s="254"/>
      <c r="AP370" s="225"/>
      <c r="AQ370" s="225"/>
      <c r="AR370" s="226"/>
      <c r="AS370" s="225"/>
      <c r="AT370" s="225"/>
      <c r="AU370" s="225"/>
      <c r="AV370" s="225"/>
      <c r="AW370" s="225"/>
      <c r="AX370" s="226"/>
      <c r="AY370" s="225"/>
      <c r="AZ370" s="225"/>
      <c r="BA370" s="226"/>
      <c r="BB370" s="225"/>
      <c r="BC370" s="225"/>
      <c r="BD370" s="225"/>
      <c r="BE370" s="225"/>
      <c r="BF370" s="225"/>
      <c r="BG370" s="225"/>
      <c r="BH370" s="225"/>
      <c r="BI370" s="225"/>
      <c r="BJ370" s="225"/>
      <c r="BK370" s="225"/>
      <c r="BL370" s="225"/>
      <c r="BM370" s="225"/>
      <c r="BN370" s="225"/>
      <c r="BO370" s="225"/>
      <c r="BP370" s="225"/>
      <c r="BQ370" s="225"/>
      <c r="BR370" s="225"/>
      <c r="BS370" s="225"/>
      <c r="BT370" s="226"/>
      <c r="BU370" s="225"/>
      <c r="BV370" s="225"/>
      <c r="BW370" s="225"/>
      <c r="BX370" s="225"/>
      <c r="BY370" s="225"/>
      <c r="BZ370" s="225"/>
    </row>
    <row r="371">
      <c r="A371" s="284"/>
      <c r="B371" s="225"/>
      <c r="C371" s="225"/>
      <c r="D371" s="226"/>
      <c r="E371" s="225"/>
      <c r="F371" s="225"/>
      <c r="G371" s="225"/>
      <c r="H371" s="225"/>
      <c r="I371" s="225"/>
      <c r="J371" s="225"/>
      <c r="K371" s="244"/>
      <c r="L371" s="225"/>
      <c r="M371" s="225"/>
      <c r="N371" s="225"/>
      <c r="O371" s="225"/>
      <c r="P371" s="225"/>
      <c r="Q371" s="227"/>
      <c r="R371" s="234"/>
      <c r="S371" s="225"/>
      <c r="T371" s="225"/>
      <c r="U371" s="225"/>
      <c r="V371" s="225"/>
      <c r="W371" s="225"/>
      <c r="X371" s="225"/>
      <c r="Y371" s="229"/>
      <c r="Z371" s="257"/>
      <c r="AA371" s="225"/>
      <c r="AB371" s="257"/>
      <c r="AC371" s="257"/>
      <c r="AD371" s="226"/>
      <c r="AE371" s="259"/>
      <c r="AF371" s="347"/>
      <c r="AG371" s="232"/>
      <c r="AH371" s="257"/>
      <c r="AI371" s="225"/>
      <c r="AJ371" s="267"/>
      <c r="AK371" s="259"/>
      <c r="AL371" s="226"/>
      <c r="AM371" s="225"/>
      <c r="AN371" s="225"/>
      <c r="AO371" s="254"/>
      <c r="AP371" s="225"/>
      <c r="AQ371" s="225"/>
      <c r="AR371" s="226"/>
      <c r="AS371" s="225"/>
      <c r="AT371" s="225"/>
      <c r="AU371" s="225"/>
      <c r="AV371" s="225"/>
      <c r="AW371" s="225"/>
      <c r="AX371" s="226"/>
      <c r="AY371" s="225"/>
      <c r="AZ371" s="225"/>
      <c r="BA371" s="226"/>
      <c r="BB371" s="225"/>
      <c r="BC371" s="225"/>
      <c r="BD371" s="225"/>
      <c r="BE371" s="225"/>
      <c r="BF371" s="225"/>
      <c r="BG371" s="225"/>
      <c r="BH371" s="225"/>
      <c r="BI371" s="225"/>
      <c r="BJ371" s="225"/>
      <c r="BK371" s="225"/>
      <c r="BL371" s="225"/>
      <c r="BM371" s="225"/>
      <c r="BN371" s="225"/>
      <c r="BO371" s="225"/>
      <c r="BP371" s="225"/>
      <c r="BQ371" s="225"/>
      <c r="BR371" s="225"/>
      <c r="BS371" s="225"/>
      <c r="BT371" s="226"/>
      <c r="BU371" s="225"/>
      <c r="BV371" s="225"/>
      <c r="BW371" s="225"/>
      <c r="BX371" s="225"/>
      <c r="BY371" s="225"/>
      <c r="BZ371" s="225"/>
    </row>
    <row r="372">
      <c r="A372" s="284"/>
      <c r="B372" s="225"/>
      <c r="C372" s="225"/>
      <c r="D372" s="226"/>
      <c r="E372" s="225"/>
      <c r="F372" s="225"/>
      <c r="G372" s="225"/>
      <c r="H372" s="225"/>
      <c r="I372" s="225"/>
      <c r="J372" s="225"/>
      <c r="K372" s="244"/>
      <c r="L372" s="225"/>
      <c r="M372" s="225"/>
      <c r="N372" s="225"/>
      <c r="O372" s="225"/>
      <c r="P372" s="225"/>
      <c r="Q372" s="227"/>
      <c r="R372" s="234"/>
      <c r="S372" s="225"/>
      <c r="T372" s="225"/>
      <c r="U372" s="225"/>
      <c r="V372" s="225"/>
      <c r="W372" s="225"/>
      <c r="X372" s="225"/>
      <c r="Y372" s="229"/>
      <c r="Z372" s="257"/>
      <c r="AA372" s="225"/>
      <c r="AB372" s="257"/>
      <c r="AC372" s="257"/>
      <c r="AD372" s="226"/>
      <c r="AE372" s="259"/>
      <c r="AF372" s="347"/>
      <c r="AG372" s="232"/>
      <c r="AH372" s="257"/>
      <c r="AI372" s="225"/>
      <c r="AJ372" s="267"/>
      <c r="AK372" s="259"/>
      <c r="AL372" s="226"/>
      <c r="AM372" s="225"/>
      <c r="AN372" s="225"/>
      <c r="AO372" s="254"/>
      <c r="AP372" s="225"/>
      <c r="AQ372" s="225"/>
      <c r="AR372" s="226"/>
      <c r="AS372" s="225"/>
      <c r="AT372" s="225"/>
      <c r="AU372" s="225"/>
      <c r="AV372" s="225"/>
      <c r="AW372" s="225"/>
      <c r="AX372" s="226"/>
      <c r="AY372" s="225"/>
      <c r="AZ372" s="225"/>
      <c r="BA372" s="226"/>
      <c r="BB372" s="225"/>
      <c r="BC372" s="225"/>
      <c r="BD372" s="225"/>
      <c r="BE372" s="225"/>
      <c r="BF372" s="225"/>
      <c r="BG372" s="225"/>
      <c r="BH372" s="225"/>
      <c r="BI372" s="225"/>
      <c r="BJ372" s="225"/>
      <c r="BK372" s="225"/>
      <c r="BL372" s="225"/>
      <c r="BM372" s="225"/>
      <c r="BN372" s="225"/>
      <c r="BO372" s="225"/>
      <c r="BP372" s="225"/>
      <c r="BQ372" s="225"/>
      <c r="BR372" s="225"/>
      <c r="BS372" s="225"/>
      <c r="BT372" s="226"/>
      <c r="BU372" s="225"/>
      <c r="BV372" s="225"/>
      <c r="BW372" s="225"/>
      <c r="BX372" s="225"/>
      <c r="BY372" s="225"/>
      <c r="BZ372" s="225"/>
    </row>
    <row r="373">
      <c r="A373" s="284"/>
      <c r="B373" s="225"/>
      <c r="C373" s="225"/>
      <c r="D373" s="226"/>
      <c r="E373" s="225"/>
      <c r="F373" s="225"/>
      <c r="G373" s="225"/>
      <c r="H373" s="225"/>
      <c r="I373" s="225"/>
      <c r="J373" s="225"/>
      <c r="K373" s="244"/>
      <c r="L373" s="225"/>
      <c r="M373" s="225"/>
      <c r="N373" s="225"/>
      <c r="O373" s="225"/>
      <c r="P373" s="225"/>
      <c r="Q373" s="227"/>
      <c r="R373" s="234"/>
      <c r="S373" s="225"/>
      <c r="T373" s="225"/>
      <c r="U373" s="225"/>
      <c r="V373" s="225"/>
      <c r="W373" s="225"/>
      <c r="X373" s="225"/>
      <c r="Y373" s="229"/>
      <c r="Z373" s="257"/>
      <c r="AA373" s="225"/>
      <c r="AB373" s="257"/>
      <c r="AC373" s="257"/>
      <c r="AD373" s="226"/>
      <c r="AE373" s="259"/>
      <c r="AF373" s="347"/>
      <c r="AG373" s="232"/>
      <c r="AH373" s="257"/>
      <c r="AI373" s="225"/>
      <c r="AJ373" s="267"/>
      <c r="AK373" s="259"/>
      <c r="AL373" s="226"/>
      <c r="AM373" s="225"/>
      <c r="AN373" s="225"/>
      <c r="AO373" s="254"/>
      <c r="AP373" s="225"/>
      <c r="AQ373" s="225"/>
      <c r="AR373" s="226"/>
      <c r="AS373" s="225"/>
      <c r="AT373" s="225"/>
      <c r="AU373" s="225"/>
      <c r="AV373" s="225"/>
      <c r="AW373" s="225"/>
      <c r="AX373" s="226"/>
      <c r="AY373" s="225"/>
      <c r="AZ373" s="225"/>
      <c r="BA373" s="226"/>
      <c r="BB373" s="225"/>
      <c r="BC373" s="225"/>
      <c r="BD373" s="225"/>
      <c r="BE373" s="225"/>
      <c r="BF373" s="225"/>
      <c r="BG373" s="225"/>
      <c r="BH373" s="225"/>
      <c r="BI373" s="225"/>
      <c r="BJ373" s="225"/>
      <c r="BK373" s="225"/>
      <c r="BL373" s="225"/>
      <c r="BM373" s="225"/>
      <c r="BN373" s="225"/>
      <c r="BO373" s="225"/>
      <c r="BP373" s="225"/>
      <c r="BQ373" s="225"/>
      <c r="BR373" s="225"/>
      <c r="BS373" s="225"/>
      <c r="BT373" s="226"/>
      <c r="BU373" s="225"/>
      <c r="BV373" s="225"/>
      <c r="BW373" s="225"/>
      <c r="BX373" s="225"/>
      <c r="BY373" s="225"/>
      <c r="BZ373" s="225"/>
    </row>
    <row r="374">
      <c r="A374" s="284"/>
      <c r="B374" s="225"/>
      <c r="C374" s="225"/>
      <c r="D374" s="226"/>
      <c r="E374" s="225"/>
      <c r="F374" s="225"/>
      <c r="G374" s="225"/>
      <c r="H374" s="225"/>
      <c r="I374" s="225"/>
      <c r="J374" s="225"/>
      <c r="K374" s="244"/>
      <c r="L374" s="225"/>
      <c r="M374" s="225"/>
      <c r="N374" s="225"/>
      <c r="O374" s="225"/>
      <c r="P374" s="225"/>
      <c r="Q374" s="227"/>
      <c r="R374" s="234"/>
      <c r="S374" s="225"/>
      <c r="T374" s="225"/>
      <c r="U374" s="225"/>
      <c r="V374" s="225"/>
      <c r="W374" s="225"/>
      <c r="X374" s="225"/>
      <c r="Y374" s="229"/>
      <c r="Z374" s="257"/>
      <c r="AA374" s="225"/>
      <c r="AB374" s="257"/>
      <c r="AC374" s="257"/>
      <c r="AD374" s="226"/>
      <c r="AE374" s="259"/>
      <c r="AF374" s="347"/>
      <c r="AG374" s="232"/>
      <c r="AH374" s="257"/>
      <c r="AI374" s="225"/>
      <c r="AJ374" s="267"/>
      <c r="AK374" s="259"/>
      <c r="AL374" s="226"/>
      <c r="AM374" s="225"/>
      <c r="AN374" s="225"/>
      <c r="AO374" s="254"/>
      <c r="AP374" s="225"/>
      <c r="AQ374" s="225"/>
      <c r="AR374" s="226"/>
      <c r="AS374" s="225"/>
      <c r="AT374" s="225"/>
      <c r="AU374" s="225"/>
      <c r="AV374" s="225"/>
      <c r="AW374" s="225"/>
      <c r="AX374" s="226"/>
      <c r="AY374" s="225"/>
      <c r="AZ374" s="225"/>
      <c r="BA374" s="226"/>
      <c r="BB374" s="225"/>
      <c r="BC374" s="225"/>
      <c r="BD374" s="225"/>
      <c r="BE374" s="225"/>
      <c r="BF374" s="225"/>
      <c r="BG374" s="225"/>
      <c r="BH374" s="225"/>
      <c r="BI374" s="225"/>
      <c r="BJ374" s="225"/>
      <c r="BK374" s="225"/>
      <c r="BL374" s="225"/>
      <c r="BM374" s="225"/>
      <c r="BN374" s="225"/>
      <c r="BO374" s="225"/>
      <c r="BP374" s="225"/>
      <c r="BQ374" s="225"/>
      <c r="BR374" s="225"/>
      <c r="BS374" s="225"/>
      <c r="BT374" s="226"/>
      <c r="BU374" s="225"/>
      <c r="BV374" s="225"/>
      <c r="BW374" s="225"/>
      <c r="BX374" s="225"/>
      <c r="BY374" s="225"/>
      <c r="BZ374" s="225"/>
    </row>
    <row r="375">
      <c r="A375" s="225"/>
      <c r="B375" s="225"/>
      <c r="C375" s="225"/>
      <c r="D375" s="226"/>
      <c r="E375" s="225"/>
      <c r="F375" s="225"/>
      <c r="G375" s="225"/>
      <c r="H375" s="225"/>
      <c r="I375" s="225"/>
      <c r="J375" s="225"/>
      <c r="K375" s="244"/>
      <c r="L375" s="225"/>
      <c r="M375" s="225"/>
      <c r="N375" s="225"/>
      <c r="O375" s="225"/>
      <c r="P375" s="225"/>
      <c r="Q375" s="227"/>
      <c r="R375" s="234"/>
      <c r="S375" s="225"/>
      <c r="T375" s="225"/>
      <c r="U375" s="225"/>
      <c r="V375" s="225"/>
      <c r="W375" s="225"/>
      <c r="X375" s="225"/>
      <c r="Y375" s="229"/>
      <c r="Z375" s="257"/>
      <c r="AA375" s="225"/>
      <c r="AB375" s="257"/>
      <c r="AC375" s="257"/>
      <c r="AD375" s="226"/>
      <c r="AE375" s="259"/>
      <c r="AF375" s="347"/>
      <c r="AG375" s="232"/>
      <c r="AH375" s="257"/>
      <c r="AI375" s="225"/>
      <c r="AJ375" s="267"/>
      <c r="AK375" s="259"/>
      <c r="AL375" s="226"/>
      <c r="AM375" s="225"/>
      <c r="AN375" s="225"/>
      <c r="AO375" s="254"/>
      <c r="AP375" s="225"/>
      <c r="AQ375" s="225"/>
      <c r="AR375" s="226"/>
      <c r="AS375" s="225"/>
      <c r="AT375" s="225"/>
      <c r="AU375" s="225"/>
      <c r="AV375" s="225"/>
      <c r="AW375" s="225"/>
      <c r="AX375" s="226"/>
      <c r="AY375" s="225"/>
      <c r="AZ375" s="225"/>
      <c r="BA375" s="226"/>
      <c r="BB375" s="225"/>
      <c r="BC375" s="225"/>
      <c r="BD375" s="225"/>
      <c r="BE375" s="225"/>
      <c r="BF375" s="225"/>
      <c r="BG375" s="225"/>
      <c r="BH375" s="225"/>
      <c r="BI375" s="225"/>
      <c r="BJ375" s="225"/>
      <c r="BK375" s="225"/>
      <c r="BL375" s="225"/>
      <c r="BM375" s="225"/>
      <c r="BN375" s="225"/>
      <c r="BO375" s="225"/>
      <c r="BP375" s="225"/>
      <c r="BQ375" s="225"/>
      <c r="BR375" s="225"/>
      <c r="BS375" s="225"/>
      <c r="BT375" s="226"/>
      <c r="BU375" s="225"/>
      <c r="BV375" s="225"/>
      <c r="BW375" s="225"/>
      <c r="BX375" s="225"/>
      <c r="BY375" s="225"/>
      <c r="BZ375" s="225"/>
    </row>
    <row r="376">
      <c r="A376" s="225"/>
      <c r="B376" s="225"/>
      <c r="C376" s="225"/>
      <c r="D376" s="226"/>
      <c r="E376" s="225"/>
      <c r="F376" s="225"/>
      <c r="G376" s="225"/>
      <c r="H376" s="225"/>
      <c r="I376" s="225"/>
      <c r="J376" s="225"/>
      <c r="K376" s="244"/>
      <c r="L376" s="225"/>
      <c r="M376" s="225"/>
      <c r="N376" s="225"/>
      <c r="O376" s="225"/>
      <c r="P376" s="225"/>
      <c r="Q376" s="227"/>
      <c r="R376" s="234"/>
      <c r="S376" s="225"/>
      <c r="T376" s="225"/>
      <c r="U376" s="225"/>
      <c r="V376" s="225"/>
      <c r="W376" s="225"/>
      <c r="X376" s="225"/>
      <c r="Y376" s="229"/>
      <c r="Z376" s="257"/>
      <c r="AA376" s="225"/>
      <c r="AB376" s="257"/>
      <c r="AC376" s="257"/>
      <c r="AD376" s="226"/>
      <c r="AE376" s="259"/>
      <c r="AF376" s="347"/>
      <c r="AG376" s="232"/>
      <c r="AH376" s="257"/>
      <c r="AI376" s="225"/>
      <c r="AJ376" s="267"/>
      <c r="AK376" s="259"/>
      <c r="AL376" s="226"/>
      <c r="AM376" s="225"/>
      <c r="AN376" s="225"/>
      <c r="AO376" s="254"/>
      <c r="AP376" s="225"/>
      <c r="AQ376" s="225"/>
      <c r="AR376" s="226"/>
      <c r="AS376" s="225"/>
      <c r="AT376" s="225"/>
      <c r="AU376" s="225"/>
      <c r="AV376" s="225"/>
      <c r="AW376" s="225"/>
      <c r="AX376" s="226"/>
      <c r="AY376" s="225"/>
      <c r="AZ376" s="225"/>
      <c r="BA376" s="226"/>
      <c r="BB376" s="225"/>
      <c r="BC376" s="225"/>
      <c r="BD376" s="225"/>
      <c r="BE376" s="225"/>
      <c r="BF376" s="225"/>
      <c r="BG376" s="225"/>
      <c r="BH376" s="225"/>
      <c r="BI376" s="225"/>
      <c r="BJ376" s="225"/>
      <c r="BK376" s="225"/>
      <c r="BL376" s="225"/>
      <c r="BM376" s="225"/>
      <c r="BN376" s="225"/>
      <c r="BO376" s="225"/>
      <c r="BP376" s="225"/>
      <c r="BQ376" s="225"/>
      <c r="BR376" s="225"/>
      <c r="BS376" s="225"/>
      <c r="BT376" s="226"/>
      <c r="BU376" s="225"/>
      <c r="BV376" s="225"/>
      <c r="BW376" s="225"/>
      <c r="BX376" s="225"/>
      <c r="BY376" s="225"/>
      <c r="BZ376" s="225"/>
    </row>
    <row r="377">
      <c r="A377" s="225"/>
      <c r="B377" s="225"/>
      <c r="C377" s="225"/>
      <c r="D377" s="226"/>
      <c r="E377" s="225"/>
      <c r="F377" s="225"/>
      <c r="G377" s="225"/>
      <c r="H377" s="225"/>
      <c r="I377" s="225"/>
      <c r="J377" s="225"/>
      <c r="K377" s="244"/>
      <c r="L377" s="225"/>
      <c r="M377" s="225"/>
      <c r="N377" s="225"/>
      <c r="O377" s="225"/>
      <c r="P377" s="225"/>
      <c r="Q377" s="227"/>
      <c r="R377" s="234"/>
      <c r="S377" s="225"/>
      <c r="T377" s="225"/>
      <c r="U377" s="225"/>
      <c r="V377" s="225"/>
      <c r="W377" s="225"/>
      <c r="X377" s="225"/>
      <c r="Y377" s="229"/>
      <c r="Z377" s="257"/>
      <c r="AA377" s="225"/>
      <c r="AB377" s="257"/>
      <c r="AC377" s="257"/>
      <c r="AD377" s="226"/>
      <c r="AE377" s="259"/>
      <c r="AF377" s="347"/>
      <c r="AG377" s="232"/>
      <c r="AH377" s="257"/>
      <c r="AI377" s="225"/>
      <c r="AJ377" s="267"/>
      <c r="AK377" s="259"/>
      <c r="AL377" s="226"/>
      <c r="AM377" s="225"/>
      <c r="AN377" s="225"/>
      <c r="AO377" s="254"/>
      <c r="AP377" s="225"/>
      <c r="AQ377" s="225"/>
      <c r="AR377" s="226"/>
      <c r="AS377" s="225"/>
      <c r="AT377" s="225"/>
      <c r="AU377" s="225"/>
      <c r="AV377" s="225"/>
      <c r="AW377" s="225"/>
      <c r="AX377" s="226"/>
      <c r="AY377" s="225"/>
      <c r="AZ377" s="225"/>
      <c r="BA377" s="226"/>
      <c r="BB377" s="225"/>
      <c r="BC377" s="225"/>
      <c r="BD377" s="225"/>
      <c r="BE377" s="225"/>
      <c r="BF377" s="225"/>
      <c r="BG377" s="225"/>
      <c r="BH377" s="225"/>
      <c r="BI377" s="225"/>
      <c r="BJ377" s="225"/>
      <c r="BK377" s="225"/>
      <c r="BL377" s="225"/>
      <c r="BM377" s="225"/>
      <c r="BN377" s="225"/>
      <c r="BO377" s="225"/>
      <c r="BP377" s="225"/>
      <c r="BQ377" s="225"/>
      <c r="BR377" s="225"/>
      <c r="BS377" s="225"/>
      <c r="BT377" s="226"/>
      <c r="BU377" s="225"/>
      <c r="BV377" s="225"/>
      <c r="BW377" s="225"/>
      <c r="BX377" s="225"/>
      <c r="BY377" s="225"/>
      <c r="BZ377" s="225"/>
    </row>
    <row r="378">
      <c r="A378" s="225"/>
      <c r="B378" s="225"/>
      <c r="C378" s="225"/>
      <c r="D378" s="226"/>
      <c r="E378" s="225"/>
      <c r="F378" s="225"/>
      <c r="G378" s="225"/>
      <c r="H378" s="225"/>
      <c r="I378" s="225"/>
      <c r="J378" s="225"/>
      <c r="K378" s="244"/>
      <c r="L378" s="225"/>
      <c r="M378" s="225"/>
      <c r="N378" s="225"/>
      <c r="O378" s="225"/>
      <c r="P378" s="225"/>
      <c r="Q378" s="227"/>
      <c r="R378" s="234"/>
      <c r="S378" s="225"/>
      <c r="T378" s="225"/>
      <c r="U378" s="225"/>
      <c r="V378" s="225"/>
      <c r="W378" s="225"/>
      <c r="X378" s="225"/>
      <c r="Y378" s="229"/>
      <c r="Z378" s="257"/>
      <c r="AA378" s="225"/>
      <c r="AB378" s="257"/>
      <c r="AC378" s="257"/>
      <c r="AD378" s="226"/>
      <c r="AE378" s="259"/>
      <c r="AF378" s="347"/>
      <c r="AG378" s="232"/>
      <c r="AH378" s="257"/>
      <c r="AI378" s="225"/>
      <c r="AJ378" s="267"/>
      <c r="AK378" s="259"/>
      <c r="AL378" s="226"/>
      <c r="AM378" s="225"/>
      <c r="AN378" s="225"/>
      <c r="AO378" s="254"/>
      <c r="AP378" s="225"/>
      <c r="AQ378" s="225"/>
      <c r="AR378" s="226"/>
      <c r="AS378" s="225"/>
      <c r="AT378" s="225"/>
      <c r="AU378" s="225"/>
      <c r="AV378" s="225"/>
      <c r="AW378" s="225"/>
      <c r="AX378" s="226"/>
      <c r="AY378" s="225"/>
      <c r="AZ378" s="225"/>
      <c r="BA378" s="226"/>
      <c r="BB378" s="225"/>
      <c r="BC378" s="225"/>
      <c r="BD378" s="225"/>
      <c r="BE378" s="225"/>
      <c r="BF378" s="225"/>
      <c r="BG378" s="225"/>
      <c r="BH378" s="225"/>
      <c r="BI378" s="225"/>
      <c r="BJ378" s="225"/>
      <c r="BK378" s="225"/>
      <c r="BL378" s="225"/>
      <c r="BM378" s="225"/>
      <c r="BN378" s="225"/>
      <c r="BO378" s="225"/>
      <c r="BP378" s="225"/>
      <c r="BQ378" s="225"/>
      <c r="BR378" s="225"/>
      <c r="BS378" s="225"/>
      <c r="BT378" s="226"/>
      <c r="BU378" s="225"/>
      <c r="BV378" s="225"/>
      <c r="BW378" s="225"/>
      <c r="BX378" s="225"/>
      <c r="BY378" s="225"/>
      <c r="BZ378" s="225"/>
    </row>
    <row r="379">
      <c r="A379" s="225"/>
      <c r="B379" s="225"/>
      <c r="C379" s="225"/>
      <c r="D379" s="226"/>
      <c r="E379" s="225"/>
      <c r="F379" s="225"/>
      <c r="G379" s="225"/>
      <c r="H379" s="225"/>
      <c r="I379" s="225"/>
      <c r="J379" s="225"/>
      <c r="K379" s="244"/>
      <c r="L379" s="225"/>
      <c r="M379" s="225"/>
      <c r="N379" s="225"/>
      <c r="O379" s="225"/>
      <c r="P379" s="225"/>
      <c r="Q379" s="227"/>
      <c r="R379" s="234"/>
      <c r="S379" s="225"/>
      <c r="T379" s="225"/>
      <c r="U379" s="225"/>
      <c r="V379" s="225"/>
      <c r="W379" s="225"/>
      <c r="X379" s="225"/>
      <c r="Y379" s="229"/>
      <c r="Z379" s="257"/>
      <c r="AA379" s="225"/>
      <c r="AB379" s="257"/>
      <c r="AC379" s="257"/>
      <c r="AD379" s="226"/>
      <c r="AE379" s="259"/>
      <c r="AF379" s="347"/>
      <c r="AG379" s="232"/>
      <c r="AH379" s="257"/>
      <c r="AI379" s="225"/>
      <c r="AJ379" s="267"/>
      <c r="AK379" s="259"/>
      <c r="AL379" s="226"/>
      <c r="AM379" s="225"/>
      <c r="AN379" s="225"/>
      <c r="AO379" s="254"/>
      <c r="AP379" s="225"/>
      <c r="AQ379" s="225"/>
      <c r="AR379" s="226"/>
      <c r="AS379" s="225"/>
      <c r="AT379" s="225"/>
      <c r="AU379" s="225"/>
      <c r="AV379" s="225"/>
      <c r="AW379" s="225"/>
      <c r="AX379" s="226"/>
      <c r="AY379" s="225"/>
      <c r="AZ379" s="225"/>
      <c r="BA379" s="226"/>
      <c r="BB379" s="225"/>
      <c r="BC379" s="225"/>
      <c r="BD379" s="225"/>
      <c r="BE379" s="225"/>
      <c r="BF379" s="225"/>
      <c r="BG379" s="225"/>
      <c r="BH379" s="225"/>
      <c r="BI379" s="225"/>
      <c r="BJ379" s="225"/>
      <c r="BK379" s="225"/>
      <c r="BL379" s="225"/>
      <c r="BM379" s="225"/>
      <c r="BN379" s="225"/>
      <c r="BO379" s="225"/>
      <c r="BP379" s="225"/>
      <c r="BQ379" s="225"/>
      <c r="BR379" s="225"/>
      <c r="BS379" s="225"/>
      <c r="BT379" s="226"/>
      <c r="BU379" s="225"/>
      <c r="BV379" s="225"/>
      <c r="BW379" s="225"/>
      <c r="BX379" s="225"/>
      <c r="BY379" s="225"/>
      <c r="BZ379" s="225"/>
    </row>
    <row r="380">
      <c r="A380" s="225"/>
      <c r="B380" s="225"/>
      <c r="C380" s="225"/>
      <c r="D380" s="226"/>
      <c r="E380" s="225"/>
      <c r="F380" s="225"/>
      <c r="G380" s="225"/>
      <c r="H380" s="225"/>
      <c r="I380" s="225"/>
      <c r="J380" s="225"/>
      <c r="K380" s="244"/>
      <c r="L380" s="225"/>
      <c r="M380" s="225"/>
      <c r="N380" s="225"/>
      <c r="O380" s="225"/>
      <c r="P380" s="225"/>
      <c r="Q380" s="227"/>
      <c r="R380" s="234"/>
      <c r="S380" s="225"/>
      <c r="T380" s="225"/>
      <c r="U380" s="225"/>
      <c r="V380" s="225"/>
      <c r="W380" s="225"/>
      <c r="X380" s="225"/>
      <c r="Y380" s="229"/>
      <c r="Z380" s="257"/>
      <c r="AA380" s="225"/>
      <c r="AB380" s="257"/>
      <c r="AC380" s="257"/>
      <c r="AD380" s="226"/>
      <c r="AE380" s="259"/>
      <c r="AF380" s="347"/>
      <c r="AG380" s="232"/>
      <c r="AH380" s="257"/>
      <c r="AI380" s="225"/>
      <c r="AJ380" s="267"/>
      <c r="AK380" s="259"/>
      <c r="AL380" s="226"/>
      <c r="AM380" s="225"/>
      <c r="AN380" s="225"/>
      <c r="AO380" s="254"/>
      <c r="AP380" s="225"/>
      <c r="AQ380" s="225"/>
      <c r="AR380" s="226"/>
      <c r="AS380" s="225"/>
      <c r="AT380" s="225"/>
      <c r="AU380" s="225"/>
      <c r="AV380" s="225"/>
      <c r="AW380" s="225"/>
      <c r="AX380" s="226"/>
      <c r="AY380" s="225"/>
      <c r="AZ380" s="225"/>
      <c r="BA380" s="226"/>
      <c r="BB380" s="225"/>
      <c r="BC380" s="225"/>
      <c r="BD380" s="225"/>
      <c r="BE380" s="225"/>
      <c r="BF380" s="225"/>
      <c r="BG380" s="225"/>
      <c r="BH380" s="225"/>
      <c r="BI380" s="225"/>
      <c r="BJ380" s="225"/>
      <c r="BK380" s="225"/>
      <c r="BL380" s="225"/>
      <c r="BM380" s="225"/>
      <c r="BN380" s="225"/>
      <c r="BO380" s="225"/>
      <c r="BP380" s="225"/>
      <c r="BQ380" s="225"/>
      <c r="BR380" s="225"/>
      <c r="BS380" s="225"/>
      <c r="BT380" s="226"/>
      <c r="BU380" s="225"/>
      <c r="BV380" s="225"/>
      <c r="BW380" s="225"/>
      <c r="BX380" s="225"/>
      <c r="BY380" s="225"/>
      <c r="BZ380" s="225"/>
    </row>
    <row r="381">
      <c r="A381" s="225"/>
      <c r="B381" s="225"/>
      <c r="C381" s="225"/>
      <c r="D381" s="226"/>
      <c r="E381" s="225"/>
      <c r="F381" s="225"/>
      <c r="G381" s="225"/>
      <c r="H381" s="225"/>
      <c r="I381" s="225"/>
      <c r="J381" s="225"/>
      <c r="K381" s="244"/>
      <c r="L381" s="225"/>
      <c r="M381" s="225"/>
      <c r="N381" s="225"/>
      <c r="O381" s="225"/>
      <c r="P381" s="225"/>
      <c r="Q381" s="227"/>
      <c r="R381" s="234"/>
      <c r="S381" s="225"/>
      <c r="T381" s="225"/>
      <c r="U381" s="225"/>
      <c r="V381" s="225"/>
      <c r="W381" s="225"/>
      <c r="X381" s="225"/>
      <c r="Y381" s="229"/>
      <c r="Z381" s="257"/>
      <c r="AA381" s="225"/>
      <c r="AB381" s="257"/>
      <c r="AC381" s="257"/>
      <c r="AD381" s="226"/>
      <c r="AE381" s="259"/>
      <c r="AF381" s="347"/>
      <c r="AG381" s="232"/>
      <c r="AH381" s="257"/>
      <c r="AI381" s="225"/>
      <c r="AJ381" s="267"/>
      <c r="AK381" s="259"/>
      <c r="AL381" s="226"/>
      <c r="AM381" s="225"/>
      <c r="AN381" s="225"/>
      <c r="AO381" s="254"/>
      <c r="AP381" s="225"/>
      <c r="AQ381" s="225"/>
      <c r="AR381" s="226"/>
      <c r="AS381" s="225"/>
      <c r="AT381" s="225"/>
      <c r="AU381" s="225"/>
      <c r="AV381" s="225"/>
      <c r="AW381" s="225"/>
      <c r="AX381" s="226"/>
      <c r="AY381" s="225"/>
      <c r="AZ381" s="225"/>
      <c r="BA381" s="226"/>
      <c r="BB381" s="225"/>
      <c r="BC381" s="225"/>
      <c r="BD381" s="225"/>
      <c r="BE381" s="225"/>
      <c r="BF381" s="225"/>
      <c r="BG381" s="225"/>
      <c r="BH381" s="225"/>
      <c r="BI381" s="225"/>
      <c r="BJ381" s="225"/>
      <c r="BK381" s="225"/>
      <c r="BL381" s="225"/>
      <c r="BM381" s="225"/>
      <c r="BN381" s="225"/>
      <c r="BO381" s="225"/>
      <c r="BP381" s="225"/>
      <c r="BQ381" s="225"/>
      <c r="BR381" s="225"/>
      <c r="BS381" s="225"/>
      <c r="BT381" s="226"/>
      <c r="BU381" s="225"/>
      <c r="BV381" s="225"/>
      <c r="BW381" s="225"/>
      <c r="BX381" s="225"/>
      <c r="BY381" s="225"/>
      <c r="BZ381" s="225"/>
    </row>
    <row r="382">
      <c r="A382" s="225"/>
      <c r="B382" s="225"/>
      <c r="C382" s="225"/>
      <c r="D382" s="226"/>
      <c r="E382" s="225"/>
      <c r="F382" s="225"/>
      <c r="G382" s="225"/>
      <c r="H382" s="225"/>
      <c r="I382" s="225"/>
      <c r="J382" s="225"/>
      <c r="K382" s="244"/>
      <c r="L382" s="225"/>
      <c r="M382" s="225"/>
      <c r="N382" s="225"/>
      <c r="O382" s="225"/>
      <c r="P382" s="225"/>
      <c r="Q382" s="227"/>
      <c r="R382" s="234"/>
      <c r="S382" s="225"/>
      <c r="T382" s="225"/>
      <c r="U382" s="225"/>
      <c r="V382" s="225"/>
      <c r="W382" s="225"/>
      <c r="X382" s="225"/>
      <c r="Y382" s="229"/>
      <c r="Z382" s="257"/>
      <c r="AA382" s="225"/>
      <c r="AB382" s="257"/>
      <c r="AC382" s="257"/>
      <c r="AD382" s="226"/>
      <c r="AE382" s="259"/>
      <c r="AF382" s="347"/>
      <c r="AG382" s="232"/>
      <c r="AH382" s="257"/>
      <c r="AI382" s="225"/>
      <c r="AJ382" s="267"/>
      <c r="AK382" s="259"/>
      <c r="AL382" s="226"/>
      <c r="AM382" s="225"/>
      <c r="AN382" s="225"/>
      <c r="AO382" s="254"/>
      <c r="AP382" s="225"/>
      <c r="AQ382" s="225"/>
      <c r="AR382" s="226"/>
      <c r="AS382" s="225"/>
      <c r="AT382" s="225"/>
      <c r="AU382" s="225"/>
      <c r="AV382" s="225"/>
      <c r="AW382" s="225"/>
      <c r="AX382" s="226"/>
      <c r="AY382" s="225"/>
      <c r="AZ382" s="225"/>
      <c r="BA382" s="226"/>
      <c r="BB382" s="225"/>
      <c r="BC382" s="225"/>
      <c r="BD382" s="225"/>
      <c r="BE382" s="225"/>
      <c r="BF382" s="225"/>
      <c r="BG382" s="225"/>
      <c r="BH382" s="225"/>
      <c r="BI382" s="225"/>
      <c r="BJ382" s="225"/>
      <c r="BK382" s="225"/>
      <c r="BL382" s="225"/>
      <c r="BM382" s="225"/>
      <c r="BN382" s="225"/>
      <c r="BO382" s="225"/>
      <c r="BP382" s="225"/>
      <c r="BQ382" s="225"/>
      <c r="BR382" s="225"/>
      <c r="BS382" s="225"/>
      <c r="BT382" s="226"/>
      <c r="BU382" s="225"/>
      <c r="BV382" s="225"/>
      <c r="BW382" s="225"/>
      <c r="BX382" s="225"/>
      <c r="BY382" s="225"/>
      <c r="BZ382" s="225"/>
    </row>
    <row r="383">
      <c r="A383" s="225"/>
      <c r="B383" s="225"/>
      <c r="C383" s="225"/>
      <c r="D383" s="226"/>
      <c r="E383" s="225"/>
      <c r="F383" s="225"/>
      <c r="G383" s="225"/>
      <c r="H383" s="225"/>
      <c r="I383" s="225"/>
      <c r="J383" s="225"/>
      <c r="K383" s="244"/>
      <c r="L383" s="225"/>
      <c r="M383" s="225"/>
      <c r="N383" s="225"/>
      <c r="O383" s="225"/>
      <c r="P383" s="225"/>
      <c r="Q383" s="227"/>
      <c r="R383" s="234"/>
      <c r="S383" s="225"/>
      <c r="T383" s="225"/>
      <c r="U383" s="225"/>
      <c r="V383" s="225"/>
      <c r="W383" s="225"/>
      <c r="X383" s="225"/>
      <c r="Y383" s="229"/>
      <c r="Z383" s="257"/>
      <c r="AA383" s="225"/>
      <c r="AB383" s="257"/>
      <c r="AC383" s="257"/>
      <c r="AD383" s="226"/>
      <c r="AE383" s="259"/>
      <c r="AF383" s="347"/>
      <c r="AG383" s="232"/>
      <c r="AH383" s="257"/>
      <c r="AI383" s="225"/>
      <c r="AJ383" s="267"/>
      <c r="AK383" s="259"/>
      <c r="AL383" s="226"/>
      <c r="AM383" s="225"/>
      <c r="AN383" s="225"/>
      <c r="AO383" s="254"/>
      <c r="AP383" s="225"/>
      <c r="AQ383" s="225"/>
      <c r="AR383" s="226"/>
      <c r="AS383" s="225"/>
      <c r="AT383" s="225"/>
      <c r="AU383" s="225"/>
      <c r="AV383" s="225"/>
      <c r="AW383" s="225"/>
      <c r="AX383" s="226"/>
      <c r="AY383" s="225"/>
      <c r="AZ383" s="225"/>
      <c r="BA383" s="226"/>
      <c r="BB383" s="225"/>
      <c r="BC383" s="225"/>
      <c r="BD383" s="225"/>
      <c r="BE383" s="225"/>
      <c r="BF383" s="225"/>
      <c r="BG383" s="225"/>
      <c r="BH383" s="225"/>
      <c r="BI383" s="225"/>
      <c r="BJ383" s="225"/>
      <c r="BK383" s="225"/>
      <c r="BL383" s="225"/>
      <c r="BM383" s="225"/>
      <c r="BN383" s="225"/>
      <c r="BO383" s="225"/>
      <c r="BP383" s="225"/>
      <c r="BQ383" s="225"/>
      <c r="BR383" s="225"/>
      <c r="BS383" s="225"/>
      <c r="BT383" s="226"/>
      <c r="BU383" s="225"/>
      <c r="BV383" s="225"/>
      <c r="BW383" s="225"/>
      <c r="BX383" s="225"/>
      <c r="BY383" s="225"/>
      <c r="BZ383" s="225"/>
    </row>
    <row r="384">
      <c r="A384" s="225"/>
      <c r="B384" s="225"/>
      <c r="C384" s="225"/>
      <c r="D384" s="226"/>
      <c r="E384" s="225"/>
      <c r="F384" s="225"/>
      <c r="G384" s="225"/>
      <c r="H384" s="225"/>
      <c r="I384" s="225"/>
      <c r="J384" s="225"/>
      <c r="K384" s="244"/>
      <c r="L384" s="225"/>
      <c r="M384" s="225"/>
      <c r="N384" s="225"/>
      <c r="O384" s="225"/>
      <c r="P384" s="225"/>
      <c r="Q384" s="227"/>
      <c r="R384" s="234"/>
      <c r="S384" s="225"/>
      <c r="T384" s="225"/>
      <c r="U384" s="225"/>
      <c r="V384" s="225"/>
      <c r="W384" s="225"/>
      <c r="X384" s="225"/>
      <c r="Y384" s="229"/>
      <c r="Z384" s="257"/>
      <c r="AA384" s="225"/>
      <c r="AB384" s="257"/>
      <c r="AC384" s="257"/>
      <c r="AD384" s="226"/>
      <c r="AE384" s="259"/>
      <c r="AF384" s="347"/>
      <c r="AG384" s="232"/>
      <c r="AH384" s="257"/>
      <c r="AI384" s="225"/>
      <c r="AJ384" s="267"/>
      <c r="AK384" s="259"/>
      <c r="AL384" s="226"/>
      <c r="AM384" s="225"/>
      <c r="AN384" s="225"/>
      <c r="AO384" s="254"/>
      <c r="AP384" s="225"/>
      <c r="AQ384" s="225"/>
      <c r="AR384" s="226"/>
      <c r="AS384" s="225"/>
      <c r="AT384" s="225"/>
      <c r="AU384" s="225"/>
      <c r="AV384" s="225"/>
      <c r="AW384" s="225"/>
      <c r="AX384" s="226"/>
      <c r="AY384" s="225"/>
      <c r="AZ384" s="225"/>
      <c r="BA384" s="226"/>
      <c r="BB384" s="225"/>
      <c r="BC384" s="225"/>
      <c r="BD384" s="225"/>
      <c r="BE384" s="225"/>
      <c r="BF384" s="225"/>
      <c r="BG384" s="225"/>
      <c r="BH384" s="225"/>
      <c r="BI384" s="225"/>
      <c r="BJ384" s="225"/>
      <c r="BK384" s="225"/>
      <c r="BL384" s="225"/>
      <c r="BM384" s="225"/>
      <c r="BN384" s="225"/>
      <c r="BO384" s="225"/>
      <c r="BP384" s="225"/>
      <c r="BQ384" s="225"/>
      <c r="BR384" s="225"/>
      <c r="BS384" s="225"/>
      <c r="BT384" s="226"/>
      <c r="BU384" s="225"/>
      <c r="BV384" s="225"/>
      <c r="BW384" s="225"/>
      <c r="BX384" s="225"/>
      <c r="BY384" s="225"/>
      <c r="BZ384" s="225"/>
    </row>
    <row r="385">
      <c r="A385" s="225"/>
      <c r="B385" s="225"/>
      <c r="C385" s="225"/>
      <c r="D385" s="226"/>
      <c r="E385" s="225"/>
      <c r="F385" s="225"/>
      <c r="G385" s="225"/>
      <c r="H385" s="225"/>
      <c r="I385" s="225"/>
      <c r="J385" s="225"/>
      <c r="K385" s="244"/>
      <c r="L385" s="225"/>
      <c r="M385" s="225"/>
      <c r="N385" s="225"/>
      <c r="O385" s="225"/>
      <c r="P385" s="225"/>
      <c r="Q385" s="227"/>
      <c r="R385" s="234"/>
      <c r="S385" s="225"/>
      <c r="T385" s="225"/>
      <c r="U385" s="225"/>
      <c r="V385" s="225"/>
      <c r="W385" s="225"/>
      <c r="X385" s="225"/>
      <c r="Y385" s="229"/>
      <c r="Z385" s="257"/>
      <c r="AA385" s="225"/>
      <c r="AB385" s="257"/>
      <c r="AC385" s="257"/>
      <c r="AD385" s="226"/>
      <c r="AE385" s="259"/>
      <c r="AF385" s="347"/>
      <c r="AG385" s="232"/>
      <c r="AH385" s="257"/>
      <c r="AI385" s="225"/>
      <c r="AJ385" s="267"/>
      <c r="AK385" s="259"/>
      <c r="AL385" s="226"/>
      <c r="AM385" s="225"/>
      <c r="AN385" s="225"/>
      <c r="AO385" s="254"/>
      <c r="AP385" s="225"/>
      <c r="AQ385" s="225"/>
      <c r="AR385" s="226"/>
      <c r="AS385" s="225"/>
      <c r="AT385" s="225"/>
      <c r="AU385" s="225"/>
      <c r="AV385" s="225"/>
      <c r="AW385" s="225"/>
      <c r="AX385" s="226"/>
      <c r="AY385" s="225"/>
      <c r="AZ385" s="225"/>
      <c r="BA385" s="226"/>
      <c r="BB385" s="225"/>
      <c r="BC385" s="225"/>
      <c r="BD385" s="225"/>
      <c r="BE385" s="225"/>
      <c r="BF385" s="225"/>
      <c r="BG385" s="225"/>
      <c r="BH385" s="225"/>
      <c r="BI385" s="225"/>
      <c r="BJ385" s="225"/>
      <c r="BK385" s="225"/>
      <c r="BL385" s="225"/>
      <c r="BM385" s="225"/>
      <c r="BN385" s="225"/>
      <c r="BO385" s="225"/>
      <c r="BP385" s="225"/>
      <c r="BQ385" s="225"/>
      <c r="BR385" s="225"/>
      <c r="BS385" s="225"/>
      <c r="BT385" s="226"/>
      <c r="BU385" s="225"/>
      <c r="BV385" s="225"/>
      <c r="BW385" s="225"/>
      <c r="BX385" s="225"/>
      <c r="BY385" s="225"/>
      <c r="BZ385" s="225"/>
    </row>
    <row r="386">
      <c r="A386" s="225"/>
      <c r="B386" s="225"/>
      <c r="C386" s="225"/>
      <c r="D386" s="226"/>
      <c r="E386" s="225"/>
      <c r="F386" s="225"/>
      <c r="G386" s="225"/>
      <c r="H386" s="225"/>
      <c r="I386" s="225"/>
      <c r="J386" s="225"/>
      <c r="K386" s="244"/>
      <c r="L386" s="225"/>
      <c r="M386" s="225"/>
      <c r="N386" s="225"/>
      <c r="O386" s="225"/>
      <c r="P386" s="225"/>
      <c r="Q386" s="227"/>
      <c r="R386" s="234"/>
      <c r="S386" s="225"/>
      <c r="T386" s="225"/>
      <c r="U386" s="225"/>
      <c r="V386" s="225"/>
      <c r="W386" s="225"/>
      <c r="X386" s="225"/>
      <c r="Y386" s="229"/>
      <c r="Z386" s="257"/>
      <c r="AA386" s="225"/>
      <c r="AB386" s="257"/>
      <c r="AC386" s="257"/>
      <c r="AD386" s="226"/>
      <c r="AE386" s="259"/>
      <c r="AF386" s="347"/>
      <c r="AG386" s="232"/>
      <c r="AH386" s="257"/>
      <c r="AI386" s="225"/>
      <c r="AJ386" s="267"/>
      <c r="AK386" s="259"/>
      <c r="AL386" s="226"/>
      <c r="AM386" s="225"/>
      <c r="AN386" s="225"/>
      <c r="AO386" s="254"/>
      <c r="AP386" s="225"/>
      <c r="AQ386" s="225"/>
      <c r="AR386" s="226"/>
      <c r="AS386" s="225"/>
      <c r="AT386" s="225"/>
      <c r="AU386" s="225"/>
      <c r="AV386" s="225"/>
      <c r="AW386" s="225"/>
      <c r="AX386" s="226"/>
      <c r="AY386" s="225"/>
      <c r="AZ386" s="225"/>
      <c r="BA386" s="226"/>
      <c r="BB386" s="225"/>
      <c r="BC386" s="225"/>
      <c r="BD386" s="225"/>
      <c r="BE386" s="225"/>
      <c r="BF386" s="225"/>
      <c r="BG386" s="225"/>
      <c r="BH386" s="225"/>
      <c r="BI386" s="225"/>
      <c r="BJ386" s="225"/>
      <c r="BK386" s="225"/>
      <c r="BL386" s="225"/>
      <c r="BM386" s="225"/>
      <c r="BN386" s="225"/>
      <c r="BO386" s="225"/>
      <c r="BP386" s="225"/>
      <c r="BQ386" s="225"/>
      <c r="BR386" s="225"/>
      <c r="BS386" s="225"/>
      <c r="BT386" s="226"/>
      <c r="BU386" s="225"/>
      <c r="BV386" s="225"/>
      <c r="BW386" s="225"/>
      <c r="BX386" s="225"/>
      <c r="BY386" s="225"/>
      <c r="BZ386" s="225"/>
    </row>
    <row r="387">
      <c r="A387" s="225"/>
      <c r="B387" s="225"/>
      <c r="C387" s="225"/>
      <c r="D387" s="226"/>
      <c r="E387" s="225"/>
      <c r="F387" s="225"/>
      <c r="G387" s="225"/>
      <c r="H387" s="225"/>
      <c r="I387" s="225"/>
      <c r="J387" s="225"/>
      <c r="K387" s="244"/>
      <c r="L387" s="225"/>
      <c r="M387" s="225"/>
      <c r="N387" s="225"/>
      <c r="O387" s="225"/>
      <c r="P387" s="225"/>
      <c r="Q387" s="227"/>
      <c r="R387" s="234"/>
      <c r="S387" s="225"/>
      <c r="T387" s="225"/>
      <c r="U387" s="225"/>
      <c r="V387" s="225"/>
      <c r="W387" s="225"/>
      <c r="X387" s="225"/>
      <c r="Y387" s="229"/>
      <c r="Z387" s="257"/>
      <c r="AA387" s="225"/>
      <c r="AB387" s="257"/>
      <c r="AC387" s="257"/>
      <c r="AD387" s="226"/>
      <c r="AE387" s="259"/>
      <c r="AF387" s="347"/>
      <c r="AG387" s="232"/>
      <c r="AH387" s="257"/>
      <c r="AI387" s="225"/>
      <c r="AJ387" s="267"/>
      <c r="AK387" s="259"/>
      <c r="AL387" s="226"/>
      <c r="AM387" s="225"/>
      <c r="AN387" s="225"/>
      <c r="AO387" s="254"/>
      <c r="AP387" s="225"/>
      <c r="AQ387" s="225"/>
      <c r="AR387" s="226"/>
      <c r="AS387" s="225"/>
      <c r="AT387" s="225"/>
      <c r="AU387" s="225"/>
      <c r="AV387" s="225"/>
      <c r="AW387" s="225"/>
      <c r="AX387" s="226"/>
      <c r="AY387" s="225"/>
      <c r="AZ387" s="225"/>
      <c r="BA387" s="226"/>
      <c r="BB387" s="225"/>
      <c r="BC387" s="225"/>
      <c r="BD387" s="225"/>
      <c r="BE387" s="225"/>
      <c r="BF387" s="225"/>
      <c r="BG387" s="225"/>
      <c r="BH387" s="225"/>
      <c r="BI387" s="225"/>
      <c r="BJ387" s="225"/>
      <c r="BK387" s="225"/>
      <c r="BL387" s="225"/>
      <c r="BM387" s="225"/>
      <c r="BN387" s="225"/>
      <c r="BO387" s="225"/>
      <c r="BP387" s="225"/>
      <c r="BQ387" s="225"/>
      <c r="BR387" s="225"/>
      <c r="BS387" s="225"/>
      <c r="BT387" s="226"/>
      <c r="BU387" s="225"/>
      <c r="BV387" s="225"/>
      <c r="BW387" s="225"/>
      <c r="BX387" s="225"/>
      <c r="BY387" s="225"/>
      <c r="BZ387" s="225"/>
    </row>
    <row r="388">
      <c r="A388" s="225"/>
      <c r="B388" s="225"/>
      <c r="C388" s="225"/>
      <c r="D388" s="226"/>
      <c r="E388" s="225"/>
      <c r="F388" s="225"/>
      <c r="G388" s="225"/>
      <c r="H388" s="225"/>
      <c r="I388" s="225"/>
      <c r="J388" s="225"/>
      <c r="K388" s="244"/>
      <c r="L388" s="225"/>
      <c r="M388" s="225"/>
      <c r="N388" s="225"/>
      <c r="O388" s="225"/>
      <c r="P388" s="225"/>
      <c r="Q388" s="227"/>
      <c r="R388" s="234"/>
      <c r="S388" s="225"/>
      <c r="T388" s="225"/>
      <c r="U388" s="225"/>
      <c r="V388" s="225"/>
      <c r="W388" s="225"/>
      <c r="X388" s="225"/>
      <c r="Y388" s="229"/>
      <c r="Z388" s="257"/>
      <c r="AA388" s="225"/>
      <c r="AB388" s="257"/>
      <c r="AC388" s="257"/>
      <c r="AD388" s="226"/>
      <c r="AE388" s="259"/>
      <c r="AF388" s="347"/>
      <c r="AG388" s="232"/>
      <c r="AH388" s="257"/>
      <c r="AI388" s="225"/>
      <c r="AJ388" s="267"/>
      <c r="AK388" s="259"/>
      <c r="AL388" s="226"/>
      <c r="AM388" s="225"/>
      <c r="AN388" s="225"/>
      <c r="AO388" s="254"/>
      <c r="AP388" s="225"/>
      <c r="AQ388" s="225"/>
      <c r="AR388" s="226"/>
      <c r="AS388" s="225"/>
      <c r="AT388" s="225"/>
      <c r="AU388" s="225"/>
      <c r="AV388" s="225"/>
      <c r="AW388" s="225"/>
      <c r="AX388" s="226"/>
      <c r="AY388" s="225"/>
      <c r="AZ388" s="225"/>
      <c r="BA388" s="226"/>
      <c r="BB388" s="225"/>
      <c r="BC388" s="225"/>
      <c r="BD388" s="225"/>
      <c r="BE388" s="225"/>
      <c r="BF388" s="225"/>
      <c r="BG388" s="225"/>
      <c r="BH388" s="225"/>
      <c r="BI388" s="225"/>
      <c r="BJ388" s="225"/>
      <c r="BK388" s="225"/>
      <c r="BL388" s="225"/>
      <c r="BM388" s="225"/>
      <c r="BN388" s="225"/>
      <c r="BO388" s="225"/>
      <c r="BP388" s="225"/>
      <c r="BQ388" s="225"/>
      <c r="BR388" s="225"/>
      <c r="BS388" s="225"/>
      <c r="BT388" s="226"/>
      <c r="BU388" s="225"/>
      <c r="BV388" s="225"/>
      <c r="BW388" s="225"/>
      <c r="BX388" s="225"/>
      <c r="BY388" s="225"/>
      <c r="BZ388" s="225"/>
    </row>
    <row r="389">
      <c r="A389" s="225"/>
      <c r="B389" s="225"/>
      <c r="C389" s="225"/>
      <c r="D389" s="226"/>
      <c r="E389" s="225"/>
      <c r="F389" s="225"/>
      <c r="G389" s="225"/>
      <c r="H389" s="225"/>
      <c r="I389" s="225"/>
      <c r="J389" s="225"/>
      <c r="K389" s="244"/>
      <c r="L389" s="225"/>
      <c r="M389" s="225"/>
      <c r="N389" s="225"/>
      <c r="O389" s="225"/>
      <c r="P389" s="225"/>
      <c r="Q389" s="227"/>
      <c r="R389" s="234"/>
      <c r="S389" s="225"/>
      <c r="T389" s="225"/>
      <c r="U389" s="225"/>
      <c r="V389" s="225"/>
      <c r="W389" s="225"/>
      <c r="X389" s="225"/>
      <c r="Y389" s="229"/>
      <c r="Z389" s="257"/>
      <c r="AA389" s="225"/>
      <c r="AB389" s="257"/>
      <c r="AC389" s="257"/>
      <c r="AD389" s="226"/>
      <c r="AE389" s="259"/>
      <c r="AF389" s="347"/>
      <c r="AG389" s="232"/>
      <c r="AH389" s="257"/>
      <c r="AI389" s="225"/>
      <c r="AJ389" s="267"/>
      <c r="AK389" s="259"/>
      <c r="AL389" s="226"/>
      <c r="AM389" s="225"/>
      <c r="AN389" s="225"/>
      <c r="AO389" s="254"/>
      <c r="AP389" s="225"/>
      <c r="AQ389" s="225"/>
      <c r="AR389" s="226"/>
      <c r="AS389" s="225"/>
      <c r="AT389" s="225"/>
      <c r="AU389" s="225"/>
      <c r="AV389" s="225"/>
      <c r="AW389" s="225"/>
      <c r="AX389" s="226"/>
      <c r="AY389" s="225"/>
      <c r="AZ389" s="225"/>
      <c r="BA389" s="226"/>
      <c r="BB389" s="225"/>
      <c r="BC389" s="225"/>
      <c r="BD389" s="225"/>
      <c r="BE389" s="225"/>
      <c r="BF389" s="225"/>
      <c r="BG389" s="225"/>
      <c r="BH389" s="225"/>
      <c r="BI389" s="225"/>
      <c r="BJ389" s="225"/>
      <c r="BK389" s="225"/>
      <c r="BL389" s="225"/>
      <c r="BM389" s="225"/>
      <c r="BN389" s="225"/>
      <c r="BO389" s="225"/>
      <c r="BP389" s="225"/>
      <c r="BQ389" s="225"/>
      <c r="BR389" s="225"/>
      <c r="BS389" s="225"/>
      <c r="BT389" s="226"/>
      <c r="BU389" s="225"/>
      <c r="BV389" s="225"/>
      <c r="BW389" s="225"/>
      <c r="BX389" s="225"/>
      <c r="BY389" s="225"/>
      <c r="BZ389" s="225"/>
    </row>
    <row r="390">
      <c r="A390" s="225"/>
      <c r="B390" s="225"/>
      <c r="C390" s="225"/>
      <c r="D390" s="226"/>
      <c r="E390" s="225"/>
      <c r="F390" s="225"/>
      <c r="G390" s="225"/>
      <c r="H390" s="225"/>
      <c r="I390" s="225"/>
      <c r="J390" s="225"/>
      <c r="K390" s="244"/>
      <c r="L390" s="225"/>
      <c r="M390" s="225"/>
      <c r="N390" s="225"/>
      <c r="O390" s="225"/>
      <c r="P390" s="225"/>
      <c r="Q390" s="227"/>
      <c r="R390" s="234"/>
      <c r="S390" s="225"/>
      <c r="T390" s="225"/>
      <c r="U390" s="225"/>
      <c r="V390" s="225"/>
      <c r="W390" s="225"/>
      <c r="X390" s="225"/>
      <c r="Y390" s="229"/>
      <c r="Z390" s="257"/>
      <c r="AA390" s="225"/>
      <c r="AB390" s="257"/>
      <c r="AC390" s="257"/>
      <c r="AD390" s="226"/>
      <c r="AE390" s="259"/>
      <c r="AF390" s="347"/>
      <c r="AG390" s="232"/>
      <c r="AH390" s="257"/>
      <c r="AI390" s="225"/>
      <c r="AJ390" s="267"/>
      <c r="AK390" s="259"/>
      <c r="AL390" s="226"/>
      <c r="AM390" s="225"/>
      <c r="AN390" s="225"/>
      <c r="AO390" s="254"/>
      <c r="AP390" s="225"/>
      <c r="AQ390" s="225"/>
      <c r="AR390" s="226"/>
      <c r="AS390" s="225"/>
      <c r="AT390" s="225"/>
      <c r="AU390" s="225"/>
      <c r="AV390" s="225"/>
      <c r="AW390" s="225"/>
      <c r="AX390" s="226"/>
      <c r="AY390" s="225"/>
      <c r="AZ390" s="225"/>
      <c r="BA390" s="226"/>
      <c r="BB390" s="225"/>
      <c r="BC390" s="225"/>
      <c r="BD390" s="225"/>
      <c r="BE390" s="225"/>
      <c r="BF390" s="225"/>
      <c r="BG390" s="225"/>
      <c r="BH390" s="225"/>
      <c r="BI390" s="225"/>
      <c r="BJ390" s="225"/>
      <c r="BK390" s="225"/>
      <c r="BL390" s="225"/>
      <c r="BM390" s="225"/>
      <c r="BN390" s="225"/>
      <c r="BO390" s="225"/>
      <c r="BP390" s="225"/>
      <c r="BQ390" s="225"/>
      <c r="BR390" s="225"/>
      <c r="BS390" s="225"/>
      <c r="BT390" s="226"/>
      <c r="BU390" s="225"/>
      <c r="BV390" s="225"/>
      <c r="BW390" s="225"/>
      <c r="BX390" s="225"/>
      <c r="BY390" s="225"/>
      <c r="BZ390" s="225"/>
    </row>
    <row r="391">
      <c r="A391" s="225"/>
      <c r="B391" s="225"/>
      <c r="C391" s="225"/>
      <c r="D391" s="226"/>
      <c r="E391" s="225"/>
      <c r="F391" s="225"/>
      <c r="G391" s="225"/>
      <c r="H391" s="225"/>
      <c r="I391" s="225"/>
      <c r="J391" s="225"/>
      <c r="K391" s="244"/>
      <c r="L391" s="225"/>
      <c r="M391" s="225"/>
      <c r="N391" s="225"/>
      <c r="O391" s="225"/>
      <c r="P391" s="225"/>
      <c r="Q391" s="227"/>
      <c r="R391" s="234"/>
      <c r="S391" s="225"/>
      <c r="T391" s="225"/>
      <c r="U391" s="225"/>
      <c r="V391" s="225"/>
      <c r="W391" s="225"/>
      <c r="X391" s="225"/>
      <c r="Y391" s="229"/>
      <c r="Z391" s="257"/>
      <c r="AA391" s="225"/>
      <c r="AB391" s="257"/>
      <c r="AC391" s="257"/>
      <c r="AD391" s="226"/>
      <c r="AE391" s="259"/>
      <c r="AF391" s="347"/>
      <c r="AG391" s="232"/>
      <c r="AH391" s="257"/>
      <c r="AI391" s="225"/>
      <c r="AJ391" s="267"/>
      <c r="AK391" s="259"/>
      <c r="AL391" s="226"/>
      <c r="AM391" s="225"/>
      <c r="AN391" s="225"/>
      <c r="AO391" s="254"/>
      <c r="AP391" s="225"/>
      <c r="AQ391" s="225"/>
      <c r="AR391" s="226"/>
      <c r="AS391" s="225"/>
      <c r="AT391" s="225"/>
      <c r="AU391" s="225"/>
      <c r="AV391" s="225"/>
      <c r="AW391" s="225"/>
      <c r="AX391" s="226"/>
      <c r="AY391" s="225"/>
      <c r="AZ391" s="225"/>
      <c r="BA391" s="226"/>
      <c r="BB391" s="225"/>
      <c r="BC391" s="225"/>
      <c r="BD391" s="225"/>
      <c r="BE391" s="225"/>
      <c r="BF391" s="225"/>
      <c r="BG391" s="225"/>
      <c r="BH391" s="225"/>
      <c r="BI391" s="225"/>
      <c r="BJ391" s="225"/>
      <c r="BK391" s="225"/>
      <c r="BL391" s="225"/>
      <c r="BM391" s="225"/>
      <c r="BN391" s="225"/>
      <c r="BO391" s="225"/>
      <c r="BP391" s="225"/>
      <c r="BQ391" s="225"/>
      <c r="BR391" s="225"/>
      <c r="BS391" s="225"/>
      <c r="BT391" s="226"/>
      <c r="BU391" s="225"/>
      <c r="BV391" s="225"/>
      <c r="BW391" s="225"/>
      <c r="BX391" s="225"/>
      <c r="BY391" s="225"/>
      <c r="BZ391" s="225"/>
    </row>
    <row r="392">
      <c r="A392" s="225"/>
      <c r="B392" s="225"/>
      <c r="C392" s="225"/>
      <c r="D392" s="226"/>
      <c r="E392" s="225"/>
      <c r="F392" s="225"/>
      <c r="G392" s="225"/>
      <c r="H392" s="225"/>
      <c r="I392" s="225"/>
      <c r="J392" s="225"/>
      <c r="K392" s="244"/>
      <c r="L392" s="225"/>
      <c r="M392" s="225"/>
      <c r="N392" s="225"/>
      <c r="O392" s="225"/>
      <c r="P392" s="225"/>
      <c r="Q392" s="227"/>
      <c r="R392" s="234"/>
      <c r="S392" s="225"/>
      <c r="T392" s="225"/>
      <c r="U392" s="225"/>
      <c r="V392" s="225"/>
      <c r="W392" s="225"/>
      <c r="X392" s="225"/>
      <c r="Y392" s="229"/>
      <c r="Z392" s="257"/>
      <c r="AA392" s="225"/>
      <c r="AB392" s="257"/>
      <c r="AC392" s="257"/>
      <c r="AD392" s="226"/>
      <c r="AE392" s="259"/>
      <c r="AF392" s="347"/>
      <c r="AG392" s="232"/>
      <c r="AH392" s="257"/>
      <c r="AI392" s="225"/>
      <c r="AJ392" s="267"/>
      <c r="AK392" s="259"/>
      <c r="AL392" s="226"/>
      <c r="AM392" s="225"/>
      <c r="AN392" s="225"/>
      <c r="AO392" s="254"/>
      <c r="AP392" s="225"/>
      <c r="AQ392" s="225"/>
      <c r="AR392" s="226"/>
      <c r="AS392" s="225"/>
      <c r="AT392" s="225"/>
      <c r="AU392" s="225"/>
      <c r="AV392" s="225"/>
      <c r="AW392" s="225"/>
      <c r="AX392" s="226"/>
      <c r="AY392" s="225"/>
      <c r="AZ392" s="225"/>
      <c r="BA392" s="226"/>
      <c r="BB392" s="225"/>
      <c r="BC392" s="225"/>
      <c r="BD392" s="225"/>
      <c r="BE392" s="225"/>
      <c r="BF392" s="225"/>
      <c r="BG392" s="225"/>
      <c r="BH392" s="225"/>
      <c r="BI392" s="225"/>
      <c r="BJ392" s="225"/>
      <c r="BK392" s="225"/>
      <c r="BL392" s="225"/>
      <c r="BM392" s="225"/>
      <c r="BN392" s="225"/>
      <c r="BO392" s="225"/>
      <c r="BP392" s="225"/>
      <c r="BQ392" s="225"/>
      <c r="BR392" s="225"/>
      <c r="BS392" s="225"/>
      <c r="BT392" s="226"/>
      <c r="BU392" s="225"/>
      <c r="BV392" s="225"/>
      <c r="BW392" s="225"/>
      <c r="BX392" s="225"/>
      <c r="BY392" s="225"/>
      <c r="BZ392" s="225"/>
    </row>
    <row r="393">
      <c r="A393" s="225"/>
      <c r="B393" s="225"/>
      <c r="C393" s="225"/>
      <c r="D393" s="226"/>
      <c r="E393" s="225"/>
      <c r="F393" s="225"/>
      <c r="G393" s="225"/>
      <c r="H393" s="225"/>
      <c r="I393" s="225"/>
      <c r="J393" s="225"/>
      <c r="K393" s="244"/>
      <c r="L393" s="225"/>
      <c r="M393" s="225"/>
      <c r="N393" s="225"/>
      <c r="O393" s="225"/>
      <c r="P393" s="225"/>
      <c r="Q393" s="227"/>
      <c r="R393" s="234"/>
      <c r="S393" s="225"/>
      <c r="T393" s="225"/>
      <c r="U393" s="225"/>
      <c r="V393" s="225"/>
      <c r="W393" s="225"/>
      <c r="X393" s="225"/>
      <c r="Y393" s="229"/>
      <c r="Z393" s="257"/>
      <c r="AA393" s="225"/>
      <c r="AB393" s="257"/>
      <c r="AC393" s="257"/>
      <c r="AD393" s="226"/>
      <c r="AE393" s="259"/>
      <c r="AF393" s="347"/>
      <c r="AG393" s="232"/>
      <c r="AH393" s="257"/>
      <c r="AI393" s="225"/>
      <c r="AJ393" s="267"/>
      <c r="AK393" s="259"/>
      <c r="AL393" s="226"/>
      <c r="AM393" s="225"/>
      <c r="AN393" s="225"/>
      <c r="AO393" s="254"/>
      <c r="AP393" s="225"/>
      <c r="AQ393" s="225"/>
      <c r="AR393" s="226"/>
      <c r="AS393" s="225"/>
      <c r="AT393" s="225"/>
      <c r="AU393" s="225"/>
      <c r="AV393" s="225"/>
      <c r="AW393" s="225"/>
      <c r="AX393" s="226"/>
      <c r="AY393" s="225"/>
      <c r="AZ393" s="225"/>
      <c r="BA393" s="226"/>
      <c r="BB393" s="225"/>
      <c r="BC393" s="225"/>
      <c r="BD393" s="225"/>
      <c r="BE393" s="225"/>
      <c r="BF393" s="225"/>
      <c r="BG393" s="225"/>
      <c r="BH393" s="225"/>
      <c r="BI393" s="225"/>
      <c r="BJ393" s="225"/>
      <c r="BK393" s="225"/>
      <c r="BL393" s="225"/>
      <c r="BM393" s="225"/>
      <c r="BN393" s="225"/>
      <c r="BO393" s="225"/>
      <c r="BP393" s="225"/>
      <c r="BQ393" s="225"/>
      <c r="BR393" s="225"/>
      <c r="BS393" s="225"/>
      <c r="BT393" s="226"/>
      <c r="BU393" s="225"/>
      <c r="BV393" s="225"/>
      <c r="BW393" s="225"/>
      <c r="BX393" s="225"/>
      <c r="BY393" s="225"/>
      <c r="BZ393" s="225"/>
    </row>
    <row r="394">
      <c r="A394" s="225"/>
      <c r="B394" s="225"/>
      <c r="C394" s="225"/>
      <c r="D394" s="226"/>
      <c r="E394" s="225"/>
      <c r="F394" s="225"/>
      <c r="G394" s="225"/>
      <c r="H394" s="225"/>
      <c r="I394" s="225"/>
      <c r="J394" s="225"/>
      <c r="K394" s="244"/>
      <c r="L394" s="225"/>
      <c r="M394" s="225"/>
      <c r="N394" s="225"/>
      <c r="O394" s="225"/>
      <c r="P394" s="225"/>
      <c r="Q394" s="227"/>
      <c r="R394" s="234"/>
      <c r="S394" s="225"/>
      <c r="T394" s="225"/>
      <c r="U394" s="225"/>
      <c r="V394" s="225"/>
      <c r="W394" s="225"/>
      <c r="X394" s="225"/>
      <c r="Y394" s="229"/>
      <c r="Z394" s="257"/>
      <c r="AA394" s="225"/>
      <c r="AB394" s="257"/>
      <c r="AC394" s="257"/>
      <c r="AD394" s="226"/>
      <c r="AE394" s="259"/>
      <c r="AF394" s="347"/>
      <c r="AG394" s="232"/>
      <c r="AH394" s="257"/>
      <c r="AI394" s="225"/>
      <c r="AJ394" s="267"/>
      <c r="AK394" s="259"/>
      <c r="AL394" s="226"/>
      <c r="AM394" s="225"/>
      <c r="AN394" s="225"/>
      <c r="AO394" s="254"/>
      <c r="AP394" s="225"/>
      <c r="AQ394" s="225"/>
      <c r="AR394" s="226"/>
      <c r="AS394" s="225"/>
      <c r="AT394" s="225"/>
      <c r="AU394" s="225"/>
      <c r="AV394" s="225"/>
      <c r="AW394" s="225"/>
      <c r="AX394" s="226"/>
      <c r="AY394" s="225"/>
      <c r="AZ394" s="225"/>
      <c r="BA394" s="226"/>
      <c r="BB394" s="225"/>
      <c r="BC394" s="225"/>
      <c r="BD394" s="225"/>
      <c r="BE394" s="225"/>
      <c r="BF394" s="225"/>
      <c r="BG394" s="225"/>
      <c r="BH394" s="225"/>
      <c r="BI394" s="225"/>
      <c r="BJ394" s="225"/>
      <c r="BK394" s="225"/>
      <c r="BL394" s="225"/>
      <c r="BM394" s="225"/>
      <c r="BN394" s="225"/>
      <c r="BO394" s="225"/>
      <c r="BP394" s="225"/>
      <c r="BQ394" s="225"/>
      <c r="BR394" s="225"/>
      <c r="BS394" s="225"/>
      <c r="BT394" s="226"/>
      <c r="BU394" s="225"/>
      <c r="BV394" s="225"/>
      <c r="BW394" s="225"/>
      <c r="BX394" s="225"/>
      <c r="BY394" s="225"/>
      <c r="BZ394" s="225"/>
    </row>
    <row r="395">
      <c r="A395" s="225"/>
      <c r="B395" s="225"/>
      <c r="C395" s="225"/>
      <c r="D395" s="226"/>
      <c r="E395" s="225"/>
      <c r="F395" s="225"/>
      <c r="G395" s="225"/>
      <c r="H395" s="225"/>
      <c r="I395" s="225"/>
      <c r="J395" s="225"/>
      <c r="K395" s="244"/>
      <c r="L395" s="225"/>
      <c r="M395" s="225"/>
      <c r="N395" s="225"/>
      <c r="O395" s="225"/>
      <c r="P395" s="225"/>
      <c r="Q395" s="227"/>
      <c r="R395" s="234"/>
      <c r="S395" s="225"/>
      <c r="T395" s="225"/>
      <c r="U395" s="225"/>
      <c r="V395" s="225"/>
      <c r="W395" s="225"/>
      <c r="X395" s="225"/>
      <c r="Y395" s="229"/>
      <c r="Z395" s="257"/>
      <c r="AA395" s="225"/>
      <c r="AB395" s="257"/>
      <c r="AC395" s="257"/>
      <c r="AD395" s="226"/>
      <c r="AE395" s="259"/>
      <c r="AF395" s="347"/>
      <c r="AG395" s="232"/>
      <c r="AH395" s="257"/>
      <c r="AI395" s="225"/>
      <c r="AJ395" s="267"/>
      <c r="AK395" s="259"/>
      <c r="AL395" s="226"/>
      <c r="AM395" s="225"/>
      <c r="AN395" s="225"/>
      <c r="AO395" s="254"/>
      <c r="AP395" s="225"/>
      <c r="AQ395" s="225"/>
      <c r="AR395" s="226"/>
      <c r="AS395" s="225"/>
      <c r="AT395" s="225"/>
      <c r="AU395" s="225"/>
      <c r="AV395" s="225"/>
      <c r="AW395" s="225"/>
      <c r="AX395" s="226"/>
      <c r="AY395" s="225"/>
      <c r="AZ395" s="225"/>
      <c r="BA395" s="226"/>
      <c r="BB395" s="225"/>
      <c r="BC395" s="225"/>
      <c r="BD395" s="225"/>
      <c r="BE395" s="225"/>
      <c r="BF395" s="225"/>
      <c r="BG395" s="225"/>
      <c r="BH395" s="225"/>
      <c r="BI395" s="225"/>
      <c r="BJ395" s="225"/>
      <c r="BK395" s="225"/>
      <c r="BL395" s="225"/>
      <c r="BM395" s="225"/>
      <c r="BN395" s="225"/>
      <c r="BO395" s="225"/>
      <c r="BP395" s="225"/>
      <c r="BQ395" s="225"/>
      <c r="BR395" s="225"/>
      <c r="BS395" s="225"/>
      <c r="BT395" s="226"/>
      <c r="BU395" s="225"/>
      <c r="BV395" s="225"/>
      <c r="BW395" s="225"/>
      <c r="BX395" s="225"/>
      <c r="BY395" s="225"/>
      <c r="BZ395" s="225"/>
    </row>
    <row r="396">
      <c r="A396" s="225"/>
      <c r="B396" s="225"/>
      <c r="C396" s="225"/>
      <c r="D396" s="226"/>
      <c r="E396" s="225"/>
      <c r="F396" s="225"/>
      <c r="G396" s="225"/>
      <c r="H396" s="225"/>
      <c r="I396" s="225"/>
      <c r="J396" s="225"/>
      <c r="K396" s="244"/>
      <c r="L396" s="225"/>
      <c r="M396" s="225"/>
      <c r="N396" s="225"/>
      <c r="O396" s="225"/>
      <c r="P396" s="225"/>
      <c r="Q396" s="227"/>
      <c r="R396" s="234"/>
      <c r="S396" s="225"/>
      <c r="T396" s="225"/>
      <c r="U396" s="225"/>
      <c r="V396" s="225"/>
      <c r="W396" s="225"/>
      <c r="X396" s="225"/>
      <c r="Y396" s="229"/>
      <c r="Z396" s="257"/>
      <c r="AA396" s="225"/>
      <c r="AB396" s="257"/>
      <c r="AC396" s="257"/>
      <c r="AD396" s="226"/>
      <c r="AE396" s="259"/>
      <c r="AF396" s="347"/>
      <c r="AG396" s="232"/>
      <c r="AH396" s="257"/>
      <c r="AI396" s="225"/>
      <c r="AJ396" s="267"/>
      <c r="AK396" s="259"/>
      <c r="AL396" s="226"/>
      <c r="AM396" s="225"/>
      <c r="AN396" s="225"/>
      <c r="AO396" s="254"/>
      <c r="AP396" s="225"/>
      <c r="AQ396" s="225"/>
      <c r="AR396" s="226"/>
      <c r="AS396" s="225"/>
      <c r="AT396" s="225"/>
      <c r="AU396" s="225"/>
      <c r="AV396" s="225"/>
      <c r="AW396" s="225"/>
      <c r="AX396" s="226"/>
      <c r="AY396" s="225"/>
      <c r="AZ396" s="225"/>
      <c r="BA396" s="226"/>
      <c r="BB396" s="225"/>
      <c r="BC396" s="225"/>
      <c r="BD396" s="225"/>
      <c r="BE396" s="225"/>
      <c r="BF396" s="225"/>
      <c r="BG396" s="225"/>
      <c r="BH396" s="225"/>
      <c r="BI396" s="225"/>
      <c r="BJ396" s="225"/>
      <c r="BK396" s="225"/>
      <c r="BL396" s="225"/>
      <c r="BM396" s="225"/>
      <c r="BN396" s="225"/>
      <c r="BO396" s="225"/>
      <c r="BP396" s="225"/>
      <c r="BQ396" s="225"/>
      <c r="BR396" s="225"/>
      <c r="BS396" s="225"/>
      <c r="BT396" s="226"/>
      <c r="BU396" s="225"/>
      <c r="BV396" s="225"/>
      <c r="BW396" s="225"/>
      <c r="BX396" s="225"/>
      <c r="BY396" s="225"/>
      <c r="BZ396" s="225"/>
    </row>
    <row r="397">
      <c r="A397" s="225"/>
      <c r="B397" s="225"/>
      <c r="C397" s="225"/>
      <c r="D397" s="226"/>
      <c r="E397" s="225"/>
      <c r="F397" s="225"/>
      <c r="G397" s="225"/>
      <c r="H397" s="225"/>
      <c r="I397" s="225"/>
      <c r="J397" s="225"/>
      <c r="K397" s="244"/>
      <c r="L397" s="225"/>
      <c r="M397" s="225"/>
      <c r="N397" s="225"/>
      <c r="O397" s="225"/>
      <c r="P397" s="225"/>
      <c r="Q397" s="227"/>
      <c r="R397" s="234"/>
      <c r="S397" s="225"/>
      <c r="T397" s="225"/>
      <c r="U397" s="225"/>
      <c r="V397" s="225"/>
      <c r="W397" s="225"/>
      <c r="X397" s="225"/>
      <c r="Y397" s="229"/>
      <c r="Z397" s="257"/>
      <c r="AA397" s="225"/>
      <c r="AB397" s="257"/>
      <c r="AC397" s="257"/>
      <c r="AD397" s="226"/>
      <c r="AE397" s="259"/>
      <c r="AF397" s="347"/>
      <c r="AG397" s="232"/>
      <c r="AH397" s="257"/>
      <c r="AI397" s="225"/>
      <c r="AJ397" s="267"/>
      <c r="AK397" s="259"/>
      <c r="AL397" s="226"/>
      <c r="AM397" s="225"/>
      <c r="AN397" s="225"/>
      <c r="AO397" s="254"/>
      <c r="AP397" s="225"/>
      <c r="AQ397" s="225"/>
      <c r="AR397" s="226"/>
      <c r="AS397" s="225"/>
      <c r="AT397" s="225"/>
      <c r="AU397" s="225"/>
      <c r="AV397" s="225"/>
      <c r="AW397" s="225"/>
      <c r="AX397" s="226"/>
      <c r="AY397" s="225"/>
      <c r="AZ397" s="225"/>
      <c r="BA397" s="226"/>
      <c r="BB397" s="225"/>
      <c r="BC397" s="225"/>
      <c r="BD397" s="225"/>
      <c r="BE397" s="225"/>
      <c r="BF397" s="225"/>
      <c r="BG397" s="225"/>
      <c r="BH397" s="225"/>
      <c r="BI397" s="225"/>
      <c r="BJ397" s="225"/>
      <c r="BK397" s="225"/>
      <c r="BL397" s="225"/>
      <c r="BM397" s="225"/>
      <c r="BN397" s="225"/>
      <c r="BO397" s="225"/>
      <c r="BP397" s="225"/>
      <c r="BQ397" s="225"/>
      <c r="BR397" s="225"/>
      <c r="BS397" s="225"/>
      <c r="BT397" s="226"/>
      <c r="BU397" s="225"/>
      <c r="BV397" s="225"/>
      <c r="BW397" s="225"/>
      <c r="BX397" s="225"/>
      <c r="BY397" s="225"/>
      <c r="BZ397" s="225"/>
    </row>
    <row r="398">
      <c r="A398" s="225"/>
      <c r="B398" s="225"/>
      <c r="C398" s="225"/>
      <c r="D398" s="226"/>
      <c r="E398" s="225"/>
      <c r="F398" s="225"/>
      <c r="G398" s="225"/>
      <c r="H398" s="225"/>
      <c r="I398" s="225"/>
      <c r="J398" s="225"/>
      <c r="K398" s="244"/>
      <c r="L398" s="225"/>
      <c r="M398" s="225"/>
      <c r="N398" s="225"/>
      <c r="O398" s="225"/>
      <c r="P398" s="225"/>
      <c r="Q398" s="227"/>
      <c r="R398" s="234"/>
      <c r="S398" s="225"/>
      <c r="T398" s="225"/>
      <c r="U398" s="225"/>
      <c r="V398" s="225"/>
      <c r="W398" s="225"/>
      <c r="X398" s="225"/>
      <c r="Y398" s="229"/>
      <c r="Z398" s="257"/>
      <c r="AA398" s="225"/>
      <c r="AB398" s="257"/>
      <c r="AC398" s="257"/>
      <c r="AD398" s="226"/>
      <c r="AE398" s="259"/>
      <c r="AF398" s="347"/>
      <c r="AG398" s="232"/>
      <c r="AH398" s="257"/>
      <c r="AI398" s="225"/>
      <c r="AJ398" s="267"/>
      <c r="AK398" s="259"/>
      <c r="AL398" s="226"/>
      <c r="AM398" s="225"/>
      <c r="AN398" s="225"/>
      <c r="AO398" s="254"/>
      <c r="AP398" s="225"/>
      <c r="AQ398" s="225"/>
      <c r="AR398" s="226"/>
      <c r="AS398" s="225"/>
      <c r="AT398" s="225"/>
      <c r="AU398" s="225"/>
      <c r="AV398" s="225"/>
      <c r="AW398" s="225"/>
      <c r="AX398" s="226"/>
      <c r="AY398" s="225"/>
      <c r="AZ398" s="225"/>
      <c r="BA398" s="226"/>
      <c r="BB398" s="225"/>
      <c r="BC398" s="225"/>
      <c r="BD398" s="225"/>
      <c r="BE398" s="225"/>
      <c r="BF398" s="225"/>
      <c r="BG398" s="225"/>
      <c r="BH398" s="225"/>
      <c r="BI398" s="225"/>
      <c r="BJ398" s="225"/>
      <c r="BK398" s="225"/>
      <c r="BL398" s="225"/>
      <c r="BM398" s="225"/>
      <c r="BN398" s="225"/>
      <c r="BO398" s="225"/>
      <c r="BP398" s="225"/>
      <c r="BQ398" s="225"/>
      <c r="BR398" s="225"/>
      <c r="BS398" s="225"/>
      <c r="BT398" s="226"/>
      <c r="BU398" s="225"/>
      <c r="BV398" s="225"/>
      <c r="BW398" s="225"/>
      <c r="BX398" s="225"/>
      <c r="BY398" s="225"/>
      <c r="BZ398" s="225"/>
    </row>
    <row r="399">
      <c r="A399" s="225"/>
      <c r="B399" s="225"/>
      <c r="C399" s="225"/>
      <c r="D399" s="226"/>
      <c r="E399" s="225"/>
      <c r="F399" s="225"/>
      <c r="G399" s="225"/>
      <c r="H399" s="225"/>
      <c r="I399" s="225"/>
      <c r="J399" s="225"/>
      <c r="K399" s="244"/>
      <c r="L399" s="225"/>
      <c r="M399" s="225"/>
      <c r="N399" s="225"/>
      <c r="O399" s="225"/>
      <c r="P399" s="225"/>
      <c r="Q399" s="227"/>
      <c r="R399" s="234"/>
      <c r="S399" s="225"/>
      <c r="T399" s="225"/>
      <c r="U399" s="225"/>
      <c r="V399" s="225"/>
      <c r="W399" s="225"/>
      <c r="X399" s="225"/>
      <c r="Y399" s="229"/>
      <c r="Z399" s="257"/>
      <c r="AA399" s="225"/>
      <c r="AB399" s="257"/>
      <c r="AC399" s="257"/>
      <c r="AD399" s="226"/>
      <c r="AE399" s="259"/>
      <c r="AF399" s="347"/>
      <c r="AG399" s="232"/>
      <c r="AH399" s="257"/>
      <c r="AI399" s="225"/>
      <c r="AJ399" s="267"/>
      <c r="AK399" s="259"/>
      <c r="AL399" s="226"/>
      <c r="AM399" s="225"/>
      <c r="AN399" s="225"/>
      <c r="AO399" s="254"/>
      <c r="AP399" s="225"/>
      <c r="AQ399" s="225"/>
      <c r="AR399" s="226"/>
      <c r="AS399" s="225"/>
      <c r="AT399" s="225"/>
      <c r="AU399" s="225"/>
      <c r="AV399" s="225"/>
      <c r="AW399" s="225"/>
      <c r="AX399" s="226"/>
      <c r="AY399" s="225"/>
      <c r="AZ399" s="225"/>
      <c r="BA399" s="226"/>
      <c r="BB399" s="225"/>
      <c r="BC399" s="225"/>
      <c r="BD399" s="225"/>
      <c r="BE399" s="225"/>
      <c r="BF399" s="225"/>
      <c r="BG399" s="225"/>
      <c r="BH399" s="225"/>
      <c r="BI399" s="225"/>
      <c r="BJ399" s="225"/>
      <c r="BK399" s="225"/>
      <c r="BL399" s="225"/>
      <c r="BM399" s="225"/>
      <c r="BN399" s="225"/>
      <c r="BO399" s="225"/>
      <c r="BP399" s="225"/>
      <c r="BQ399" s="225"/>
      <c r="BR399" s="225"/>
      <c r="BS399" s="225"/>
      <c r="BT399" s="226"/>
      <c r="BU399" s="225"/>
      <c r="BV399" s="225"/>
      <c r="BW399" s="225"/>
      <c r="BX399" s="225"/>
      <c r="BY399" s="225"/>
      <c r="BZ399" s="225"/>
    </row>
    <row r="400">
      <c r="A400" s="225"/>
      <c r="B400" s="225"/>
      <c r="C400" s="225"/>
      <c r="D400" s="226"/>
      <c r="E400" s="225"/>
      <c r="F400" s="225"/>
      <c r="G400" s="225"/>
      <c r="H400" s="225"/>
      <c r="I400" s="225"/>
      <c r="J400" s="225"/>
      <c r="K400" s="244"/>
      <c r="L400" s="225"/>
      <c r="M400" s="225"/>
      <c r="N400" s="225"/>
      <c r="O400" s="225"/>
      <c r="P400" s="225"/>
      <c r="Q400" s="227"/>
      <c r="R400" s="234"/>
      <c r="S400" s="225"/>
      <c r="T400" s="225"/>
      <c r="U400" s="225"/>
      <c r="V400" s="225"/>
      <c r="W400" s="225"/>
      <c r="X400" s="225"/>
      <c r="Y400" s="229"/>
      <c r="Z400" s="257"/>
      <c r="AA400" s="225"/>
      <c r="AB400" s="257"/>
      <c r="AC400" s="257"/>
      <c r="AD400" s="226"/>
      <c r="AE400" s="259"/>
      <c r="AF400" s="347"/>
      <c r="AG400" s="232"/>
      <c r="AH400" s="257"/>
      <c r="AI400" s="225"/>
      <c r="AJ400" s="267"/>
      <c r="AK400" s="259"/>
      <c r="AL400" s="226"/>
      <c r="AM400" s="225"/>
      <c r="AN400" s="225"/>
      <c r="AO400" s="254"/>
      <c r="AP400" s="225"/>
      <c r="AQ400" s="225"/>
      <c r="AR400" s="226"/>
      <c r="AS400" s="225"/>
      <c r="AT400" s="225"/>
      <c r="AU400" s="225"/>
      <c r="AV400" s="225"/>
      <c r="AW400" s="225"/>
      <c r="AX400" s="226"/>
      <c r="AY400" s="225"/>
      <c r="AZ400" s="225"/>
      <c r="BA400" s="226"/>
      <c r="BB400" s="225"/>
      <c r="BC400" s="225"/>
      <c r="BD400" s="225"/>
      <c r="BE400" s="225"/>
      <c r="BF400" s="225"/>
      <c r="BG400" s="225"/>
      <c r="BH400" s="225"/>
      <c r="BI400" s="225"/>
      <c r="BJ400" s="225"/>
      <c r="BK400" s="225"/>
      <c r="BL400" s="225"/>
      <c r="BM400" s="225"/>
      <c r="BN400" s="225"/>
      <c r="BO400" s="225"/>
      <c r="BP400" s="225"/>
      <c r="BQ400" s="225"/>
      <c r="BR400" s="225"/>
      <c r="BS400" s="225"/>
      <c r="BT400" s="226"/>
      <c r="BU400" s="225"/>
      <c r="BV400" s="225"/>
      <c r="BW400" s="225"/>
      <c r="BX400" s="225"/>
      <c r="BY400" s="225"/>
      <c r="BZ400" s="225"/>
    </row>
    <row r="401">
      <c r="A401" s="225"/>
      <c r="B401" s="225"/>
      <c r="C401" s="225"/>
      <c r="D401" s="226"/>
      <c r="E401" s="225"/>
      <c r="F401" s="225"/>
      <c r="G401" s="225"/>
      <c r="H401" s="225"/>
      <c r="I401" s="225"/>
      <c r="J401" s="225"/>
      <c r="K401" s="244"/>
      <c r="L401" s="225"/>
      <c r="M401" s="225"/>
      <c r="N401" s="225"/>
      <c r="O401" s="225"/>
      <c r="P401" s="225"/>
      <c r="Q401" s="227"/>
      <c r="R401" s="234"/>
      <c r="S401" s="225"/>
      <c r="T401" s="225"/>
      <c r="U401" s="225"/>
      <c r="V401" s="225"/>
      <c r="W401" s="225"/>
      <c r="X401" s="225"/>
      <c r="Y401" s="229"/>
      <c r="Z401" s="257"/>
      <c r="AA401" s="225"/>
      <c r="AB401" s="257"/>
      <c r="AC401" s="257"/>
      <c r="AD401" s="226"/>
      <c r="AE401" s="259"/>
      <c r="AF401" s="347"/>
      <c r="AG401" s="232"/>
      <c r="AH401" s="230"/>
      <c r="AI401" s="225"/>
      <c r="AJ401" s="267"/>
      <c r="AK401" s="259"/>
      <c r="AL401" s="226"/>
      <c r="AM401" s="225"/>
      <c r="AN401" s="225"/>
      <c r="AO401" s="254"/>
      <c r="AP401" s="225"/>
      <c r="AQ401" s="225"/>
      <c r="AR401" s="226"/>
      <c r="AS401" s="225"/>
      <c r="AT401" s="225"/>
      <c r="AU401" s="225"/>
      <c r="AV401" s="225"/>
      <c r="AW401" s="225"/>
      <c r="AX401" s="226"/>
      <c r="AY401" s="225"/>
      <c r="AZ401" s="225"/>
      <c r="BA401" s="226"/>
      <c r="BB401" s="225"/>
      <c r="BC401" s="225"/>
      <c r="BD401" s="225"/>
      <c r="BE401" s="225"/>
      <c r="BF401" s="225"/>
      <c r="BG401" s="225"/>
      <c r="BH401" s="225"/>
      <c r="BI401" s="225"/>
      <c r="BJ401" s="225"/>
      <c r="BK401" s="225"/>
      <c r="BL401" s="225"/>
      <c r="BM401" s="225"/>
      <c r="BN401" s="225"/>
      <c r="BO401" s="225"/>
      <c r="BP401" s="225"/>
      <c r="BQ401" s="225"/>
      <c r="BR401" s="225"/>
      <c r="BS401" s="225"/>
      <c r="BT401" s="226"/>
      <c r="BU401" s="225"/>
      <c r="BV401" s="225"/>
      <c r="BW401" s="225"/>
      <c r="BX401" s="225"/>
      <c r="BY401" s="225"/>
      <c r="BZ401" s="225"/>
    </row>
    <row r="402">
      <c r="A402" s="225"/>
      <c r="B402" s="225"/>
      <c r="C402" s="225"/>
      <c r="D402" s="226"/>
      <c r="E402" s="225"/>
      <c r="F402" s="225"/>
      <c r="G402" s="225"/>
      <c r="H402" s="225"/>
      <c r="I402" s="225"/>
      <c r="J402" s="225"/>
      <c r="K402" s="244"/>
      <c r="L402" s="225"/>
      <c r="M402" s="225"/>
      <c r="N402" s="225"/>
      <c r="O402" s="225"/>
      <c r="P402" s="225"/>
      <c r="Q402" s="227"/>
      <c r="R402" s="234"/>
      <c r="S402" s="244"/>
      <c r="T402" s="225"/>
      <c r="U402" s="225"/>
      <c r="V402" s="225"/>
      <c r="W402" s="225"/>
      <c r="X402" s="225"/>
      <c r="Y402" s="229"/>
      <c r="Z402" s="257"/>
      <c r="AA402" s="225"/>
      <c r="AB402" s="257"/>
      <c r="AC402" s="257"/>
      <c r="AD402" s="349"/>
      <c r="AE402" s="259"/>
      <c r="AF402" s="347"/>
      <c r="AG402" s="232"/>
      <c r="AH402" s="230"/>
      <c r="AI402" s="234"/>
      <c r="AJ402" s="267"/>
      <c r="AK402" s="259"/>
      <c r="AL402" s="232"/>
      <c r="AM402" s="225"/>
      <c r="AN402" s="225"/>
      <c r="AO402" s="254"/>
      <c r="AP402" s="225"/>
      <c r="AQ402" s="257"/>
      <c r="AR402" s="256"/>
      <c r="AS402" s="225"/>
      <c r="AT402" s="257"/>
      <c r="AU402" s="225"/>
      <c r="AV402" s="267"/>
      <c r="AW402" s="259"/>
      <c r="AX402" s="226"/>
      <c r="AY402" s="225"/>
      <c r="AZ402" s="225"/>
      <c r="BA402" s="254"/>
      <c r="BB402" s="225"/>
      <c r="BC402" s="225"/>
      <c r="BD402" s="225"/>
      <c r="BE402" s="225"/>
      <c r="BF402" s="225"/>
      <c r="BG402" s="225"/>
      <c r="BH402" s="225"/>
      <c r="BI402" s="225"/>
      <c r="BJ402" s="225"/>
      <c r="BK402" s="225"/>
      <c r="BL402" s="225"/>
      <c r="BM402" s="225"/>
      <c r="BN402" s="225"/>
      <c r="BO402" s="225"/>
      <c r="BP402" s="225"/>
      <c r="BQ402" s="225"/>
      <c r="BR402" s="225"/>
      <c r="BS402" s="225"/>
      <c r="BT402" s="226"/>
      <c r="BU402" s="225"/>
      <c r="BV402" s="225"/>
      <c r="BW402" s="225"/>
      <c r="BX402" s="225"/>
      <c r="BY402" s="225"/>
      <c r="BZ402" s="225"/>
    </row>
    <row r="403">
      <c r="A403" s="225"/>
      <c r="B403" s="225"/>
      <c r="C403" s="225"/>
      <c r="D403" s="226"/>
      <c r="E403" s="225"/>
      <c r="F403" s="225"/>
      <c r="G403" s="225"/>
      <c r="H403" s="225"/>
      <c r="I403" s="225"/>
      <c r="J403" s="225"/>
      <c r="K403" s="244"/>
      <c r="L403" s="225"/>
      <c r="M403" s="225"/>
      <c r="N403" s="225"/>
      <c r="O403" s="225"/>
      <c r="P403" s="225"/>
      <c r="Q403" s="227"/>
      <c r="R403" s="234"/>
      <c r="S403" s="244"/>
      <c r="T403" s="225"/>
      <c r="U403" s="225"/>
      <c r="V403" s="225"/>
      <c r="W403" s="225"/>
      <c r="X403" s="225"/>
      <c r="Y403" s="229"/>
      <c r="Z403" s="257"/>
      <c r="AA403" s="225"/>
      <c r="AB403" s="257"/>
      <c r="AC403" s="257"/>
      <c r="AD403" s="349"/>
      <c r="AE403" s="259"/>
      <c r="AF403" s="347"/>
      <c r="AG403" s="232"/>
      <c r="AH403" s="266"/>
      <c r="AI403" s="234"/>
      <c r="AJ403" s="267"/>
      <c r="AK403" s="259"/>
      <c r="AL403" s="229"/>
      <c r="AM403" s="225"/>
      <c r="AN403" s="225"/>
      <c r="AO403" s="254"/>
      <c r="AP403" s="225"/>
      <c r="AQ403" s="269"/>
      <c r="AR403" s="226"/>
      <c r="AS403" s="225"/>
      <c r="AT403" s="269"/>
      <c r="AU403" s="225"/>
      <c r="AV403" s="271"/>
      <c r="AW403" s="271"/>
      <c r="AX403" s="226"/>
      <c r="AY403" s="225"/>
      <c r="AZ403" s="225"/>
      <c r="BA403" s="272"/>
      <c r="BB403" s="271"/>
      <c r="BC403" s="225"/>
      <c r="BD403" s="225"/>
      <c r="BE403" s="225"/>
      <c r="BF403" s="225"/>
      <c r="BG403" s="225"/>
      <c r="BH403" s="225"/>
      <c r="BI403" s="225"/>
      <c r="BJ403" s="225"/>
      <c r="BK403" s="225"/>
      <c r="BL403" s="225"/>
      <c r="BM403" s="225"/>
      <c r="BN403" s="225"/>
      <c r="BO403" s="225"/>
      <c r="BP403" s="225"/>
      <c r="BQ403" s="225"/>
      <c r="BR403" s="225"/>
      <c r="BS403" s="225"/>
      <c r="BT403" s="226"/>
      <c r="BU403" s="225"/>
      <c r="BV403" s="225"/>
      <c r="BW403" s="225"/>
      <c r="BX403" s="225"/>
      <c r="BY403" s="225"/>
      <c r="BZ403" s="225"/>
    </row>
    <row r="404">
      <c r="A404" s="225"/>
      <c r="B404" s="225"/>
      <c r="C404" s="225"/>
      <c r="D404" s="226"/>
      <c r="E404" s="225"/>
      <c r="F404" s="225"/>
      <c r="G404" s="225"/>
      <c r="H404" s="225"/>
      <c r="I404" s="225"/>
      <c r="J404" s="225"/>
      <c r="K404" s="244"/>
      <c r="L404" s="225"/>
      <c r="M404" s="225"/>
      <c r="N404" s="225"/>
      <c r="O404" s="225"/>
      <c r="P404" s="225"/>
      <c r="Q404" s="227"/>
      <c r="R404" s="234"/>
      <c r="S404" s="244"/>
      <c r="T404" s="225"/>
      <c r="U404" s="225"/>
      <c r="V404" s="225"/>
      <c r="W404" s="225"/>
      <c r="X404" s="225"/>
      <c r="Y404" s="229"/>
      <c r="Z404" s="257"/>
      <c r="AA404" s="225"/>
      <c r="AB404" s="257"/>
      <c r="AC404" s="257"/>
      <c r="AD404" s="349"/>
      <c r="AE404" s="259"/>
      <c r="AF404" s="347"/>
      <c r="AG404" s="232"/>
      <c r="AH404" s="257"/>
      <c r="AI404" s="234"/>
      <c r="AJ404" s="267"/>
      <c r="AK404" s="259"/>
      <c r="AL404" s="229"/>
      <c r="AM404" s="225"/>
      <c r="AN404" s="225"/>
      <c r="AO404" s="254"/>
      <c r="AP404" s="225"/>
      <c r="AQ404" s="269"/>
      <c r="AR404" s="226"/>
      <c r="AS404" s="225"/>
      <c r="AT404" s="269"/>
      <c r="AU404" s="225"/>
      <c r="AV404" s="230"/>
      <c r="AW404" s="281"/>
      <c r="AX404" s="226"/>
      <c r="AY404" s="225"/>
      <c r="AZ404" s="225"/>
      <c r="BA404" s="243"/>
      <c r="BB404" s="281"/>
      <c r="BC404" s="225"/>
      <c r="BD404" s="225"/>
      <c r="BE404" s="225"/>
      <c r="BF404" s="225"/>
      <c r="BG404" s="225"/>
      <c r="BH404" s="225"/>
      <c r="BI404" s="225"/>
      <c r="BJ404" s="225"/>
      <c r="BK404" s="225"/>
      <c r="BL404" s="225"/>
      <c r="BM404" s="225"/>
      <c r="BN404" s="225"/>
      <c r="BO404" s="225"/>
      <c r="BP404" s="225"/>
      <c r="BQ404" s="225"/>
      <c r="BR404" s="225"/>
      <c r="BS404" s="225"/>
      <c r="BT404" s="226"/>
      <c r="BU404" s="225"/>
      <c r="BV404" s="225"/>
      <c r="BW404" s="225"/>
      <c r="BX404" s="225"/>
      <c r="BY404" s="225"/>
      <c r="BZ404" s="225"/>
    </row>
    <row r="405">
      <c r="A405" s="225"/>
      <c r="B405" s="225"/>
      <c r="C405" s="225"/>
      <c r="D405" s="226"/>
      <c r="E405" s="225"/>
      <c r="F405" s="225"/>
      <c r="G405" s="225"/>
      <c r="H405" s="225"/>
      <c r="I405" s="225"/>
      <c r="J405" s="225"/>
      <c r="K405" s="244"/>
      <c r="L405" s="225"/>
      <c r="M405" s="225"/>
      <c r="N405" s="225"/>
      <c r="O405" s="225"/>
      <c r="P405" s="225"/>
      <c r="Q405" s="227"/>
      <c r="R405" s="234"/>
      <c r="S405" s="244"/>
      <c r="T405" s="225"/>
      <c r="U405" s="225"/>
      <c r="V405" s="225"/>
      <c r="W405" s="225"/>
      <c r="X405" s="225"/>
      <c r="Y405" s="229"/>
      <c r="Z405" s="257"/>
      <c r="AA405" s="225"/>
      <c r="AB405" s="257"/>
      <c r="AC405" s="257"/>
      <c r="AD405" s="349"/>
      <c r="AE405" s="259"/>
      <c r="AF405" s="347"/>
      <c r="AG405" s="232"/>
      <c r="AH405" s="287"/>
      <c r="AI405" s="234"/>
      <c r="AJ405" s="267"/>
      <c r="AK405" s="259"/>
      <c r="AL405" s="229"/>
      <c r="AM405" s="225"/>
      <c r="AN405" s="225"/>
      <c r="AO405" s="254"/>
      <c r="AP405" s="225"/>
      <c r="AQ405" s="269"/>
      <c r="AR405" s="226"/>
      <c r="AS405" s="225"/>
      <c r="AT405" s="269"/>
      <c r="AU405" s="225"/>
      <c r="AV405" s="350"/>
      <c r="AW405" s="291"/>
      <c r="AX405" s="226"/>
      <c r="AY405" s="284"/>
      <c r="AZ405" s="225"/>
      <c r="BA405" s="292"/>
      <c r="BB405" s="291"/>
      <c r="BC405" s="225"/>
      <c r="BD405" s="225"/>
      <c r="BE405" s="225"/>
      <c r="BF405" s="225"/>
      <c r="BG405" s="225"/>
      <c r="BH405" s="225"/>
      <c r="BI405" s="225"/>
      <c r="BJ405" s="225"/>
      <c r="BK405" s="225"/>
      <c r="BL405" s="225"/>
      <c r="BM405" s="225"/>
      <c r="BN405" s="225"/>
      <c r="BO405" s="225"/>
      <c r="BP405" s="225"/>
      <c r="BQ405" s="225"/>
      <c r="BR405" s="225"/>
      <c r="BS405" s="225"/>
      <c r="BT405" s="226"/>
      <c r="BU405" s="225"/>
      <c r="BV405" s="225"/>
      <c r="BW405" s="225"/>
      <c r="BX405" s="225"/>
      <c r="BY405" s="225"/>
      <c r="BZ405" s="225"/>
    </row>
    <row r="406">
      <c r="A406" s="225"/>
      <c r="B406" s="225"/>
      <c r="C406" s="225"/>
      <c r="D406" s="226"/>
      <c r="E406" s="225"/>
      <c r="F406" s="225"/>
      <c r="G406" s="225"/>
      <c r="H406" s="225"/>
      <c r="I406" s="225"/>
      <c r="J406" s="225"/>
      <c r="K406" s="244"/>
      <c r="L406" s="225"/>
      <c r="M406" s="225"/>
      <c r="N406" s="225"/>
      <c r="O406" s="225"/>
      <c r="P406" s="225"/>
      <c r="Q406" s="227"/>
      <c r="R406" s="234"/>
      <c r="S406" s="244"/>
      <c r="T406" s="225"/>
      <c r="U406" s="225"/>
      <c r="V406" s="225"/>
      <c r="W406" s="225"/>
      <c r="X406" s="225"/>
      <c r="Y406" s="229"/>
      <c r="Z406" s="257"/>
      <c r="AA406" s="225"/>
      <c r="AB406" s="257"/>
      <c r="AC406" s="257"/>
      <c r="AD406" s="349"/>
      <c r="AE406" s="259"/>
      <c r="AF406" s="347"/>
      <c r="AG406" s="232"/>
      <c r="AH406" s="295"/>
      <c r="AI406" s="234"/>
      <c r="AJ406" s="267"/>
      <c r="AK406" s="259"/>
      <c r="AL406" s="229"/>
      <c r="AM406" s="225"/>
      <c r="AN406" s="225"/>
      <c r="AO406" s="254"/>
      <c r="AP406" s="225"/>
      <c r="AQ406" s="269"/>
      <c r="AR406" s="297"/>
      <c r="AS406" s="225"/>
      <c r="AT406" s="269"/>
      <c r="AU406" s="225"/>
      <c r="AV406" s="351"/>
      <c r="AW406" s="291"/>
      <c r="AX406" s="226"/>
      <c r="AY406" s="225"/>
      <c r="AZ406" s="225"/>
      <c r="BA406" s="300"/>
      <c r="BB406" s="298"/>
      <c r="BC406" s="225"/>
      <c r="BD406" s="225"/>
      <c r="BE406" s="225"/>
      <c r="BF406" s="225"/>
      <c r="BG406" s="225"/>
      <c r="BH406" s="225"/>
      <c r="BI406" s="225"/>
      <c r="BJ406" s="225"/>
      <c r="BK406" s="225"/>
      <c r="BL406" s="225"/>
      <c r="BM406" s="225"/>
      <c r="BN406" s="225"/>
      <c r="BO406" s="225"/>
      <c r="BP406" s="225"/>
      <c r="BQ406" s="225"/>
      <c r="BR406" s="225"/>
      <c r="BS406" s="225"/>
      <c r="BT406" s="226"/>
      <c r="BU406" s="225"/>
      <c r="BV406" s="225"/>
      <c r="BW406" s="225"/>
      <c r="BX406" s="225"/>
      <c r="BY406" s="225"/>
      <c r="BZ406" s="225"/>
    </row>
    <row r="407">
      <c r="A407" s="225"/>
      <c r="B407" s="225"/>
      <c r="C407" s="225"/>
      <c r="D407" s="226"/>
      <c r="E407" s="225"/>
      <c r="F407" s="225"/>
      <c r="G407" s="225"/>
      <c r="H407" s="225"/>
      <c r="I407" s="225"/>
      <c r="J407" s="225"/>
      <c r="K407" s="244"/>
      <c r="L407" s="225"/>
      <c r="M407" s="225"/>
      <c r="N407" s="225"/>
      <c r="O407" s="225"/>
      <c r="P407" s="225"/>
      <c r="Q407" s="227"/>
      <c r="R407" s="234"/>
      <c r="S407" s="244"/>
      <c r="T407" s="225"/>
      <c r="U407" s="225"/>
      <c r="V407" s="225"/>
      <c r="W407" s="225"/>
      <c r="X407" s="225"/>
      <c r="Y407" s="229"/>
      <c r="Z407" s="257"/>
      <c r="AA407" s="225"/>
      <c r="AB407" s="257"/>
      <c r="AC407" s="257"/>
      <c r="AD407" s="226"/>
      <c r="AE407" s="259"/>
      <c r="AF407" s="347"/>
      <c r="AG407" s="232"/>
      <c r="AH407" s="266"/>
      <c r="AI407" s="225"/>
      <c r="AJ407" s="267"/>
      <c r="AK407" s="259"/>
      <c r="AL407" s="226"/>
      <c r="AM407" s="225"/>
      <c r="AN407" s="225"/>
      <c r="AO407" s="254"/>
      <c r="AP407" s="225"/>
      <c r="AQ407" s="225"/>
      <c r="AR407" s="232"/>
      <c r="AS407" s="225"/>
      <c r="AT407" s="225"/>
      <c r="AU407" s="225"/>
      <c r="AV407" s="328"/>
      <c r="AW407" s="257"/>
      <c r="AX407" s="226"/>
      <c r="AY407" s="225"/>
      <c r="AZ407" s="225"/>
      <c r="BA407" s="303"/>
      <c r="BB407" s="302"/>
      <c r="BC407" s="225"/>
      <c r="BD407" s="225"/>
      <c r="BE407" s="225"/>
      <c r="BF407" s="225"/>
      <c r="BG407" s="225"/>
      <c r="BH407" s="225"/>
      <c r="BI407" s="225"/>
      <c r="BJ407" s="225"/>
      <c r="BK407" s="225"/>
      <c r="BL407" s="225"/>
      <c r="BM407" s="225"/>
      <c r="BN407" s="225"/>
      <c r="BO407" s="225"/>
      <c r="BP407" s="225"/>
      <c r="BQ407" s="225"/>
      <c r="BR407" s="225"/>
      <c r="BS407" s="225"/>
      <c r="BT407" s="226"/>
      <c r="BU407" s="225"/>
      <c r="BV407" s="225"/>
      <c r="BW407" s="225"/>
      <c r="BX407" s="225"/>
      <c r="BY407" s="225"/>
      <c r="BZ407" s="225"/>
    </row>
    <row r="408">
      <c r="A408" s="225"/>
      <c r="B408" s="225"/>
      <c r="C408" s="225"/>
      <c r="D408" s="226"/>
      <c r="E408" s="225"/>
      <c r="F408" s="225"/>
      <c r="G408" s="225"/>
      <c r="H408" s="225"/>
      <c r="I408" s="225"/>
      <c r="J408" s="225"/>
      <c r="K408" s="244"/>
      <c r="L408" s="225"/>
      <c r="M408" s="225"/>
      <c r="N408" s="225"/>
      <c r="O408" s="225"/>
      <c r="P408" s="225"/>
      <c r="Q408" s="227"/>
      <c r="R408" s="234"/>
      <c r="S408" s="244"/>
      <c r="T408" s="225"/>
      <c r="U408" s="225"/>
      <c r="V408" s="225"/>
      <c r="W408" s="225"/>
      <c r="X408" s="225"/>
      <c r="Y408" s="229"/>
      <c r="Z408" s="257"/>
      <c r="AA408" s="225"/>
      <c r="AB408" s="257"/>
      <c r="AC408" s="257"/>
      <c r="AD408" s="349"/>
      <c r="AE408" s="259"/>
      <c r="AF408" s="347"/>
      <c r="AG408" s="232"/>
      <c r="AH408" s="305"/>
      <c r="AI408" s="234"/>
      <c r="AJ408" s="267"/>
      <c r="AK408" s="259"/>
      <c r="AL408" s="226"/>
      <c r="AM408" s="225"/>
      <c r="AN408" s="225"/>
      <c r="AO408" s="254"/>
      <c r="AP408" s="225"/>
      <c r="AQ408" s="225"/>
      <c r="AR408" s="232"/>
      <c r="AS408" s="225"/>
      <c r="AT408" s="257"/>
      <c r="AU408" s="225"/>
      <c r="AV408" s="267"/>
      <c r="AW408" s="257"/>
      <c r="AX408" s="226"/>
      <c r="AY408" s="225"/>
      <c r="AZ408" s="225"/>
      <c r="BA408" s="254"/>
      <c r="BB408" s="225"/>
      <c r="BC408" s="225"/>
      <c r="BD408" s="225"/>
      <c r="BE408" s="225"/>
      <c r="BF408" s="225"/>
      <c r="BG408" s="225"/>
      <c r="BH408" s="225"/>
      <c r="BI408" s="225"/>
      <c r="BJ408" s="225"/>
      <c r="BK408" s="225"/>
      <c r="BL408" s="225"/>
      <c r="BM408" s="225"/>
      <c r="BN408" s="225"/>
      <c r="BO408" s="225"/>
      <c r="BP408" s="225"/>
      <c r="BQ408" s="225"/>
      <c r="BR408" s="225"/>
      <c r="BS408" s="225"/>
      <c r="BT408" s="226"/>
      <c r="BU408" s="225"/>
      <c r="BV408" s="225"/>
      <c r="BW408" s="225"/>
      <c r="BX408" s="225"/>
      <c r="BY408" s="225"/>
      <c r="BZ408" s="225"/>
    </row>
    <row r="409">
      <c r="A409" s="225"/>
      <c r="B409" s="225"/>
      <c r="C409" s="225"/>
      <c r="D409" s="226"/>
      <c r="E409" s="225"/>
      <c r="F409" s="225"/>
      <c r="G409" s="225"/>
      <c r="H409" s="225"/>
      <c r="I409" s="225"/>
      <c r="J409" s="225"/>
      <c r="K409" s="244"/>
      <c r="L409" s="225"/>
      <c r="M409" s="225"/>
      <c r="N409" s="225"/>
      <c r="O409" s="225"/>
      <c r="P409" s="225"/>
      <c r="Q409" s="227"/>
      <c r="R409" s="234"/>
      <c r="S409" s="244"/>
      <c r="T409" s="225"/>
      <c r="U409" s="225"/>
      <c r="V409" s="225"/>
      <c r="W409" s="225"/>
      <c r="X409" s="225"/>
      <c r="Y409" s="229"/>
      <c r="Z409" s="257"/>
      <c r="AA409" s="225"/>
      <c r="AB409" s="257"/>
      <c r="AC409" s="257"/>
      <c r="AD409" s="349"/>
      <c r="AE409" s="259"/>
      <c r="AF409" s="347"/>
      <c r="AG409" s="232"/>
      <c r="AH409" s="305"/>
      <c r="AI409" s="234"/>
      <c r="AJ409" s="267"/>
      <c r="AK409" s="259"/>
      <c r="AL409" s="226"/>
      <c r="AM409" s="225"/>
      <c r="AN409" s="225"/>
      <c r="AO409" s="254"/>
      <c r="AP409" s="225"/>
      <c r="AQ409" s="225"/>
      <c r="AR409" s="226"/>
      <c r="AS409" s="225"/>
      <c r="AT409" s="225"/>
      <c r="AU409" s="225"/>
      <c r="AV409" s="352"/>
      <c r="AW409" s="291"/>
      <c r="AX409" s="226"/>
      <c r="AY409" s="225"/>
      <c r="AZ409" s="225"/>
      <c r="BA409" s="311"/>
      <c r="BB409" s="291"/>
      <c r="BC409" s="225"/>
      <c r="BD409" s="225"/>
      <c r="BE409" s="225"/>
      <c r="BF409" s="225"/>
      <c r="BG409" s="225"/>
      <c r="BH409" s="225"/>
      <c r="BI409" s="225"/>
      <c r="BJ409" s="225"/>
      <c r="BK409" s="225"/>
      <c r="BL409" s="225"/>
      <c r="BM409" s="225"/>
      <c r="BN409" s="225"/>
      <c r="BO409" s="225"/>
      <c r="BP409" s="225"/>
      <c r="BQ409" s="225"/>
      <c r="BR409" s="225"/>
      <c r="BS409" s="225"/>
      <c r="BT409" s="226"/>
      <c r="BU409" s="225"/>
      <c r="BV409" s="225"/>
      <c r="BW409" s="225"/>
      <c r="BX409" s="225"/>
      <c r="BY409" s="225"/>
      <c r="BZ409" s="225"/>
    </row>
    <row r="410">
      <c r="A410" s="225"/>
      <c r="B410" s="225"/>
      <c r="C410" s="225"/>
      <c r="D410" s="226"/>
      <c r="E410" s="225"/>
      <c r="F410" s="225"/>
      <c r="G410" s="225"/>
      <c r="H410" s="225"/>
      <c r="I410" s="225"/>
      <c r="J410" s="225"/>
      <c r="K410" s="244"/>
      <c r="L410" s="225"/>
      <c r="M410" s="225"/>
      <c r="N410" s="225"/>
      <c r="O410" s="225"/>
      <c r="P410" s="225"/>
      <c r="Q410" s="227"/>
      <c r="R410" s="234"/>
      <c r="S410" s="244"/>
      <c r="T410" s="225"/>
      <c r="U410" s="225"/>
      <c r="V410" s="225"/>
      <c r="W410" s="225"/>
      <c r="X410" s="225"/>
      <c r="Y410" s="229"/>
      <c r="Z410" s="257"/>
      <c r="AA410" s="225"/>
      <c r="AB410" s="257"/>
      <c r="AC410" s="257"/>
      <c r="AD410" s="232"/>
      <c r="AE410" s="259"/>
      <c r="AF410" s="347"/>
      <c r="AG410" s="232"/>
      <c r="AH410" s="230"/>
      <c r="AI410" s="225"/>
      <c r="AJ410" s="267"/>
      <c r="AK410" s="259"/>
      <c r="AL410" s="232"/>
      <c r="AM410" s="225"/>
      <c r="AN410" s="225"/>
      <c r="AO410" s="254"/>
      <c r="AP410" s="257"/>
      <c r="AQ410" s="257"/>
      <c r="AR410" s="232"/>
      <c r="AS410" s="225"/>
      <c r="AT410" s="257"/>
      <c r="AU410" s="257"/>
      <c r="AV410" s="257"/>
      <c r="AW410" s="257"/>
      <c r="AX410" s="226"/>
      <c r="AY410" s="225"/>
      <c r="AZ410" s="225"/>
      <c r="BA410" s="313"/>
      <c r="BB410" s="234"/>
      <c r="BC410" s="225"/>
      <c r="BD410" s="225"/>
      <c r="BE410" s="225"/>
      <c r="BF410" s="225"/>
      <c r="BG410" s="225"/>
      <c r="BH410" s="225"/>
      <c r="BI410" s="225"/>
      <c r="BJ410" s="225"/>
      <c r="BK410" s="225"/>
      <c r="BL410" s="225"/>
      <c r="BM410" s="225"/>
      <c r="BN410" s="225"/>
      <c r="BO410" s="225"/>
      <c r="BP410" s="225"/>
      <c r="BQ410" s="225"/>
      <c r="BR410" s="225"/>
      <c r="BS410" s="225"/>
      <c r="BT410" s="226"/>
      <c r="BU410" s="225"/>
      <c r="BV410" s="225"/>
      <c r="BW410" s="225"/>
      <c r="BX410" s="225"/>
      <c r="BY410" s="225"/>
      <c r="BZ410" s="225"/>
    </row>
    <row r="411">
      <c r="A411" s="225"/>
      <c r="B411" s="225"/>
      <c r="C411" s="225"/>
      <c r="D411" s="226"/>
      <c r="E411" s="225"/>
      <c r="F411" s="225"/>
      <c r="G411" s="225"/>
      <c r="H411" s="225"/>
      <c r="I411" s="225"/>
      <c r="J411" s="225"/>
      <c r="K411" s="244"/>
      <c r="L411" s="225"/>
      <c r="M411" s="225"/>
      <c r="N411" s="225"/>
      <c r="O411" s="225"/>
      <c r="P411" s="225"/>
      <c r="Q411" s="227"/>
      <c r="R411" s="234"/>
      <c r="S411" s="244"/>
      <c r="T411" s="225"/>
      <c r="U411" s="225"/>
      <c r="V411" s="225"/>
      <c r="W411" s="225"/>
      <c r="X411" s="225"/>
      <c r="Y411" s="229"/>
      <c r="Z411" s="257"/>
      <c r="AA411" s="225"/>
      <c r="AB411" s="257"/>
      <c r="AC411" s="257"/>
      <c r="AD411" s="226"/>
      <c r="AE411" s="259"/>
      <c r="AF411" s="347"/>
      <c r="AG411" s="232"/>
      <c r="AH411" s="315"/>
      <c r="AI411" s="225"/>
      <c r="AJ411" s="267"/>
      <c r="AK411" s="259"/>
      <c r="AL411" s="297"/>
      <c r="AM411" s="225"/>
      <c r="AN411" s="225"/>
      <c r="AO411" s="254"/>
      <c r="AP411" s="225"/>
      <c r="AQ411" s="291"/>
      <c r="AR411" s="226"/>
      <c r="AS411" s="225"/>
      <c r="AT411" s="291"/>
      <c r="AU411" s="225"/>
      <c r="AV411" s="339"/>
      <c r="AW411" s="234"/>
      <c r="AX411" s="226"/>
      <c r="AY411" s="225"/>
      <c r="AZ411" s="225"/>
      <c r="BA411" s="319"/>
      <c r="BB411" s="234"/>
      <c r="BC411" s="225"/>
      <c r="BD411" s="225"/>
      <c r="BE411" s="225"/>
      <c r="BF411" s="225"/>
      <c r="BG411" s="225"/>
      <c r="BH411" s="225"/>
      <c r="BI411" s="225"/>
      <c r="BJ411" s="225"/>
      <c r="BK411" s="225"/>
      <c r="BL411" s="225"/>
      <c r="BM411" s="225"/>
      <c r="BN411" s="225"/>
      <c r="BO411" s="225"/>
      <c r="BP411" s="225"/>
      <c r="BQ411" s="225"/>
      <c r="BR411" s="225"/>
      <c r="BS411" s="225"/>
      <c r="BT411" s="226"/>
      <c r="BU411" s="225"/>
      <c r="BV411" s="225"/>
      <c r="BW411" s="225"/>
      <c r="BX411" s="225"/>
      <c r="BY411" s="225"/>
      <c r="BZ411" s="225"/>
    </row>
    <row r="412">
      <c r="A412" s="225"/>
      <c r="B412" s="225"/>
      <c r="C412" s="225"/>
      <c r="D412" s="226"/>
      <c r="E412" s="225"/>
      <c r="F412" s="225"/>
      <c r="G412" s="225"/>
      <c r="H412" s="225"/>
      <c r="I412" s="225"/>
      <c r="J412" s="225"/>
      <c r="K412" s="244"/>
      <c r="L412" s="225"/>
      <c r="M412" s="225"/>
      <c r="N412" s="225"/>
      <c r="O412" s="284"/>
      <c r="P412" s="225"/>
      <c r="Q412" s="227"/>
      <c r="R412" s="234"/>
      <c r="S412" s="244"/>
      <c r="T412" s="225"/>
      <c r="U412" s="225"/>
      <c r="V412" s="225"/>
      <c r="W412" s="225"/>
      <c r="X412" s="225"/>
      <c r="Y412" s="229"/>
      <c r="Z412" s="257"/>
      <c r="AA412" s="284"/>
      <c r="AB412" s="257"/>
      <c r="AC412" s="257"/>
      <c r="AD412" s="226"/>
      <c r="AE412" s="259"/>
      <c r="AF412" s="347"/>
      <c r="AG412" s="232"/>
      <c r="AH412" s="271"/>
      <c r="AI412" s="225"/>
      <c r="AJ412" s="267"/>
      <c r="AK412" s="259"/>
      <c r="AL412" s="226"/>
      <c r="AM412" s="225"/>
      <c r="AN412" s="225"/>
      <c r="AO412" s="254"/>
      <c r="AP412" s="225"/>
      <c r="AQ412" s="225"/>
      <c r="AR412" s="226"/>
      <c r="AS412" s="225"/>
      <c r="AT412" s="225"/>
      <c r="AU412" s="225"/>
      <c r="AV412" s="353"/>
      <c r="AW412" s="234"/>
      <c r="AX412" s="226"/>
      <c r="AY412" s="225"/>
      <c r="AZ412" s="225"/>
      <c r="BA412" s="323"/>
      <c r="BB412" s="234"/>
      <c r="BC412" s="225"/>
      <c r="BD412" s="225"/>
      <c r="BE412" s="225"/>
      <c r="BF412" s="225"/>
      <c r="BG412" s="225"/>
      <c r="BH412" s="225"/>
      <c r="BI412" s="225"/>
      <c r="BJ412" s="225"/>
      <c r="BK412" s="225"/>
      <c r="BL412" s="225"/>
      <c r="BM412" s="225"/>
      <c r="BN412" s="225"/>
      <c r="BO412" s="225"/>
      <c r="BP412" s="225"/>
      <c r="BQ412" s="225"/>
      <c r="BR412" s="225"/>
      <c r="BS412" s="225"/>
      <c r="BT412" s="226"/>
      <c r="BU412" s="225"/>
      <c r="BV412" s="225"/>
      <c r="BW412" s="225"/>
      <c r="BX412" s="225"/>
      <c r="BY412" s="225"/>
      <c r="BZ412" s="225"/>
    </row>
    <row r="413">
      <c r="A413" s="225"/>
      <c r="B413" s="225"/>
      <c r="C413" s="225"/>
      <c r="D413" s="226"/>
      <c r="E413" s="225"/>
      <c r="F413" s="225"/>
      <c r="G413" s="225"/>
      <c r="H413" s="225"/>
      <c r="I413" s="225"/>
      <c r="J413" s="225"/>
      <c r="K413" s="244"/>
      <c r="L413" s="225"/>
      <c r="M413" s="225"/>
      <c r="N413" s="225"/>
      <c r="O413" s="225"/>
      <c r="P413" s="225"/>
      <c r="Q413" s="227"/>
      <c r="R413" s="234"/>
      <c r="S413" s="244"/>
      <c r="T413" s="225"/>
      <c r="U413" s="225"/>
      <c r="V413" s="225"/>
      <c r="W413" s="225"/>
      <c r="X413" s="225"/>
      <c r="Y413" s="229"/>
      <c r="Z413" s="257"/>
      <c r="AA413" s="225"/>
      <c r="AB413" s="257"/>
      <c r="AC413" s="257"/>
      <c r="AD413" s="226"/>
      <c r="AE413" s="259"/>
      <c r="AF413" s="347"/>
      <c r="AG413" s="232"/>
      <c r="AH413" s="325"/>
      <c r="AI413" s="225"/>
      <c r="AJ413" s="267"/>
      <c r="AK413" s="259"/>
      <c r="AL413" s="232"/>
      <c r="AM413" s="225"/>
      <c r="AN413" s="225"/>
      <c r="AO413" s="254"/>
      <c r="AP413" s="225"/>
      <c r="AQ413" s="257"/>
      <c r="AR413" s="254"/>
      <c r="AS413" s="225"/>
      <c r="AT413" s="257"/>
      <c r="AU413" s="225"/>
      <c r="AV413" s="352"/>
      <c r="AW413" s="267"/>
      <c r="AX413" s="226"/>
      <c r="AY413" s="284"/>
      <c r="AZ413" s="225"/>
      <c r="BA413" s="311"/>
      <c r="BB413" s="234"/>
      <c r="BC413" s="225"/>
      <c r="BD413" s="225"/>
      <c r="BE413" s="225"/>
      <c r="BF413" s="225"/>
      <c r="BG413" s="225"/>
      <c r="BH413" s="225"/>
      <c r="BI413" s="225"/>
      <c r="BJ413" s="225"/>
      <c r="BK413" s="225"/>
      <c r="BL413" s="225"/>
      <c r="BM413" s="225"/>
      <c r="BN413" s="225"/>
      <c r="BO413" s="225"/>
      <c r="BP413" s="225"/>
      <c r="BQ413" s="225"/>
      <c r="BR413" s="225"/>
      <c r="BS413" s="225"/>
      <c r="BT413" s="226"/>
      <c r="BU413" s="225"/>
      <c r="BV413" s="225"/>
      <c r="BW413" s="225"/>
      <c r="BX413" s="225"/>
      <c r="BY413" s="225"/>
      <c r="BZ413" s="225"/>
    </row>
    <row r="414">
      <c r="A414" s="225"/>
      <c r="B414" s="225"/>
      <c r="C414" s="225"/>
      <c r="D414" s="226"/>
      <c r="E414" s="225"/>
      <c r="F414" s="225"/>
      <c r="G414" s="225"/>
      <c r="H414" s="225"/>
      <c r="I414" s="225"/>
      <c r="J414" s="225"/>
      <c r="K414" s="244"/>
      <c r="L414" s="225"/>
      <c r="M414" s="225"/>
      <c r="N414" s="225"/>
      <c r="O414" s="225"/>
      <c r="P414" s="225"/>
      <c r="Q414" s="227"/>
      <c r="R414" s="234"/>
      <c r="S414" s="244"/>
      <c r="T414" s="225"/>
      <c r="U414" s="225"/>
      <c r="V414" s="225"/>
      <c r="W414" s="225"/>
      <c r="X414" s="225"/>
      <c r="Y414" s="229"/>
      <c r="Z414" s="257"/>
      <c r="AA414" s="225"/>
      <c r="AB414" s="257"/>
      <c r="AC414" s="257"/>
      <c r="AD414" s="349"/>
      <c r="AE414" s="259"/>
      <c r="AF414" s="347"/>
      <c r="AG414" s="232"/>
      <c r="AH414" s="305"/>
      <c r="AI414" s="234"/>
      <c r="AJ414" s="267"/>
      <c r="AK414" s="259"/>
      <c r="AL414" s="232"/>
      <c r="AM414" s="225"/>
      <c r="AN414" s="225"/>
      <c r="AO414" s="254"/>
      <c r="AP414" s="225"/>
      <c r="AQ414" s="257"/>
      <c r="AR414" s="254"/>
      <c r="AS414" s="225"/>
      <c r="AT414" s="257"/>
      <c r="AU414" s="225"/>
      <c r="AV414" s="354"/>
      <c r="AW414" s="267"/>
      <c r="AX414" s="226"/>
      <c r="AY414" s="225"/>
      <c r="AZ414" s="225"/>
      <c r="BA414" s="313"/>
      <c r="BB414" s="234"/>
      <c r="BC414" s="225"/>
      <c r="BD414" s="225"/>
      <c r="BE414" s="225"/>
      <c r="BF414" s="225"/>
      <c r="BG414" s="225"/>
      <c r="BH414" s="225"/>
      <c r="BI414" s="225"/>
      <c r="BJ414" s="225"/>
      <c r="BK414" s="225"/>
      <c r="BL414" s="225"/>
      <c r="BM414" s="225"/>
      <c r="BN414" s="225"/>
      <c r="BO414" s="225"/>
      <c r="BP414" s="225"/>
      <c r="BQ414" s="225"/>
      <c r="BR414" s="225"/>
      <c r="BS414" s="225"/>
      <c r="BT414" s="226"/>
      <c r="BU414" s="225"/>
      <c r="BV414" s="225"/>
      <c r="BW414" s="225"/>
      <c r="BX414" s="225"/>
      <c r="BY414" s="225"/>
      <c r="BZ414" s="225"/>
    </row>
    <row r="415">
      <c r="A415" s="225"/>
      <c r="B415" s="225"/>
      <c r="C415" s="225"/>
      <c r="D415" s="226"/>
      <c r="E415" s="225"/>
      <c r="F415" s="225"/>
      <c r="G415" s="225"/>
      <c r="H415" s="225"/>
      <c r="I415" s="225"/>
      <c r="J415" s="225"/>
      <c r="K415" s="244"/>
      <c r="L415" s="225"/>
      <c r="M415" s="225"/>
      <c r="N415" s="225"/>
      <c r="O415" s="225"/>
      <c r="P415" s="225"/>
      <c r="Q415" s="227"/>
      <c r="R415" s="234"/>
      <c r="S415" s="244"/>
      <c r="T415" s="225"/>
      <c r="U415" s="225"/>
      <c r="V415" s="225"/>
      <c r="W415" s="225"/>
      <c r="X415" s="225"/>
      <c r="Y415" s="229"/>
      <c r="Z415" s="257"/>
      <c r="AA415" s="225"/>
      <c r="AB415" s="257"/>
      <c r="AC415" s="257"/>
      <c r="AD415" s="349"/>
      <c r="AE415" s="259"/>
      <c r="AF415" s="347"/>
      <c r="AG415" s="232"/>
      <c r="AH415" s="267"/>
      <c r="AI415" s="234"/>
      <c r="AJ415" s="267"/>
      <c r="AK415" s="259"/>
      <c r="AL415" s="232"/>
      <c r="AM415" s="225"/>
      <c r="AN415" s="225"/>
      <c r="AO415" s="254"/>
      <c r="AP415" s="225"/>
      <c r="AQ415" s="257"/>
      <c r="AR415" s="254"/>
      <c r="AS415" s="225"/>
      <c r="AT415" s="257"/>
      <c r="AU415" s="225"/>
      <c r="AV415" s="305"/>
      <c r="AW415" s="267"/>
      <c r="AX415" s="226"/>
      <c r="AY415" s="225"/>
      <c r="AZ415" s="225"/>
      <c r="BA415" s="330"/>
      <c r="BB415" s="234"/>
      <c r="BC415" s="225"/>
      <c r="BD415" s="225"/>
      <c r="BE415" s="225"/>
      <c r="BF415" s="225"/>
      <c r="BG415" s="225"/>
      <c r="BH415" s="225"/>
      <c r="BI415" s="225"/>
      <c r="BJ415" s="225"/>
      <c r="BK415" s="225"/>
      <c r="BL415" s="225"/>
      <c r="BM415" s="225"/>
      <c r="BN415" s="225"/>
      <c r="BO415" s="225"/>
      <c r="BP415" s="225"/>
      <c r="BQ415" s="225"/>
      <c r="BR415" s="225"/>
      <c r="BS415" s="225"/>
      <c r="BT415" s="226"/>
      <c r="BU415" s="225"/>
      <c r="BV415" s="225"/>
      <c r="BW415" s="225"/>
      <c r="BX415" s="225"/>
      <c r="BY415" s="225"/>
      <c r="BZ415" s="225"/>
    </row>
    <row r="416">
      <c r="A416" s="284"/>
      <c r="B416" s="225"/>
      <c r="C416" s="225"/>
      <c r="D416" s="226"/>
      <c r="E416" s="225"/>
      <c r="F416" s="225"/>
      <c r="G416" s="225"/>
      <c r="H416" s="225"/>
      <c r="I416" s="225"/>
      <c r="J416" s="225"/>
      <c r="K416" s="244"/>
      <c r="L416" s="225"/>
      <c r="M416" s="225"/>
      <c r="N416" s="225"/>
      <c r="O416" s="225"/>
      <c r="P416" s="225"/>
      <c r="Q416" s="227"/>
      <c r="R416" s="234"/>
      <c r="S416" s="244"/>
      <c r="T416" s="225"/>
      <c r="U416" s="225"/>
      <c r="V416" s="225"/>
      <c r="W416" s="225"/>
      <c r="X416" s="225"/>
      <c r="Y416" s="229"/>
      <c r="Z416" s="257"/>
      <c r="AA416" s="225"/>
      <c r="AB416" s="257"/>
      <c r="AC416" s="257"/>
      <c r="AD416" s="349"/>
      <c r="AE416" s="259"/>
      <c r="AF416" s="347"/>
      <c r="AG416" s="232"/>
      <c r="AH416" s="305"/>
      <c r="AI416" s="234"/>
      <c r="AJ416" s="267"/>
      <c r="AK416" s="259"/>
      <c r="AL416" s="232"/>
      <c r="AM416" s="225"/>
      <c r="AN416" s="225"/>
      <c r="AO416" s="254"/>
      <c r="AP416" s="225"/>
      <c r="AQ416" s="257"/>
      <c r="AR416" s="254"/>
      <c r="AS416" s="225"/>
      <c r="AT416" s="257"/>
      <c r="AU416" s="225"/>
      <c r="AV416" s="353"/>
      <c r="AW416" s="267"/>
      <c r="AX416" s="226"/>
      <c r="AY416" s="225"/>
      <c r="AZ416" s="225"/>
      <c r="BA416" s="323"/>
      <c r="BB416" s="234"/>
      <c r="BC416" s="225"/>
      <c r="BD416" s="225"/>
      <c r="BE416" s="225"/>
      <c r="BF416" s="225"/>
      <c r="BG416" s="225"/>
      <c r="BH416" s="225"/>
      <c r="BI416" s="225"/>
      <c r="BJ416" s="225"/>
      <c r="BK416" s="225"/>
      <c r="BL416" s="225"/>
      <c r="BM416" s="225"/>
      <c r="BN416" s="225"/>
      <c r="BO416" s="225"/>
      <c r="BP416" s="225"/>
      <c r="BQ416" s="225"/>
      <c r="BR416" s="225"/>
      <c r="BS416" s="225"/>
      <c r="BT416" s="226"/>
      <c r="BU416" s="225"/>
      <c r="BV416" s="225"/>
      <c r="BW416" s="225"/>
      <c r="BX416" s="225"/>
      <c r="BY416" s="225"/>
      <c r="BZ416" s="225"/>
    </row>
    <row r="417">
      <c r="A417" s="225"/>
      <c r="B417" s="225"/>
      <c r="C417" s="225"/>
      <c r="D417" s="226"/>
      <c r="E417" s="225"/>
      <c r="F417" s="225"/>
      <c r="G417" s="225"/>
      <c r="H417" s="225"/>
      <c r="I417" s="225"/>
      <c r="J417" s="225"/>
      <c r="K417" s="244"/>
      <c r="L417" s="225"/>
      <c r="M417" s="225"/>
      <c r="N417" s="225"/>
      <c r="O417" s="225"/>
      <c r="P417" s="225"/>
      <c r="Q417" s="227"/>
      <c r="R417" s="234"/>
      <c r="S417" s="244"/>
      <c r="T417" s="225"/>
      <c r="U417" s="225"/>
      <c r="V417" s="225"/>
      <c r="W417" s="225"/>
      <c r="X417" s="225"/>
      <c r="Y417" s="229"/>
      <c r="Z417" s="257"/>
      <c r="AA417" s="225"/>
      <c r="AB417" s="257"/>
      <c r="AC417" s="257"/>
      <c r="AD417" s="349"/>
      <c r="AE417" s="259"/>
      <c r="AF417" s="347"/>
      <c r="AG417" s="232"/>
      <c r="AH417" s="267"/>
      <c r="AI417" s="234"/>
      <c r="AJ417" s="267"/>
      <c r="AK417" s="259"/>
      <c r="AL417" s="232"/>
      <c r="AM417" s="225"/>
      <c r="AN417" s="225"/>
      <c r="AO417" s="254"/>
      <c r="AP417" s="225"/>
      <c r="AQ417" s="257"/>
      <c r="AR417" s="254"/>
      <c r="AS417" s="225"/>
      <c r="AT417" s="257"/>
      <c r="AU417" s="225"/>
      <c r="AV417" s="352"/>
      <c r="AW417" s="267"/>
      <c r="AX417" s="226"/>
      <c r="AY417" s="225"/>
      <c r="AZ417" s="225"/>
      <c r="BA417" s="311"/>
      <c r="BB417" s="234"/>
      <c r="BC417" s="225"/>
      <c r="BD417" s="225"/>
      <c r="BE417" s="225"/>
      <c r="BF417" s="225"/>
      <c r="BG417" s="225"/>
      <c r="BH417" s="225"/>
      <c r="BI417" s="225"/>
      <c r="BJ417" s="225"/>
      <c r="BK417" s="225"/>
      <c r="BL417" s="225"/>
      <c r="BM417" s="225"/>
      <c r="BN417" s="225"/>
      <c r="BO417" s="225"/>
      <c r="BP417" s="225"/>
      <c r="BQ417" s="225"/>
      <c r="BR417" s="225"/>
      <c r="BS417" s="225"/>
      <c r="BT417" s="226"/>
      <c r="BU417" s="225"/>
      <c r="BV417" s="225"/>
      <c r="BW417" s="225"/>
      <c r="BX417" s="225"/>
      <c r="BY417" s="225"/>
      <c r="BZ417" s="225"/>
    </row>
    <row r="418">
      <c r="A418" s="225"/>
      <c r="B418" s="225"/>
      <c r="C418" s="225"/>
      <c r="D418" s="226"/>
      <c r="E418" s="225"/>
      <c r="F418" s="225"/>
      <c r="G418" s="225"/>
      <c r="H418" s="225"/>
      <c r="I418" s="225"/>
      <c r="J418" s="225"/>
      <c r="K418" s="244"/>
      <c r="L418" s="225"/>
      <c r="M418" s="225"/>
      <c r="N418" s="225"/>
      <c r="O418" s="225"/>
      <c r="P418" s="225"/>
      <c r="Q418" s="227"/>
      <c r="R418" s="234"/>
      <c r="S418" s="244"/>
      <c r="T418" s="225"/>
      <c r="U418" s="225"/>
      <c r="V418" s="225"/>
      <c r="W418" s="225"/>
      <c r="X418" s="225"/>
      <c r="Y418" s="229"/>
      <c r="Z418" s="257"/>
      <c r="AA418" s="225"/>
      <c r="AB418" s="257"/>
      <c r="AC418" s="257"/>
      <c r="AD418" s="349"/>
      <c r="AE418" s="259"/>
      <c r="AF418" s="347"/>
      <c r="AG418" s="232"/>
      <c r="AH418" s="295"/>
      <c r="AI418" s="234"/>
      <c r="AJ418" s="267"/>
      <c r="AK418" s="259"/>
      <c r="AL418" s="232"/>
      <c r="AM418" s="225"/>
      <c r="AN418" s="225"/>
      <c r="AO418" s="254"/>
      <c r="AP418" s="225"/>
      <c r="AQ418" s="257"/>
      <c r="AR418" s="254"/>
      <c r="AS418" s="225"/>
      <c r="AT418" s="257"/>
      <c r="AU418" s="225"/>
      <c r="AV418" s="225"/>
      <c r="AW418" s="267"/>
      <c r="AX418" s="226"/>
      <c r="AY418" s="225"/>
      <c r="AZ418" s="225"/>
      <c r="BA418" s="226"/>
      <c r="BB418" s="225"/>
      <c r="BC418" s="225"/>
      <c r="BD418" s="225"/>
      <c r="BE418" s="225"/>
      <c r="BF418" s="225"/>
      <c r="BG418" s="225"/>
      <c r="BH418" s="225"/>
      <c r="BI418" s="225"/>
      <c r="BJ418" s="225"/>
      <c r="BK418" s="225"/>
      <c r="BL418" s="225"/>
      <c r="BM418" s="225"/>
      <c r="BN418" s="225"/>
      <c r="BO418" s="225"/>
      <c r="BP418" s="225"/>
      <c r="BQ418" s="225"/>
      <c r="BR418" s="225"/>
      <c r="BS418" s="225"/>
      <c r="BT418" s="226"/>
      <c r="BU418" s="225"/>
      <c r="BV418" s="225"/>
      <c r="BW418" s="225"/>
      <c r="BX418" s="225"/>
      <c r="BY418" s="225"/>
      <c r="BZ418" s="225"/>
    </row>
    <row r="419">
      <c r="A419" s="225"/>
      <c r="B419" s="225"/>
      <c r="C419" s="225"/>
      <c r="D419" s="226"/>
      <c r="E419" s="225"/>
      <c r="F419" s="225"/>
      <c r="G419" s="225"/>
      <c r="H419" s="225"/>
      <c r="I419" s="225"/>
      <c r="J419" s="225"/>
      <c r="K419" s="244"/>
      <c r="L419" s="225"/>
      <c r="M419" s="225"/>
      <c r="N419" s="225"/>
      <c r="O419" s="225"/>
      <c r="P419" s="225"/>
      <c r="Q419" s="227"/>
      <c r="R419" s="234"/>
      <c r="S419" s="244"/>
      <c r="T419" s="225"/>
      <c r="U419" s="225"/>
      <c r="V419" s="225"/>
      <c r="W419" s="225"/>
      <c r="X419" s="225"/>
      <c r="Y419" s="229"/>
      <c r="Z419" s="257"/>
      <c r="AA419" s="225"/>
      <c r="AB419" s="257"/>
      <c r="AC419" s="257"/>
      <c r="AD419" s="349"/>
      <c r="AE419" s="259"/>
      <c r="AF419" s="347"/>
      <c r="AG419" s="232"/>
      <c r="AH419" s="266"/>
      <c r="AI419" s="234"/>
      <c r="AJ419" s="267"/>
      <c r="AK419" s="259"/>
      <c r="AL419" s="232"/>
      <c r="AM419" s="225"/>
      <c r="AN419" s="225"/>
      <c r="AO419" s="254"/>
      <c r="AP419" s="225"/>
      <c r="AQ419" s="257"/>
      <c r="AR419" s="254"/>
      <c r="AS419" s="225"/>
      <c r="AT419" s="257"/>
      <c r="AU419" s="225"/>
      <c r="AV419" s="225"/>
      <c r="AW419" s="267"/>
      <c r="AX419" s="226"/>
      <c r="AY419" s="225"/>
      <c r="AZ419" s="225"/>
      <c r="BA419" s="226"/>
      <c r="BB419" s="225"/>
      <c r="BC419" s="225"/>
      <c r="BD419" s="225"/>
      <c r="BE419" s="225"/>
      <c r="BF419" s="225"/>
      <c r="BG419" s="225"/>
      <c r="BH419" s="225"/>
      <c r="BI419" s="225"/>
      <c r="BJ419" s="225"/>
      <c r="BK419" s="225"/>
      <c r="BL419" s="225"/>
      <c r="BM419" s="225"/>
      <c r="BN419" s="225"/>
      <c r="BO419" s="225"/>
      <c r="BP419" s="225"/>
      <c r="BQ419" s="225"/>
      <c r="BR419" s="225"/>
      <c r="BS419" s="225"/>
      <c r="BT419" s="226"/>
      <c r="BU419" s="225"/>
      <c r="BV419" s="225"/>
      <c r="BW419" s="225"/>
      <c r="BX419" s="225"/>
      <c r="BY419" s="225"/>
      <c r="BZ419" s="225"/>
    </row>
    <row r="420">
      <c r="A420" s="225"/>
      <c r="B420" s="225"/>
      <c r="C420" s="225"/>
      <c r="D420" s="226"/>
      <c r="E420" s="225"/>
      <c r="F420" s="225"/>
      <c r="G420" s="225"/>
      <c r="H420" s="225"/>
      <c r="I420" s="225"/>
      <c r="J420" s="225"/>
      <c r="K420" s="244"/>
      <c r="L420" s="225"/>
      <c r="M420" s="225"/>
      <c r="N420" s="225"/>
      <c r="O420" s="225"/>
      <c r="P420" s="225"/>
      <c r="Q420" s="227"/>
      <c r="R420" s="234"/>
      <c r="S420" s="225"/>
      <c r="T420" s="225"/>
      <c r="U420" s="225"/>
      <c r="V420" s="225"/>
      <c r="W420" s="225"/>
      <c r="X420" s="225"/>
      <c r="Y420" s="229"/>
      <c r="Z420" s="257"/>
      <c r="AA420" s="225"/>
      <c r="AB420" s="257"/>
      <c r="AC420" s="257"/>
      <c r="AD420" s="349"/>
      <c r="AE420" s="259"/>
      <c r="AF420" s="347"/>
      <c r="AG420" s="232"/>
      <c r="AH420" s="305"/>
      <c r="AI420" s="234"/>
      <c r="AJ420" s="267"/>
      <c r="AK420" s="259"/>
      <c r="AL420" s="226"/>
      <c r="AM420" s="225"/>
      <c r="AN420" s="225"/>
      <c r="AO420" s="254"/>
      <c r="AP420" s="225"/>
      <c r="AQ420" s="225"/>
      <c r="AR420" s="254"/>
      <c r="AS420" s="225"/>
      <c r="AT420" s="257"/>
      <c r="AU420" s="225"/>
      <c r="AV420" s="225"/>
      <c r="AW420" s="267"/>
      <c r="AX420" s="226"/>
      <c r="AY420" s="225"/>
      <c r="AZ420" s="225"/>
      <c r="BA420" s="226"/>
      <c r="BB420" s="225"/>
      <c r="BC420" s="225"/>
      <c r="BD420" s="225"/>
      <c r="BE420" s="225"/>
      <c r="BF420" s="225"/>
      <c r="BG420" s="225"/>
      <c r="BH420" s="225"/>
      <c r="BI420" s="225"/>
      <c r="BJ420" s="225"/>
      <c r="BK420" s="225"/>
      <c r="BL420" s="225"/>
      <c r="BM420" s="225"/>
      <c r="BN420" s="225"/>
      <c r="BO420" s="225"/>
      <c r="BP420" s="225"/>
      <c r="BQ420" s="225"/>
      <c r="BR420" s="225"/>
      <c r="BS420" s="225"/>
      <c r="BT420" s="226"/>
      <c r="BU420" s="225"/>
      <c r="BV420" s="225"/>
      <c r="BW420" s="225"/>
      <c r="BX420" s="225"/>
      <c r="BY420" s="225"/>
      <c r="BZ420" s="225"/>
    </row>
    <row r="421">
      <c r="A421" s="225"/>
      <c r="B421" s="225"/>
      <c r="C421" s="225"/>
      <c r="D421" s="226"/>
      <c r="E421" s="225"/>
      <c r="F421" s="225"/>
      <c r="G421" s="225"/>
      <c r="H421" s="225"/>
      <c r="I421" s="225"/>
      <c r="J421" s="225"/>
      <c r="K421" s="244"/>
      <c r="L421" s="225"/>
      <c r="M421" s="225"/>
      <c r="N421" s="225"/>
      <c r="O421" s="225"/>
      <c r="P421" s="225"/>
      <c r="Q421" s="227"/>
      <c r="R421" s="234"/>
      <c r="S421" s="225"/>
      <c r="T421" s="225"/>
      <c r="U421" s="225"/>
      <c r="V421" s="225"/>
      <c r="W421" s="225"/>
      <c r="X421" s="225"/>
      <c r="Y421" s="229"/>
      <c r="Z421" s="257"/>
      <c r="AA421" s="225"/>
      <c r="AB421" s="257"/>
      <c r="AC421" s="257"/>
      <c r="AD421" s="349"/>
      <c r="AE421" s="259"/>
      <c r="AF421" s="347"/>
      <c r="AG421" s="232"/>
      <c r="AH421" s="335"/>
      <c r="AI421" s="234"/>
      <c r="AJ421" s="267"/>
      <c r="AK421" s="259"/>
      <c r="AL421" s="232"/>
      <c r="AM421" s="225"/>
      <c r="AN421" s="225"/>
      <c r="AO421" s="254"/>
      <c r="AP421" s="225"/>
      <c r="AQ421" s="257"/>
      <c r="AR421" s="254"/>
      <c r="AS421" s="225"/>
      <c r="AT421" s="257"/>
      <c r="AU421" s="225"/>
      <c r="AV421" s="225"/>
      <c r="AW421" s="267"/>
      <c r="AX421" s="226"/>
      <c r="AY421" s="225"/>
      <c r="AZ421" s="225"/>
      <c r="BA421" s="226"/>
      <c r="BB421" s="225"/>
      <c r="BC421" s="225"/>
      <c r="BD421" s="225"/>
      <c r="BE421" s="225"/>
      <c r="BF421" s="225"/>
      <c r="BG421" s="225"/>
      <c r="BH421" s="225"/>
      <c r="BI421" s="225"/>
      <c r="BJ421" s="225"/>
      <c r="BK421" s="225"/>
      <c r="BL421" s="225"/>
      <c r="BM421" s="225"/>
      <c r="BN421" s="225"/>
      <c r="BO421" s="225"/>
      <c r="BP421" s="225"/>
      <c r="BQ421" s="225"/>
      <c r="BR421" s="225"/>
      <c r="BS421" s="225"/>
      <c r="BT421" s="226"/>
      <c r="BU421" s="225"/>
      <c r="BV421" s="225"/>
      <c r="BW421" s="225"/>
      <c r="BX421" s="225"/>
      <c r="BY421" s="225"/>
      <c r="BZ421" s="225"/>
    </row>
    <row r="422">
      <c r="A422" s="225"/>
      <c r="B422" s="225"/>
      <c r="C422" s="225"/>
      <c r="D422" s="226"/>
      <c r="E422" s="225"/>
      <c r="F422" s="225"/>
      <c r="G422" s="225"/>
      <c r="H422" s="225"/>
      <c r="I422" s="225"/>
      <c r="J422" s="225"/>
      <c r="K422" s="244"/>
      <c r="L422" s="225"/>
      <c r="M422" s="225"/>
      <c r="N422" s="225"/>
      <c r="O422" s="225"/>
      <c r="P422" s="225"/>
      <c r="Q422" s="227"/>
      <c r="R422" s="234"/>
      <c r="S422" s="225"/>
      <c r="T422" s="225"/>
      <c r="U422" s="225"/>
      <c r="V422" s="225"/>
      <c r="W422" s="225"/>
      <c r="X422" s="225"/>
      <c r="Y422" s="229"/>
      <c r="Z422" s="257"/>
      <c r="AA422" s="225"/>
      <c r="AB422" s="257"/>
      <c r="AC422" s="257"/>
      <c r="AD422" s="349"/>
      <c r="AE422" s="259"/>
      <c r="AF422" s="347"/>
      <c r="AG422" s="232"/>
      <c r="AH422" s="337"/>
      <c r="AI422" s="234"/>
      <c r="AJ422" s="267"/>
      <c r="AK422" s="259"/>
      <c r="AL422" s="232"/>
      <c r="AM422" s="225"/>
      <c r="AN422" s="225"/>
      <c r="AO422" s="254"/>
      <c r="AP422" s="225"/>
      <c r="AQ422" s="257"/>
      <c r="AR422" s="254"/>
      <c r="AS422" s="225"/>
      <c r="AT422" s="257"/>
      <c r="AU422" s="225"/>
      <c r="AV422" s="225"/>
      <c r="AW422" s="267"/>
      <c r="AX422" s="226"/>
      <c r="AY422" s="225"/>
      <c r="AZ422" s="225"/>
      <c r="BA422" s="226"/>
      <c r="BB422" s="225"/>
      <c r="BC422" s="225"/>
      <c r="BD422" s="225"/>
      <c r="BE422" s="225"/>
      <c r="BF422" s="225"/>
      <c r="BG422" s="225"/>
      <c r="BH422" s="225"/>
      <c r="BI422" s="225"/>
      <c r="BJ422" s="225"/>
      <c r="BK422" s="225"/>
      <c r="BL422" s="225"/>
      <c r="BM422" s="225"/>
      <c r="BN422" s="225"/>
      <c r="BO422" s="225"/>
      <c r="BP422" s="225"/>
      <c r="BQ422" s="225"/>
      <c r="BR422" s="225"/>
      <c r="BS422" s="225"/>
      <c r="BT422" s="226"/>
      <c r="BU422" s="225"/>
      <c r="BV422" s="225"/>
      <c r="BW422" s="225"/>
      <c r="BX422" s="225"/>
      <c r="BY422" s="225"/>
      <c r="BZ422" s="225"/>
    </row>
    <row r="423">
      <c r="A423" s="225"/>
      <c r="B423" s="225"/>
      <c r="C423" s="225"/>
      <c r="D423" s="226"/>
      <c r="E423" s="225"/>
      <c r="F423" s="225"/>
      <c r="G423" s="225"/>
      <c r="H423" s="225"/>
      <c r="I423" s="225"/>
      <c r="J423" s="225"/>
      <c r="K423" s="244"/>
      <c r="L423" s="225"/>
      <c r="M423" s="225"/>
      <c r="N423" s="225"/>
      <c r="O423" s="225"/>
      <c r="P423" s="225"/>
      <c r="Q423" s="227"/>
      <c r="R423" s="234"/>
      <c r="S423" s="225"/>
      <c r="T423" s="225"/>
      <c r="U423" s="225"/>
      <c r="V423" s="225"/>
      <c r="W423" s="225"/>
      <c r="X423" s="225"/>
      <c r="Y423" s="229"/>
      <c r="Z423" s="257"/>
      <c r="AA423" s="225"/>
      <c r="AB423" s="257"/>
      <c r="AC423" s="257"/>
      <c r="AD423" s="349"/>
      <c r="AE423" s="259"/>
      <c r="AF423" s="347"/>
      <c r="AG423" s="232"/>
      <c r="AH423" s="339"/>
      <c r="AI423" s="234"/>
      <c r="AJ423" s="267"/>
      <c r="AK423" s="259"/>
      <c r="AL423" s="232"/>
      <c r="AM423" s="225"/>
      <c r="AN423" s="225"/>
      <c r="AO423" s="254"/>
      <c r="AP423" s="225"/>
      <c r="AQ423" s="257"/>
      <c r="AR423" s="254"/>
      <c r="AS423" s="225"/>
      <c r="AT423" s="257"/>
      <c r="AU423" s="225"/>
      <c r="AV423" s="225"/>
      <c r="AW423" s="267"/>
      <c r="AX423" s="226"/>
      <c r="AY423" s="225"/>
      <c r="AZ423" s="225"/>
      <c r="BA423" s="226"/>
      <c r="BB423" s="225"/>
      <c r="BC423" s="225"/>
      <c r="BD423" s="225"/>
      <c r="BE423" s="225"/>
      <c r="BF423" s="225"/>
      <c r="BG423" s="225"/>
      <c r="BH423" s="225"/>
      <c r="BI423" s="225"/>
      <c r="BJ423" s="225"/>
      <c r="BK423" s="225"/>
      <c r="BL423" s="225"/>
      <c r="BM423" s="225"/>
      <c r="BN423" s="225"/>
      <c r="BO423" s="225"/>
      <c r="BP423" s="225"/>
      <c r="BQ423" s="225"/>
      <c r="BR423" s="225"/>
      <c r="BS423" s="225"/>
      <c r="BT423" s="226"/>
      <c r="BU423" s="225"/>
      <c r="BV423" s="225"/>
      <c r="BW423" s="225"/>
      <c r="BX423" s="225"/>
      <c r="BY423" s="225"/>
      <c r="BZ423" s="225"/>
    </row>
    <row r="424">
      <c r="A424" s="225"/>
      <c r="B424" s="225"/>
      <c r="C424" s="225"/>
      <c r="D424" s="226"/>
      <c r="E424" s="225"/>
      <c r="F424" s="225"/>
      <c r="G424" s="225"/>
      <c r="H424" s="225"/>
      <c r="I424" s="225"/>
      <c r="J424" s="225"/>
      <c r="K424" s="244"/>
      <c r="L424" s="225"/>
      <c r="M424" s="225"/>
      <c r="N424" s="225"/>
      <c r="O424" s="284"/>
      <c r="P424" s="225"/>
      <c r="Q424" s="227"/>
      <c r="R424" s="234"/>
      <c r="S424" s="225"/>
      <c r="T424" s="225"/>
      <c r="U424" s="225"/>
      <c r="V424" s="225"/>
      <c r="W424" s="225"/>
      <c r="X424" s="225"/>
      <c r="Y424" s="229"/>
      <c r="Z424" s="257"/>
      <c r="AA424" s="284"/>
      <c r="AB424" s="257"/>
      <c r="AC424" s="257"/>
      <c r="AD424" s="349"/>
      <c r="AE424" s="259"/>
      <c r="AF424" s="347"/>
      <c r="AG424" s="232"/>
      <c r="AH424" s="305"/>
      <c r="AI424" s="234"/>
      <c r="AJ424" s="267"/>
      <c r="AK424" s="259"/>
      <c r="AL424" s="232"/>
      <c r="AM424" s="225"/>
      <c r="AN424" s="225"/>
      <c r="AO424" s="254"/>
      <c r="AP424" s="225"/>
      <c r="AQ424" s="257"/>
      <c r="AR424" s="254"/>
      <c r="AS424" s="225"/>
      <c r="AT424" s="257"/>
      <c r="AU424" s="225"/>
      <c r="AV424" s="225"/>
      <c r="AW424" s="267"/>
      <c r="AX424" s="226"/>
      <c r="AY424" s="225"/>
      <c r="AZ424" s="225"/>
      <c r="BA424" s="226"/>
      <c r="BB424" s="225"/>
      <c r="BC424" s="225"/>
      <c r="BD424" s="225"/>
      <c r="BE424" s="225"/>
      <c r="BF424" s="225"/>
      <c r="BG424" s="225"/>
      <c r="BH424" s="225"/>
      <c r="BI424" s="225"/>
      <c r="BJ424" s="225"/>
      <c r="BK424" s="225"/>
      <c r="BL424" s="225"/>
      <c r="BM424" s="225"/>
      <c r="BN424" s="225"/>
      <c r="BO424" s="225"/>
      <c r="BP424" s="225"/>
      <c r="BQ424" s="225"/>
      <c r="BR424" s="225"/>
      <c r="BS424" s="225"/>
      <c r="BT424" s="226"/>
      <c r="BU424" s="225"/>
      <c r="BV424" s="225"/>
      <c r="BW424" s="225"/>
      <c r="BX424" s="225"/>
      <c r="BY424" s="225"/>
      <c r="BZ424" s="225"/>
    </row>
    <row r="425">
      <c r="A425" s="225"/>
      <c r="B425" s="225"/>
      <c r="C425" s="225"/>
      <c r="D425" s="226"/>
      <c r="E425" s="225"/>
      <c r="F425" s="225"/>
      <c r="G425" s="225"/>
      <c r="H425" s="225"/>
      <c r="I425" s="225"/>
      <c r="J425" s="225"/>
      <c r="K425" s="244"/>
      <c r="L425" s="225"/>
      <c r="M425" s="225"/>
      <c r="N425" s="225"/>
      <c r="O425" s="225"/>
      <c r="P425" s="225"/>
      <c r="Q425" s="227"/>
      <c r="R425" s="234"/>
      <c r="S425" s="225"/>
      <c r="T425" s="225"/>
      <c r="U425" s="225"/>
      <c r="V425" s="225"/>
      <c r="W425" s="225"/>
      <c r="X425" s="225"/>
      <c r="Y425" s="229"/>
      <c r="Z425" s="257"/>
      <c r="AA425" s="225"/>
      <c r="AB425" s="257"/>
      <c r="AC425" s="257"/>
      <c r="AD425" s="349"/>
      <c r="AE425" s="259"/>
      <c r="AF425" s="347"/>
      <c r="AG425" s="232"/>
      <c r="AH425" s="287"/>
      <c r="AI425" s="234"/>
      <c r="AJ425" s="267"/>
      <c r="AK425" s="259"/>
      <c r="AL425" s="232"/>
      <c r="AM425" s="225"/>
      <c r="AN425" s="225"/>
      <c r="AO425" s="254"/>
      <c r="AP425" s="225"/>
      <c r="AQ425" s="257"/>
      <c r="AR425" s="254"/>
      <c r="AS425" s="225"/>
      <c r="AT425" s="257"/>
      <c r="AU425" s="225"/>
      <c r="AV425" s="225"/>
      <c r="AW425" s="267"/>
      <c r="AX425" s="226"/>
      <c r="AY425" s="225"/>
      <c r="AZ425" s="225"/>
      <c r="BA425" s="226"/>
      <c r="BB425" s="225"/>
      <c r="BC425" s="225"/>
      <c r="BD425" s="225"/>
      <c r="BE425" s="225"/>
      <c r="BF425" s="225"/>
      <c r="BG425" s="225"/>
      <c r="BH425" s="225"/>
      <c r="BI425" s="225"/>
      <c r="BJ425" s="225"/>
      <c r="BK425" s="225"/>
      <c r="BL425" s="225"/>
      <c r="BM425" s="225"/>
      <c r="BN425" s="225"/>
      <c r="BO425" s="225"/>
      <c r="BP425" s="225"/>
      <c r="BQ425" s="225"/>
      <c r="BR425" s="225"/>
      <c r="BS425" s="225"/>
      <c r="BT425" s="226"/>
      <c r="BU425" s="225"/>
      <c r="BV425" s="225"/>
      <c r="BW425" s="225"/>
      <c r="BX425" s="225"/>
      <c r="BY425" s="225"/>
      <c r="BZ425" s="225"/>
    </row>
    <row r="426">
      <c r="A426" s="225"/>
      <c r="B426" s="225"/>
      <c r="C426" s="225"/>
      <c r="D426" s="226"/>
      <c r="E426" s="225"/>
      <c r="F426" s="225"/>
      <c r="G426" s="225"/>
      <c r="H426" s="225"/>
      <c r="I426" s="225"/>
      <c r="J426" s="225"/>
      <c r="K426" s="244"/>
      <c r="L426" s="225"/>
      <c r="M426" s="225"/>
      <c r="N426" s="225"/>
      <c r="O426" s="225"/>
      <c r="P426" s="225"/>
      <c r="Q426" s="227"/>
      <c r="R426" s="234"/>
      <c r="S426" s="225"/>
      <c r="T426" s="225"/>
      <c r="U426" s="225"/>
      <c r="V426" s="225"/>
      <c r="W426" s="225"/>
      <c r="X426" s="225"/>
      <c r="Y426" s="229"/>
      <c r="Z426" s="257"/>
      <c r="AA426" s="225"/>
      <c r="AB426" s="257"/>
      <c r="AC426" s="257"/>
      <c r="AD426" s="349"/>
      <c r="AE426" s="259"/>
      <c r="AF426" s="347"/>
      <c r="AG426" s="232"/>
      <c r="AH426" s="342"/>
      <c r="AI426" s="234"/>
      <c r="AJ426" s="267"/>
      <c r="AK426" s="259"/>
      <c r="AL426" s="226"/>
      <c r="AM426" s="225"/>
      <c r="AN426" s="225"/>
      <c r="AO426" s="254"/>
      <c r="AP426" s="225"/>
      <c r="AQ426" s="225"/>
      <c r="AR426" s="226"/>
      <c r="AS426" s="225"/>
      <c r="AT426" s="257"/>
      <c r="AU426" s="225"/>
      <c r="AV426" s="225"/>
      <c r="AW426" s="225"/>
      <c r="AX426" s="226"/>
      <c r="AY426" s="225"/>
      <c r="AZ426" s="225"/>
      <c r="BA426" s="226"/>
      <c r="BB426" s="225"/>
      <c r="BC426" s="225"/>
      <c r="BD426" s="225"/>
      <c r="BE426" s="225"/>
      <c r="BF426" s="225"/>
      <c r="BG426" s="225"/>
      <c r="BH426" s="225"/>
      <c r="BI426" s="225"/>
      <c r="BJ426" s="225"/>
      <c r="BK426" s="225"/>
      <c r="BL426" s="225"/>
      <c r="BM426" s="225"/>
      <c r="BN426" s="225"/>
      <c r="BO426" s="225"/>
      <c r="BP426" s="225"/>
      <c r="BQ426" s="225"/>
      <c r="BR426" s="225"/>
      <c r="BS426" s="225"/>
      <c r="BT426" s="226"/>
      <c r="BU426" s="225"/>
      <c r="BV426" s="225"/>
      <c r="BW426" s="225"/>
      <c r="BX426" s="225"/>
      <c r="BY426" s="225"/>
      <c r="BZ426" s="225"/>
    </row>
    <row r="427">
      <c r="A427" s="225"/>
      <c r="B427" s="225"/>
      <c r="C427" s="225"/>
      <c r="D427" s="226"/>
      <c r="E427" s="225"/>
      <c r="F427" s="225"/>
      <c r="G427" s="225"/>
      <c r="H427" s="225"/>
      <c r="I427" s="225"/>
      <c r="J427" s="225"/>
      <c r="K427" s="244"/>
      <c r="L427" s="225"/>
      <c r="M427" s="225"/>
      <c r="N427" s="225"/>
      <c r="O427" s="225"/>
      <c r="P427" s="225"/>
      <c r="Q427" s="227"/>
      <c r="R427" s="234"/>
      <c r="S427" s="225"/>
      <c r="T427" s="225"/>
      <c r="U427" s="225"/>
      <c r="V427" s="225"/>
      <c r="W427" s="225"/>
      <c r="X427" s="225"/>
      <c r="Y427" s="229"/>
      <c r="Z427" s="257"/>
      <c r="AA427" s="225"/>
      <c r="AB427" s="257"/>
      <c r="AC427" s="257"/>
      <c r="AD427" s="349"/>
      <c r="AE427" s="259"/>
      <c r="AF427" s="347"/>
      <c r="AG427" s="232"/>
      <c r="AH427" s="305"/>
      <c r="AI427" s="234"/>
      <c r="AJ427" s="267"/>
      <c r="AK427" s="259"/>
      <c r="AL427" s="232"/>
      <c r="AM427" s="225"/>
      <c r="AN427" s="225"/>
      <c r="AO427" s="254"/>
      <c r="AP427" s="225"/>
      <c r="AQ427" s="257"/>
      <c r="AR427" s="254"/>
      <c r="AS427" s="225"/>
      <c r="AT427" s="257"/>
      <c r="AU427" s="225"/>
      <c r="AV427" s="225"/>
      <c r="AW427" s="267"/>
      <c r="AX427" s="226"/>
      <c r="AY427" s="225"/>
      <c r="AZ427" s="225"/>
      <c r="BA427" s="226"/>
      <c r="BB427" s="225"/>
      <c r="BC427" s="225"/>
      <c r="BD427" s="225"/>
      <c r="BE427" s="225"/>
      <c r="BF427" s="225"/>
      <c r="BG427" s="225"/>
      <c r="BH427" s="225"/>
      <c r="BI427" s="225"/>
      <c r="BJ427" s="225"/>
      <c r="BK427" s="225"/>
      <c r="BL427" s="225"/>
      <c r="BM427" s="225"/>
      <c r="BN427" s="225"/>
      <c r="BO427" s="225"/>
      <c r="BP427" s="225"/>
      <c r="BQ427" s="225"/>
      <c r="BR427" s="225"/>
      <c r="BS427" s="225"/>
      <c r="BT427" s="226"/>
      <c r="BU427" s="225"/>
      <c r="BV427" s="225"/>
      <c r="BW427" s="225"/>
      <c r="BX427" s="225"/>
      <c r="BY427" s="225"/>
      <c r="BZ427" s="225"/>
    </row>
    <row r="428">
      <c r="A428" s="225"/>
      <c r="B428" s="225"/>
      <c r="C428" s="225"/>
      <c r="D428" s="226"/>
      <c r="E428" s="225"/>
      <c r="F428" s="225"/>
      <c r="G428" s="225"/>
      <c r="H428" s="225"/>
      <c r="I428" s="225"/>
      <c r="J428" s="225"/>
      <c r="K428" s="244"/>
      <c r="L428" s="225"/>
      <c r="M428" s="225"/>
      <c r="N428" s="225"/>
      <c r="O428" s="225"/>
      <c r="P428" s="225"/>
      <c r="Q428" s="227"/>
      <c r="R428" s="234"/>
      <c r="S428" s="225"/>
      <c r="T428" s="225"/>
      <c r="U428" s="225"/>
      <c r="V428" s="225"/>
      <c r="W428" s="225"/>
      <c r="X428" s="225"/>
      <c r="Y428" s="229"/>
      <c r="Z428" s="257"/>
      <c r="AA428" s="225"/>
      <c r="AB428" s="257"/>
      <c r="AC428" s="257"/>
      <c r="AD428" s="349"/>
      <c r="AE428" s="259"/>
      <c r="AF428" s="347"/>
      <c r="AG428" s="232"/>
      <c r="AH428" s="305"/>
      <c r="AI428" s="234"/>
      <c r="AJ428" s="267"/>
      <c r="AK428" s="259"/>
      <c r="AL428" s="232"/>
      <c r="AM428" s="225"/>
      <c r="AN428" s="225"/>
      <c r="AO428" s="254"/>
      <c r="AP428" s="225"/>
      <c r="AQ428" s="257"/>
      <c r="AR428" s="254"/>
      <c r="AS428" s="225"/>
      <c r="AT428" s="257"/>
      <c r="AU428" s="225"/>
      <c r="AV428" s="225"/>
      <c r="AW428" s="267"/>
      <c r="AX428" s="226"/>
      <c r="AY428" s="225"/>
      <c r="AZ428" s="225"/>
      <c r="BA428" s="226"/>
      <c r="BB428" s="225"/>
      <c r="BC428" s="225"/>
      <c r="BD428" s="225"/>
      <c r="BE428" s="225"/>
      <c r="BF428" s="225"/>
      <c r="BG428" s="225"/>
      <c r="BH428" s="225"/>
      <c r="BI428" s="225"/>
      <c r="BJ428" s="225"/>
      <c r="BK428" s="225"/>
      <c r="BL428" s="225"/>
      <c r="BM428" s="225"/>
      <c r="BN428" s="225"/>
      <c r="BO428" s="225"/>
      <c r="BP428" s="225"/>
      <c r="BQ428" s="225"/>
      <c r="BR428" s="225"/>
      <c r="BS428" s="225"/>
      <c r="BT428" s="226"/>
      <c r="BU428" s="225"/>
      <c r="BV428" s="225"/>
      <c r="BW428" s="225"/>
      <c r="BX428" s="225"/>
      <c r="BY428" s="225"/>
      <c r="BZ428" s="225"/>
    </row>
    <row r="429">
      <c r="A429" s="225"/>
      <c r="B429" s="225"/>
      <c r="C429" s="225"/>
      <c r="D429" s="226"/>
      <c r="E429" s="225"/>
      <c r="F429" s="225"/>
      <c r="G429" s="225"/>
      <c r="H429" s="225"/>
      <c r="I429" s="225"/>
      <c r="J429" s="225"/>
      <c r="K429" s="244"/>
      <c r="L429" s="225"/>
      <c r="M429" s="225"/>
      <c r="N429" s="225"/>
      <c r="O429" s="225"/>
      <c r="P429" s="225"/>
      <c r="Q429" s="227"/>
      <c r="R429" s="234"/>
      <c r="S429" s="225"/>
      <c r="T429" s="225"/>
      <c r="U429" s="225"/>
      <c r="V429" s="225"/>
      <c r="W429" s="225"/>
      <c r="X429" s="225"/>
      <c r="Y429" s="229"/>
      <c r="Z429" s="257"/>
      <c r="AA429" s="225"/>
      <c r="AB429" s="257"/>
      <c r="AC429" s="257"/>
      <c r="AD429" s="349"/>
      <c r="AE429" s="259"/>
      <c r="AF429" s="347"/>
      <c r="AG429" s="232"/>
      <c r="AH429" s="267"/>
      <c r="AI429" s="234"/>
      <c r="AJ429" s="267"/>
      <c r="AK429" s="259"/>
      <c r="AL429" s="232"/>
      <c r="AM429" s="225"/>
      <c r="AN429" s="225"/>
      <c r="AO429" s="254"/>
      <c r="AP429" s="225"/>
      <c r="AQ429" s="257"/>
      <c r="AR429" s="232"/>
      <c r="AS429" s="225"/>
      <c r="AT429" s="257"/>
      <c r="AU429" s="225"/>
      <c r="AV429" s="225"/>
      <c r="AW429" s="257"/>
      <c r="AX429" s="226"/>
      <c r="AY429" s="225"/>
      <c r="AZ429" s="225"/>
      <c r="BA429" s="226"/>
      <c r="BB429" s="225"/>
      <c r="BC429" s="225"/>
      <c r="BD429" s="225"/>
      <c r="BE429" s="225"/>
      <c r="BF429" s="225"/>
      <c r="BG429" s="225"/>
      <c r="BH429" s="225"/>
      <c r="BI429" s="225"/>
      <c r="BJ429" s="225"/>
      <c r="BK429" s="225"/>
      <c r="BL429" s="225"/>
      <c r="BM429" s="225"/>
      <c r="BN429" s="225"/>
      <c r="BO429" s="225"/>
      <c r="BP429" s="225"/>
      <c r="BQ429" s="225"/>
      <c r="BR429" s="225"/>
      <c r="BS429" s="225"/>
      <c r="BT429" s="226"/>
      <c r="BU429" s="225"/>
      <c r="BV429" s="225"/>
      <c r="BW429" s="225"/>
      <c r="BX429" s="225"/>
      <c r="BY429" s="225"/>
      <c r="BZ429" s="225"/>
    </row>
    <row r="430">
      <c r="A430" s="225"/>
      <c r="B430" s="225"/>
      <c r="C430" s="225"/>
      <c r="D430" s="226"/>
      <c r="E430" s="225"/>
      <c r="F430" s="225"/>
      <c r="G430" s="225"/>
      <c r="H430" s="225"/>
      <c r="I430" s="225"/>
      <c r="J430" s="225"/>
      <c r="K430" s="244"/>
      <c r="L430" s="225"/>
      <c r="M430" s="225"/>
      <c r="N430" s="225"/>
      <c r="O430" s="225"/>
      <c r="P430" s="225"/>
      <c r="Q430" s="227"/>
      <c r="R430" s="234"/>
      <c r="S430" s="225"/>
      <c r="T430" s="225"/>
      <c r="U430" s="225"/>
      <c r="V430" s="225"/>
      <c r="W430" s="225"/>
      <c r="X430" s="225"/>
      <c r="Y430" s="229"/>
      <c r="Z430" s="257"/>
      <c r="AA430" s="225"/>
      <c r="AB430" s="257"/>
      <c r="AC430" s="257"/>
      <c r="AD430" s="349"/>
      <c r="AE430" s="259"/>
      <c r="AF430" s="347"/>
      <c r="AG430" s="232"/>
      <c r="AH430" s="291"/>
      <c r="AI430" s="234"/>
      <c r="AJ430" s="267"/>
      <c r="AK430" s="259"/>
      <c r="AL430" s="232"/>
      <c r="AM430" s="225"/>
      <c r="AN430" s="225"/>
      <c r="AO430" s="254"/>
      <c r="AP430" s="225"/>
      <c r="AQ430" s="257"/>
      <c r="AR430" s="254"/>
      <c r="AS430" s="225"/>
      <c r="AT430" s="257"/>
      <c r="AU430" s="225"/>
      <c r="AV430" s="225"/>
      <c r="AW430" s="267"/>
      <c r="AX430" s="226"/>
      <c r="AY430" s="225"/>
      <c r="AZ430" s="225"/>
      <c r="BA430" s="226"/>
      <c r="BB430" s="225"/>
      <c r="BC430" s="225"/>
      <c r="BD430" s="225"/>
      <c r="BE430" s="225"/>
      <c r="BF430" s="225"/>
      <c r="BG430" s="225"/>
      <c r="BH430" s="225"/>
      <c r="BI430" s="225"/>
      <c r="BJ430" s="225"/>
      <c r="BK430" s="225"/>
      <c r="BL430" s="225"/>
      <c r="BM430" s="225"/>
      <c r="BN430" s="225"/>
      <c r="BO430" s="225"/>
      <c r="BP430" s="225"/>
      <c r="BQ430" s="225"/>
      <c r="BR430" s="225"/>
      <c r="BS430" s="225"/>
      <c r="BT430" s="226"/>
      <c r="BU430" s="225"/>
      <c r="BV430" s="225"/>
      <c r="BW430" s="225"/>
      <c r="BX430" s="225"/>
      <c r="BY430" s="225"/>
      <c r="BZ430" s="225"/>
    </row>
    <row r="431">
      <c r="A431" s="225"/>
      <c r="B431" s="225"/>
      <c r="C431" s="225"/>
      <c r="D431" s="226"/>
      <c r="E431" s="225"/>
      <c r="F431" s="225"/>
      <c r="G431" s="225"/>
      <c r="H431" s="225"/>
      <c r="I431" s="225"/>
      <c r="J431" s="225"/>
      <c r="K431" s="244"/>
      <c r="L431" s="225"/>
      <c r="M431" s="225"/>
      <c r="N431" s="225"/>
      <c r="O431" s="225"/>
      <c r="P431" s="225"/>
      <c r="Q431" s="227"/>
      <c r="R431" s="234"/>
      <c r="S431" s="225"/>
      <c r="T431" s="225"/>
      <c r="U431" s="225"/>
      <c r="V431" s="225"/>
      <c r="W431" s="225"/>
      <c r="X431" s="225"/>
      <c r="Y431" s="229"/>
      <c r="Z431" s="257"/>
      <c r="AA431" s="225"/>
      <c r="AB431" s="257"/>
      <c r="AC431" s="257"/>
      <c r="AD431" s="349"/>
      <c r="AE431" s="259"/>
      <c r="AF431" s="347"/>
      <c r="AG431" s="232"/>
      <c r="AH431" s="271"/>
      <c r="AI431" s="234"/>
      <c r="AJ431" s="267"/>
      <c r="AK431" s="259"/>
      <c r="AL431" s="232"/>
      <c r="AM431" s="225"/>
      <c r="AN431" s="225"/>
      <c r="AO431" s="254"/>
      <c r="AP431" s="225"/>
      <c r="AQ431" s="257"/>
      <c r="AR431" s="254"/>
      <c r="AS431" s="225"/>
      <c r="AT431" s="257"/>
      <c r="AU431" s="225"/>
      <c r="AV431" s="225"/>
      <c r="AW431" s="267"/>
      <c r="AX431" s="226"/>
      <c r="AY431" s="225"/>
      <c r="AZ431" s="225"/>
      <c r="BA431" s="226"/>
      <c r="BB431" s="225"/>
      <c r="BC431" s="225"/>
      <c r="BD431" s="225"/>
      <c r="BE431" s="225"/>
      <c r="BF431" s="225"/>
      <c r="BG431" s="225"/>
      <c r="BH431" s="225"/>
      <c r="BI431" s="225"/>
      <c r="BJ431" s="225"/>
      <c r="BK431" s="225"/>
      <c r="BL431" s="225"/>
      <c r="BM431" s="225"/>
      <c r="BN431" s="225"/>
      <c r="BO431" s="225"/>
      <c r="BP431" s="225"/>
      <c r="BQ431" s="225"/>
      <c r="BR431" s="225"/>
      <c r="BS431" s="225"/>
      <c r="BT431" s="226"/>
      <c r="BU431" s="225"/>
      <c r="BV431" s="225"/>
      <c r="BW431" s="225"/>
      <c r="BX431" s="225"/>
      <c r="BY431" s="225"/>
      <c r="BZ431" s="225"/>
    </row>
    <row r="432">
      <c r="A432" s="225"/>
      <c r="B432" s="225"/>
      <c r="C432" s="225"/>
      <c r="D432" s="226"/>
      <c r="E432" s="225"/>
      <c r="F432" s="225"/>
      <c r="G432" s="225"/>
      <c r="H432" s="225"/>
      <c r="I432" s="225"/>
      <c r="J432" s="225"/>
      <c r="K432" s="244"/>
      <c r="L432" s="225"/>
      <c r="M432" s="225"/>
      <c r="N432" s="225"/>
      <c r="O432" s="284"/>
      <c r="P432" s="225"/>
      <c r="Q432" s="227"/>
      <c r="R432" s="234"/>
      <c r="S432" s="225"/>
      <c r="T432" s="225"/>
      <c r="U432" s="225"/>
      <c r="V432" s="225"/>
      <c r="W432" s="225"/>
      <c r="X432" s="225"/>
      <c r="Y432" s="229"/>
      <c r="Z432" s="257"/>
      <c r="AA432" s="284"/>
      <c r="AB432" s="257"/>
      <c r="AC432" s="257"/>
      <c r="AD432" s="349"/>
      <c r="AE432" s="259"/>
      <c r="AF432" s="347"/>
      <c r="AG432" s="232"/>
      <c r="AH432" s="271"/>
      <c r="AI432" s="234"/>
      <c r="AJ432" s="267"/>
      <c r="AK432" s="259"/>
      <c r="AL432" s="226"/>
      <c r="AM432" s="225"/>
      <c r="AN432" s="225"/>
      <c r="AO432" s="254"/>
      <c r="AP432" s="225"/>
      <c r="AQ432" s="225"/>
      <c r="AR432" s="254"/>
      <c r="AS432" s="225"/>
      <c r="AT432" s="257"/>
      <c r="AU432" s="225"/>
      <c r="AV432" s="225"/>
      <c r="AW432" s="267"/>
      <c r="AX432" s="226"/>
      <c r="AY432" s="225"/>
      <c r="AZ432" s="225"/>
      <c r="BA432" s="226"/>
      <c r="BB432" s="225"/>
      <c r="BC432" s="225"/>
      <c r="BD432" s="225"/>
      <c r="BE432" s="225"/>
      <c r="BF432" s="225"/>
      <c r="BG432" s="225"/>
      <c r="BH432" s="225"/>
      <c r="BI432" s="225"/>
      <c r="BJ432" s="225"/>
      <c r="BK432" s="225"/>
      <c r="BL432" s="225"/>
      <c r="BM432" s="225"/>
      <c r="BN432" s="225"/>
      <c r="BO432" s="225"/>
      <c r="BP432" s="225"/>
      <c r="BQ432" s="225"/>
      <c r="BR432" s="225"/>
      <c r="BS432" s="225"/>
      <c r="BT432" s="226"/>
      <c r="BU432" s="225"/>
      <c r="BV432" s="225"/>
      <c r="BW432" s="225"/>
      <c r="BX432" s="225"/>
      <c r="BY432" s="225"/>
      <c r="BZ432" s="225"/>
    </row>
    <row r="433">
      <c r="A433" s="225"/>
      <c r="B433" s="225"/>
      <c r="C433" s="225"/>
      <c r="D433" s="226"/>
      <c r="E433" s="225"/>
      <c r="F433" s="225"/>
      <c r="G433" s="225"/>
      <c r="H433" s="225"/>
      <c r="I433" s="225"/>
      <c r="J433" s="225"/>
      <c r="K433" s="244"/>
      <c r="L433" s="225"/>
      <c r="M433" s="225"/>
      <c r="N433" s="225"/>
      <c r="O433" s="225"/>
      <c r="P433" s="225"/>
      <c r="Q433" s="227"/>
      <c r="R433" s="234"/>
      <c r="S433" s="225"/>
      <c r="T433" s="225"/>
      <c r="U433" s="225"/>
      <c r="V433" s="225"/>
      <c r="W433" s="225"/>
      <c r="X433" s="225"/>
      <c r="Y433" s="229"/>
      <c r="Z433" s="257"/>
      <c r="AA433" s="225"/>
      <c r="AB433" s="257"/>
      <c r="AC433" s="257"/>
      <c r="AD433" s="349"/>
      <c r="AE433" s="259"/>
      <c r="AF433" s="347"/>
      <c r="AG433" s="232"/>
      <c r="AH433" s="287"/>
      <c r="AI433" s="234"/>
      <c r="AJ433" s="267"/>
      <c r="AK433" s="259"/>
      <c r="AL433" s="226"/>
      <c r="AM433" s="225"/>
      <c r="AN433" s="225"/>
      <c r="AO433" s="254"/>
      <c r="AP433" s="225"/>
      <c r="AQ433" s="225"/>
      <c r="AR433" s="254"/>
      <c r="AS433" s="225"/>
      <c r="AT433" s="257"/>
      <c r="AU433" s="225"/>
      <c r="AV433" s="225"/>
      <c r="AW433" s="267"/>
      <c r="AX433" s="226"/>
      <c r="AY433" s="225"/>
      <c r="AZ433" s="225"/>
      <c r="BA433" s="226"/>
      <c r="BB433" s="225"/>
      <c r="BC433" s="225"/>
      <c r="BD433" s="225"/>
      <c r="BE433" s="225"/>
      <c r="BF433" s="225"/>
      <c r="BG433" s="225"/>
      <c r="BH433" s="225"/>
      <c r="BI433" s="225"/>
      <c r="BJ433" s="225"/>
      <c r="BK433" s="225"/>
      <c r="BL433" s="225"/>
      <c r="BM433" s="225"/>
      <c r="BN433" s="225"/>
      <c r="BO433" s="225"/>
      <c r="BP433" s="225"/>
      <c r="BQ433" s="225"/>
      <c r="BR433" s="225"/>
      <c r="BS433" s="225"/>
      <c r="BT433" s="226"/>
      <c r="BU433" s="225"/>
      <c r="BV433" s="225"/>
      <c r="BW433" s="225"/>
      <c r="BX433" s="225"/>
      <c r="BY433" s="225"/>
      <c r="BZ433" s="225"/>
    </row>
    <row r="434">
      <c r="A434" s="225"/>
      <c r="B434" s="225"/>
      <c r="C434" s="225"/>
      <c r="D434" s="226"/>
      <c r="E434" s="225"/>
      <c r="F434" s="225"/>
      <c r="G434" s="225"/>
      <c r="H434" s="225"/>
      <c r="I434" s="225"/>
      <c r="J434" s="225"/>
      <c r="K434" s="244"/>
      <c r="L434" s="225"/>
      <c r="M434" s="225"/>
      <c r="N434" s="225"/>
      <c r="O434" s="225"/>
      <c r="P434" s="225"/>
      <c r="Q434" s="227"/>
      <c r="R434" s="234"/>
      <c r="S434" s="225"/>
      <c r="T434" s="225"/>
      <c r="U434" s="225"/>
      <c r="V434" s="225"/>
      <c r="W434" s="225"/>
      <c r="X434" s="225"/>
      <c r="Y434" s="229"/>
      <c r="Z434" s="257"/>
      <c r="AA434" s="225"/>
      <c r="AB434" s="257"/>
      <c r="AC434" s="257"/>
      <c r="AD434" s="349"/>
      <c r="AE434" s="259"/>
      <c r="AF434" s="347"/>
      <c r="AG434" s="232"/>
      <c r="AH434" s="337"/>
      <c r="AI434" s="234"/>
      <c r="AJ434" s="267"/>
      <c r="AK434" s="259"/>
      <c r="AL434" s="226"/>
      <c r="AM434" s="225"/>
      <c r="AN434" s="225"/>
      <c r="AO434" s="254"/>
      <c r="AP434" s="225"/>
      <c r="AQ434" s="225"/>
      <c r="AR434" s="254"/>
      <c r="AS434" s="225"/>
      <c r="AT434" s="257"/>
      <c r="AU434" s="225"/>
      <c r="AV434" s="225"/>
      <c r="AW434" s="267"/>
      <c r="AX434" s="226"/>
      <c r="AY434" s="225"/>
      <c r="AZ434" s="225"/>
      <c r="BA434" s="226"/>
      <c r="BB434" s="225"/>
      <c r="BC434" s="225"/>
      <c r="BD434" s="225"/>
      <c r="BE434" s="225"/>
      <c r="BF434" s="225"/>
      <c r="BG434" s="225"/>
      <c r="BH434" s="225"/>
      <c r="BI434" s="225"/>
      <c r="BJ434" s="225"/>
      <c r="BK434" s="225"/>
      <c r="BL434" s="225"/>
      <c r="BM434" s="225"/>
      <c r="BN434" s="225"/>
      <c r="BO434" s="225"/>
      <c r="BP434" s="225"/>
      <c r="BQ434" s="225"/>
      <c r="BR434" s="225"/>
      <c r="BS434" s="225"/>
      <c r="BT434" s="226"/>
      <c r="BU434" s="225"/>
      <c r="BV434" s="225"/>
      <c r="BW434" s="225"/>
      <c r="BX434" s="225"/>
      <c r="BY434" s="225"/>
      <c r="BZ434" s="225"/>
    </row>
    <row r="435">
      <c r="A435" s="225"/>
      <c r="B435" s="225"/>
      <c r="C435" s="225"/>
      <c r="D435" s="226"/>
      <c r="E435" s="225"/>
      <c r="F435" s="225"/>
      <c r="G435" s="225"/>
      <c r="H435" s="225"/>
      <c r="I435" s="225"/>
      <c r="J435" s="225"/>
      <c r="K435" s="244"/>
      <c r="L435" s="225"/>
      <c r="M435" s="225"/>
      <c r="N435" s="225"/>
      <c r="O435" s="225"/>
      <c r="P435" s="225"/>
      <c r="Q435" s="227"/>
      <c r="R435" s="234"/>
      <c r="S435" s="225"/>
      <c r="T435" s="225"/>
      <c r="U435" s="225"/>
      <c r="V435" s="225"/>
      <c r="W435" s="225"/>
      <c r="X435" s="225"/>
      <c r="Y435" s="229"/>
      <c r="Z435" s="257"/>
      <c r="AA435" s="225"/>
      <c r="AB435" s="257"/>
      <c r="AC435" s="257"/>
      <c r="AD435" s="349"/>
      <c r="AE435" s="259"/>
      <c r="AF435" s="347"/>
      <c r="AG435" s="232"/>
      <c r="AH435" s="257"/>
      <c r="AI435" s="234"/>
      <c r="AJ435" s="267"/>
      <c r="AK435" s="259"/>
      <c r="AL435" s="226"/>
      <c r="AM435" s="225"/>
      <c r="AN435" s="225"/>
      <c r="AO435" s="254"/>
      <c r="AP435" s="225"/>
      <c r="AQ435" s="225"/>
      <c r="AR435" s="226"/>
      <c r="AS435" s="225"/>
      <c r="AT435" s="257"/>
      <c r="AU435" s="225"/>
      <c r="AV435" s="225"/>
      <c r="AW435" s="225"/>
      <c r="AX435" s="226"/>
      <c r="AY435" s="225"/>
      <c r="AZ435" s="225"/>
      <c r="BA435" s="226"/>
      <c r="BB435" s="225"/>
      <c r="BC435" s="225"/>
      <c r="BD435" s="225"/>
      <c r="BE435" s="225"/>
      <c r="BF435" s="225"/>
      <c r="BG435" s="225"/>
      <c r="BH435" s="225"/>
      <c r="BI435" s="225"/>
      <c r="BJ435" s="225"/>
      <c r="BK435" s="225"/>
      <c r="BL435" s="225"/>
      <c r="BM435" s="225"/>
      <c r="BN435" s="225"/>
      <c r="BO435" s="225"/>
      <c r="BP435" s="225"/>
      <c r="BQ435" s="225"/>
      <c r="BR435" s="225"/>
      <c r="BS435" s="225"/>
      <c r="BT435" s="226"/>
      <c r="BU435" s="225"/>
      <c r="BV435" s="225"/>
      <c r="BW435" s="225"/>
      <c r="BX435" s="225"/>
      <c r="BY435" s="225"/>
      <c r="BZ435" s="225"/>
    </row>
    <row r="436">
      <c r="A436" s="225"/>
      <c r="B436" s="225"/>
      <c r="C436" s="225"/>
      <c r="D436" s="226"/>
      <c r="E436" s="225"/>
      <c r="F436" s="225"/>
      <c r="G436" s="225"/>
      <c r="H436" s="225"/>
      <c r="I436" s="225"/>
      <c r="J436" s="225"/>
      <c r="K436" s="244"/>
      <c r="L436" s="225"/>
      <c r="M436" s="225"/>
      <c r="N436" s="225"/>
      <c r="O436" s="225"/>
      <c r="P436" s="225"/>
      <c r="Q436" s="227"/>
      <c r="R436" s="234"/>
      <c r="S436" s="225"/>
      <c r="T436" s="225"/>
      <c r="U436" s="225"/>
      <c r="V436" s="225"/>
      <c r="W436" s="225"/>
      <c r="X436" s="225"/>
      <c r="Y436" s="229"/>
      <c r="Z436" s="257"/>
      <c r="AA436" s="225"/>
      <c r="AB436" s="257"/>
      <c r="AC436" s="257"/>
      <c r="AD436" s="349"/>
      <c r="AE436" s="259"/>
      <c r="AF436" s="347"/>
      <c r="AG436" s="232"/>
      <c r="AH436" s="266"/>
      <c r="AI436" s="234"/>
      <c r="AJ436" s="267"/>
      <c r="AK436" s="259"/>
      <c r="AL436" s="226"/>
      <c r="AM436" s="225"/>
      <c r="AN436" s="225"/>
      <c r="AO436" s="254"/>
      <c r="AP436" s="225"/>
      <c r="AQ436" s="225"/>
      <c r="AR436" s="330"/>
      <c r="AS436" s="225"/>
      <c r="AT436" s="257"/>
      <c r="AU436" s="225"/>
      <c r="AV436" s="225"/>
      <c r="AW436" s="305"/>
      <c r="AX436" s="226"/>
      <c r="AY436" s="225"/>
      <c r="AZ436" s="225"/>
      <c r="BA436" s="226"/>
      <c r="BB436" s="225"/>
      <c r="BC436" s="225"/>
      <c r="BD436" s="225"/>
      <c r="BE436" s="225"/>
      <c r="BF436" s="225"/>
      <c r="BG436" s="225"/>
      <c r="BH436" s="225"/>
      <c r="BI436" s="225"/>
      <c r="BJ436" s="225"/>
      <c r="BK436" s="225"/>
      <c r="BL436" s="225"/>
      <c r="BM436" s="225"/>
      <c r="BN436" s="225"/>
      <c r="BO436" s="225"/>
      <c r="BP436" s="225"/>
      <c r="BQ436" s="225"/>
      <c r="BR436" s="225"/>
      <c r="BS436" s="225"/>
      <c r="BT436" s="226"/>
      <c r="BU436" s="225"/>
      <c r="BV436" s="225"/>
      <c r="BW436" s="225"/>
      <c r="BX436" s="225"/>
      <c r="BY436" s="225"/>
      <c r="BZ436" s="225"/>
    </row>
    <row r="437">
      <c r="A437" s="225"/>
      <c r="B437" s="225"/>
      <c r="C437" s="225"/>
      <c r="D437" s="226"/>
      <c r="E437" s="225"/>
      <c r="F437" s="225"/>
      <c r="G437" s="225"/>
      <c r="H437" s="225"/>
      <c r="I437" s="225"/>
      <c r="J437" s="225"/>
      <c r="K437" s="244"/>
      <c r="L437" s="225"/>
      <c r="M437" s="225"/>
      <c r="N437" s="225"/>
      <c r="O437" s="225"/>
      <c r="P437" s="225"/>
      <c r="Q437" s="227"/>
      <c r="R437" s="234"/>
      <c r="S437" s="225"/>
      <c r="T437" s="225"/>
      <c r="U437" s="225"/>
      <c r="V437" s="225"/>
      <c r="W437" s="225"/>
      <c r="X437" s="225"/>
      <c r="Y437" s="229"/>
      <c r="Z437" s="257"/>
      <c r="AA437" s="225"/>
      <c r="AB437" s="257"/>
      <c r="AC437" s="257"/>
      <c r="AD437" s="349"/>
      <c r="AE437" s="259"/>
      <c r="AF437" s="347"/>
      <c r="AG437" s="232"/>
      <c r="AH437" s="267"/>
      <c r="AI437" s="234"/>
      <c r="AJ437" s="267"/>
      <c r="AK437" s="259"/>
      <c r="AL437" s="226"/>
      <c r="AM437" s="225"/>
      <c r="AN437" s="225"/>
      <c r="AO437" s="254"/>
      <c r="AP437" s="225"/>
      <c r="AQ437" s="225"/>
      <c r="AR437" s="254"/>
      <c r="AS437" s="225"/>
      <c r="AT437" s="257"/>
      <c r="AU437" s="225"/>
      <c r="AV437" s="225"/>
      <c r="AW437" s="267"/>
      <c r="AX437" s="226"/>
      <c r="AY437" s="225"/>
      <c r="AZ437" s="225"/>
      <c r="BA437" s="226"/>
      <c r="BB437" s="225"/>
      <c r="BC437" s="225"/>
      <c r="BD437" s="225"/>
      <c r="BE437" s="225"/>
      <c r="BF437" s="225"/>
      <c r="BG437" s="225"/>
      <c r="BH437" s="225"/>
      <c r="BI437" s="225"/>
      <c r="BJ437" s="225"/>
      <c r="BK437" s="225"/>
      <c r="BL437" s="225"/>
      <c r="BM437" s="225"/>
      <c r="BN437" s="225"/>
      <c r="BO437" s="225"/>
      <c r="BP437" s="225"/>
      <c r="BQ437" s="225"/>
      <c r="BR437" s="225"/>
      <c r="BS437" s="225"/>
      <c r="BT437" s="226"/>
      <c r="BU437" s="225"/>
      <c r="BV437" s="225"/>
      <c r="BW437" s="225"/>
      <c r="BX437" s="225"/>
      <c r="BY437" s="225"/>
      <c r="BZ437" s="225"/>
    </row>
    <row r="438">
      <c r="A438" s="225"/>
      <c r="B438" s="225"/>
      <c r="C438" s="225"/>
      <c r="D438" s="226"/>
      <c r="E438" s="225"/>
      <c r="F438" s="225"/>
      <c r="G438" s="225"/>
      <c r="H438" s="225"/>
      <c r="I438" s="225"/>
      <c r="J438" s="225"/>
      <c r="K438" s="244"/>
      <c r="L438" s="225"/>
      <c r="M438" s="225"/>
      <c r="N438" s="225"/>
      <c r="O438" s="225"/>
      <c r="P438" s="225"/>
      <c r="Q438" s="227"/>
      <c r="R438" s="234"/>
      <c r="S438" s="225"/>
      <c r="T438" s="225"/>
      <c r="U438" s="225"/>
      <c r="V438" s="225"/>
      <c r="W438" s="225"/>
      <c r="X438" s="225"/>
      <c r="Y438" s="229"/>
      <c r="Z438" s="257"/>
      <c r="AA438" s="225"/>
      <c r="AB438" s="257"/>
      <c r="AC438" s="257"/>
      <c r="AD438" s="226"/>
      <c r="AE438" s="259"/>
      <c r="AF438" s="347"/>
      <c r="AG438" s="232"/>
      <c r="AH438" s="257"/>
      <c r="AI438" s="225"/>
      <c r="AJ438" s="267"/>
      <c r="AK438" s="259"/>
      <c r="AL438" s="226"/>
      <c r="AM438" s="225"/>
      <c r="AN438" s="225"/>
      <c r="AO438" s="254"/>
      <c r="AP438" s="225"/>
      <c r="AQ438" s="225"/>
      <c r="AR438" s="330"/>
      <c r="AS438" s="225"/>
      <c r="AT438" s="225"/>
      <c r="AU438" s="225"/>
      <c r="AV438" s="225"/>
      <c r="AW438" s="305"/>
      <c r="AX438" s="226"/>
      <c r="AY438" s="225"/>
      <c r="AZ438" s="225"/>
      <c r="BA438" s="226"/>
      <c r="BB438" s="225"/>
      <c r="BC438" s="225"/>
      <c r="BD438" s="225"/>
      <c r="BE438" s="225"/>
      <c r="BF438" s="225"/>
      <c r="BG438" s="225"/>
      <c r="BH438" s="225"/>
      <c r="BI438" s="225"/>
      <c r="BJ438" s="225"/>
      <c r="BK438" s="225"/>
      <c r="BL438" s="225"/>
      <c r="BM438" s="225"/>
      <c r="BN438" s="225"/>
      <c r="BO438" s="225"/>
      <c r="BP438" s="225"/>
      <c r="BQ438" s="225"/>
      <c r="BR438" s="225"/>
      <c r="BS438" s="225"/>
      <c r="BT438" s="226"/>
      <c r="BU438" s="225"/>
      <c r="BV438" s="225"/>
      <c r="BW438" s="225"/>
      <c r="BX438" s="225"/>
      <c r="BY438" s="225"/>
      <c r="BZ438" s="225"/>
    </row>
    <row r="439">
      <c r="A439" s="225"/>
      <c r="B439" s="225"/>
      <c r="C439" s="225"/>
      <c r="D439" s="226"/>
      <c r="E439" s="225"/>
      <c r="F439" s="225"/>
      <c r="G439" s="225"/>
      <c r="H439" s="225"/>
      <c r="I439" s="225"/>
      <c r="J439" s="225"/>
      <c r="K439" s="244"/>
      <c r="L439" s="225"/>
      <c r="M439" s="225"/>
      <c r="N439" s="225"/>
      <c r="O439" s="225"/>
      <c r="P439" s="225"/>
      <c r="Q439" s="227"/>
      <c r="R439" s="234"/>
      <c r="S439" s="225"/>
      <c r="T439" s="225"/>
      <c r="U439" s="225"/>
      <c r="V439" s="225"/>
      <c r="W439" s="225"/>
      <c r="X439" s="225"/>
      <c r="Y439" s="229"/>
      <c r="Z439" s="257"/>
      <c r="AA439" s="225"/>
      <c r="AB439" s="257"/>
      <c r="AC439" s="257"/>
      <c r="AD439" s="226"/>
      <c r="AE439" s="259"/>
      <c r="AF439" s="347"/>
      <c r="AG439" s="232"/>
      <c r="AH439" s="257"/>
      <c r="AI439" s="225"/>
      <c r="AJ439" s="267"/>
      <c r="AK439" s="259"/>
      <c r="AL439" s="226"/>
      <c r="AM439" s="225"/>
      <c r="AN439" s="225"/>
      <c r="AO439" s="254"/>
      <c r="AP439" s="225"/>
      <c r="AQ439" s="225"/>
      <c r="AR439" s="226"/>
      <c r="AS439" s="225"/>
      <c r="AT439" s="225"/>
      <c r="AU439" s="225"/>
      <c r="AV439" s="225"/>
      <c r="AW439" s="225"/>
      <c r="AX439" s="226"/>
      <c r="AY439" s="225"/>
      <c r="AZ439" s="225"/>
      <c r="BA439" s="226"/>
      <c r="BB439" s="225"/>
      <c r="BC439" s="225"/>
      <c r="BD439" s="225"/>
      <c r="BE439" s="225"/>
      <c r="BF439" s="225"/>
      <c r="BG439" s="225"/>
      <c r="BH439" s="225"/>
      <c r="BI439" s="225"/>
      <c r="BJ439" s="225"/>
      <c r="BK439" s="225"/>
      <c r="BL439" s="225"/>
      <c r="BM439" s="225"/>
      <c r="BN439" s="225"/>
      <c r="BO439" s="225"/>
      <c r="BP439" s="225"/>
      <c r="BQ439" s="225"/>
      <c r="BR439" s="225"/>
      <c r="BS439" s="225"/>
      <c r="BT439" s="226"/>
      <c r="BU439" s="225"/>
      <c r="BV439" s="225"/>
      <c r="BW439" s="225"/>
      <c r="BX439" s="225"/>
      <c r="BY439" s="225"/>
      <c r="BZ439" s="225"/>
    </row>
    <row r="440">
      <c r="A440" s="225"/>
      <c r="B440" s="225"/>
      <c r="C440" s="225"/>
      <c r="D440" s="226"/>
      <c r="E440" s="225"/>
      <c r="F440" s="225"/>
      <c r="G440" s="225"/>
      <c r="H440" s="225"/>
      <c r="I440" s="225"/>
      <c r="J440" s="225"/>
      <c r="K440" s="244"/>
      <c r="L440" s="225"/>
      <c r="M440" s="225"/>
      <c r="N440" s="225"/>
      <c r="O440" s="225"/>
      <c r="P440" s="225"/>
      <c r="Q440" s="227"/>
      <c r="R440" s="234"/>
      <c r="S440" s="225"/>
      <c r="T440" s="225"/>
      <c r="U440" s="225"/>
      <c r="V440" s="225"/>
      <c r="W440" s="225"/>
      <c r="X440" s="225"/>
      <c r="Y440" s="229"/>
      <c r="Z440" s="257"/>
      <c r="AA440" s="225"/>
      <c r="AB440" s="257"/>
      <c r="AC440" s="257"/>
      <c r="AD440" s="226"/>
      <c r="AE440" s="259"/>
      <c r="AF440" s="347"/>
      <c r="AG440" s="232"/>
      <c r="AH440" s="257"/>
      <c r="AI440" s="225"/>
      <c r="AJ440" s="267"/>
      <c r="AK440" s="259"/>
      <c r="AL440" s="226"/>
      <c r="AM440" s="225"/>
      <c r="AN440" s="225"/>
      <c r="AO440" s="254"/>
      <c r="AP440" s="225"/>
      <c r="AQ440" s="225"/>
      <c r="AR440" s="254"/>
      <c r="AS440" s="225"/>
      <c r="AT440" s="225"/>
      <c r="AU440" s="225"/>
      <c r="AV440" s="225"/>
      <c r="AW440" s="267"/>
      <c r="AX440" s="226"/>
      <c r="AY440" s="225"/>
      <c r="AZ440" s="225"/>
      <c r="BA440" s="226"/>
      <c r="BB440" s="225"/>
      <c r="BC440" s="225"/>
      <c r="BD440" s="225"/>
      <c r="BE440" s="225"/>
      <c r="BF440" s="225"/>
      <c r="BG440" s="225"/>
      <c r="BH440" s="225"/>
      <c r="BI440" s="225"/>
      <c r="BJ440" s="225"/>
      <c r="BK440" s="225"/>
      <c r="BL440" s="225"/>
      <c r="BM440" s="225"/>
      <c r="BN440" s="225"/>
      <c r="BO440" s="225"/>
      <c r="BP440" s="225"/>
      <c r="BQ440" s="225"/>
      <c r="BR440" s="225"/>
      <c r="BS440" s="225"/>
      <c r="BT440" s="226"/>
      <c r="BU440" s="225"/>
      <c r="BV440" s="225"/>
      <c r="BW440" s="225"/>
      <c r="BX440" s="225"/>
      <c r="BY440" s="225"/>
      <c r="BZ440" s="225"/>
    </row>
    <row r="441">
      <c r="A441" s="225"/>
      <c r="B441" s="225"/>
      <c r="C441" s="225"/>
      <c r="D441" s="226"/>
      <c r="E441" s="225"/>
      <c r="F441" s="225"/>
      <c r="G441" s="225"/>
      <c r="H441" s="225"/>
      <c r="I441" s="225"/>
      <c r="J441" s="225"/>
      <c r="K441" s="244"/>
      <c r="L441" s="225"/>
      <c r="M441" s="225"/>
      <c r="N441" s="225"/>
      <c r="O441" s="225"/>
      <c r="P441" s="225"/>
      <c r="Q441" s="227"/>
      <c r="R441" s="234"/>
      <c r="S441" s="225"/>
      <c r="T441" s="225"/>
      <c r="U441" s="225"/>
      <c r="V441" s="225"/>
      <c r="W441" s="225"/>
      <c r="X441" s="225"/>
      <c r="Y441" s="229"/>
      <c r="Z441" s="257"/>
      <c r="AA441" s="225"/>
      <c r="AB441" s="257"/>
      <c r="AC441" s="257"/>
      <c r="AD441" s="226"/>
      <c r="AE441" s="259"/>
      <c r="AF441" s="347"/>
      <c r="AG441" s="232"/>
      <c r="AH441" s="257"/>
      <c r="AI441" s="225"/>
      <c r="AJ441" s="267"/>
      <c r="AK441" s="259"/>
      <c r="AL441" s="226"/>
      <c r="AM441" s="225"/>
      <c r="AN441" s="225"/>
      <c r="AO441" s="254"/>
      <c r="AP441" s="225"/>
      <c r="AQ441" s="225"/>
      <c r="AR441" s="254"/>
      <c r="AS441" s="225"/>
      <c r="AT441" s="225"/>
      <c r="AU441" s="225"/>
      <c r="AV441" s="225"/>
      <c r="AW441" s="267"/>
      <c r="AX441" s="226"/>
      <c r="AY441" s="225"/>
      <c r="AZ441" s="225"/>
      <c r="BA441" s="226"/>
      <c r="BB441" s="225"/>
      <c r="BC441" s="225"/>
      <c r="BD441" s="225"/>
      <c r="BE441" s="225"/>
      <c r="BF441" s="225"/>
      <c r="BG441" s="225"/>
      <c r="BH441" s="225"/>
      <c r="BI441" s="225"/>
      <c r="BJ441" s="225"/>
      <c r="BK441" s="225"/>
      <c r="BL441" s="225"/>
      <c r="BM441" s="225"/>
      <c r="BN441" s="225"/>
      <c r="BO441" s="225"/>
      <c r="BP441" s="225"/>
      <c r="BQ441" s="225"/>
      <c r="BR441" s="225"/>
      <c r="BS441" s="225"/>
      <c r="BT441" s="226"/>
      <c r="BU441" s="225"/>
      <c r="BV441" s="225"/>
      <c r="BW441" s="225"/>
      <c r="BX441" s="225"/>
      <c r="BY441" s="225"/>
      <c r="BZ441" s="225"/>
    </row>
    <row r="442">
      <c r="A442" s="225"/>
      <c r="B442" s="225"/>
      <c r="C442" s="225"/>
      <c r="D442" s="226"/>
      <c r="E442" s="225"/>
      <c r="F442" s="225"/>
      <c r="G442" s="225"/>
      <c r="H442" s="225"/>
      <c r="I442" s="225"/>
      <c r="J442" s="225"/>
      <c r="K442" s="244"/>
      <c r="L442" s="225"/>
      <c r="M442" s="225"/>
      <c r="N442" s="225"/>
      <c r="O442" s="225"/>
      <c r="P442" s="225"/>
      <c r="Q442" s="227"/>
      <c r="R442" s="234"/>
      <c r="S442" s="225"/>
      <c r="T442" s="225"/>
      <c r="U442" s="225"/>
      <c r="V442" s="225"/>
      <c r="W442" s="225"/>
      <c r="X442" s="225"/>
      <c r="Y442" s="229"/>
      <c r="Z442" s="257"/>
      <c r="AA442" s="225"/>
      <c r="AB442" s="257"/>
      <c r="AC442" s="257"/>
      <c r="AD442" s="226"/>
      <c r="AE442" s="259"/>
      <c r="AF442" s="347"/>
      <c r="AG442" s="232"/>
      <c r="AH442" s="257"/>
      <c r="AI442" s="225"/>
      <c r="AJ442" s="267"/>
      <c r="AK442" s="259"/>
      <c r="AL442" s="226"/>
      <c r="AM442" s="225"/>
      <c r="AN442" s="225"/>
      <c r="AO442" s="254"/>
      <c r="AP442" s="225"/>
      <c r="AQ442" s="225"/>
      <c r="AR442" s="254"/>
      <c r="AS442" s="225"/>
      <c r="AT442" s="225"/>
      <c r="AU442" s="225"/>
      <c r="AV442" s="225"/>
      <c r="AW442" s="267"/>
      <c r="AX442" s="226"/>
      <c r="AY442" s="225"/>
      <c r="AZ442" s="225"/>
      <c r="BA442" s="226"/>
      <c r="BB442" s="225"/>
      <c r="BC442" s="225"/>
      <c r="BD442" s="225"/>
      <c r="BE442" s="225"/>
      <c r="BF442" s="225"/>
      <c r="BG442" s="225"/>
      <c r="BH442" s="225"/>
      <c r="BI442" s="225"/>
      <c r="BJ442" s="225"/>
      <c r="BK442" s="225"/>
      <c r="BL442" s="225"/>
      <c r="BM442" s="225"/>
      <c r="BN442" s="225"/>
      <c r="BO442" s="225"/>
      <c r="BP442" s="225"/>
      <c r="BQ442" s="225"/>
      <c r="BR442" s="225"/>
      <c r="BS442" s="225"/>
      <c r="BT442" s="226"/>
      <c r="BU442" s="225"/>
      <c r="BV442" s="225"/>
      <c r="BW442" s="225"/>
      <c r="BX442" s="225"/>
      <c r="BY442" s="225"/>
      <c r="BZ442" s="225"/>
    </row>
    <row r="443">
      <c r="A443" s="225"/>
      <c r="B443" s="225"/>
      <c r="C443" s="225"/>
      <c r="D443" s="226"/>
      <c r="E443" s="225"/>
      <c r="F443" s="225"/>
      <c r="G443" s="225"/>
      <c r="H443" s="225"/>
      <c r="I443" s="225"/>
      <c r="J443" s="225"/>
      <c r="K443" s="244"/>
      <c r="L443" s="225"/>
      <c r="M443" s="225"/>
      <c r="N443" s="225"/>
      <c r="O443" s="225"/>
      <c r="P443" s="225"/>
      <c r="Q443" s="227"/>
      <c r="R443" s="234"/>
      <c r="S443" s="225"/>
      <c r="T443" s="225"/>
      <c r="U443" s="225"/>
      <c r="V443" s="225"/>
      <c r="W443" s="225"/>
      <c r="X443" s="225"/>
      <c r="Y443" s="229"/>
      <c r="Z443" s="257"/>
      <c r="AA443" s="225"/>
      <c r="AB443" s="257"/>
      <c r="AC443" s="257"/>
      <c r="AD443" s="226"/>
      <c r="AE443" s="259"/>
      <c r="AF443" s="347"/>
      <c r="AG443" s="232"/>
      <c r="AH443" s="257"/>
      <c r="AI443" s="225"/>
      <c r="AJ443" s="267"/>
      <c r="AK443" s="259"/>
      <c r="AL443" s="226"/>
      <c r="AM443" s="225"/>
      <c r="AN443" s="225"/>
      <c r="AO443" s="254"/>
      <c r="AP443" s="225"/>
      <c r="AQ443" s="225"/>
      <c r="AR443" s="254"/>
      <c r="AS443" s="225"/>
      <c r="AT443" s="225"/>
      <c r="AU443" s="225"/>
      <c r="AV443" s="225"/>
      <c r="AW443" s="267"/>
      <c r="AX443" s="226"/>
      <c r="AY443" s="225"/>
      <c r="AZ443" s="225"/>
      <c r="BA443" s="226"/>
      <c r="BB443" s="225"/>
      <c r="BC443" s="225"/>
      <c r="BD443" s="225"/>
      <c r="BE443" s="225"/>
      <c r="BF443" s="225"/>
      <c r="BG443" s="225"/>
      <c r="BH443" s="225"/>
      <c r="BI443" s="225"/>
      <c r="BJ443" s="225"/>
      <c r="BK443" s="225"/>
      <c r="BL443" s="225"/>
      <c r="BM443" s="225"/>
      <c r="BN443" s="225"/>
      <c r="BO443" s="225"/>
      <c r="BP443" s="225"/>
      <c r="BQ443" s="225"/>
      <c r="BR443" s="225"/>
      <c r="BS443" s="225"/>
      <c r="BT443" s="226"/>
      <c r="BU443" s="225"/>
      <c r="BV443" s="225"/>
      <c r="BW443" s="225"/>
      <c r="BX443" s="225"/>
      <c r="BY443" s="225"/>
      <c r="BZ443" s="225"/>
    </row>
    <row r="444">
      <c r="A444" s="225"/>
      <c r="B444" s="225"/>
      <c r="C444" s="225"/>
      <c r="D444" s="226"/>
      <c r="E444" s="225"/>
      <c r="F444" s="225"/>
      <c r="G444" s="225"/>
      <c r="H444" s="225"/>
      <c r="I444" s="225"/>
      <c r="J444" s="225"/>
      <c r="K444" s="244"/>
      <c r="L444" s="225"/>
      <c r="M444" s="225"/>
      <c r="N444" s="225"/>
      <c r="O444" s="225"/>
      <c r="P444" s="225"/>
      <c r="Q444" s="227"/>
      <c r="R444" s="234"/>
      <c r="S444" s="225"/>
      <c r="T444" s="225"/>
      <c r="U444" s="225"/>
      <c r="V444" s="225"/>
      <c r="W444" s="225"/>
      <c r="X444" s="225"/>
      <c r="Y444" s="229"/>
      <c r="Z444" s="257"/>
      <c r="AA444" s="225"/>
      <c r="AB444" s="257"/>
      <c r="AC444" s="257"/>
      <c r="AD444" s="226"/>
      <c r="AE444" s="259"/>
      <c r="AF444" s="347"/>
      <c r="AG444" s="232"/>
      <c r="AH444" s="257"/>
      <c r="AI444" s="225"/>
      <c r="AJ444" s="267"/>
      <c r="AK444" s="259"/>
      <c r="AL444" s="226"/>
      <c r="AM444" s="225"/>
      <c r="AN444" s="225"/>
      <c r="AO444" s="254"/>
      <c r="AP444" s="225"/>
      <c r="AQ444" s="225"/>
      <c r="AR444" s="254"/>
      <c r="AS444" s="225"/>
      <c r="AT444" s="225"/>
      <c r="AU444" s="225"/>
      <c r="AV444" s="225"/>
      <c r="AW444" s="267"/>
      <c r="AX444" s="226"/>
      <c r="AY444" s="225"/>
      <c r="AZ444" s="225"/>
      <c r="BA444" s="226"/>
      <c r="BB444" s="225"/>
      <c r="BC444" s="225"/>
      <c r="BD444" s="225"/>
      <c r="BE444" s="225"/>
      <c r="BF444" s="225"/>
      <c r="BG444" s="225"/>
      <c r="BH444" s="225"/>
      <c r="BI444" s="225"/>
      <c r="BJ444" s="225"/>
      <c r="BK444" s="225"/>
      <c r="BL444" s="225"/>
      <c r="BM444" s="225"/>
      <c r="BN444" s="225"/>
      <c r="BO444" s="225"/>
      <c r="BP444" s="225"/>
      <c r="BQ444" s="225"/>
      <c r="BR444" s="225"/>
      <c r="BS444" s="225"/>
      <c r="BT444" s="226"/>
      <c r="BU444" s="225"/>
      <c r="BV444" s="225"/>
      <c r="BW444" s="225"/>
      <c r="BX444" s="225"/>
      <c r="BY444" s="225"/>
      <c r="BZ444" s="225"/>
    </row>
    <row r="445">
      <c r="A445" s="225"/>
      <c r="B445" s="225"/>
      <c r="C445" s="225"/>
      <c r="D445" s="226"/>
      <c r="E445" s="225"/>
      <c r="F445" s="225"/>
      <c r="G445" s="225"/>
      <c r="H445" s="225"/>
      <c r="I445" s="225"/>
      <c r="J445" s="225"/>
      <c r="K445" s="244"/>
      <c r="L445" s="225"/>
      <c r="M445" s="225"/>
      <c r="N445" s="225"/>
      <c r="O445" s="225"/>
      <c r="P445" s="225"/>
      <c r="Q445" s="227"/>
      <c r="R445" s="234"/>
      <c r="S445" s="225"/>
      <c r="T445" s="225"/>
      <c r="U445" s="225"/>
      <c r="V445" s="225"/>
      <c r="W445" s="225"/>
      <c r="X445" s="225"/>
      <c r="Y445" s="229"/>
      <c r="Z445" s="257"/>
      <c r="AA445" s="225"/>
      <c r="AB445" s="257"/>
      <c r="AC445" s="257"/>
      <c r="AD445" s="226"/>
      <c r="AE445" s="259"/>
      <c r="AF445" s="347"/>
      <c r="AG445" s="232"/>
      <c r="AH445" s="257"/>
      <c r="AI445" s="225"/>
      <c r="AJ445" s="267"/>
      <c r="AK445" s="259"/>
      <c r="AL445" s="226"/>
      <c r="AM445" s="225"/>
      <c r="AN445" s="225"/>
      <c r="AO445" s="254"/>
      <c r="AP445" s="225"/>
      <c r="AQ445" s="225"/>
      <c r="AR445" s="254"/>
      <c r="AS445" s="225"/>
      <c r="AT445" s="225"/>
      <c r="AU445" s="225"/>
      <c r="AV445" s="225"/>
      <c r="AW445" s="267"/>
      <c r="AX445" s="226"/>
      <c r="AY445" s="225"/>
      <c r="AZ445" s="225"/>
      <c r="BA445" s="226"/>
      <c r="BB445" s="225"/>
      <c r="BC445" s="225"/>
      <c r="BD445" s="225"/>
      <c r="BE445" s="225"/>
      <c r="BF445" s="225"/>
      <c r="BG445" s="225"/>
      <c r="BH445" s="225"/>
      <c r="BI445" s="225"/>
      <c r="BJ445" s="225"/>
      <c r="BK445" s="225"/>
      <c r="BL445" s="225"/>
      <c r="BM445" s="225"/>
      <c r="BN445" s="225"/>
      <c r="BO445" s="225"/>
      <c r="BP445" s="225"/>
      <c r="BQ445" s="225"/>
      <c r="BR445" s="225"/>
      <c r="BS445" s="225"/>
      <c r="BT445" s="226"/>
      <c r="BU445" s="225"/>
      <c r="BV445" s="225"/>
      <c r="BW445" s="225"/>
      <c r="BX445" s="225"/>
      <c r="BY445" s="225"/>
      <c r="BZ445" s="225"/>
    </row>
    <row r="446">
      <c r="A446" s="225"/>
      <c r="B446" s="225"/>
      <c r="C446" s="225"/>
      <c r="D446" s="226"/>
      <c r="E446" s="225"/>
      <c r="F446" s="225"/>
      <c r="G446" s="225"/>
      <c r="H446" s="225"/>
      <c r="I446" s="225"/>
      <c r="J446" s="225"/>
      <c r="K446" s="244"/>
      <c r="L446" s="225"/>
      <c r="M446" s="225"/>
      <c r="N446" s="225"/>
      <c r="O446" s="225"/>
      <c r="P446" s="225"/>
      <c r="Q446" s="227"/>
      <c r="R446" s="234"/>
      <c r="S446" s="225"/>
      <c r="T446" s="225"/>
      <c r="U446" s="225"/>
      <c r="V446" s="225"/>
      <c r="W446" s="225"/>
      <c r="X446" s="225"/>
      <c r="Y446" s="229"/>
      <c r="Z446" s="257"/>
      <c r="AA446" s="225"/>
      <c r="AB446" s="257"/>
      <c r="AC446" s="257"/>
      <c r="AD446" s="226"/>
      <c r="AE446" s="259"/>
      <c r="AF446" s="347"/>
      <c r="AG446" s="232"/>
      <c r="AH446" s="257"/>
      <c r="AI446" s="225"/>
      <c r="AJ446" s="267"/>
      <c r="AK446" s="259"/>
      <c r="AL446" s="226"/>
      <c r="AM446" s="225"/>
      <c r="AN446" s="225"/>
      <c r="AO446" s="254"/>
      <c r="AP446" s="225"/>
      <c r="AQ446" s="225"/>
      <c r="AR446" s="254"/>
      <c r="AS446" s="225"/>
      <c r="AT446" s="225"/>
      <c r="AU446" s="225"/>
      <c r="AV446" s="225"/>
      <c r="AW446" s="267"/>
      <c r="AX446" s="226"/>
      <c r="AY446" s="225"/>
      <c r="AZ446" s="225"/>
      <c r="BA446" s="226"/>
      <c r="BB446" s="225"/>
      <c r="BC446" s="225"/>
      <c r="BD446" s="225"/>
      <c r="BE446" s="225"/>
      <c r="BF446" s="225"/>
      <c r="BG446" s="225"/>
      <c r="BH446" s="225"/>
      <c r="BI446" s="225"/>
      <c r="BJ446" s="225"/>
      <c r="BK446" s="225"/>
      <c r="BL446" s="225"/>
      <c r="BM446" s="225"/>
      <c r="BN446" s="225"/>
      <c r="BO446" s="225"/>
      <c r="BP446" s="225"/>
      <c r="BQ446" s="225"/>
      <c r="BR446" s="225"/>
      <c r="BS446" s="225"/>
      <c r="BT446" s="226"/>
      <c r="BU446" s="225"/>
      <c r="BV446" s="225"/>
      <c r="BW446" s="225"/>
      <c r="BX446" s="225"/>
      <c r="BY446" s="225"/>
      <c r="BZ446" s="225"/>
    </row>
    <row r="447">
      <c r="A447" s="225"/>
      <c r="B447" s="225"/>
      <c r="C447" s="225"/>
      <c r="D447" s="226"/>
      <c r="E447" s="225"/>
      <c r="F447" s="225"/>
      <c r="G447" s="225"/>
      <c r="H447" s="225"/>
      <c r="I447" s="225"/>
      <c r="J447" s="225"/>
      <c r="K447" s="244"/>
      <c r="L447" s="225"/>
      <c r="M447" s="225"/>
      <c r="N447" s="225"/>
      <c r="O447" s="225"/>
      <c r="P447" s="225"/>
      <c r="Q447" s="227"/>
      <c r="R447" s="234"/>
      <c r="S447" s="225"/>
      <c r="T447" s="225"/>
      <c r="U447" s="225"/>
      <c r="V447" s="225"/>
      <c r="W447" s="225"/>
      <c r="X447" s="225"/>
      <c r="Y447" s="229"/>
      <c r="Z447" s="257"/>
      <c r="AA447" s="225"/>
      <c r="AB447" s="257"/>
      <c r="AC447" s="257"/>
      <c r="AD447" s="226"/>
      <c r="AE447" s="259"/>
      <c r="AF447" s="347"/>
      <c r="AG447" s="232"/>
      <c r="AH447" s="257"/>
      <c r="AI447" s="225"/>
      <c r="AJ447" s="267"/>
      <c r="AK447" s="259"/>
      <c r="AL447" s="226"/>
      <c r="AM447" s="225"/>
      <c r="AN447" s="225"/>
      <c r="AO447" s="254"/>
      <c r="AP447" s="225"/>
      <c r="AQ447" s="225"/>
      <c r="AR447" s="254"/>
      <c r="AS447" s="225"/>
      <c r="AT447" s="225"/>
      <c r="AU447" s="225"/>
      <c r="AV447" s="225"/>
      <c r="AW447" s="267"/>
      <c r="AX447" s="226"/>
      <c r="AY447" s="225"/>
      <c r="AZ447" s="225"/>
      <c r="BA447" s="226"/>
      <c r="BB447" s="225"/>
      <c r="BC447" s="225"/>
      <c r="BD447" s="225"/>
      <c r="BE447" s="225"/>
      <c r="BF447" s="225"/>
      <c r="BG447" s="225"/>
      <c r="BH447" s="225"/>
      <c r="BI447" s="225"/>
      <c r="BJ447" s="225"/>
      <c r="BK447" s="225"/>
      <c r="BL447" s="225"/>
      <c r="BM447" s="225"/>
      <c r="BN447" s="225"/>
      <c r="BO447" s="225"/>
      <c r="BP447" s="225"/>
      <c r="BQ447" s="225"/>
      <c r="BR447" s="225"/>
      <c r="BS447" s="225"/>
      <c r="BT447" s="226"/>
      <c r="BU447" s="225"/>
      <c r="BV447" s="225"/>
      <c r="BW447" s="225"/>
      <c r="BX447" s="225"/>
      <c r="BY447" s="225"/>
      <c r="BZ447" s="225"/>
    </row>
    <row r="448">
      <c r="A448" s="225"/>
      <c r="B448" s="225"/>
      <c r="C448" s="225"/>
      <c r="D448" s="226"/>
      <c r="E448" s="225"/>
      <c r="F448" s="225"/>
      <c r="G448" s="225"/>
      <c r="H448" s="225"/>
      <c r="I448" s="225"/>
      <c r="J448" s="225"/>
      <c r="K448" s="244"/>
      <c r="L448" s="225"/>
      <c r="M448" s="225"/>
      <c r="N448" s="225"/>
      <c r="O448" s="225"/>
      <c r="P448" s="225"/>
      <c r="Q448" s="227"/>
      <c r="R448" s="234"/>
      <c r="S448" s="225"/>
      <c r="T448" s="225"/>
      <c r="U448" s="225"/>
      <c r="V448" s="225"/>
      <c r="W448" s="225"/>
      <c r="X448" s="225"/>
      <c r="Y448" s="229"/>
      <c r="Z448" s="257"/>
      <c r="AA448" s="225"/>
      <c r="AB448" s="257"/>
      <c r="AC448" s="257"/>
      <c r="AD448" s="226"/>
      <c r="AE448" s="259"/>
      <c r="AF448" s="347"/>
      <c r="AG448" s="232"/>
      <c r="AH448" s="257"/>
      <c r="AI448" s="225"/>
      <c r="AJ448" s="267"/>
      <c r="AK448" s="259"/>
      <c r="AL448" s="226"/>
      <c r="AM448" s="225"/>
      <c r="AN448" s="225"/>
      <c r="AO448" s="254"/>
      <c r="AP448" s="225"/>
      <c r="AQ448" s="225"/>
      <c r="AR448" s="254"/>
      <c r="AS448" s="225"/>
      <c r="AT448" s="225"/>
      <c r="AU448" s="225"/>
      <c r="AV448" s="225"/>
      <c r="AW448" s="267"/>
      <c r="AX448" s="226"/>
      <c r="AY448" s="225"/>
      <c r="AZ448" s="225"/>
      <c r="BA448" s="226"/>
      <c r="BB448" s="225"/>
      <c r="BC448" s="225"/>
      <c r="BD448" s="225"/>
      <c r="BE448" s="225"/>
      <c r="BF448" s="225"/>
      <c r="BG448" s="225"/>
      <c r="BH448" s="225"/>
      <c r="BI448" s="225"/>
      <c r="BJ448" s="225"/>
      <c r="BK448" s="225"/>
      <c r="BL448" s="225"/>
      <c r="BM448" s="225"/>
      <c r="BN448" s="225"/>
      <c r="BO448" s="225"/>
      <c r="BP448" s="225"/>
      <c r="BQ448" s="225"/>
      <c r="BR448" s="225"/>
      <c r="BS448" s="225"/>
      <c r="BT448" s="226"/>
      <c r="BU448" s="225"/>
      <c r="BV448" s="225"/>
      <c r="BW448" s="225"/>
      <c r="BX448" s="225"/>
      <c r="BY448" s="225"/>
      <c r="BZ448" s="225"/>
    </row>
    <row r="449">
      <c r="A449" s="225"/>
      <c r="B449" s="225"/>
      <c r="C449" s="225"/>
      <c r="D449" s="226"/>
      <c r="E449" s="225"/>
      <c r="F449" s="225"/>
      <c r="G449" s="225"/>
      <c r="H449" s="225"/>
      <c r="I449" s="225"/>
      <c r="J449" s="225"/>
      <c r="K449" s="244"/>
      <c r="L449" s="225"/>
      <c r="M449" s="225"/>
      <c r="N449" s="225"/>
      <c r="O449" s="225"/>
      <c r="P449" s="225"/>
      <c r="Q449" s="227"/>
      <c r="R449" s="234"/>
      <c r="S449" s="225"/>
      <c r="T449" s="225"/>
      <c r="U449" s="225"/>
      <c r="V449" s="225"/>
      <c r="W449" s="225"/>
      <c r="X449" s="225"/>
      <c r="Y449" s="229"/>
      <c r="Z449" s="257"/>
      <c r="AA449" s="225"/>
      <c r="AB449" s="257"/>
      <c r="AC449" s="257"/>
      <c r="AD449" s="226"/>
      <c r="AE449" s="259"/>
      <c r="AF449" s="347"/>
      <c r="AG449" s="232"/>
      <c r="AH449" s="257"/>
      <c r="AI449" s="225"/>
      <c r="AJ449" s="267"/>
      <c r="AK449" s="259"/>
      <c r="AL449" s="226"/>
      <c r="AM449" s="225"/>
      <c r="AN449" s="225"/>
      <c r="AO449" s="254"/>
      <c r="AP449" s="225"/>
      <c r="AQ449" s="225"/>
      <c r="AR449" s="254"/>
      <c r="AS449" s="225"/>
      <c r="AT449" s="225"/>
      <c r="AU449" s="225"/>
      <c r="AV449" s="225"/>
      <c r="AW449" s="267"/>
      <c r="AX449" s="226"/>
      <c r="AY449" s="225"/>
      <c r="AZ449" s="225"/>
      <c r="BA449" s="226"/>
      <c r="BB449" s="225"/>
      <c r="BC449" s="225"/>
      <c r="BD449" s="225"/>
      <c r="BE449" s="225"/>
      <c r="BF449" s="225"/>
      <c r="BG449" s="225"/>
      <c r="BH449" s="225"/>
      <c r="BI449" s="225"/>
      <c r="BJ449" s="225"/>
      <c r="BK449" s="225"/>
      <c r="BL449" s="225"/>
      <c r="BM449" s="225"/>
      <c r="BN449" s="225"/>
      <c r="BO449" s="225"/>
      <c r="BP449" s="225"/>
      <c r="BQ449" s="225"/>
      <c r="BR449" s="225"/>
      <c r="BS449" s="225"/>
      <c r="BT449" s="226"/>
      <c r="BU449" s="225"/>
      <c r="BV449" s="225"/>
      <c r="BW449" s="225"/>
      <c r="BX449" s="225"/>
      <c r="BY449" s="225"/>
      <c r="BZ449" s="225"/>
    </row>
    <row r="450">
      <c r="A450" s="225"/>
      <c r="B450" s="225"/>
      <c r="C450" s="225"/>
      <c r="D450" s="226"/>
      <c r="E450" s="225"/>
      <c r="F450" s="225"/>
      <c r="G450" s="225"/>
      <c r="H450" s="225"/>
      <c r="I450" s="225"/>
      <c r="J450" s="225"/>
      <c r="K450" s="244"/>
      <c r="L450" s="225"/>
      <c r="M450" s="225"/>
      <c r="N450" s="225"/>
      <c r="O450" s="225"/>
      <c r="P450" s="225"/>
      <c r="Q450" s="227"/>
      <c r="R450" s="234"/>
      <c r="S450" s="225"/>
      <c r="T450" s="225"/>
      <c r="U450" s="225"/>
      <c r="V450" s="225"/>
      <c r="W450" s="225"/>
      <c r="X450" s="225"/>
      <c r="Y450" s="229"/>
      <c r="Z450" s="257"/>
      <c r="AA450" s="225"/>
      <c r="AB450" s="257"/>
      <c r="AC450" s="257"/>
      <c r="AD450" s="226"/>
      <c r="AE450" s="259"/>
      <c r="AF450" s="347"/>
      <c r="AG450" s="232"/>
      <c r="AH450" s="257"/>
      <c r="AI450" s="225"/>
      <c r="AJ450" s="267"/>
      <c r="AK450" s="259"/>
      <c r="AL450" s="226"/>
      <c r="AM450" s="225"/>
      <c r="AN450" s="225"/>
      <c r="AO450" s="254"/>
      <c r="AP450" s="225"/>
      <c r="AQ450" s="225"/>
      <c r="AR450" s="232"/>
      <c r="AS450" s="225"/>
      <c r="AT450" s="225"/>
      <c r="AU450" s="225"/>
      <c r="AV450" s="225"/>
      <c r="AW450" s="257"/>
      <c r="AX450" s="226"/>
      <c r="AY450" s="225"/>
      <c r="AZ450" s="225"/>
      <c r="BA450" s="226"/>
      <c r="BB450" s="225"/>
      <c r="BC450" s="225"/>
      <c r="BD450" s="225"/>
      <c r="BE450" s="225"/>
      <c r="BF450" s="225"/>
      <c r="BG450" s="225"/>
      <c r="BH450" s="225"/>
      <c r="BI450" s="225"/>
      <c r="BJ450" s="225"/>
      <c r="BK450" s="225"/>
      <c r="BL450" s="225"/>
      <c r="BM450" s="225"/>
      <c r="BN450" s="225"/>
      <c r="BO450" s="225"/>
      <c r="BP450" s="225"/>
      <c r="BQ450" s="225"/>
      <c r="BR450" s="225"/>
      <c r="BS450" s="225"/>
      <c r="BT450" s="226"/>
      <c r="BU450" s="225"/>
      <c r="BV450" s="225"/>
      <c r="BW450" s="225"/>
      <c r="BX450" s="225"/>
      <c r="BY450" s="225"/>
      <c r="BZ450" s="225"/>
    </row>
    <row r="451">
      <c r="A451" s="225"/>
      <c r="B451" s="225"/>
      <c r="C451" s="225"/>
      <c r="D451" s="226"/>
      <c r="E451" s="225"/>
      <c r="F451" s="225"/>
      <c r="G451" s="225"/>
      <c r="H451" s="225"/>
      <c r="I451" s="225"/>
      <c r="J451" s="225"/>
      <c r="K451" s="244"/>
      <c r="L451" s="225"/>
      <c r="M451" s="225"/>
      <c r="N451" s="225"/>
      <c r="O451" s="225"/>
      <c r="P451" s="225"/>
      <c r="Q451" s="227"/>
      <c r="R451" s="234"/>
      <c r="S451" s="225"/>
      <c r="T451" s="225"/>
      <c r="U451" s="225"/>
      <c r="V451" s="225"/>
      <c r="W451" s="225"/>
      <c r="X451" s="225"/>
      <c r="Y451" s="229"/>
      <c r="Z451" s="257"/>
      <c r="AA451" s="225"/>
      <c r="AB451" s="257"/>
      <c r="AC451" s="257"/>
      <c r="AD451" s="226"/>
      <c r="AE451" s="259"/>
      <c r="AF451" s="347"/>
      <c r="AG451" s="232"/>
      <c r="AH451" s="257"/>
      <c r="AI451" s="225"/>
      <c r="AJ451" s="267"/>
      <c r="AK451" s="259"/>
      <c r="AL451" s="226"/>
      <c r="AM451" s="225"/>
      <c r="AN451" s="225"/>
      <c r="AO451" s="254"/>
      <c r="AP451" s="225"/>
      <c r="AQ451" s="225"/>
      <c r="AR451" s="232"/>
      <c r="AS451" s="225"/>
      <c r="AT451" s="225"/>
      <c r="AU451" s="225"/>
      <c r="AV451" s="225"/>
      <c r="AW451" s="257"/>
      <c r="AX451" s="226"/>
      <c r="AY451" s="225"/>
      <c r="AZ451" s="225"/>
      <c r="BA451" s="226"/>
      <c r="BB451" s="225"/>
      <c r="BC451" s="225"/>
      <c r="BD451" s="225"/>
      <c r="BE451" s="225"/>
      <c r="BF451" s="225"/>
      <c r="BG451" s="225"/>
      <c r="BH451" s="225"/>
      <c r="BI451" s="225"/>
      <c r="BJ451" s="225"/>
      <c r="BK451" s="225"/>
      <c r="BL451" s="225"/>
      <c r="BM451" s="225"/>
      <c r="BN451" s="225"/>
      <c r="BO451" s="225"/>
      <c r="BP451" s="225"/>
      <c r="BQ451" s="225"/>
      <c r="BR451" s="225"/>
      <c r="BS451" s="225"/>
      <c r="BT451" s="226"/>
      <c r="BU451" s="225"/>
      <c r="BV451" s="225"/>
      <c r="BW451" s="225"/>
      <c r="BX451" s="225"/>
      <c r="BY451" s="225"/>
      <c r="BZ451" s="225"/>
    </row>
    <row r="452">
      <c r="A452" s="225"/>
      <c r="B452" s="225"/>
      <c r="C452" s="225"/>
      <c r="D452" s="226"/>
      <c r="E452" s="225"/>
      <c r="F452" s="225"/>
      <c r="G452" s="225"/>
      <c r="H452" s="225"/>
      <c r="I452" s="225"/>
      <c r="J452" s="225"/>
      <c r="K452" s="244"/>
      <c r="L452" s="225"/>
      <c r="M452" s="225"/>
      <c r="N452" s="225"/>
      <c r="O452" s="225"/>
      <c r="P452" s="225"/>
      <c r="Q452" s="227"/>
      <c r="R452" s="234"/>
      <c r="S452" s="225"/>
      <c r="T452" s="225"/>
      <c r="U452" s="225"/>
      <c r="V452" s="225"/>
      <c r="W452" s="225"/>
      <c r="X452" s="225"/>
      <c r="Y452" s="229"/>
      <c r="Z452" s="257"/>
      <c r="AA452" s="225"/>
      <c r="AB452" s="257"/>
      <c r="AC452" s="257"/>
      <c r="AD452" s="226"/>
      <c r="AE452" s="259"/>
      <c r="AF452" s="347"/>
      <c r="AG452" s="232"/>
      <c r="AH452" s="257"/>
      <c r="AI452" s="225"/>
      <c r="AJ452" s="267"/>
      <c r="AK452" s="259"/>
      <c r="AL452" s="226"/>
      <c r="AM452" s="225"/>
      <c r="AN452" s="225"/>
      <c r="AO452" s="254"/>
      <c r="AP452" s="225"/>
      <c r="AQ452" s="225"/>
      <c r="AR452" s="226"/>
      <c r="AS452" s="225"/>
      <c r="AT452" s="225"/>
      <c r="AU452" s="225"/>
      <c r="AV452" s="225"/>
      <c r="AW452" s="225"/>
      <c r="AX452" s="226"/>
      <c r="AY452" s="225"/>
      <c r="AZ452" s="225"/>
      <c r="BA452" s="226"/>
      <c r="BB452" s="225"/>
      <c r="BC452" s="225"/>
      <c r="BD452" s="225"/>
      <c r="BE452" s="225"/>
      <c r="BF452" s="225"/>
      <c r="BG452" s="225"/>
      <c r="BH452" s="225"/>
      <c r="BI452" s="225"/>
      <c r="BJ452" s="225"/>
      <c r="BK452" s="225"/>
      <c r="BL452" s="225"/>
      <c r="BM452" s="225"/>
      <c r="BN452" s="225"/>
      <c r="BO452" s="225"/>
      <c r="BP452" s="225"/>
      <c r="BQ452" s="225"/>
      <c r="BR452" s="225"/>
      <c r="BS452" s="225"/>
      <c r="BT452" s="226"/>
      <c r="BU452" s="225"/>
      <c r="BV452" s="225"/>
      <c r="BW452" s="225"/>
      <c r="BX452" s="225"/>
      <c r="BY452" s="225"/>
      <c r="BZ452" s="225"/>
    </row>
    <row r="453">
      <c r="A453" s="225"/>
      <c r="B453" s="225"/>
      <c r="C453" s="225"/>
      <c r="D453" s="226"/>
      <c r="E453" s="225"/>
      <c r="F453" s="225"/>
      <c r="G453" s="225"/>
      <c r="H453" s="225"/>
      <c r="I453" s="225"/>
      <c r="J453" s="225"/>
      <c r="K453" s="244"/>
      <c r="L453" s="225"/>
      <c r="M453" s="225"/>
      <c r="N453" s="225"/>
      <c r="O453" s="225"/>
      <c r="P453" s="225"/>
      <c r="Q453" s="227"/>
      <c r="R453" s="234"/>
      <c r="S453" s="225"/>
      <c r="T453" s="225"/>
      <c r="U453" s="225"/>
      <c r="V453" s="225"/>
      <c r="W453" s="225"/>
      <c r="X453" s="225"/>
      <c r="Y453" s="229"/>
      <c r="Z453" s="257"/>
      <c r="AA453" s="225"/>
      <c r="AB453" s="257"/>
      <c r="AC453" s="257"/>
      <c r="AD453" s="226"/>
      <c r="AE453" s="259"/>
      <c r="AF453" s="347"/>
      <c r="AG453" s="232"/>
      <c r="AH453" s="257"/>
      <c r="AI453" s="225"/>
      <c r="AJ453" s="267"/>
      <c r="AK453" s="259"/>
      <c r="AL453" s="226"/>
      <c r="AM453" s="225"/>
      <c r="AN453" s="225"/>
      <c r="AO453" s="254"/>
      <c r="AP453" s="225"/>
      <c r="AQ453" s="225"/>
      <c r="AR453" s="226"/>
      <c r="AS453" s="225"/>
      <c r="AT453" s="225"/>
      <c r="AU453" s="225"/>
      <c r="AV453" s="225"/>
      <c r="AW453" s="225"/>
      <c r="AX453" s="226"/>
      <c r="AY453" s="225"/>
      <c r="AZ453" s="225"/>
      <c r="BA453" s="226"/>
      <c r="BB453" s="225"/>
      <c r="BC453" s="225"/>
      <c r="BD453" s="225"/>
      <c r="BE453" s="225"/>
      <c r="BF453" s="225"/>
      <c r="BG453" s="225"/>
      <c r="BH453" s="225"/>
      <c r="BI453" s="225"/>
      <c r="BJ453" s="225"/>
      <c r="BK453" s="225"/>
      <c r="BL453" s="225"/>
      <c r="BM453" s="225"/>
      <c r="BN453" s="225"/>
      <c r="BO453" s="225"/>
      <c r="BP453" s="225"/>
      <c r="BQ453" s="225"/>
      <c r="BR453" s="225"/>
      <c r="BS453" s="225"/>
      <c r="BT453" s="226"/>
      <c r="BU453" s="225"/>
      <c r="BV453" s="225"/>
      <c r="BW453" s="225"/>
      <c r="BX453" s="225"/>
      <c r="BY453" s="225"/>
      <c r="BZ453" s="225"/>
    </row>
    <row r="454">
      <c r="A454" s="225"/>
      <c r="B454" s="225"/>
      <c r="C454" s="225"/>
      <c r="D454" s="226"/>
      <c r="E454" s="225"/>
      <c r="F454" s="225"/>
      <c r="G454" s="225"/>
      <c r="H454" s="225"/>
      <c r="I454" s="225"/>
      <c r="J454" s="225"/>
      <c r="K454" s="244"/>
      <c r="L454" s="225"/>
      <c r="M454" s="225"/>
      <c r="N454" s="225"/>
      <c r="O454" s="225"/>
      <c r="P454" s="225"/>
      <c r="Q454" s="227"/>
      <c r="R454" s="234"/>
      <c r="S454" s="225"/>
      <c r="T454" s="225"/>
      <c r="U454" s="225"/>
      <c r="V454" s="225"/>
      <c r="W454" s="225"/>
      <c r="X454" s="225"/>
      <c r="Y454" s="229"/>
      <c r="Z454" s="257"/>
      <c r="AA454" s="225"/>
      <c r="AB454" s="257"/>
      <c r="AC454" s="257"/>
      <c r="AD454" s="226"/>
      <c r="AE454" s="259"/>
      <c r="AF454" s="347"/>
      <c r="AG454" s="232"/>
      <c r="AH454" s="257"/>
      <c r="AI454" s="225"/>
      <c r="AJ454" s="267"/>
      <c r="AK454" s="259"/>
      <c r="AL454" s="226"/>
      <c r="AM454" s="225"/>
      <c r="AN454" s="225"/>
      <c r="AO454" s="254"/>
      <c r="AP454" s="225"/>
      <c r="AQ454" s="225"/>
      <c r="AR454" s="226"/>
      <c r="AS454" s="225"/>
      <c r="AT454" s="225"/>
      <c r="AU454" s="225"/>
      <c r="AV454" s="225"/>
      <c r="AW454" s="225"/>
      <c r="AX454" s="226"/>
      <c r="AY454" s="225"/>
      <c r="AZ454" s="225"/>
      <c r="BA454" s="226"/>
      <c r="BB454" s="225"/>
      <c r="BC454" s="225"/>
      <c r="BD454" s="225"/>
      <c r="BE454" s="225"/>
      <c r="BF454" s="225"/>
      <c r="BG454" s="225"/>
      <c r="BH454" s="225"/>
      <c r="BI454" s="225"/>
      <c r="BJ454" s="225"/>
      <c r="BK454" s="225"/>
      <c r="BL454" s="225"/>
      <c r="BM454" s="225"/>
      <c r="BN454" s="225"/>
      <c r="BO454" s="225"/>
      <c r="BP454" s="225"/>
      <c r="BQ454" s="225"/>
      <c r="BR454" s="225"/>
      <c r="BS454" s="225"/>
      <c r="BT454" s="226"/>
      <c r="BU454" s="225"/>
      <c r="BV454" s="225"/>
      <c r="BW454" s="225"/>
      <c r="BX454" s="225"/>
      <c r="BY454" s="225"/>
      <c r="BZ454" s="225"/>
    </row>
    <row r="455">
      <c r="A455" s="225"/>
      <c r="B455" s="225"/>
      <c r="C455" s="225"/>
      <c r="D455" s="226"/>
      <c r="E455" s="225"/>
      <c r="F455" s="225"/>
      <c r="G455" s="225"/>
      <c r="H455" s="225"/>
      <c r="I455" s="225"/>
      <c r="J455" s="225"/>
      <c r="K455" s="244"/>
      <c r="L455" s="225"/>
      <c r="M455" s="225"/>
      <c r="N455" s="225"/>
      <c r="O455" s="225"/>
      <c r="P455" s="225"/>
      <c r="Q455" s="227"/>
      <c r="R455" s="234"/>
      <c r="S455" s="225"/>
      <c r="T455" s="225"/>
      <c r="U455" s="225"/>
      <c r="V455" s="225"/>
      <c r="W455" s="225"/>
      <c r="X455" s="225"/>
      <c r="Y455" s="229"/>
      <c r="Z455" s="257"/>
      <c r="AA455" s="225"/>
      <c r="AB455" s="257"/>
      <c r="AC455" s="257"/>
      <c r="AD455" s="226"/>
      <c r="AE455" s="259"/>
      <c r="AF455" s="347"/>
      <c r="AG455" s="232"/>
      <c r="AH455" s="257"/>
      <c r="AI455" s="225"/>
      <c r="AJ455" s="267"/>
      <c r="AK455" s="259"/>
      <c r="AL455" s="226"/>
      <c r="AM455" s="225"/>
      <c r="AN455" s="225"/>
      <c r="AO455" s="254"/>
      <c r="AP455" s="225"/>
      <c r="AQ455" s="225"/>
      <c r="AR455" s="226"/>
      <c r="AS455" s="225"/>
      <c r="AT455" s="225"/>
      <c r="AU455" s="225"/>
      <c r="AV455" s="225"/>
      <c r="AW455" s="225"/>
      <c r="AX455" s="226"/>
      <c r="AY455" s="225"/>
      <c r="AZ455" s="225"/>
      <c r="BA455" s="226"/>
      <c r="BB455" s="225"/>
      <c r="BC455" s="225"/>
      <c r="BD455" s="225"/>
      <c r="BE455" s="225"/>
      <c r="BF455" s="225"/>
      <c r="BG455" s="225"/>
      <c r="BH455" s="225"/>
      <c r="BI455" s="225"/>
      <c r="BJ455" s="225"/>
      <c r="BK455" s="225"/>
      <c r="BL455" s="225"/>
      <c r="BM455" s="225"/>
      <c r="BN455" s="225"/>
      <c r="BO455" s="225"/>
      <c r="BP455" s="225"/>
      <c r="BQ455" s="225"/>
      <c r="BR455" s="225"/>
      <c r="BS455" s="225"/>
      <c r="BT455" s="226"/>
      <c r="BU455" s="225"/>
      <c r="BV455" s="225"/>
      <c r="BW455" s="225"/>
      <c r="BX455" s="225"/>
      <c r="BY455" s="225"/>
      <c r="BZ455" s="225"/>
    </row>
    <row r="456">
      <c r="A456" s="225"/>
      <c r="B456" s="225"/>
      <c r="C456" s="225"/>
      <c r="D456" s="226"/>
      <c r="E456" s="225"/>
      <c r="F456" s="225"/>
      <c r="G456" s="225"/>
      <c r="H456" s="225"/>
      <c r="I456" s="225"/>
      <c r="J456" s="225"/>
      <c r="K456" s="244"/>
      <c r="L456" s="225"/>
      <c r="M456" s="225"/>
      <c r="N456" s="225"/>
      <c r="O456" s="225"/>
      <c r="P456" s="225"/>
      <c r="Q456" s="227"/>
      <c r="R456" s="234"/>
      <c r="S456" s="225"/>
      <c r="T456" s="225"/>
      <c r="U456" s="225"/>
      <c r="V456" s="225"/>
      <c r="W456" s="225"/>
      <c r="X456" s="225"/>
      <c r="Y456" s="229"/>
      <c r="Z456" s="257"/>
      <c r="AA456" s="225"/>
      <c r="AB456" s="257"/>
      <c r="AC456" s="257"/>
      <c r="AD456" s="226"/>
      <c r="AE456" s="259"/>
      <c r="AF456" s="347"/>
      <c r="AG456" s="232"/>
      <c r="AH456" s="257"/>
      <c r="AI456" s="225"/>
      <c r="AJ456" s="267"/>
      <c r="AK456" s="259"/>
      <c r="AL456" s="226"/>
      <c r="AM456" s="225"/>
      <c r="AN456" s="225"/>
      <c r="AO456" s="254"/>
      <c r="AP456" s="225"/>
      <c r="AQ456" s="225"/>
      <c r="AR456" s="226"/>
      <c r="AS456" s="225"/>
      <c r="AT456" s="225"/>
      <c r="AU456" s="225"/>
      <c r="AV456" s="225"/>
      <c r="AW456" s="225"/>
      <c r="AX456" s="226"/>
      <c r="AY456" s="225"/>
      <c r="AZ456" s="225"/>
      <c r="BA456" s="226"/>
      <c r="BB456" s="225"/>
      <c r="BC456" s="225"/>
      <c r="BD456" s="225"/>
      <c r="BE456" s="225"/>
      <c r="BF456" s="225"/>
      <c r="BG456" s="225"/>
      <c r="BH456" s="225"/>
      <c r="BI456" s="225"/>
      <c r="BJ456" s="225"/>
      <c r="BK456" s="225"/>
      <c r="BL456" s="225"/>
      <c r="BM456" s="225"/>
      <c r="BN456" s="225"/>
      <c r="BO456" s="225"/>
      <c r="BP456" s="225"/>
      <c r="BQ456" s="225"/>
      <c r="BR456" s="225"/>
      <c r="BS456" s="225"/>
      <c r="BT456" s="226"/>
      <c r="BU456" s="225"/>
      <c r="BV456" s="225"/>
      <c r="BW456" s="225"/>
      <c r="BX456" s="225"/>
      <c r="BY456" s="225"/>
      <c r="BZ456" s="225"/>
    </row>
    <row r="457">
      <c r="A457" s="225"/>
      <c r="B457" s="225"/>
      <c r="C457" s="225"/>
      <c r="D457" s="226"/>
      <c r="E457" s="225"/>
      <c r="F457" s="225"/>
      <c r="G457" s="225"/>
      <c r="H457" s="225"/>
      <c r="I457" s="225"/>
      <c r="J457" s="225"/>
      <c r="K457" s="244"/>
      <c r="L457" s="225"/>
      <c r="M457" s="225"/>
      <c r="N457" s="225"/>
      <c r="O457" s="225"/>
      <c r="P457" s="225"/>
      <c r="Q457" s="227"/>
      <c r="R457" s="234"/>
      <c r="S457" s="225"/>
      <c r="T457" s="225"/>
      <c r="U457" s="225"/>
      <c r="V457" s="225"/>
      <c r="W457" s="225"/>
      <c r="X457" s="225"/>
      <c r="Y457" s="229"/>
      <c r="Z457" s="257"/>
      <c r="AA457" s="225"/>
      <c r="AB457" s="257"/>
      <c r="AC457" s="257"/>
      <c r="AD457" s="226"/>
      <c r="AE457" s="259"/>
      <c r="AF457" s="347"/>
      <c r="AG457" s="232"/>
      <c r="AH457" s="257"/>
      <c r="AI457" s="225"/>
      <c r="AJ457" s="267"/>
      <c r="AK457" s="259"/>
      <c r="AL457" s="226"/>
      <c r="AM457" s="225"/>
      <c r="AN457" s="225"/>
      <c r="AO457" s="254"/>
      <c r="AP457" s="225"/>
      <c r="AQ457" s="225"/>
      <c r="AR457" s="226"/>
      <c r="AS457" s="225"/>
      <c r="AT457" s="225"/>
      <c r="AU457" s="225"/>
      <c r="AV457" s="225"/>
      <c r="AW457" s="225"/>
      <c r="AX457" s="226"/>
      <c r="AY457" s="225"/>
      <c r="AZ457" s="225"/>
      <c r="BA457" s="226"/>
      <c r="BB457" s="225"/>
      <c r="BC457" s="225"/>
      <c r="BD457" s="225"/>
      <c r="BE457" s="225"/>
      <c r="BF457" s="225"/>
      <c r="BG457" s="225"/>
      <c r="BH457" s="225"/>
      <c r="BI457" s="225"/>
      <c r="BJ457" s="225"/>
      <c r="BK457" s="225"/>
      <c r="BL457" s="225"/>
      <c r="BM457" s="225"/>
      <c r="BN457" s="225"/>
      <c r="BO457" s="225"/>
      <c r="BP457" s="225"/>
      <c r="BQ457" s="225"/>
      <c r="BR457" s="225"/>
      <c r="BS457" s="225"/>
      <c r="BT457" s="226"/>
      <c r="BU457" s="225"/>
      <c r="BV457" s="225"/>
      <c r="BW457" s="225"/>
      <c r="BX457" s="225"/>
      <c r="BY457" s="225"/>
      <c r="BZ457" s="225"/>
    </row>
    <row r="458">
      <c r="A458" s="225"/>
      <c r="B458" s="225"/>
      <c r="C458" s="225"/>
      <c r="D458" s="226"/>
      <c r="E458" s="225"/>
      <c r="F458" s="225"/>
      <c r="G458" s="225"/>
      <c r="H458" s="225"/>
      <c r="I458" s="225"/>
      <c r="J458" s="225"/>
      <c r="K458" s="244"/>
      <c r="L458" s="225"/>
      <c r="M458" s="225"/>
      <c r="N458" s="225"/>
      <c r="O458" s="225"/>
      <c r="P458" s="225"/>
      <c r="Q458" s="227"/>
      <c r="R458" s="234"/>
      <c r="S458" s="225"/>
      <c r="T458" s="225"/>
      <c r="U458" s="225"/>
      <c r="V458" s="225"/>
      <c r="W458" s="225"/>
      <c r="X458" s="225"/>
      <c r="Y458" s="229"/>
      <c r="Z458" s="257"/>
      <c r="AA458" s="225"/>
      <c r="AB458" s="257"/>
      <c r="AC458" s="257"/>
      <c r="AD458" s="226"/>
      <c r="AE458" s="259"/>
      <c r="AF458" s="347"/>
      <c r="AG458" s="232"/>
      <c r="AH458" s="257"/>
      <c r="AI458" s="225"/>
      <c r="AJ458" s="267"/>
      <c r="AK458" s="259"/>
      <c r="AL458" s="226"/>
      <c r="AM458" s="225"/>
      <c r="AN458" s="225"/>
      <c r="AO458" s="254"/>
      <c r="AP458" s="225"/>
      <c r="AQ458" s="225"/>
      <c r="AR458" s="226"/>
      <c r="AS458" s="225"/>
      <c r="AT458" s="225"/>
      <c r="AU458" s="225"/>
      <c r="AV458" s="225"/>
      <c r="AW458" s="225"/>
      <c r="AX458" s="226"/>
      <c r="AY458" s="225"/>
      <c r="AZ458" s="225"/>
      <c r="BA458" s="226"/>
      <c r="BB458" s="225"/>
      <c r="BC458" s="225"/>
      <c r="BD458" s="225"/>
      <c r="BE458" s="225"/>
      <c r="BF458" s="225"/>
      <c r="BG458" s="225"/>
      <c r="BH458" s="225"/>
      <c r="BI458" s="225"/>
      <c r="BJ458" s="225"/>
      <c r="BK458" s="225"/>
      <c r="BL458" s="225"/>
      <c r="BM458" s="225"/>
      <c r="BN458" s="225"/>
      <c r="BO458" s="225"/>
      <c r="BP458" s="225"/>
      <c r="BQ458" s="225"/>
      <c r="BR458" s="225"/>
      <c r="BS458" s="225"/>
      <c r="BT458" s="226"/>
      <c r="BU458" s="225"/>
      <c r="BV458" s="225"/>
      <c r="BW458" s="225"/>
      <c r="BX458" s="225"/>
      <c r="BY458" s="225"/>
      <c r="BZ458" s="225"/>
    </row>
    <row r="459">
      <c r="A459" s="225"/>
      <c r="B459" s="225"/>
      <c r="C459" s="225"/>
      <c r="D459" s="226"/>
      <c r="E459" s="225"/>
      <c r="F459" s="225"/>
      <c r="G459" s="225"/>
      <c r="H459" s="225"/>
      <c r="I459" s="225"/>
      <c r="J459" s="225"/>
      <c r="K459" s="244"/>
      <c r="L459" s="225"/>
      <c r="M459" s="225"/>
      <c r="N459" s="225"/>
      <c r="O459" s="225"/>
      <c r="P459" s="225"/>
      <c r="Q459" s="227"/>
      <c r="R459" s="234"/>
      <c r="S459" s="225"/>
      <c r="T459" s="225"/>
      <c r="U459" s="225"/>
      <c r="V459" s="225"/>
      <c r="W459" s="225"/>
      <c r="X459" s="225"/>
      <c r="Y459" s="229"/>
      <c r="Z459" s="257"/>
      <c r="AA459" s="225"/>
      <c r="AB459" s="257"/>
      <c r="AC459" s="257"/>
      <c r="AD459" s="226"/>
      <c r="AE459" s="259"/>
      <c r="AF459" s="347"/>
      <c r="AG459" s="232"/>
      <c r="AH459" s="257"/>
      <c r="AI459" s="225"/>
      <c r="AJ459" s="267"/>
      <c r="AK459" s="259"/>
      <c r="AL459" s="226"/>
      <c r="AM459" s="225"/>
      <c r="AN459" s="225"/>
      <c r="AO459" s="254"/>
      <c r="AP459" s="225"/>
      <c r="AQ459" s="225"/>
      <c r="AR459" s="226"/>
      <c r="AS459" s="225"/>
      <c r="AT459" s="225"/>
      <c r="AU459" s="225"/>
      <c r="AV459" s="225"/>
      <c r="AW459" s="225"/>
      <c r="AX459" s="226"/>
      <c r="AY459" s="225"/>
      <c r="AZ459" s="225"/>
      <c r="BA459" s="226"/>
      <c r="BB459" s="225"/>
      <c r="BC459" s="225"/>
      <c r="BD459" s="225"/>
      <c r="BE459" s="225"/>
      <c r="BF459" s="225"/>
      <c r="BG459" s="225"/>
      <c r="BH459" s="225"/>
      <c r="BI459" s="225"/>
      <c r="BJ459" s="225"/>
      <c r="BK459" s="225"/>
      <c r="BL459" s="225"/>
      <c r="BM459" s="225"/>
      <c r="BN459" s="225"/>
      <c r="BO459" s="225"/>
      <c r="BP459" s="225"/>
      <c r="BQ459" s="225"/>
      <c r="BR459" s="225"/>
      <c r="BS459" s="225"/>
      <c r="BT459" s="226"/>
      <c r="BU459" s="225"/>
      <c r="BV459" s="225"/>
      <c r="BW459" s="225"/>
      <c r="BX459" s="225"/>
      <c r="BY459" s="225"/>
      <c r="BZ459" s="225"/>
    </row>
    <row r="460">
      <c r="A460" s="225"/>
      <c r="B460" s="225"/>
      <c r="C460" s="225"/>
      <c r="D460" s="226"/>
      <c r="E460" s="225"/>
      <c r="F460" s="225"/>
      <c r="G460" s="225"/>
      <c r="H460" s="225"/>
      <c r="I460" s="225"/>
      <c r="J460" s="225"/>
      <c r="K460" s="244"/>
      <c r="L460" s="225"/>
      <c r="M460" s="225"/>
      <c r="N460" s="225"/>
      <c r="O460" s="225"/>
      <c r="P460" s="225"/>
      <c r="Q460" s="227"/>
      <c r="R460" s="234"/>
      <c r="S460" s="225"/>
      <c r="T460" s="225"/>
      <c r="U460" s="225"/>
      <c r="V460" s="225"/>
      <c r="W460" s="225"/>
      <c r="X460" s="225"/>
      <c r="Y460" s="229"/>
      <c r="Z460" s="257"/>
      <c r="AA460" s="225"/>
      <c r="AB460" s="257"/>
      <c r="AC460" s="257"/>
      <c r="AD460" s="226"/>
      <c r="AE460" s="259"/>
      <c r="AF460" s="347"/>
      <c r="AG460" s="232"/>
      <c r="AH460" s="257"/>
      <c r="AI460" s="225"/>
      <c r="AJ460" s="267"/>
      <c r="AK460" s="259"/>
      <c r="AL460" s="226"/>
      <c r="AM460" s="225"/>
      <c r="AN460" s="225"/>
      <c r="AO460" s="254"/>
      <c r="AP460" s="225"/>
      <c r="AQ460" s="225"/>
      <c r="AR460" s="226"/>
      <c r="AS460" s="225"/>
      <c r="AT460" s="225"/>
      <c r="AU460" s="225"/>
      <c r="AV460" s="225"/>
      <c r="AW460" s="225"/>
      <c r="AX460" s="226"/>
      <c r="AY460" s="225"/>
      <c r="AZ460" s="225"/>
      <c r="BA460" s="226"/>
      <c r="BB460" s="225"/>
      <c r="BC460" s="225"/>
      <c r="BD460" s="225"/>
      <c r="BE460" s="225"/>
      <c r="BF460" s="225"/>
      <c r="BG460" s="225"/>
      <c r="BH460" s="225"/>
      <c r="BI460" s="225"/>
      <c r="BJ460" s="225"/>
      <c r="BK460" s="225"/>
      <c r="BL460" s="225"/>
      <c r="BM460" s="225"/>
      <c r="BN460" s="225"/>
      <c r="BO460" s="225"/>
      <c r="BP460" s="225"/>
      <c r="BQ460" s="225"/>
      <c r="BR460" s="225"/>
      <c r="BS460" s="225"/>
      <c r="BT460" s="226"/>
      <c r="BU460" s="225"/>
      <c r="BV460" s="225"/>
      <c r="BW460" s="225"/>
      <c r="BX460" s="225"/>
      <c r="BY460" s="225"/>
      <c r="BZ460" s="225"/>
    </row>
    <row r="461">
      <c r="A461" s="225"/>
      <c r="B461" s="225"/>
      <c r="C461" s="225"/>
      <c r="D461" s="226"/>
      <c r="E461" s="225"/>
      <c r="F461" s="225"/>
      <c r="G461" s="225"/>
      <c r="H461" s="225"/>
      <c r="I461" s="225"/>
      <c r="J461" s="225"/>
      <c r="K461" s="244"/>
      <c r="L461" s="225"/>
      <c r="M461" s="225"/>
      <c r="N461" s="225"/>
      <c r="O461" s="225"/>
      <c r="P461" s="225"/>
      <c r="Q461" s="227"/>
      <c r="R461" s="234"/>
      <c r="S461" s="225"/>
      <c r="T461" s="225"/>
      <c r="U461" s="225"/>
      <c r="V461" s="225"/>
      <c r="W461" s="225"/>
      <c r="X461" s="225"/>
      <c r="Y461" s="229"/>
      <c r="Z461" s="257"/>
      <c r="AA461" s="225"/>
      <c r="AB461" s="257"/>
      <c r="AC461" s="257"/>
      <c r="AD461" s="226"/>
      <c r="AE461" s="259"/>
      <c r="AF461" s="347"/>
      <c r="AG461" s="232"/>
      <c r="AH461" s="257"/>
      <c r="AI461" s="225"/>
      <c r="AJ461" s="267"/>
      <c r="AK461" s="259"/>
      <c r="AL461" s="226"/>
      <c r="AM461" s="225"/>
      <c r="AN461" s="225"/>
      <c r="AO461" s="254"/>
      <c r="AP461" s="225"/>
      <c r="AQ461" s="225"/>
      <c r="AR461" s="226"/>
      <c r="AS461" s="225"/>
      <c r="AT461" s="225"/>
      <c r="AU461" s="225"/>
      <c r="AV461" s="225"/>
      <c r="AW461" s="225"/>
      <c r="AX461" s="226"/>
      <c r="AY461" s="225"/>
      <c r="AZ461" s="225"/>
      <c r="BA461" s="226"/>
      <c r="BB461" s="225"/>
      <c r="BC461" s="225"/>
      <c r="BD461" s="225"/>
      <c r="BE461" s="225"/>
      <c r="BF461" s="225"/>
      <c r="BG461" s="225"/>
      <c r="BH461" s="225"/>
      <c r="BI461" s="225"/>
      <c r="BJ461" s="225"/>
      <c r="BK461" s="225"/>
      <c r="BL461" s="225"/>
      <c r="BM461" s="225"/>
      <c r="BN461" s="225"/>
      <c r="BO461" s="225"/>
      <c r="BP461" s="225"/>
      <c r="BQ461" s="225"/>
      <c r="BR461" s="225"/>
      <c r="BS461" s="225"/>
      <c r="BT461" s="226"/>
      <c r="BU461" s="225"/>
      <c r="BV461" s="225"/>
      <c r="BW461" s="225"/>
      <c r="BX461" s="225"/>
      <c r="BY461" s="225"/>
      <c r="BZ461" s="225"/>
    </row>
    <row r="462">
      <c r="A462" s="225"/>
      <c r="B462" s="225"/>
      <c r="C462" s="225"/>
      <c r="D462" s="226"/>
      <c r="E462" s="225"/>
      <c r="F462" s="225"/>
      <c r="G462" s="225"/>
      <c r="H462" s="225"/>
      <c r="I462" s="225"/>
      <c r="J462" s="225"/>
      <c r="K462" s="244"/>
      <c r="L462" s="225"/>
      <c r="M462" s="225"/>
      <c r="N462" s="225"/>
      <c r="O462" s="225"/>
      <c r="P462" s="225"/>
      <c r="Q462" s="227"/>
      <c r="R462" s="234"/>
      <c r="S462" s="225"/>
      <c r="T462" s="225"/>
      <c r="U462" s="225"/>
      <c r="V462" s="225"/>
      <c r="W462" s="225"/>
      <c r="X462" s="225"/>
      <c r="Y462" s="229"/>
      <c r="Z462" s="257"/>
      <c r="AA462" s="225"/>
      <c r="AB462" s="257"/>
      <c r="AC462" s="257"/>
      <c r="AD462" s="226"/>
      <c r="AE462" s="259"/>
      <c r="AF462" s="347"/>
      <c r="AG462" s="232"/>
      <c r="AH462" s="257"/>
      <c r="AI462" s="225"/>
      <c r="AJ462" s="267"/>
      <c r="AK462" s="259"/>
      <c r="AL462" s="226"/>
      <c r="AM462" s="225"/>
      <c r="AN462" s="225"/>
      <c r="AO462" s="254"/>
      <c r="AP462" s="225"/>
      <c r="AQ462" s="225"/>
      <c r="AR462" s="226"/>
      <c r="AS462" s="225"/>
      <c r="AT462" s="225"/>
      <c r="AU462" s="225"/>
      <c r="AV462" s="225"/>
      <c r="AW462" s="225"/>
      <c r="AX462" s="226"/>
      <c r="AY462" s="225"/>
      <c r="AZ462" s="225"/>
      <c r="BA462" s="226"/>
      <c r="BB462" s="225"/>
      <c r="BC462" s="225"/>
      <c r="BD462" s="225"/>
      <c r="BE462" s="225"/>
      <c r="BF462" s="225"/>
      <c r="BG462" s="225"/>
      <c r="BH462" s="225"/>
      <c r="BI462" s="225"/>
      <c r="BJ462" s="225"/>
      <c r="BK462" s="225"/>
      <c r="BL462" s="225"/>
      <c r="BM462" s="225"/>
      <c r="BN462" s="225"/>
      <c r="BO462" s="225"/>
      <c r="BP462" s="225"/>
      <c r="BQ462" s="225"/>
      <c r="BR462" s="225"/>
      <c r="BS462" s="225"/>
      <c r="BT462" s="226"/>
      <c r="BU462" s="225"/>
      <c r="BV462" s="225"/>
      <c r="BW462" s="225"/>
      <c r="BX462" s="225"/>
      <c r="BY462" s="225"/>
      <c r="BZ462" s="225"/>
    </row>
    <row r="463">
      <c r="A463" s="225"/>
      <c r="B463" s="225"/>
      <c r="C463" s="225"/>
      <c r="D463" s="226"/>
      <c r="E463" s="225"/>
      <c r="F463" s="225"/>
      <c r="G463" s="225"/>
      <c r="H463" s="225"/>
      <c r="I463" s="225"/>
      <c r="J463" s="225"/>
      <c r="K463" s="244"/>
      <c r="L463" s="225"/>
      <c r="M463" s="225"/>
      <c r="N463" s="225"/>
      <c r="O463" s="225"/>
      <c r="P463" s="225"/>
      <c r="Q463" s="227"/>
      <c r="R463" s="234"/>
      <c r="S463" s="225"/>
      <c r="T463" s="225"/>
      <c r="U463" s="225"/>
      <c r="V463" s="225"/>
      <c r="W463" s="225"/>
      <c r="X463" s="225"/>
      <c r="Y463" s="229"/>
      <c r="Z463" s="257"/>
      <c r="AA463" s="225"/>
      <c r="AB463" s="257"/>
      <c r="AC463" s="257"/>
      <c r="AD463" s="226"/>
      <c r="AE463" s="259"/>
      <c r="AF463" s="347"/>
      <c r="AG463" s="232"/>
      <c r="AH463" s="257"/>
      <c r="AI463" s="225"/>
      <c r="AJ463" s="267"/>
      <c r="AK463" s="259"/>
      <c r="AL463" s="226"/>
      <c r="AM463" s="225"/>
      <c r="AN463" s="225"/>
      <c r="AO463" s="254"/>
      <c r="AP463" s="225"/>
      <c r="AQ463" s="225"/>
      <c r="AR463" s="226"/>
      <c r="AS463" s="225"/>
      <c r="AT463" s="225"/>
      <c r="AU463" s="225"/>
      <c r="AV463" s="225"/>
      <c r="AW463" s="225"/>
      <c r="AX463" s="226"/>
      <c r="AY463" s="225"/>
      <c r="AZ463" s="225"/>
      <c r="BA463" s="226"/>
      <c r="BB463" s="225"/>
      <c r="BC463" s="225"/>
      <c r="BD463" s="225"/>
      <c r="BE463" s="225"/>
      <c r="BF463" s="225"/>
      <c r="BG463" s="225"/>
      <c r="BH463" s="225"/>
      <c r="BI463" s="225"/>
      <c r="BJ463" s="225"/>
      <c r="BK463" s="225"/>
      <c r="BL463" s="225"/>
      <c r="BM463" s="225"/>
      <c r="BN463" s="225"/>
      <c r="BO463" s="225"/>
      <c r="BP463" s="225"/>
      <c r="BQ463" s="225"/>
      <c r="BR463" s="225"/>
      <c r="BS463" s="225"/>
      <c r="BT463" s="226"/>
      <c r="BU463" s="225"/>
      <c r="BV463" s="225"/>
      <c r="BW463" s="225"/>
      <c r="BX463" s="225"/>
      <c r="BY463" s="225"/>
      <c r="BZ463" s="225"/>
    </row>
    <row r="464">
      <c r="A464" s="225"/>
      <c r="B464" s="225"/>
      <c r="C464" s="225"/>
      <c r="D464" s="226"/>
      <c r="E464" s="225"/>
      <c r="F464" s="225"/>
      <c r="G464" s="225"/>
      <c r="H464" s="225"/>
      <c r="I464" s="225"/>
      <c r="J464" s="225"/>
      <c r="K464" s="244"/>
      <c r="L464" s="225"/>
      <c r="M464" s="225"/>
      <c r="N464" s="225"/>
      <c r="O464" s="225"/>
      <c r="P464" s="225"/>
      <c r="Q464" s="227"/>
      <c r="R464" s="234"/>
      <c r="S464" s="225"/>
      <c r="T464" s="225"/>
      <c r="U464" s="225"/>
      <c r="V464" s="225"/>
      <c r="W464" s="225"/>
      <c r="X464" s="225"/>
      <c r="Y464" s="229"/>
      <c r="Z464" s="257"/>
      <c r="AA464" s="225"/>
      <c r="AB464" s="257"/>
      <c r="AC464" s="257"/>
      <c r="AD464" s="226"/>
      <c r="AE464" s="259"/>
      <c r="AF464" s="347"/>
      <c r="AG464" s="232"/>
      <c r="AH464" s="257"/>
      <c r="AI464" s="225"/>
      <c r="AJ464" s="267"/>
      <c r="AK464" s="259"/>
      <c r="AL464" s="226"/>
      <c r="AM464" s="225"/>
      <c r="AN464" s="225"/>
      <c r="AO464" s="254"/>
      <c r="AP464" s="225"/>
      <c r="AQ464" s="225"/>
      <c r="AR464" s="226"/>
      <c r="AS464" s="225"/>
      <c r="AT464" s="225"/>
      <c r="AU464" s="225"/>
      <c r="AV464" s="225"/>
      <c r="AW464" s="225"/>
      <c r="AX464" s="226"/>
      <c r="AY464" s="225"/>
      <c r="AZ464" s="225"/>
      <c r="BA464" s="226"/>
      <c r="BB464" s="225"/>
      <c r="BC464" s="225"/>
      <c r="BD464" s="225"/>
      <c r="BE464" s="225"/>
      <c r="BF464" s="225"/>
      <c r="BG464" s="225"/>
      <c r="BH464" s="225"/>
      <c r="BI464" s="225"/>
      <c r="BJ464" s="225"/>
      <c r="BK464" s="225"/>
      <c r="BL464" s="225"/>
      <c r="BM464" s="225"/>
      <c r="BN464" s="225"/>
      <c r="BO464" s="225"/>
      <c r="BP464" s="225"/>
      <c r="BQ464" s="225"/>
      <c r="BR464" s="225"/>
      <c r="BS464" s="225"/>
      <c r="BT464" s="226"/>
      <c r="BU464" s="225"/>
      <c r="BV464" s="225"/>
      <c r="BW464" s="225"/>
      <c r="BX464" s="225"/>
      <c r="BY464" s="225"/>
      <c r="BZ464" s="225"/>
    </row>
    <row r="465">
      <c r="A465" s="225"/>
      <c r="B465" s="225"/>
      <c r="C465" s="225"/>
      <c r="D465" s="226"/>
      <c r="E465" s="225"/>
      <c r="F465" s="225"/>
      <c r="G465" s="225"/>
      <c r="H465" s="225"/>
      <c r="I465" s="225"/>
      <c r="J465" s="225"/>
      <c r="K465" s="244"/>
      <c r="L465" s="225"/>
      <c r="M465" s="225"/>
      <c r="N465" s="225"/>
      <c r="O465" s="225"/>
      <c r="P465" s="225"/>
      <c r="Q465" s="227"/>
      <c r="R465" s="234"/>
      <c r="S465" s="225"/>
      <c r="T465" s="225"/>
      <c r="U465" s="225"/>
      <c r="V465" s="225"/>
      <c r="W465" s="225"/>
      <c r="X465" s="225"/>
      <c r="Y465" s="229"/>
      <c r="Z465" s="257"/>
      <c r="AA465" s="225"/>
      <c r="AB465" s="257"/>
      <c r="AC465" s="257"/>
      <c r="AD465" s="226"/>
      <c r="AE465" s="259"/>
      <c r="AF465" s="347"/>
      <c r="AG465" s="232"/>
      <c r="AH465" s="257"/>
      <c r="AI465" s="225"/>
      <c r="AJ465" s="267"/>
      <c r="AK465" s="259"/>
      <c r="AL465" s="226"/>
      <c r="AM465" s="225"/>
      <c r="AN465" s="225"/>
      <c r="AO465" s="254"/>
      <c r="AP465" s="225"/>
      <c r="AQ465" s="225"/>
      <c r="AR465" s="226"/>
      <c r="AS465" s="225"/>
      <c r="AT465" s="225"/>
      <c r="AU465" s="225"/>
      <c r="AV465" s="225"/>
      <c r="AW465" s="225"/>
      <c r="AX465" s="226"/>
      <c r="AY465" s="225"/>
      <c r="AZ465" s="225"/>
      <c r="BA465" s="226"/>
      <c r="BB465" s="225"/>
      <c r="BC465" s="225"/>
      <c r="BD465" s="225"/>
      <c r="BE465" s="225"/>
      <c r="BF465" s="225"/>
      <c r="BG465" s="225"/>
      <c r="BH465" s="225"/>
      <c r="BI465" s="225"/>
      <c r="BJ465" s="225"/>
      <c r="BK465" s="225"/>
      <c r="BL465" s="225"/>
      <c r="BM465" s="225"/>
      <c r="BN465" s="225"/>
      <c r="BO465" s="225"/>
      <c r="BP465" s="225"/>
      <c r="BQ465" s="225"/>
      <c r="BR465" s="225"/>
      <c r="BS465" s="225"/>
      <c r="BT465" s="226"/>
      <c r="BU465" s="225"/>
      <c r="BV465" s="225"/>
      <c r="BW465" s="225"/>
      <c r="BX465" s="225"/>
      <c r="BY465" s="225"/>
      <c r="BZ465" s="225"/>
    </row>
    <row r="466">
      <c r="A466" s="225"/>
      <c r="B466" s="225"/>
      <c r="C466" s="225"/>
      <c r="D466" s="226"/>
      <c r="E466" s="225"/>
      <c r="F466" s="225"/>
      <c r="G466" s="225"/>
      <c r="H466" s="225"/>
      <c r="I466" s="225"/>
      <c r="J466" s="225"/>
      <c r="K466" s="244"/>
      <c r="L466" s="225"/>
      <c r="M466" s="225"/>
      <c r="N466" s="225"/>
      <c r="O466" s="225"/>
      <c r="P466" s="225"/>
      <c r="Q466" s="227"/>
      <c r="R466" s="234"/>
      <c r="S466" s="225"/>
      <c r="T466" s="225"/>
      <c r="U466" s="225"/>
      <c r="V466" s="225"/>
      <c r="W466" s="225"/>
      <c r="X466" s="225"/>
      <c r="Y466" s="229"/>
      <c r="Z466" s="257"/>
      <c r="AA466" s="225"/>
      <c r="AB466" s="257"/>
      <c r="AC466" s="257"/>
      <c r="AD466" s="226"/>
      <c r="AE466" s="259"/>
      <c r="AF466" s="347"/>
      <c r="AG466" s="232"/>
      <c r="AH466" s="257"/>
      <c r="AI466" s="225"/>
      <c r="AJ466" s="267"/>
      <c r="AK466" s="259"/>
      <c r="AL466" s="226"/>
      <c r="AM466" s="225"/>
      <c r="AN466" s="225"/>
      <c r="AO466" s="254"/>
      <c r="AP466" s="225"/>
      <c r="AQ466" s="225"/>
      <c r="AR466" s="226"/>
      <c r="AS466" s="225"/>
      <c r="AT466" s="225"/>
      <c r="AU466" s="225"/>
      <c r="AV466" s="225"/>
      <c r="AW466" s="225"/>
      <c r="AX466" s="226"/>
      <c r="AY466" s="225"/>
      <c r="AZ466" s="225"/>
      <c r="BA466" s="226"/>
      <c r="BB466" s="225"/>
      <c r="BC466" s="225"/>
      <c r="BD466" s="225"/>
      <c r="BE466" s="225"/>
      <c r="BF466" s="225"/>
      <c r="BG466" s="225"/>
      <c r="BH466" s="225"/>
      <c r="BI466" s="225"/>
      <c r="BJ466" s="225"/>
      <c r="BK466" s="225"/>
      <c r="BL466" s="225"/>
      <c r="BM466" s="225"/>
      <c r="BN466" s="225"/>
      <c r="BO466" s="225"/>
      <c r="BP466" s="225"/>
      <c r="BQ466" s="225"/>
      <c r="BR466" s="225"/>
      <c r="BS466" s="225"/>
      <c r="BT466" s="226"/>
      <c r="BU466" s="225"/>
      <c r="BV466" s="225"/>
      <c r="BW466" s="225"/>
      <c r="BX466" s="225"/>
      <c r="BY466" s="225"/>
      <c r="BZ466" s="225"/>
    </row>
    <row r="467">
      <c r="A467" s="225"/>
      <c r="B467" s="225"/>
      <c r="C467" s="225"/>
      <c r="D467" s="226"/>
      <c r="E467" s="225"/>
      <c r="F467" s="225"/>
      <c r="G467" s="225"/>
      <c r="H467" s="225"/>
      <c r="I467" s="225"/>
      <c r="J467" s="225"/>
      <c r="K467" s="244"/>
      <c r="L467" s="225"/>
      <c r="M467" s="225"/>
      <c r="N467" s="225"/>
      <c r="O467" s="225"/>
      <c r="P467" s="225"/>
      <c r="Q467" s="227"/>
      <c r="R467" s="234"/>
      <c r="S467" s="225"/>
      <c r="T467" s="225"/>
      <c r="U467" s="225"/>
      <c r="V467" s="225"/>
      <c r="W467" s="225"/>
      <c r="X467" s="225"/>
      <c r="Y467" s="229"/>
      <c r="Z467" s="257"/>
      <c r="AA467" s="225"/>
      <c r="AB467" s="257"/>
      <c r="AC467" s="257"/>
      <c r="AD467" s="226"/>
      <c r="AE467" s="259"/>
      <c r="AF467" s="347"/>
      <c r="AG467" s="232"/>
      <c r="AH467" s="257"/>
      <c r="AI467" s="225"/>
      <c r="AJ467" s="267"/>
      <c r="AK467" s="259"/>
      <c r="AL467" s="226"/>
      <c r="AM467" s="225"/>
      <c r="AN467" s="225"/>
      <c r="AO467" s="254"/>
      <c r="AP467" s="225"/>
      <c r="AQ467" s="225"/>
      <c r="AR467" s="226"/>
      <c r="AS467" s="225"/>
      <c r="AT467" s="225"/>
      <c r="AU467" s="225"/>
      <c r="AV467" s="225"/>
      <c r="AW467" s="225"/>
      <c r="AX467" s="226"/>
      <c r="AY467" s="225"/>
      <c r="AZ467" s="225"/>
      <c r="BA467" s="226"/>
      <c r="BB467" s="225"/>
      <c r="BC467" s="225"/>
      <c r="BD467" s="225"/>
      <c r="BE467" s="225"/>
      <c r="BF467" s="225"/>
      <c r="BG467" s="225"/>
      <c r="BH467" s="225"/>
      <c r="BI467" s="225"/>
      <c r="BJ467" s="225"/>
      <c r="BK467" s="225"/>
      <c r="BL467" s="225"/>
      <c r="BM467" s="225"/>
      <c r="BN467" s="225"/>
      <c r="BO467" s="225"/>
      <c r="BP467" s="225"/>
      <c r="BQ467" s="225"/>
      <c r="BR467" s="225"/>
      <c r="BS467" s="225"/>
      <c r="BT467" s="226"/>
      <c r="BU467" s="225"/>
      <c r="BV467" s="225"/>
      <c r="BW467" s="225"/>
      <c r="BX467" s="225"/>
      <c r="BY467" s="225"/>
      <c r="BZ467" s="225"/>
    </row>
    <row r="468">
      <c r="A468" s="225"/>
      <c r="B468" s="225"/>
      <c r="C468" s="225"/>
      <c r="D468" s="226"/>
      <c r="E468" s="225"/>
      <c r="F468" s="225"/>
      <c r="G468" s="225"/>
      <c r="H468" s="225"/>
      <c r="I468" s="225"/>
      <c r="J468" s="225"/>
      <c r="K468" s="244"/>
      <c r="L468" s="225"/>
      <c r="M468" s="225"/>
      <c r="N468" s="225"/>
      <c r="O468" s="225"/>
      <c r="P468" s="225"/>
      <c r="Q468" s="227"/>
      <c r="R468" s="234"/>
      <c r="S468" s="225"/>
      <c r="T468" s="225"/>
      <c r="U468" s="225"/>
      <c r="V468" s="225"/>
      <c r="W468" s="225"/>
      <c r="X468" s="225"/>
      <c r="Y468" s="229"/>
      <c r="Z468" s="257"/>
      <c r="AA468" s="225"/>
      <c r="AB468" s="257"/>
      <c r="AC468" s="257"/>
      <c r="AD468" s="226"/>
      <c r="AE468" s="259"/>
      <c r="AF468" s="347"/>
      <c r="AG468" s="232"/>
      <c r="AH468" s="257"/>
      <c r="AI468" s="225"/>
      <c r="AJ468" s="267"/>
      <c r="AK468" s="259"/>
      <c r="AL468" s="226"/>
      <c r="AM468" s="225"/>
      <c r="AN468" s="225"/>
      <c r="AO468" s="254"/>
      <c r="AP468" s="225"/>
      <c r="AQ468" s="225"/>
      <c r="AR468" s="226"/>
      <c r="AS468" s="225"/>
      <c r="AT468" s="225"/>
      <c r="AU468" s="225"/>
      <c r="AV468" s="225"/>
      <c r="AW468" s="225"/>
      <c r="AX468" s="226"/>
      <c r="AY468" s="225"/>
      <c r="AZ468" s="225"/>
      <c r="BA468" s="226"/>
      <c r="BB468" s="225"/>
      <c r="BC468" s="225"/>
      <c r="BD468" s="225"/>
      <c r="BE468" s="225"/>
      <c r="BF468" s="225"/>
      <c r="BG468" s="225"/>
      <c r="BH468" s="225"/>
      <c r="BI468" s="225"/>
      <c r="BJ468" s="225"/>
      <c r="BK468" s="225"/>
      <c r="BL468" s="225"/>
      <c r="BM468" s="225"/>
      <c r="BN468" s="225"/>
      <c r="BO468" s="225"/>
      <c r="BP468" s="225"/>
      <c r="BQ468" s="225"/>
      <c r="BR468" s="225"/>
      <c r="BS468" s="225"/>
      <c r="BT468" s="226"/>
      <c r="BU468" s="225"/>
      <c r="BV468" s="225"/>
      <c r="BW468" s="225"/>
      <c r="BX468" s="225"/>
      <c r="BY468" s="225"/>
      <c r="BZ468" s="225"/>
    </row>
    <row r="469">
      <c r="A469" s="225"/>
      <c r="B469" s="225"/>
      <c r="C469" s="225"/>
      <c r="D469" s="226"/>
      <c r="E469" s="225"/>
      <c r="F469" s="225"/>
      <c r="G469" s="225"/>
      <c r="H469" s="225"/>
      <c r="I469" s="225"/>
      <c r="J469" s="225"/>
      <c r="K469" s="244"/>
      <c r="L469" s="225"/>
      <c r="M469" s="225"/>
      <c r="N469" s="225"/>
      <c r="O469" s="225"/>
      <c r="P469" s="225"/>
      <c r="Q469" s="227"/>
      <c r="R469" s="234"/>
      <c r="S469" s="225"/>
      <c r="T469" s="225"/>
      <c r="U469" s="225"/>
      <c r="V469" s="225"/>
      <c r="W469" s="225"/>
      <c r="X469" s="225"/>
      <c r="Y469" s="229"/>
      <c r="Z469" s="257"/>
      <c r="AA469" s="225"/>
      <c r="AB469" s="257"/>
      <c r="AC469" s="257"/>
      <c r="AD469" s="226"/>
      <c r="AE469" s="259"/>
      <c r="AF469" s="347"/>
      <c r="AG469" s="232"/>
      <c r="AH469" s="257"/>
      <c r="AI469" s="225"/>
      <c r="AJ469" s="267"/>
      <c r="AK469" s="259"/>
      <c r="AL469" s="226"/>
      <c r="AM469" s="225"/>
      <c r="AN469" s="225"/>
      <c r="AO469" s="254"/>
      <c r="AP469" s="225"/>
      <c r="AQ469" s="225"/>
      <c r="AR469" s="226"/>
      <c r="AS469" s="225"/>
      <c r="AT469" s="225"/>
      <c r="AU469" s="225"/>
      <c r="AV469" s="225"/>
      <c r="AW469" s="225"/>
      <c r="AX469" s="226"/>
      <c r="AY469" s="225"/>
      <c r="AZ469" s="225"/>
      <c r="BA469" s="226"/>
      <c r="BB469" s="225"/>
      <c r="BC469" s="225"/>
      <c r="BD469" s="225"/>
      <c r="BE469" s="225"/>
      <c r="BF469" s="225"/>
      <c r="BG469" s="225"/>
      <c r="BH469" s="225"/>
      <c r="BI469" s="225"/>
      <c r="BJ469" s="225"/>
      <c r="BK469" s="225"/>
      <c r="BL469" s="225"/>
      <c r="BM469" s="225"/>
      <c r="BN469" s="225"/>
      <c r="BO469" s="225"/>
      <c r="BP469" s="225"/>
      <c r="BQ469" s="225"/>
      <c r="BR469" s="225"/>
      <c r="BS469" s="225"/>
      <c r="BT469" s="226"/>
      <c r="BU469" s="225"/>
      <c r="BV469" s="225"/>
      <c r="BW469" s="225"/>
      <c r="BX469" s="225"/>
      <c r="BY469" s="225"/>
      <c r="BZ469" s="225"/>
    </row>
    <row r="470">
      <c r="A470" s="225"/>
      <c r="B470" s="225"/>
      <c r="C470" s="225"/>
      <c r="D470" s="226"/>
      <c r="E470" s="225"/>
      <c r="F470" s="225"/>
      <c r="G470" s="225"/>
      <c r="H470" s="225"/>
      <c r="I470" s="225"/>
      <c r="J470" s="225"/>
      <c r="K470" s="244"/>
      <c r="L470" s="225"/>
      <c r="M470" s="225"/>
      <c r="N470" s="225"/>
      <c r="O470" s="225"/>
      <c r="P470" s="225"/>
      <c r="Q470" s="227"/>
      <c r="R470" s="234"/>
      <c r="S470" s="225"/>
      <c r="T470" s="225"/>
      <c r="U470" s="225"/>
      <c r="V470" s="225"/>
      <c r="W470" s="225"/>
      <c r="X470" s="225"/>
      <c r="Y470" s="229"/>
      <c r="Z470" s="257"/>
      <c r="AA470" s="225"/>
      <c r="AB470" s="257"/>
      <c r="AC470" s="257"/>
      <c r="AD470" s="226"/>
      <c r="AE470" s="259"/>
      <c r="AF470" s="347"/>
      <c r="AG470" s="232"/>
      <c r="AH470" s="257"/>
      <c r="AI470" s="225"/>
      <c r="AJ470" s="267"/>
      <c r="AK470" s="259"/>
      <c r="AL470" s="226"/>
      <c r="AM470" s="225"/>
      <c r="AN470" s="225"/>
      <c r="AO470" s="254"/>
      <c r="AP470" s="225"/>
      <c r="AQ470" s="225"/>
      <c r="AR470" s="226"/>
      <c r="AS470" s="225"/>
      <c r="AT470" s="225"/>
      <c r="AU470" s="225"/>
      <c r="AV470" s="225"/>
      <c r="AW470" s="225"/>
      <c r="AX470" s="226"/>
      <c r="AY470" s="225"/>
      <c r="AZ470" s="225"/>
      <c r="BA470" s="226"/>
      <c r="BB470" s="225"/>
      <c r="BC470" s="225"/>
      <c r="BD470" s="225"/>
      <c r="BE470" s="225"/>
      <c r="BF470" s="225"/>
      <c r="BG470" s="225"/>
      <c r="BH470" s="225"/>
      <c r="BI470" s="225"/>
      <c r="BJ470" s="225"/>
      <c r="BK470" s="225"/>
      <c r="BL470" s="225"/>
      <c r="BM470" s="225"/>
      <c r="BN470" s="225"/>
      <c r="BO470" s="225"/>
      <c r="BP470" s="225"/>
      <c r="BQ470" s="225"/>
      <c r="BR470" s="225"/>
      <c r="BS470" s="225"/>
      <c r="BT470" s="226"/>
      <c r="BU470" s="225"/>
      <c r="BV470" s="225"/>
      <c r="BW470" s="225"/>
      <c r="BX470" s="225"/>
      <c r="BY470" s="225"/>
      <c r="BZ470" s="225"/>
    </row>
    <row r="471">
      <c r="A471" s="225"/>
      <c r="B471" s="225"/>
      <c r="C471" s="225"/>
      <c r="D471" s="226"/>
      <c r="E471" s="225"/>
      <c r="F471" s="225"/>
      <c r="G471" s="225"/>
      <c r="H471" s="225"/>
      <c r="I471" s="225"/>
      <c r="J471" s="225"/>
      <c r="K471" s="244"/>
      <c r="L471" s="225"/>
      <c r="M471" s="225"/>
      <c r="N471" s="225"/>
      <c r="O471" s="225"/>
      <c r="P471" s="225"/>
      <c r="Q471" s="227"/>
      <c r="R471" s="234"/>
      <c r="S471" s="225"/>
      <c r="T471" s="225"/>
      <c r="U471" s="225"/>
      <c r="V471" s="225"/>
      <c r="W471" s="225"/>
      <c r="X471" s="225"/>
      <c r="Y471" s="229"/>
      <c r="Z471" s="257"/>
      <c r="AA471" s="225"/>
      <c r="AB471" s="257"/>
      <c r="AC471" s="257"/>
      <c r="AD471" s="226"/>
      <c r="AE471" s="259"/>
      <c r="AF471" s="347"/>
      <c r="AG471" s="232"/>
      <c r="AH471" s="257"/>
      <c r="AI471" s="225"/>
      <c r="AJ471" s="267"/>
      <c r="AK471" s="259"/>
      <c r="AL471" s="226"/>
      <c r="AM471" s="225"/>
      <c r="AN471" s="225"/>
      <c r="AO471" s="254"/>
      <c r="AP471" s="225"/>
      <c r="AQ471" s="225"/>
      <c r="AR471" s="226"/>
      <c r="AS471" s="225"/>
      <c r="AT471" s="225"/>
      <c r="AU471" s="225"/>
      <c r="AV471" s="225"/>
      <c r="AW471" s="225"/>
      <c r="AX471" s="226"/>
      <c r="AY471" s="225"/>
      <c r="AZ471" s="225"/>
      <c r="BA471" s="226"/>
      <c r="BB471" s="225"/>
      <c r="BC471" s="225"/>
      <c r="BD471" s="225"/>
      <c r="BE471" s="225"/>
      <c r="BF471" s="225"/>
      <c r="BG471" s="225"/>
      <c r="BH471" s="225"/>
      <c r="BI471" s="225"/>
      <c r="BJ471" s="225"/>
      <c r="BK471" s="225"/>
      <c r="BL471" s="225"/>
      <c r="BM471" s="225"/>
      <c r="BN471" s="225"/>
      <c r="BO471" s="225"/>
      <c r="BP471" s="225"/>
      <c r="BQ471" s="225"/>
      <c r="BR471" s="225"/>
      <c r="BS471" s="225"/>
      <c r="BT471" s="226"/>
      <c r="BU471" s="225"/>
      <c r="BV471" s="225"/>
      <c r="BW471" s="225"/>
      <c r="BX471" s="225"/>
      <c r="BY471" s="225"/>
      <c r="BZ471" s="225"/>
    </row>
    <row r="472">
      <c r="A472" s="225"/>
      <c r="B472" s="225"/>
      <c r="C472" s="225"/>
      <c r="D472" s="226"/>
      <c r="E472" s="225"/>
      <c r="F472" s="225"/>
      <c r="G472" s="225"/>
      <c r="H472" s="225"/>
      <c r="I472" s="225"/>
      <c r="J472" s="225"/>
      <c r="K472" s="244"/>
      <c r="L472" s="225"/>
      <c r="M472" s="225"/>
      <c r="N472" s="225"/>
      <c r="O472" s="225"/>
      <c r="P472" s="225"/>
      <c r="Q472" s="227"/>
      <c r="R472" s="234"/>
      <c r="S472" s="225"/>
      <c r="T472" s="225"/>
      <c r="U472" s="225"/>
      <c r="V472" s="225"/>
      <c r="W472" s="225"/>
      <c r="X472" s="225"/>
      <c r="Y472" s="229"/>
      <c r="Z472" s="257"/>
      <c r="AA472" s="225"/>
      <c r="AB472" s="257"/>
      <c r="AC472" s="257"/>
      <c r="AD472" s="226"/>
      <c r="AE472" s="259"/>
      <c r="AF472" s="347"/>
      <c r="AG472" s="232"/>
      <c r="AH472" s="257"/>
      <c r="AI472" s="225"/>
      <c r="AJ472" s="267"/>
      <c r="AK472" s="259"/>
      <c r="AL472" s="226"/>
      <c r="AM472" s="225"/>
      <c r="AN472" s="225"/>
      <c r="AO472" s="254"/>
      <c r="AP472" s="225"/>
      <c r="AQ472" s="225"/>
      <c r="AR472" s="226"/>
      <c r="AS472" s="225"/>
      <c r="AT472" s="225"/>
      <c r="AU472" s="225"/>
      <c r="AV472" s="225"/>
      <c r="AW472" s="225"/>
      <c r="AX472" s="226"/>
      <c r="AY472" s="225"/>
      <c r="AZ472" s="225"/>
      <c r="BA472" s="226"/>
      <c r="BB472" s="225"/>
      <c r="BC472" s="225"/>
      <c r="BD472" s="225"/>
      <c r="BE472" s="225"/>
      <c r="BF472" s="225"/>
      <c r="BG472" s="225"/>
      <c r="BH472" s="225"/>
      <c r="BI472" s="225"/>
      <c r="BJ472" s="225"/>
      <c r="BK472" s="225"/>
      <c r="BL472" s="225"/>
      <c r="BM472" s="225"/>
      <c r="BN472" s="225"/>
      <c r="BO472" s="225"/>
      <c r="BP472" s="225"/>
      <c r="BQ472" s="225"/>
      <c r="BR472" s="225"/>
      <c r="BS472" s="225"/>
      <c r="BT472" s="226"/>
      <c r="BU472" s="225"/>
      <c r="BV472" s="225"/>
      <c r="BW472" s="225"/>
      <c r="BX472" s="225"/>
      <c r="BY472" s="225"/>
      <c r="BZ472" s="225"/>
    </row>
    <row r="473">
      <c r="A473" s="225"/>
      <c r="B473" s="225"/>
      <c r="C473" s="225"/>
      <c r="D473" s="226"/>
      <c r="E473" s="225"/>
      <c r="F473" s="225"/>
      <c r="G473" s="225"/>
      <c r="H473" s="225"/>
      <c r="I473" s="225"/>
      <c r="J473" s="225"/>
      <c r="K473" s="244"/>
      <c r="L473" s="225"/>
      <c r="M473" s="225"/>
      <c r="N473" s="225"/>
      <c r="O473" s="225"/>
      <c r="P473" s="225"/>
      <c r="Q473" s="227"/>
      <c r="R473" s="234"/>
      <c r="S473" s="225"/>
      <c r="T473" s="225"/>
      <c r="U473" s="225"/>
      <c r="V473" s="225"/>
      <c r="W473" s="225"/>
      <c r="X473" s="225"/>
      <c r="Y473" s="229"/>
      <c r="Z473" s="257"/>
      <c r="AA473" s="225"/>
      <c r="AB473" s="257"/>
      <c r="AC473" s="257"/>
      <c r="AD473" s="226"/>
      <c r="AE473" s="259"/>
      <c r="AF473" s="347"/>
      <c r="AG473" s="232"/>
      <c r="AH473" s="257"/>
      <c r="AI473" s="225"/>
      <c r="AJ473" s="267"/>
      <c r="AK473" s="259"/>
      <c r="AL473" s="226"/>
      <c r="AM473" s="225"/>
      <c r="AN473" s="225"/>
      <c r="AO473" s="254"/>
      <c r="AP473" s="225"/>
      <c r="AQ473" s="225"/>
      <c r="AR473" s="226"/>
      <c r="AS473" s="225"/>
      <c r="AT473" s="225"/>
      <c r="AU473" s="225"/>
      <c r="AV473" s="225"/>
      <c r="AW473" s="225"/>
      <c r="AX473" s="226"/>
      <c r="AY473" s="225"/>
      <c r="AZ473" s="225"/>
      <c r="BA473" s="226"/>
      <c r="BB473" s="225"/>
      <c r="BC473" s="225"/>
      <c r="BD473" s="225"/>
      <c r="BE473" s="225"/>
      <c r="BF473" s="225"/>
      <c r="BG473" s="225"/>
      <c r="BH473" s="225"/>
      <c r="BI473" s="225"/>
      <c r="BJ473" s="225"/>
      <c r="BK473" s="225"/>
      <c r="BL473" s="225"/>
      <c r="BM473" s="225"/>
      <c r="BN473" s="225"/>
      <c r="BO473" s="225"/>
      <c r="BP473" s="225"/>
      <c r="BQ473" s="225"/>
      <c r="BR473" s="225"/>
      <c r="BS473" s="225"/>
      <c r="BT473" s="226"/>
      <c r="BU473" s="225"/>
      <c r="BV473" s="225"/>
      <c r="BW473" s="225"/>
      <c r="BX473" s="225"/>
      <c r="BY473" s="225"/>
      <c r="BZ473" s="225"/>
    </row>
    <row r="474">
      <c r="A474" s="225"/>
      <c r="B474" s="225"/>
      <c r="C474" s="225"/>
      <c r="D474" s="226"/>
      <c r="E474" s="225"/>
      <c r="F474" s="225"/>
      <c r="G474" s="225"/>
      <c r="H474" s="225"/>
      <c r="I474" s="225"/>
      <c r="J474" s="225"/>
      <c r="K474" s="244"/>
      <c r="L474" s="225"/>
      <c r="M474" s="225"/>
      <c r="N474" s="225"/>
      <c r="O474" s="225"/>
      <c r="P474" s="225"/>
      <c r="Q474" s="227"/>
      <c r="R474" s="234"/>
      <c r="S474" s="225"/>
      <c r="T474" s="225"/>
      <c r="U474" s="225"/>
      <c r="V474" s="225"/>
      <c r="W474" s="225"/>
      <c r="X474" s="225"/>
      <c r="Y474" s="229"/>
      <c r="Z474" s="257"/>
      <c r="AA474" s="225"/>
      <c r="AB474" s="257"/>
      <c r="AC474" s="257"/>
      <c r="AD474" s="226"/>
      <c r="AE474" s="259"/>
      <c r="AF474" s="347"/>
      <c r="AG474" s="232"/>
      <c r="AH474" s="257"/>
      <c r="AI474" s="225"/>
      <c r="AJ474" s="267"/>
      <c r="AK474" s="259"/>
      <c r="AL474" s="226"/>
      <c r="AM474" s="225"/>
      <c r="AN474" s="225"/>
      <c r="AO474" s="254"/>
      <c r="AP474" s="225"/>
      <c r="AQ474" s="225"/>
      <c r="AR474" s="226"/>
      <c r="AS474" s="225"/>
      <c r="AT474" s="225"/>
      <c r="AU474" s="225"/>
      <c r="AV474" s="225"/>
      <c r="AW474" s="225"/>
      <c r="AX474" s="226"/>
      <c r="AY474" s="225"/>
      <c r="AZ474" s="225"/>
      <c r="BA474" s="226"/>
      <c r="BB474" s="225"/>
      <c r="BC474" s="225"/>
      <c r="BD474" s="225"/>
      <c r="BE474" s="225"/>
      <c r="BF474" s="225"/>
      <c r="BG474" s="225"/>
      <c r="BH474" s="225"/>
      <c r="BI474" s="225"/>
      <c r="BJ474" s="225"/>
      <c r="BK474" s="225"/>
      <c r="BL474" s="225"/>
      <c r="BM474" s="225"/>
      <c r="BN474" s="225"/>
      <c r="BO474" s="225"/>
      <c r="BP474" s="225"/>
      <c r="BQ474" s="225"/>
      <c r="BR474" s="225"/>
      <c r="BS474" s="225"/>
      <c r="BT474" s="226"/>
      <c r="BU474" s="225"/>
      <c r="BV474" s="225"/>
      <c r="BW474" s="225"/>
      <c r="BX474" s="225"/>
      <c r="BY474" s="225"/>
      <c r="BZ474" s="225"/>
    </row>
    <row r="475">
      <c r="A475" s="225"/>
      <c r="B475" s="225"/>
      <c r="C475" s="225"/>
      <c r="D475" s="226"/>
      <c r="E475" s="225"/>
      <c r="F475" s="225"/>
      <c r="G475" s="225"/>
      <c r="H475" s="225"/>
      <c r="I475" s="225"/>
      <c r="J475" s="225"/>
      <c r="K475" s="244"/>
      <c r="L475" s="225"/>
      <c r="M475" s="225"/>
      <c r="N475" s="225"/>
      <c r="O475" s="225"/>
      <c r="P475" s="225"/>
      <c r="Q475" s="227"/>
      <c r="R475" s="234"/>
      <c r="S475" s="225"/>
      <c r="T475" s="225"/>
      <c r="U475" s="225"/>
      <c r="V475" s="225"/>
      <c r="W475" s="225"/>
      <c r="X475" s="225"/>
      <c r="Y475" s="229"/>
      <c r="Z475" s="257"/>
      <c r="AA475" s="225"/>
      <c r="AB475" s="257"/>
      <c r="AC475" s="257"/>
      <c r="AD475" s="226"/>
      <c r="AE475" s="259"/>
      <c r="AF475" s="347"/>
      <c r="AG475" s="232"/>
      <c r="AH475" s="257"/>
      <c r="AI475" s="225"/>
      <c r="AJ475" s="267"/>
      <c r="AK475" s="259"/>
      <c r="AL475" s="226"/>
      <c r="AM475" s="225"/>
      <c r="AN475" s="225"/>
      <c r="AO475" s="254"/>
      <c r="AP475" s="225"/>
      <c r="AQ475" s="225"/>
      <c r="AR475" s="226"/>
      <c r="AS475" s="225"/>
      <c r="AT475" s="225"/>
      <c r="AU475" s="225"/>
      <c r="AV475" s="225"/>
      <c r="AW475" s="225"/>
      <c r="AX475" s="226"/>
      <c r="AY475" s="225"/>
      <c r="AZ475" s="225"/>
      <c r="BA475" s="226"/>
      <c r="BB475" s="225"/>
      <c r="BC475" s="225"/>
      <c r="BD475" s="225"/>
      <c r="BE475" s="225"/>
      <c r="BF475" s="225"/>
      <c r="BG475" s="225"/>
      <c r="BH475" s="225"/>
      <c r="BI475" s="225"/>
      <c r="BJ475" s="225"/>
      <c r="BK475" s="225"/>
      <c r="BL475" s="225"/>
      <c r="BM475" s="225"/>
      <c r="BN475" s="225"/>
      <c r="BO475" s="225"/>
      <c r="BP475" s="225"/>
      <c r="BQ475" s="225"/>
      <c r="BR475" s="225"/>
      <c r="BS475" s="225"/>
      <c r="BT475" s="226"/>
      <c r="BU475" s="225"/>
      <c r="BV475" s="225"/>
      <c r="BW475" s="225"/>
      <c r="BX475" s="225"/>
      <c r="BY475" s="225"/>
      <c r="BZ475" s="225"/>
    </row>
    <row r="476">
      <c r="A476" s="225"/>
      <c r="B476" s="225"/>
      <c r="C476" s="225"/>
      <c r="D476" s="226"/>
      <c r="E476" s="225"/>
      <c r="F476" s="225"/>
      <c r="G476" s="225"/>
      <c r="H476" s="225"/>
      <c r="I476" s="225"/>
      <c r="J476" s="225"/>
      <c r="K476" s="244"/>
      <c r="L476" s="225"/>
      <c r="M476" s="225"/>
      <c r="N476" s="225"/>
      <c r="O476" s="225"/>
      <c r="P476" s="225"/>
      <c r="Q476" s="227"/>
      <c r="R476" s="234"/>
      <c r="S476" s="225"/>
      <c r="T476" s="225"/>
      <c r="U476" s="225"/>
      <c r="V476" s="225"/>
      <c r="W476" s="225"/>
      <c r="X476" s="225"/>
      <c r="Y476" s="229"/>
      <c r="Z476" s="257"/>
      <c r="AA476" s="225"/>
      <c r="AB476" s="257"/>
      <c r="AC476" s="257"/>
      <c r="AD476" s="226"/>
      <c r="AE476" s="259"/>
      <c r="AF476" s="347"/>
      <c r="AG476" s="232"/>
      <c r="AH476" s="257"/>
      <c r="AI476" s="225"/>
      <c r="AJ476" s="267"/>
      <c r="AK476" s="259"/>
      <c r="AL476" s="226"/>
      <c r="AM476" s="225"/>
      <c r="AN476" s="225"/>
      <c r="AO476" s="254"/>
      <c r="AP476" s="225"/>
      <c r="AQ476" s="225"/>
      <c r="AR476" s="226"/>
      <c r="AS476" s="225"/>
      <c r="AT476" s="225"/>
      <c r="AU476" s="225"/>
      <c r="AV476" s="225"/>
      <c r="AW476" s="225"/>
      <c r="AX476" s="226"/>
      <c r="AY476" s="225"/>
      <c r="AZ476" s="225"/>
      <c r="BA476" s="226"/>
      <c r="BB476" s="225"/>
      <c r="BC476" s="225"/>
      <c r="BD476" s="225"/>
      <c r="BE476" s="225"/>
      <c r="BF476" s="225"/>
      <c r="BG476" s="225"/>
      <c r="BH476" s="225"/>
      <c r="BI476" s="225"/>
      <c r="BJ476" s="225"/>
      <c r="BK476" s="225"/>
      <c r="BL476" s="225"/>
      <c r="BM476" s="225"/>
      <c r="BN476" s="225"/>
      <c r="BO476" s="225"/>
      <c r="BP476" s="225"/>
      <c r="BQ476" s="225"/>
      <c r="BR476" s="225"/>
      <c r="BS476" s="225"/>
      <c r="BT476" s="226"/>
      <c r="BU476" s="225"/>
      <c r="BV476" s="225"/>
      <c r="BW476" s="225"/>
      <c r="BX476" s="225"/>
      <c r="BY476" s="225"/>
      <c r="BZ476" s="225"/>
    </row>
    <row r="477">
      <c r="A477" s="225"/>
      <c r="B477" s="225"/>
      <c r="C477" s="225"/>
      <c r="D477" s="226"/>
      <c r="E477" s="225"/>
      <c r="F477" s="225"/>
      <c r="G477" s="225"/>
      <c r="H477" s="225"/>
      <c r="I477" s="225"/>
      <c r="J477" s="225"/>
      <c r="K477" s="244"/>
      <c r="L477" s="225"/>
      <c r="M477" s="225"/>
      <c r="N477" s="225"/>
      <c r="O477" s="225"/>
      <c r="P477" s="225"/>
      <c r="Q477" s="227"/>
      <c r="R477" s="234"/>
      <c r="S477" s="225"/>
      <c r="T477" s="225"/>
      <c r="U477" s="225"/>
      <c r="V477" s="225"/>
      <c r="W477" s="225"/>
      <c r="X477" s="225"/>
      <c r="Y477" s="229"/>
      <c r="Z477" s="257"/>
      <c r="AA477" s="225"/>
      <c r="AB477" s="257"/>
      <c r="AC477" s="257"/>
      <c r="AD477" s="226"/>
      <c r="AE477" s="259"/>
      <c r="AF477" s="347"/>
      <c r="AG477" s="232"/>
      <c r="AH477" s="257"/>
      <c r="AI477" s="225"/>
      <c r="AJ477" s="267"/>
      <c r="AK477" s="259"/>
      <c r="AL477" s="226"/>
      <c r="AM477" s="225"/>
      <c r="AN477" s="225"/>
      <c r="AO477" s="254"/>
      <c r="AP477" s="225"/>
      <c r="AQ477" s="225"/>
      <c r="AR477" s="226"/>
      <c r="AS477" s="225"/>
      <c r="AT477" s="225"/>
      <c r="AU477" s="225"/>
      <c r="AV477" s="225"/>
      <c r="AW477" s="225"/>
      <c r="AX477" s="226"/>
      <c r="AY477" s="225"/>
      <c r="AZ477" s="225"/>
      <c r="BA477" s="226"/>
      <c r="BB477" s="225"/>
      <c r="BC477" s="225"/>
      <c r="BD477" s="225"/>
      <c r="BE477" s="225"/>
      <c r="BF477" s="225"/>
      <c r="BG477" s="225"/>
      <c r="BH477" s="225"/>
      <c r="BI477" s="225"/>
      <c r="BJ477" s="225"/>
      <c r="BK477" s="225"/>
      <c r="BL477" s="225"/>
      <c r="BM477" s="225"/>
      <c r="BN477" s="225"/>
      <c r="BO477" s="225"/>
      <c r="BP477" s="225"/>
      <c r="BQ477" s="225"/>
      <c r="BR477" s="225"/>
      <c r="BS477" s="225"/>
      <c r="BT477" s="226"/>
      <c r="BU477" s="225"/>
      <c r="BV477" s="225"/>
      <c r="BW477" s="225"/>
      <c r="BX477" s="225"/>
      <c r="BY477" s="225"/>
      <c r="BZ477" s="225"/>
    </row>
    <row r="478">
      <c r="A478" s="225"/>
      <c r="B478" s="225"/>
      <c r="C478" s="225"/>
      <c r="D478" s="226"/>
      <c r="E478" s="225"/>
      <c r="F478" s="225"/>
      <c r="G478" s="225"/>
      <c r="H478" s="225"/>
      <c r="I478" s="225"/>
      <c r="J478" s="225"/>
      <c r="K478" s="244"/>
      <c r="L478" s="225"/>
      <c r="M478" s="225"/>
      <c r="N478" s="225"/>
      <c r="O478" s="225"/>
      <c r="P478" s="225"/>
      <c r="Q478" s="227"/>
      <c r="R478" s="234"/>
      <c r="S478" s="225"/>
      <c r="T478" s="225"/>
      <c r="U478" s="225"/>
      <c r="V478" s="225"/>
      <c r="W478" s="225"/>
      <c r="X478" s="225"/>
      <c r="Y478" s="229"/>
      <c r="Z478" s="257"/>
      <c r="AA478" s="225"/>
      <c r="AB478" s="257"/>
      <c r="AC478" s="257"/>
      <c r="AD478" s="226"/>
      <c r="AE478" s="259"/>
      <c r="AF478" s="347"/>
      <c r="AG478" s="232"/>
      <c r="AH478" s="257"/>
      <c r="AI478" s="225"/>
      <c r="AJ478" s="267"/>
      <c r="AK478" s="259"/>
      <c r="AL478" s="226"/>
      <c r="AM478" s="225"/>
      <c r="AN478" s="225"/>
      <c r="AO478" s="254"/>
      <c r="AP478" s="225"/>
      <c r="AQ478" s="225"/>
      <c r="AR478" s="226"/>
      <c r="AS478" s="225"/>
      <c r="AT478" s="225"/>
      <c r="AU478" s="225"/>
      <c r="AV478" s="225"/>
      <c r="AW478" s="225"/>
      <c r="AX478" s="226"/>
      <c r="AY478" s="225"/>
      <c r="AZ478" s="225"/>
      <c r="BA478" s="226"/>
      <c r="BB478" s="225"/>
      <c r="BC478" s="225"/>
      <c r="BD478" s="225"/>
      <c r="BE478" s="225"/>
      <c r="BF478" s="225"/>
      <c r="BG478" s="225"/>
      <c r="BH478" s="225"/>
      <c r="BI478" s="225"/>
      <c r="BJ478" s="225"/>
      <c r="BK478" s="225"/>
      <c r="BL478" s="225"/>
      <c r="BM478" s="225"/>
      <c r="BN478" s="225"/>
      <c r="BO478" s="225"/>
      <c r="BP478" s="225"/>
      <c r="BQ478" s="225"/>
      <c r="BR478" s="225"/>
      <c r="BS478" s="225"/>
      <c r="BT478" s="226"/>
      <c r="BU478" s="225"/>
      <c r="BV478" s="225"/>
      <c r="BW478" s="225"/>
      <c r="BX478" s="225"/>
      <c r="BY478" s="225"/>
      <c r="BZ478" s="225"/>
    </row>
    <row r="479">
      <c r="A479" s="225"/>
      <c r="B479" s="225"/>
      <c r="C479" s="225"/>
      <c r="D479" s="226"/>
      <c r="E479" s="225"/>
      <c r="F479" s="225"/>
      <c r="G479" s="225"/>
      <c r="H479" s="225"/>
      <c r="I479" s="225"/>
      <c r="J479" s="225"/>
      <c r="K479" s="244"/>
      <c r="L479" s="225"/>
      <c r="M479" s="225"/>
      <c r="N479" s="225"/>
      <c r="O479" s="225"/>
      <c r="P479" s="225"/>
      <c r="Q479" s="227"/>
      <c r="R479" s="234"/>
      <c r="S479" s="225"/>
      <c r="T479" s="225"/>
      <c r="U479" s="225"/>
      <c r="V479" s="225"/>
      <c r="W479" s="225"/>
      <c r="X479" s="225"/>
      <c r="Y479" s="229"/>
      <c r="Z479" s="257"/>
      <c r="AA479" s="225"/>
      <c r="AB479" s="257"/>
      <c r="AC479" s="257"/>
      <c r="AD479" s="226"/>
      <c r="AE479" s="259"/>
      <c r="AF479" s="347"/>
      <c r="AG479" s="232"/>
      <c r="AH479" s="257"/>
      <c r="AI479" s="225"/>
      <c r="AJ479" s="267"/>
      <c r="AK479" s="259"/>
      <c r="AL479" s="226"/>
      <c r="AM479" s="225"/>
      <c r="AN479" s="225"/>
      <c r="AO479" s="254"/>
      <c r="AP479" s="225"/>
      <c r="AQ479" s="225"/>
      <c r="AR479" s="226"/>
      <c r="AS479" s="225"/>
      <c r="AT479" s="225"/>
      <c r="AU479" s="225"/>
      <c r="AV479" s="225"/>
      <c r="AW479" s="225"/>
      <c r="AX479" s="226"/>
      <c r="AY479" s="225"/>
      <c r="AZ479" s="225"/>
      <c r="BA479" s="226"/>
      <c r="BB479" s="225"/>
      <c r="BC479" s="225"/>
      <c r="BD479" s="225"/>
      <c r="BE479" s="225"/>
      <c r="BF479" s="225"/>
      <c r="BG479" s="225"/>
      <c r="BH479" s="225"/>
      <c r="BI479" s="225"/>
      <c r="BJ479" s="225"/>
      <c r="BK479" s="225"/>
      <c r="BL479" s="225"/>
      <c r="BM479" s="225"/>
      <c r="BN479" s="225"/>
      <c r="BO479" s="225"/>
      <c r="BP479" s="225"/>
      <c r="BQ479" s="225"/>
      <c r="BR479" s="225"/>
      <c r="BS479" s="225"/>
      <c r="BT479" s="226"/>
      <c r="BU479" s="225"/>
      <c r="BV479" s="225"/>
      <c r="BW479" s="225"/>
      <c r="BX479" s="225"/>
      <c r="BY479" s="225"/>
      <c r="BZ479" s="225"/>
    </row>
    <row r="480">
      <c r="A480" s="225"/>
      <c r="B480" s="225"/>
      <c r="C480" s="225"/>
      <c r="D480" s="226"/>
      <c r="E480" s="225"/>
      <c r="F480" s="225"/>
      <c r="G480" s="225"/>
      <c r="H480" s="225"/>
      <c r="I480" s="225"/>
      <c r="J480" s="225"/>
      <c r="K480" s="244"/>
      <c r="L480" s="225"/>
      <c r="M480" s="225"/>
      <c r="N480" s="225"/>
      <c r="O480" s="225"/>
      <c r="P480" s="225"/>
      <c r="Q480" s="227"/>
      <c r="R480" s="234"/>
      <c r="S480" s="225"/>
      <c r="T480" s="225"/>
      <c r="U480" s="225"/>
      <c r="V480" s="225"/>
      <c r="W480" s="225"/>
      <c r="X480" s="225"/>
      <c r="Y480" s="229"/>
      <c r="Z480" s="257"/>
      <c r="AA480" s="225"/>
      <c r="AB480" s="257"/>
      <c r="AC480" s="257"/>
      <c r="AD480" s="226"/>
      <c r="AE480" s="259"/>
      <c r="AF480" s="347"/>
      <c r="AG480" s="232"/>
      <c r="AH480" s="257"/>
      <c r="AI480" s="225"/>
      <c r="AJ480" s="267"/>
      <c r="AK480" s="259"/>
      <c r="AL480" s="226"/>
      <c r="AM480" s="225"/>
      <c r="AN480" s="225"/>
      <c r="AO480" s="254"/>
      <c r="AP480" s="225"/>
      <c r="AQ480" s="225"/>
      <c r="AR480" s="226"/>
      <c r="AS480" s="225"/>
      <c r="AT480" s="225"/>
      <c r="AU480" s="225"/>
      <c r="AV480" s="225"/>
      <c r="AW480" s="225"/>
      <c r="AX480" s="226"/>
      <c r="AY480" s="225"/>
      <c r="AZ480" s="225"/>
      <c r="BA480" s="226"/>
      <c r="BB480" s="225"/>
      <c r="BC480" s="225"/>
      <c r="BD480" s="225"/>
      <c r="BE480" s="225"/>
      <c r="BF480" s="225"/>
      <c r="BG480" s="225"/>
      <c r="BH480" s="225"/>
      <c r="BI480" s="225"/>
      <c r="BJ480" s="225"/>
      <c r="BK480" s="225"/>
      <c r="BL480" s="225"/>
      <c r="BM480" s="225"/>
      <c r="BN480" s="225"/>
      <c r="BO480" s="225"/>
      <c r="BP480" s="225"/>
      <c r="BQ480" s="225"/>
      <c r="BR480" s="225"/>
      <c r="BS480" s="225"/>
      <c r="BT480" s="226"/>
      <c r="BU480" s="225"/>
      <c r="BV480" s="225"/>
      <c r="BW480" s="225"/>
      <c r="BX480" s="225"/>
      <c r="BY480" s="225"/>
      <c r="BZ480" s="225"/>
    </row>
    <row r="481">
      <c r="A481" s="225"/>
      <c r="B481" s="225"/>
      <c r="C481" s="225"/>
      <c r="D481" s="226"/>
      <c r="E481" s="225"/>
      <c r="F481" s="225"/>
      <c r="G481" s="225"/>
      <c r="H481" s="225"/>
      <c r="I481" s="225"/>
      <c r="J481" s="225"/>
      <c r="K481" s="244"/>
      <c r="L481" s="225"/>
      <c r="M481" s="225"/>
      <c r="N481" s="225"/>
      <c r="O481" s="225"/>
      <c r="P481" s="225"/>
      <c r="Q481" s="227"/>
      <c r="R481" s="234"/>
      <c r="S481" s="225"/>
      <c r="T481" s="225"/>
      <c r="U481" s="225"/>
      <c r="V481" s="225"/>
      <c r="W481" s="225"/>
      <c r="X481" s="225"/>
      <c r="Y481" s="229"/>
      <c r="Z481" s="257"/>
      <c r="AA481" s="225"/>
      <c r="AB481" s="257"/>
      <c r="AC481" s="257"/>
      <c r="AD481" s="226"/>
      <c r="AE481" s="259"/>
      <c r="AF481" s="347"/>
      <c r="AG481" s="232"/>
      <c r="AH481" s="257"/>
      <c r="AI481" s="225"/>
      <c r="AJ481" s="267"/>
      <c r="AK481" s="259"/>
      <c r="AL481" s="226"/>
      <c r="AM481" s="225"/>
      <c r="AN481" s="225"/>
      <c r="AO481" s="254"/>
      <c r="AP481" s="225"/>
      <c r="AQ481" s="225"/>
      <c r="AR481" s="226"/>
      <c r="AS481" s="225"/>
      <c r="AT481" s="225"/>
      <c r="AU481" s="225"/>
      <c r="AV481" s="225"/>
      <c r="AW481" s="225"/>
      <c r="AX481" s="226"/>
      <c r="AY481" s="225"/>
      <c r="AZ481" s="225"/>
      <c r="BA481" s="226"/>
      <c r="BB481" s="225"/>
      <c r="BC481" s="225"/>
      <c r="BD481" s="225"/>
      <c r="BE481" s="225"/>
      <c r="BF481" s="225"/>
      <c r="BG481" s="225"/>
      <c r="BH481" s="225"/>
      <c r="BI481" s="225"/>
      <c r="BJ481" s="225"/>
      <c r="BK481" s="225"/>
      <c r="BL481" s="225"/>
      <c r="BM481" s="225"/>
      <c r="BN481" s="225"/>
      <c r="BO481" s="225"/>
      <c r="BP481" s="225"/>
      <c r="BQ481" s="225"/>
      <c r="BR481" s="225"/>
      <c r="BS481" s="225"/>
      <c r="BT481" s="226"/>
      <c r="BU481" s="225"/>
      <c r="BV481" s="225"/>
      <c r="BW481" s="225"/>
      <c r="BX481" s="225"/>
      <c r="BY481" s="225"/>
      <c r="BZ481" s="225"/>
    </row>
    <row r="482">
      <c r="A482" s="225"/>
      <c r="B482" s="225"/>
      <c r="C482" s="225"/>
      <c r="D482" s="226"/>
      <c r="E482" s="225"/>
      <c r="F482" s="225"/>
      <c r="G482" s="225"/>
      <c r="H482" s="225"/>
      <c r="I482" s="225"/>
      <c r="J482" s="225"/>
      <c r="K482" s="244"/>
      <c r="L482" s="225"/>
      <c r="M482" s="225"/>
      <c r="N482" s="225"/>
      <c r="O482" s="225"/>
      <c r="P482" s="225"/>
      <c r="Q482" s="227"/>
      <c r="R482" s="234"/>
      <c r="S482" s="225"/>
      <c r="T482" s="225"/>
      <c r="U482" s="225"/>
      <c r="V482" s="225"/>
      <c r="W482" s="225"/>
      <c r="X482" s="225"/>
      <c r="Y482" s="229"/>
      <c r="Z482" s="257"/>
      <c r="AA482" s="225"/>
      <c r="AB482" s="257"/>
      <c r="AC482" s="257"/>
      <c r="AD482" s="226"/>
      <c r="AE482" s="259"/>
      <c r="AF482" s="347"/>
      <c r="AG482" s="232"/>
      <c r="AH482" s="257"/>
      <c r="AI482" s="225"/>
      <c r="AJ482" s="267"/>
      <c r="AK482" s="259"/>
      <c r="AL482" s="226"/>
      <c r="AM482" s="225"/>
      <c r="AN482" s="225"/>
      <c r="AO482" s="254"/>
      <c r="AP482" s="225"/>
      <c r="AQ482" s="225"/>
      <c r="AR482" s="226"/>
      <c r="AS482" s="225"/>
      <c r="AT482" s="225"/>
      <c r="AU482" s="225"/>
      <c r="AV482" s="225"/>
      <c r="AW482" s="225"/>
      <c r="AX482" s="226"/>
      <c r="AY482" s="225"/>
      <c r="AZ482" s="225"/>
      <c r="BA482" s="226"/>
      <c r="BB482" s="225"/>
      <c r="BC482" s="225"/>
      <c r="BD482" s="225"/>
      <c r="BE482" s="225"/>
      <c r="BF482" s="225"/>
      <c r="BG482" s="225"/>
      <c r="BH482" s="225"/>
      <c r="BI482" s="225"/>
      <c r="BJ482" s="225"/>
      <c r="BK482" s="225"/>
      <c r="BL482" s="225"/>
      <c r="BM482" s="225"/>
      <c r="BN482" s="225"/>
      <c r="BO482" s="225"/>
      <c r="BP482" s="225"/>
      <c r="BQ482" s="225"/>
      <c r="BR482" s="225"/>
      <c r="BS482" s="225"/>
      <c r="BT482" s="226"/>
      <c r="BU482" s="225"/>
      <c r="BV482" s="225"/>
      <c r="BW482" s="225"/>
      <c r="BX482" s="225"/>
      <c r="BY482" s="225"/>
      <c r="BZ482" s="225"/>
    </row>
    <row r="483">
      <c r="A483" s="225"/>
      <c r="B483" s="225"/>
      <c r="C483" s="225"/>
      <c r="D483" s="226"/>
      <c r="E483" s="225"/>
      <c r="F483" s="225"/>
      <c r="G483" s="225"/>
      <c r="H483" s="225"/>
      <c r="I483" s="225"/>
      <c r="J483" s="225"/>
      <c r="K483" s="244"/>
      <c r="L483" s="225"/>
      <c r="M483" s="225"/>
      <c r="N483" s="225"/>
      <c r="O483" s="225"/>
      <c r="P483" s="225"/>
      <c r="Q483" s="227"/>
      <c r="R483" s="234"/>
      <c r="S483" s="225"/>
      <c r="T483" s="225"/>
      <c r="U483" s="225"/>
      <c r="V483" s="225"/>
      <c r="W483" s="225"/>
      <c r="X483" s="225"/>
      <c r="Y483" s="229"/>
      <c r="Z483" s="257"/>
      <c r="AA483" s="225"/>
      <c r="AB483" s="257"/>
      <c r="AC483" s="257"/>
      <c r="AD483" s="226"/>
      <c r="AE483" s="259"/>
      <c r="AF483" s="347"/>
      <c r="AG483" s="232"/>
      <c r="AH483" s="257"/>
      <c r="AI483" s="225"/>
      <c r="AJ483" s="267"/>
      <c r="AK483" s="259"/>
      <c r="AL483" s="226"/>
      <c r="AM483" s="225"/>
      <c r="AN483" s="225"/>
      <c r="AO483" s="254"/>
      <c r="AP483" s="225"/>
      <c r="AQ483" s="225"/>
      <c r="AR483" s="226"/>
      <c r="AS483" s="225"/>
      <c r="AT483" s="225"/>
      <c r="AU483" s="225"/>
      <c r="AV483" s="225"/>
      <c r="AW483" s="225"/>
      <c r="AX483" s="226"/>
      <c r="AY483" s="225"/>
      <c r="AZ483" s="225"/>
      <c r="BA483" s="226"/>
      <c r="BB483" s="225"/>
      <c r="BC483" s="225"/>
      <c r="BD483" s="225"/>
      <c r="BE483" s="225"/>
      <c r="BF483" s="225"/>
      <c r="BG483" s="225"/>
      <c r="BH483" s="225"/>
      <c r="BI483" s="225"/>
      <c r="BJ483" s="225"/>
      <c r="BK483" s="225"/>
      <c r="BL483" s="225"/>
      <c r="BM483" s="225"/>
      <c r="BN483" s="225"/>
      <c r="BO483" s="225"/>
      <c r="BP483" s="225"/>
      <c r="BQ483" s="225"/>
      <c r="BR483" s="225"/>
      <c r="BS483" s="225"/>
      <c r="BT483" s="226"/>
      <c r="BU483" s="225"/>
      <c r="BV483" s="225"/>
      <c r="BW483" s="225"/>
      <c r="BX483" s="225"/>
      <c r="BY483" s="225"/>
      <c r="BZ483" s="225"/>
    </row>
    <row r="484">
      <c r="A484" s="225"/>
      <c r="B484" s="225"/>
      <c r="C484" s="225"/>
      <c r="D484" s="226"/>
      <c r="E484" s="225"/>
      <c r="F484" s="225"/>
      <c r="G484" s="225"/>
      <c r="H484" s="225"/>
      <c r="I484" s="225"/>
      <c r="J484" s="225"/>
      <c r="K484" s="244"/>
      <c r="L484" s="225"/>
      <c r="M484" s="225"/>
      <c r="N484" s="225"/>
      <c r="O484" s="225"/>
      <c r="P484" s="225"/>
      <c r="Q484" s="227"/>
      <c r="R484" s="234"/>
      <c r="S484" s="225"/>
      <c r="T484" s="225"/>
      <c r="U484" s="225"/>
      <c r="V484" s="225"/>
      <c r="W484" s="225"/>
      <c r="X484" s="225"/>
      <c r="Y484" s="229"/>
      <c r="Z484" s="257"/>
      <c r="AA484" s="225"/>
      <c r="AB484" s="257"/>
      <c r="AC484" s="257"/>
      <c r="AD484" s="226"/>
      <c r="AE484" s="259"/>
      <c r="AF484" s="347"/>
      <c r="AG484" s="232"/>
      <c r="AH484" s="257"/>
      <c r="AI484" s="225"/>
      <c r="AJ484" s="267"/>
      <c r="AK484" s="259"/>
      <c r="AL484" s="226"/>
      <c r="AM484" s="225"/>
      <c r="AN484" s="225"/>
      <c r="AO484" s="254"/>
      <c r="AP484" s="225"/>
      <c r="AQ484" s="225"/>
      <c r="AR484" s="226"/>
      <c r="AS484" s="225"/>
      <c r="AT484" s="225"/>
      <c r="AU484" s="225"/>
      <c r="AV484" s="225"/>
      <c r="AW484" s="225"/>
      <c r="AX484" s="226"/>
      <c r="AY484" s="225"/>
      <c r="AZ484" s="225"/>
      <c r="BA484" s="226"/>
      <c r="BB484" s="225"/>
      <c r="BC484" s="225"/>
      <c r="BD484" s="225"/>
      <c r="BE484" s="225"/>
      <c r="BF484" s="225"/>
      <c r="BG484" s="225"/>
      <c r="BH484" s="225"/>
      <c r="BI484" s="225"/>
      <c r="BJ484" s="225"/>
      <c r="BK484" s="225"/>
      <c r="BL484" s="225"/>
      <c r="BM484" s="225"/>
      <c r="BN484" s="225"/>
      <c r="BO484" s="225"/>
      <c r="BP484" s="225"/>
      <c r="BQ484" s="225"/>
      <c r="BR484" s="225"/>
      <c r="BS484" s="225"/>
      <c r="BT484" s="226"/>
      <c r="BU484" s="225"/>
      <c r="BV484" s="225"/>
      <c r="BW484" s="225"/>
      <c r="BX484" s="225"/>
      <c r="BY484" s="225"/>
      <c r="BZ484" s="225"/>
    </row>
    <row r="485">
      <c r="A485" s="225"/>
      <c r="B485" s="225"/>
      <c r="C485" s="225"/>
      <c r="D485" s="226"/>
      <c r="E485" s="225"/>
      <c r="F485" s="225"/>
      <c r="G485" s="225"/>
      <c r="H485" s="225"/>
      <c r="I485" s="225"/>
      <c r="J485" s="225"/>
      <c r="K485" s="244"/>
      <c r="L485" s="225"/>
      <c r="M485" s="225"/>
      <c r="N485" s="225"/>
      <c r="O485" s="225"/>
      <c r="P485" s="225"/>
      <c r="Q485" s="227"/>
      <c r="R485" s="234"/>
      <c r="S485" s="225"/>
      <c r="T485" s="225"/>
      <c r="U485" s="225"/>
      <c r="V485" s="225"/>
      <c r="W485" s="225"/>
      <c r="X485" s="225"/>
      <c r="Y485" s="229"/>
      <c r="Z485" s="257"/>
      <c r="AA485" s="225"/>
      <c r="AB485" s="257"/>
      <c r="AC485" s="257"/>
      <c r="AD485" s="226"/>
      <c r="AE485" s="259"/>
      <c r="AF485" s="347"/>
      <c r="AG485" s="232"/>
      <c r="AH485" s="257"/>
      <c r="AI485" s="225"/>
      <c r="AJ485" s="267"/>
      <c r="AK485" s="259"/>
      <c r="AL485" s="226"/>
      <c r="AM485" s="225"/>
      <c r="AN485" s="225"/>
      <c r="AO485" s="254"/>
      <c r="AP485" s="225"/>
      <c r="AQ485" s="225"/>
      <c r="AR485" s="226"/>
      <c r="AS485" s="225"/>
      <c r="AT485" s="225"/>
      <c r="AU485" s="225"/>
      <c r="AV485" s="225"/>
      <c r="AW485" s="225"/>
      <c r="AX485" s="226"/>
      <c r="AY485" s="225"/>
      <c r="AZ485" s="225"/>
      <c r="BA485" s="226"/>
      <c r="BB485" s="225"/>
      <c r="BC485" s="225"/>
      <c r="BD485" s="225"/>
      <c r="BE485" s="225"/>
      <c r="BF485" s="225"/>
      <c r="BG485" s="225"/>
      <c r="BH485" s="225"/>
      <c r="BI485" s="225"/>
      <c r="BJ485" s="225"/>
      <c r="BK485" s="225"/>
      <c r="BL485" s="225"/>
      <c r="BM485" s="225"/>
      <c r="BN485" s="225"/>
      <c r="BO485" s="225"/>
      <c r="BP485" s="225"/>
      <c r="BQ485" s="225"/>
      <c r="BR485" s="225"/>
      <c r="BS485" s="225"/>
      <c r="BT485" s="226"/>
      <c r="BU485" s="225"/>
      <c r="BV485" s="225"/>
      <c r="BW485" s="225"/>
      <c r="BX485" s="225"/>
      <c r="BY485" s="225"/>
      <c r="BZ485" s="225"/>
    </row>
    <row r="486">
      <c r="A486" s="225"/>
      <c r="B486" s="225"/>
      <c r="C486" s="225"/>
      <c r="D486" s="226"/>
      <c r="E486" s="225"/>
      <c r="F486" s="225"/>
      <c r="G486" s="225"/>
      <c r="H486" s="225"/>
      <c r="I486" s="225"/>
      <c r="J486" s="225"/>
      <c r="K486" s="244"/>
      <c r="L486" s="225"/>
      <c r="M486" s="225"/>
      <c r="N486" s="225"/>
      <c r="O486" s="225"/>
      <c r="P486" s="225"/>
      <c r="Q486" s="227"/>
      <c r="R486" s="234"/>
      <c r="S486" s="225"/>
      <c r="T486" s="225"/>
      <c r="U486" s="225"/>
      <c r="V486" s="225"/>
      <c r="W486" s="225"/>
      <c r="X486" s="225"/>
      <c r="Y486" s="229"/>
      <c r="Z486" s="257"/>
      <c r="AA486" s="225"/>
      <c r="AB486" s="257"/>
      <c r="AC486" s="257"/>
      <c r="AD486" s="226"/>
      <c r="AE486" s="259"/>
      <c r="AF486" s="347"/>
      <c r="AG486" s="232"/>
      <c r="AH486" s="257"/>
      <c r="AI486" s="225"/>
      <c r="AJ486" s="267"/>
      <c r="AK486" s="259"/>
      <c r="AL486" s="226"/>
      <c r="AM486" s="225"/>
      <c r="AN486" s="225"/>
      <c r="AO486" s="254"/>
      <c r="AP486" s="225"/>
      <c r="AQ486" s="225"/>
      <c r="AR486" s="226"/>
      <c r="AS486" s="225"/>
      <c r="AT486" s="225"/>
      <c r="AU486" s="225"/>
      <c r="AV486" s="225"/>
      <c r="AW486" s="225"/>
      <c r="AX486" s="226"/>
      <c r="AY486" s="225"/>
      <c r="AZ486" s="225"/>
      <c r="BA486" s="226"/>
      <c r="BB486" s="225"/>
      <c r="BC486" s="225"/>
      <c r="BD486" s="225"/>
      <c r="BE486" s="225"/>
      <c r="BF486" s="225"/>
      <c r="BG486" s="225"/>
      <c r="BH486" s="225"/>
      <c r="BI486" s="225"/>
      <c r="BJ486" s="225"/>
      <c r="BK486" s="225"/>
      <c r="BL486" s="225"/>
      <c r="BM486" s="225"/>
      <c r="BN486" s="225"/>
      <c r="BO486" s="225"/>
      <c r="BP486" s="225"/>
      <c r="BQ486" s="225"/>
      <c r="BR486" s="225"/>
      <c r="BS486" s="225"/>
      <c r="BT486" s="226"/>
      <c r="BU486" s="225"/>
      <c r="BV486" s="225"/>
      <c r="BW486" s="225"/>
      <c r="BX486" s="225"/>
      <c r="BY486" s="225"/>
      <c r="BZ486" s="225"/>
    </row>
    <row r="487">
      <c r="A487" s="225"/>
      <c r="B487" s="225"/>
      <c r="C487" s="225"/>
      <c r="D487" s="226"/>
      <c r="E487" s="225"/>
      <c r="F487" s="225"/>
      <c r="G487" s="225"/>
      <c r="H487" s="225"/>
      <c r="I487" s="225"/>
      <c r="J487" s="225"/>
      <c r="K487" s="244"/>
      <c r="L487" s="225"/>
      <c r="M487" s="225"/>
      <c r="N487" s="225"/>
      <c r="O487" s="225"/>
      <c r="P487" s="225"/>
      <c r="Q487" s="227"/>
      <c r="R487" s="234"/>
      <c r="S487" s="225"/>
      <c r="T487" s="225"/>
      <c r="U487" s="225"/>
      <c r="V487" s="225"/>
      <c r="W487" s="225"/>
      <c r="X487" s="225"/>
      <c r="Y487" s="229"/>
      <c r="Z487" s="257"/>
      <c r="AA487" s="225"/>
      <c r="AB487" s="257"/>
      <c r="AC487" s="257"/>
      <c r="AD487" s="226"/>
      <c r="AE487" s="259"/>
      <c r="AF487" s="347"/>
      <c r="AG487" s="232"/>
      <c r="AH487" s="257"/>
      <c r="AI487" s="225"/>
      <c r="AJ487" s="267"/>
      <c r="AK487" s="259"/>
      <c r="AL487" s="226"/>
      <c r="AM487" s="225"/>
      <c r="AN487" s="225"/>
      <c r="AO487" s="254"/>
      <c r="AP487" s="225"/>
      <c r="AQ487" s="225"/>
      <c r="AR487" s="226"/>
      <c r="AS487" s="225"/>
      <c r="AT487" s="225"/>
      <c r="AU487" s="225"/>
      <c r="AV487" s="225"/>
      <c r="AW487" s="225"/>
      <c r="AX487" s="226"/>
      <c r="AY487" s="225"/>
      <c r="AZ487" s="225"/>
      <c r="BA487" s="226"/>
      <c r="BB487" s="225"/>
      <c r="BC487" s="225"/>
      <c r="BD487" s="225"/>
      <c r="BE487" s="225"/>
      <c r="BF487" s="225"/>
      <c r="BG487" s="225"/>
      <c r="BH487" s="225"/>
      <c r="BI487" s="225"/>
      <c r="BJ487" s="225"/>
      <c r="BK487" s="225"/>
      <c r="BL487" s="225"/>
      <c r="BM487" s="225"/>
      <c r="BN487" s="225"/>
      <c r="BO487" s="225"/>
      <c r="BP487" s="225"/>
      <c r="BQ487" s="225"/>
      <c r="BR487" s="225"/>
      <c r="BS487" s="225"/>
      <c r="BT487" s="226"/>
      <c r="BU487" s="225"/>
      <c r="BV487" s="225"/>
      <c r="BW487" s="225"/>
      <c r="BX487" s="225"/>
      <c r="BY487" s="225"/>
      <c r="BZ487" s="225"/>
    </row>
    <row r="488">
      <c r="A488" s="225"/>
      <c r="B488" s="225"/>
      <c r="C488" s="225"/>
      <c r="D488" s="226"/>
      <c r="E488" s="225"/>
      <c r="F488" s="225"/>
      <c r="G488" s="225"/>
      <c r="H488" s="225"/>
      <c r="I488" s="225"/>
      <c r="J488" s="225"/>
      <c r="K488" s="244"/>
      <c r="L488" s="225"/>
      <c r="M488" s="225"/>
      <c r="N488" s="225"/>
      <c r="O488" s="225"/>
      <c r="P488" s="225"/>
      <c r="Q488" s="227"/>
      <c r="R488" s="234"/>
      <c r="S488" s="225"/>
      <c r="T488" s="225"/>
      <c r="U488" s="225"/>
      <c r="V488" s="225"/>
      <c r="W488" s="225"/>
      <c r="X488" s="225"/>
      <c r="Y488" s="229"/>
      <c r="Z488" s="257"/>
      <c r="AA488" s="225"/>
      <c r="AB488" s="257"/>
      <c r="AC488" s="257"/>
      <c r="AD488" s="226"/>
      <c r="AE488" s="259"/>
      <c r="AF488" s="347"/>
      <c r="AG488" s="232"/>
      <c r="AH488" s="257"/>
      <c r="AI488" s="225"/>
      <c r="AJ488" s="267"/>
      <c r="AK488" s="259"/>
      <c r="AL488" s="226"/>
      <c r="AM488" s="225"/>
      <c r="AN488" s="225"/>
      <c r="AO488" s="254"/>
      <c r="AP488" s="225"/>
      <c r="AQ488" s="225"/>
      <c r="AR488" s="226"/>
      <c r="AS488" s="225"/>
      <c r="AT488" s="225"/>
      <c r="AU488" s="225"/>
      <c r="AV488" s="225"/>
      <c r="AW488" s="225"/>
      <c r="AX488" s="226"/>
      <c r="AY488" s="225"/>
      <c r="AZ488" s="225"/>
      <c r="BA488" s="226"/>
      <c r="BB488" s="225"/>
      <c r="BC488" s="225"/>
      <c r="BD488" s="225"/>
      <c r="BE488" s="225"/>
      <c r="BF488" s="225"/>
      <c r="BG488" s="225"/>
      <c r="BH488" s="225"/>
      <c r="BI488" s="225"/>
      <c r="BJ488" s="225"/>
      <c r="BK488" s="225"/>
      <c r="BL488" s="225"/>
      <c r="BM488" s="225"/>
      <c r="BN488" s="225"/>
      <c r="BO488" s="225"/>
      <c r="BP488" s="225"/>
      <c r="BQ488" s="225"/>
      <c r="BR488" s="225"/>
      <c r="BS488" s="225"/>
      <c r="BT488" s="226"/>
      <c r="BU488" s="225"/>
      <c r="BV488" s="225"/>
      <c r="BW488" s="225"/>
      <c r="BX488" s="225"/>
      <c r="BY488" s="225"/>
      <c r="BZ488" s="225"/>
    </row>
    <row r="489">
      <c r="A489" s="225"/>
      <c r="B489" s="225"/>
      <c r="C489" s="225"/>
      <c r="D489" s="226"/>
      <c r="E489" s="225"/>
      <c r="F489" s="225"/>
      <c r="G489" s="225"/>
      <c r="H489" s="225"/>
      <c r="I489" s="225"/>
      <c r="J489" s="225"/>
      <c r="K489" s="244"/>
      <c r="L489" s="225"/>
      <c r="M489" s="225"/>
      <c r="N489" s="225"/>
      <c r="O489" s="225"/>
      <c r="P489" s="225"/>
      <c r="Q489" s="227"/>
      <c r="R489" s="234"/>
      <c r="S489" s="225"/>
      <c r="T489" s="225"/>
      <c r="U489" s="225"/>
      <c r="V489" s="225"/>
      <c r="W489" s="225"/>
      <c r="X489" s="225"/>
      <c r="Y489" s="229"/>
      <c r="Z489" s="257"/>
      <c r="AA489" s="225"/>
      <c r="AB489" s="257"/>
      <c r="AC489" s="257"/>
      <c r="AD489" s="226"/>
      <c r="AE489" s="259"/>
      <c r="AF489" s="347"/>
      <c r="AG489" s="232"/>
      <c r="AH489" s="257"/>
      <c r="AI489" s="225"/>
      <c r="AJ489" s="267"/>
      <c r="AK489" s="259"/>
      <c r="AL489" s="226"/>
      <c r="AM489" s="225"/>
      <c r="AN489" s="225"/>
      <c r="AO489" s="254"/>
      <c r="AP489" s="225"/>
      <c r="AQ489" s="225"/>
      <c r="AR489" s="226"/>
      <c r="AS489" s="225"/>
      <c r="AT489" s="225"/>
      <c r="AU489" s="225"/>
      <c r="AV489" s="225"/>
      <c r="AW489" s="225"/>
      <c r="AX489" s="226"/>
      <c r="AY489" s="225"/>
      <c r="AZ489" s="225"/>
      <c r="BA489" s="226"/>
      <c r="BB489" s="225"/>
      <c r="BC489" s="225"/>
      <c r="BD489" s="225"/>
      <c r="BE489" s="225"/>
      <c r="BF489" s="225"/>
      <c r="BG489" s="225"/>
      <c r="BH489" s="225"/>
      <c r="BI489" s="225"/>
      <c r="BJ489" s="225"/>
      <c r="BK489" s="225"/>
      <c r="BL489" s="225"/>
      <c r="BM489" s="225"/>
      <c r="BN489" s="225"/>
      <c r="BO489" s="225"/>
      <c r="BP489" s="225"/>
      <c r="BQ489" s="225"/>
      <c r="BR489" s="225"/>
      <c r="BS489" s="225"/>
      <c r="BT489" s="226"/>
      <c r="BU489" s="225"/>
      <c r="BV489" s="225"/>
      <c r="BW489" s="225"/>
      <c r="BX489" s="225"/>
      <c r="BY489" s="225"/>
      <c r="BZ489" s="225"/>
    </row>
    <row r="490">
      <c r="A490" s="225"/>
      <c r="B490" s="225"/>
      <c r="C490" s="225"/>
      <c r="D490" s="226"/>
      <c r="E490" s="225"/>
      <c r="F490" s="225"/>
      <c r="G490" s="225"/>
      <c r="H490" s="225"/>
      <c r="I490" s="225"/>
      <c r="J490" s="225"/>
      <c r="K490" s="244"/>
      <c r="L490" s="225"/>
      <c r="M490" s="225"/>
      <c r="N490" s="225"/>
      <c r="O490" s="225"/>
      <c r="P490" s="225"/>
      <c r="Q490" s="227"/>
      <c r="R490" s="234"/>
      <c r="S490" s="225"/>
      <c r="T490" s="225"/>
      <c r="U490" s="225"/>
      <c r="V490" s="225"/>
      <c r="W490" s="225"/>
      <c r="X490" s="225"/>
      <c r="Y490" s="229"/>
      <c r="Z490" s="257"/>
      <c r="AA490" s="225"/>
      <c r="AB490" s="257"/>
      <c r="AC490" s="257"/>
      <c r="AD490" s="226"/>
      <c r="AE490" s="259"/>
      <c r="AF490" s="347"/>
      <c r="AG490" s="232"/>
      <c r="AH490" s="257"/>
      <c r="AI490" s="225"/>
      <c r="AJ490" s="267"/>
      <c r="AK490" s="259"/>
      <c r="AL490" s="226"/>
      <c r="AM490" s="225"/>
      <c r="AN490" s="225"/>
      <c r="AO490" s="254"/>
      <c r="AP490" s="225"/>
      <c r="AQ490" s="225"/>
      <c r="AR490" s="226"/>
      <c r="AS490" s="225"/>
      <c r="AT490" s="225"/>
      <c r="AU490" s="225"/>
      <c r="AV490" s="225"/>
      <c r="AW490" s="225"/>
      <c r="AX490" s="226"/>
      <c r="AY490" s="225"/>
      <c r="AZ490" s="225"/>
      <c r="BA490" s="226"/>
      <c r="BB490" s="225"/>
      <c r="BC490" s="225"/>
      <c r="BD490" s="225"/>
      <c r="BE490" s="225"/>
      <c r="BF490" s="225"/>
      <c r="BG490" s="225"/>
      <c r="BH490" s="225"/>
      <c r="BI490" s="225"/>
      <c r="BJ490" s="225"/>
      <c r="BK490" s="225"/>
      <c r="BL490" s="225"/>
      <c r="BM490" s="225"/>
      <c r="BN490" s="225"/>
      <c r="BO490" s="225"/>
      <c r="BP490" s="225"/>
      <c r="BQ490" s="225"/>
      <c r="BR490" s="225"/>
      <c r="BS490" s="225"/>
      <c r="BT490" s="226"/>
      <c r="BU490" s="225"/>
      <c r="BV490" s="225"/>
      <c r="BW490" s="225"/>
      <c r="BX490" s="225"/>
      <c r="BY490" s="225"/>
      <c r="BZ490" s="225"/>
    </row>
    <row r="491">
      <c r="A491" s="225"/>
      <c r="B491" s="225"/>
      <c r="C491" s="225"/>
      <c r="D491" s="226"/>
      <c r="E491" s="225"/>
      <c r="F491" s="225"/>
      <c r="G491" s="225"/>
      <c r="H491" s="225"/>
      <c r="I491" s="225"/>
      <c r="J491" s="225"/>
      <c r="K491" s="244"/>
      <c r="L491" s="225"/>
      <c r="M491" s="225"/>
      <c r="N491" s="225"/>
      <c r="O491" s="225"/>
      <c r="P491" s="225"/>
      <c r="Q491" s="227"/>
      <c r="R491" s="234"/>
      <c r="S491" s="225"/>
      <c r="T491" s="225"/>
      <c r="U491" s="225"/>
      <c r="V491" s="225"/>
      <c r="W491" s="225"/>
      <c r="X491" s="225"/>
      <c r="Y491" s="229"/>
      <c r="Z491" s="257"/>
      <c r="AA491" s="225"/>
      <c r="AB491" s="257"/>
      <c r="AC491" s="257"/>
      <c r="AD491" s="226"/>
      <c r="AE491" s="259"/>
      <c r="AF491" s="347"/>
      <c r="AG491" s="232"/>
      <c r="AH491" s="257"/>
      <c r="AI491" s="225"/>
      <c r="AJ491" s="267"/>
      <c r="AK491" s="259"/>
      <c r="AL491" s="226"/>
      <c r="AM491" s="225"/>
      <c r="AN491" s="225"/>
      <c r="AO491" s="254"/>
      <c r="AP491" s="225"/>
      <c r="AQ491" s="225"/>
      <c r="AR491" s="226"/>
      <c r="AS491" s="225"/>
      <c r="AT491" s="225"/>
      <c r="AU491" s="225"/>
      <c r="AV491" s="225"/>
      <c r="AW491" s="225"/>
      <c r="AX491" s="226"/>
      <c r="AY491" s="225"/>
      <c r="AZ491" s="225"/>
      <c r="BA491" s="226"/>
      <c r="BB491" s="225"/>
      <c r="BC491" s="225"/>
      <c r="BD491" s="225"/>
      <c r="BE491" s="225"/>
      <c r="BF491" s="225"/>
      <c r="BG491" s="225"/>
      <c r="BH491" s="225"/>
      <c r="BI491" s="225"/>
      <c r="BJ491" s="225"/>
      <c r="BK491" s="225"/>
      <c r="BL491" s="225"/>
      <c r="BM491" s="225"/>
      <c r="BN491" s="225"/>
      <c r="BO491" s="225"/>
      <c r="BP491" s="225"/>
      <c r="BQ491" s="225"/>
      <c r="BR491" s="225"/>
      <c r="BS491" s="225"/>
      <c r="BT491" s="226"/>
      <c r="BU491" s="225"/>
      <c r="BV491" s="225"/>
      <c r="BW491" s="225"/>
      <c r="BX491" s="225"/>
      <c r="BY491" s="225"/>
      <c r="BZ491" s="225"/>
    </row>
    <row r="492">
      <c r="A492" s="284"/>
      <c r="B492" s="225"/>
      <c r="C492" s="225"/>
      <c r="D492" s="226"/>
      <c r="E492" s="225"/>
      <c r="F492" s="225"/>
      <c r="G492" s="225"/>
      <c r="H492" s="225"/>
      <c r="I492" s="225"/>
      <c r="J492" s="225"/>
      <c r="K492" s="244"/>
      <c r="L492" s="225"/>
      <c r="M492" s="225"/>
      <c r="N492" s="225"/>
      <c r="O492" s="225"/>
      <c r="P492" s="225"/>
      <c r="Q492" s="227"/>
      <c r="R492" s="234"/>
      <c r="S492" s="225"/>
      <c r="T492" s="225"/>
      <c r="U492" s="225"/>
      <c r="V492" s="225"/>
      <c r="W492" s="225"/>
      <c r="X492" s="225"/>
      <c r="Y492" s="229"/>
      <c r="Z492" s="257"/>
      <c r="AA492" s="225"/>
      <c r="AB492" s="257"/>
      <c r="AC492" s="257"/>
      <c r="AD492" s="226"/>
      <c r="AE492" s="259"/>
      <c r="AF492" s="347"/>
      <c r="AG492" s="232"/>
      <c r="AH492" s="257"/>
      <c r="AI492" s="225"/>
      <c r="AJ492" s="267"/>
      <c r="AK492" s="259"/>
      <c r="AL492" s="226"/>
      <c r="AM492" s="225"/>
      <c r="AN492" s="225"/>
      <c r="AO492" s="254"/>
      <c r="AP492" s="225"/>
      <c r="AQ492" s="225"/>
      <c r="AR492" s="226"/>
      <c r="AS492" s="225"/>
      <c r="AT492" s="225"/>
      <c r="AU492" s="225"/>
      <c r="AV492" s="225"/>
      <c r="AW492" s="225"/>
      <c r="AX492" s="226"/>
      <c r="AY492" s="225"/>
      <c r="AZ492" s="225"/>
      <c r="BA492" s="226"/>
      <c r="BB492" s="225"/>
      <c r="BC492" s="225"/>
      <c r="BD492" s="225"/>
      <c r="BE492" s="225"/>
      <c r="BF492" s="225"/>
      <c r="BG492" s="225"/>
      <c r="BH492" s="225"/>
      <c r="BI492" s="225"/>
      <c r="BJ492" s="225"/>
      <c r="BK492" s="225"/>
      <c r="BL492" s="225"/>
      <c r="BM492" s="225"/>
      <c r="BN492" s="225"/>
      <c r="BO492" s="225"/>
      <c r="BP492" s="225"/>
      <c r="BQ492" s="225"/>
      <c r="BR492" s="225"/>
      <c r="BS492" s="225"/>
      <c r="BT492" s="226"/>
      <c r="BU492" s="225"/>
      <c r="BV492" s="225"/>
      <c r="BW492" s="225"/>
      <c r="BX492" s="225"/>
      <c r="BY492" s="225"/>
      <c r="BZ492" s="225"/>
    </row>
    <row r="493">
      <c r="A493" s="225"/>
      <c r="B493" s="225"/>
      <c r="C493" s="225"/>
      <c r="D493" s="226"/>
      <c r="E493" s="225"/>
      <c r="F493" s="225"/>
      <c r="G493" s="225"/>
      <c r="H493" s="225"/>
      <c r="I493" s="225"/>
      <c r="J493" s="225"/>
      <c r="K493" s="244"/>
      <c r="L493" s="225"/>
      <c r="M493" s="225"/>
      <c r="N493" s="225"/>
      <c r="O493" s="225"/>
      <c r="P493" s="225"/>
      <c r="Q493" s="227"/>
      <c r="R493" s="234"/>
      <c r="S493" s="225"/>
      <c r="T493" s="225"/>
      <c r="U493" s="225"/>
      <c r="V493" s="225"/>
      <c r="W493" s="225"/>
      <c r="X493" s="225"/>
      <c r="Y493" s="229"/>
      <c r="Z493" s="257"/>
      <c r="AA493" s="225"/>
      <c r="AB493" s="257"/>
      <c r="AC493" s="257"/>
      <c r="AD493" s="226"/>
      <c r="AE493" s="259"/>
      <c r="AF493" s="347"/>
      <c r="AG493" s="232"/>
      <c r="AH493" s="257"/>
      <c r="AI493" s="225"/>
      <c r="AJ493" s="267"/>
      <c r="AK493" s="259"/>
      <c r="AL493" s="226"/>
      <c r="AM493" s="225"/>
      <c r="AN493" s="225"/>
      <c r="AO493" s="254"/>
      <c r="AP493" s="225"/>
      <c r="AQ493" s="225"/>
      <c r="AR493" s="226"/>
      <c r="AS493" s="225"/>
      <c r="AT493" s="225"/>
      <c r="AU493" s="225"/>
      <c r="AV493" s="225"/>
      <c r="AW493" s="225"/>
      <c r="AX493" s="226"/>
      <c r="AY493" s="225"/>
      <c r="AZ493" s="225"/>
      <c r="BA493" s="226"/>
      <c r="BB493" s="225"/>
      <c r="BC493" s="225"/>
      <c r="BD493" s="225"/>
      <c r="BE493" s="225"/>
      <c r="BF493" s="225"/>
      <c r="BG493" s="225"/>
      <c r="BH493" s="225"/>
      <c r="BI493" s="225"/>
      <c r="BJ493" s="225"/>
      <c r="BK493" s="225"/>
      <c r="BL493" s="225"/>
      <c r="BM493" s="225"/>
      <c r="BN493" s="225"/>
      <c r="BO493" s="225"/>
      <c r="BP493" s="225"/>
      <c r="BQ493" s="225"/>
      <c r="BR493" s="225"/>
      <c r="BS493" s="225"/>
      <c r="BT493" s="226"/>
      <c r="BU493" s="225"/>
      <c r="BV493" s="225"/>
      <c r="BW493" s="225"/>
      <c r="BX493" s="225"/>
      <c r="BY493" s="225"/>
      <c r="BZ493" s="225"/>
    </row>
    <row r="494">
      <c r="A494" s="225"/>
      <c r="B494" s="225"/>
      <c r="C494" s="225"/>
      <c r="D494" s="226"/>
      <c r="E494" s="225"/>
      <c r="F494" s="225"/>
      <c r="G494" s="225"/>
      <c r="H494" s="225"/>
      <c r="I494" s="225"/>
      <c r="J494" s="225"/>
      <c r="K494" s="244"/>
      <c r="L494" s="225"/>
      <c r="M494" s="225"/>
      <c r="N494" s="225"/>
      <c r="O494" s="225"/>
      <c r="P494" s="225"/>
      <c r="Q494" s="227"/>
      <c r="R494" s="234"/>
      <c r="S494" s="225"/>
      <c r="T494" s="225"/>
      <c r="U494" s="225"/>
      <c r="V494" s="225"/>
      <c r="W494" s="225"/>
      <c r="X494" s="225"/>
      <c r="Y494" s="229"/>
      <c r="Z494" s="257"/>
      <c r="AA494" s="225"/>
      <c r="AB494" s="257"/>
      <c r="AC494" s="257"/>
      <c r="AD494" s="226"/>
      <c r="AE494" s="259"/>
      <c r="AF494" s="347"/>
      <c r="AG494" s="232"/>
      <c r="AH494" s="257"/>
      <c r="AI494" s="225"/>
      <c r="AJ494" s="267"/>
      <c r="AK494" s="259"/>
      <c r="AL494" s="226"/>
      <c r="AM494" s="225"/>
      <c r="AN494" s="225"/>
      <c r="AO494" s="254"/>
      <c r="AP494" s="225"/>
      <c r="AQ494" s="225"/>
      <c r="AR494" s="226"/>
      <c r="AS494" s="225"/>
      <c r="AT494" s="225"/>
      <c r="AU494" s="225"/>
      <c r="AV494" s="225"/>
      <c r="AW494" s="225"/>
      <c r="AX494" s="226"/>
      <c r="AY494" s="225"/>
      <c r="AZ494" s="225"/>
      <c r="BA494" s="226"/>
      <c r="BB494" s="225"/>
      <c r="BC494" s="225"/>
      <c r="BD494" s="225"/>
      <c r="BE494" s="225"/>
      <c r="BF494" s="225"/>
      <c r="BG494" s="225"/>
      <c r="BH494" s="225"/>
      <c r="BI494" s="225"/>
      <c r="BJ494" s="225"/>
      <c r="BK494" s="225"/>
      <c r="BL494" s="225"/>
      <c r="BM494" s="225"/>
      <c r="BN494" s="225"/>
      <c r="BO494" s="225"/>
      <c r="BP494" s="225"/>
      <c r="BQ494" s="225"/>
      <c r="BR494" s="225"/>
      <c r="BS494" s="225"/>
      <c r="BT494" s="226"/>
      <c r="BU494" s="225"/>
      <c r="BV494" s="225"/>
      <c r="BW494" s="225"/>
      <c r="BX494" s="225"/>
      <c r="BY494" s="225"/>
      <c r="BZ494" s="225"/>
    </row>
    <row r="495">
      <c r="A495" s="225"/>
      <c r="B495" s="225"/>
      <c r="C495" s="225"/>
      <c r="D495" s="226"/>
      <c r="E495" s="225"/>
      <c r="F495" s="225"/>
      <c r="G495" s="225"/>
      <c r="H495" s="225"/>
      <c r="I495" s="225"/>
      <c r="J495" s="225"/>
      <c r="K495" s="244"/>
      <c r="L495" s="225"/>
      <c r="M495" s="225"/>
      <c r="N495" s="225"/>
      <c r="O495" s="225"/>
      <c r="P495" s="225"/>
      <c r="Q495" s="227"/>
      <c r="R495" s="234"/>
      <c r="S495" s="225"/>
      <c r="T495" s="225"/>
      <c r="U495" s="225"/>
      <c r="V495" s="225"/>
      <c r="W495" s="225"/>
      <c r="X495" s="225"/>
      <c r="Y495" s="229"/>
      <c r="Z495" s="257"/>
      <c r="AA495" s="225"/>
      <c r="AB495" s="257"/>
      <c r="AC495" s="257"/>
      <c r="AD495" s="226"/>
      <c r="AE495" s="259"/>
      <c r="AF495" s="347"/>
      <c r="AG495" s="232"/>
      <c r="AH495" s="257"/>
      <c r="AI495" s="225"/>
      <c r="AJ495" s="267"/>
      <c r="AK495" s="259"/>
      <c r="AL495" s="226"/>
      <c r="AM495" s="225"/>
      <c r="AN495" s="225"/>
      <c r="AO495" s="254"/>
      <c r="AP495" s="225"/>
      <c r="AQ495" s="225"/>
      <c r="AR495" s="226"/>
      <c r="AS495" s="225"/>
      <c r="AT495" s="225"/>
      <c r="AU495" s="225"/>
      <c r="AV495" s="225"/>
      <c r="AW495" s="225"/>
      <c r="AX495" s="226"/>
      <c r="AY495" s="225"/>
      <c r="AZ495" s="225"/>
      <c r="BA495" s="226"/>
      <c r="BB495" s="225"/>
      <c r="BC495" s="225"/>
      <c r="BD495" s="225"/>
      <c r="BE495" s="225"/>
      <c r="BF495" s="225"/>
      <c r="BG495" s="225"/>
      <c r="BH495" s="225"/>
      <c r="BI495" s="225"/>
      <c r="BJ495" s="225"/>
      <c r="BK495" s="225"/>
      <c r="BL495" s="225"/>
      <c r="BM495" s="225"/>
      <c r="BN495" s="225"/>
      <c r="BO495" s="225"/>
      <c r="BP495" s="225"/>
      <c r="BQ495" s="225"/>
      <c r="BR495" s="225"/>
      <c r="BS495" s="225"/>
      <c r="BT495" s="226"/>
      <c r="BU495" s="225"/>
      <c r="BV495" s="225"/>
      <c r="BW495" s="225"/>
      <c r="BX495" s="225"/>
      <c r="BY495" s="225"/>
      <c r="BZ495" s="225"/>
    </row>
    <row r="496">
      <c r="A496" s="225"/>
      <c r="B496" s="225"/>
      <c r="C496" s="225"/>
      <c r="D496" s="226"/>
      <c r="E496" s="225"/>
      <c r="F496" s="225"/>
      <c r="G496" s="225"/>
      <c r="H496" s="225"/>
      <c r="I496" s="225"/>
      <c r="J496" s="225"/>
      <c r="K496" s="244"/>
      <c r="L496" s="225"/>
      <c r="M496" s="225"/>
      <c r="N496" s="225"/>
      <c r="O496" s="225"/>
      <c r="P496" s="225"/>
      <c r="Q496" s="227"/>
      <c r="R496" s="234"/>
      <c r="S496" s="225"/>
      <c r="T496" s="225"/>
      <c r="U496" s="225"/>
      <c r="V496" s="225"/>
      <c r="W496" s="225"/>
      <c r="X496" s="225"/>
      <c r="Y496" s="229"/>
      <c r="Z496" s="257"/>
      <c r="AA496" s="225"/>
      <c r="AB496" s="257"/>
      <c r="AC496" s="257"/>
      <c r="AD496" s="226"/>
      <c r="AE496" s="259"/>
      <c r="AF496" s="347"/>
      <c r="AG496" s="232"/>
      <c r="AH496" s="257"/>
      <c r="AI496" s="225"/>
      <c r="AJ496" s="267"/>
      <c r="AK496" s="259"/>
      <c r="AL496" s="226"/>
      <c r="AM496" s="225"/>
      <c r="AN496" s="225"/>
      <c r="AO496" s="254"/>
      <c r="AP496" s="225"/>
      <c r="AQ496" s="225"/>
      <c r="AR496" s="226"/>
      <c r="AS496" s="225"/>
      <c r="AT496" s="225"/>
      <c r="AU496" s="225"/>
      <c r="AV496" s="225"/>
      <c r="AW496" s="225"/>
      <c r="AX496" s="226"/>
      <c r="AY496" s="225"/>
      <c r="AZ496" s="225"/>
      <c r="BA496" s="226"/>
      <c r="BB496" s="225"/>
      <c r="BC496" s="225"/>
      <c r="BD496" s="225"/>
      <c r="BE496" s="225"/>
      <c r="BF496" s="225"/>
      <c r="BG496" s="225"/>
      <c r="BH496" s="225"/>
      <c r="BI496" s="225"/>
      <c r="BJ496" s="225"/>
      <c r="BK496" s="225"/>
      <c r="BL496" s="225"/>
      <c r="BM496" s="225"/>
      <c r="BN496" s="225"/>
      <c r="BO496" s="225"/>
      <c r="BP496" s="225"/>
      <c r="BQ496" s="225"/>
      <c r="BR496" s="225"/>
      <c r="BS496" s="225"/>
      <c r="BT496" s="226"/>
      <c r="BU496" s="225"/>
      <c r="BV496" s="225"/>
      <c r="BW496" s="225"/>
      <c r="BX496" s="225"/>
      <c r="BY496" s="225"/>
      <c r="BZ496" s="225"/>
    </row>
    <row r="497">
      <c r="A497" s="225"/>
      <c r="B497" s="225"/>
      <c r="C497" s="225"/>
      <c r="D497" s="226"/>
      <c r="E497" s="225"/>
      <c r="F497" s="225"/>
      <c r="G497" s="225"/>
      <c r="H497" s="225"/>
      <c r="I497" s="225"/>
      <c r="J497" s="225"/>
      <c r="K497" s="244"/>
      <c r="L497" s="225"/>
      <c r="M497" s="225"/>
      <c r="N497" s="225"/>
      <c r="O497" s="225"/>
      <c r="P497" s="225"/>
      <c r="Q497" s="227"/>
      <c r="R497" s="234"/>
      <c r="S497" s="225"/>
      <c r="T497" s="225"/>
      <c r="U497" s="225"/>
      <c r="V497" s="225"/>
      <c r="W497" s="225"/>
      <c r="X497" s="225"/>
      <c r="Y497" s="229"/>
      <c r="Z497" s="257"/>
      <c r="AA497" s="225"/>
      <c r="AB497" s="257"/>
      <c r="AC497" s="257"/>
      <c r="AD497" s="226"/>
      <c r="AE497" s="259"/>
      <c r="AF497" s="347"/>
      <c r="AG497" s="232"/>
      <c r="AH497" s="257"/>
      <c r="AI497" s="225"/>
      <c r="AJ497" s="267"/>
      <c r="AK497" s="259"/>
      <c r="AL497" s="226"/>
      <c r="AM497" s="225"/>
      <c r="AN497" s="225"/>
      <c r="AO497" s="254"/>
      <c r="AP497" s="225"/>
      <c r="AQ497" s="225"/>
      <c r="AR497" s="226"/>
      <c r="AS497" s="225"/>
      <c r="AT497" s="225"/>
      <c r="AU497" s="225"/>
      <c r="AV497" s="225"/>
      <c r="AW497" s="225"/>
      <c r="AX497" s="226"/>
      <c r="AY497" s="225"/>
      <c r="AZ497" s="225"/>
      <c r="BA497" s="226"/>
      <c r="BB497" s="225"/>
      <c r="BC497" s="225"/>
      <c r="BD497" s="225"/>
      <c r="BE497" s="225"/>
      <c r="BF497" s="225"/>
      <c r="BG497" s="225"/>
      <c r="BH497" s="225"/>
      <c r="BI497" s="225"/>
      <c r="BJ497" s="225"/>
      <c r="BK497" s="225"/>
      <c r="BL497" s="225"/>
      <c r="BM497" s="225"/>
      <c r="BN497" s="225"/>
      <c r="BO497" s="225"/>
      <c r="BP497" s="225"/>
      <c r="BQ497" s="225"/>
      <c r="BR497" s="225"/>
      <c r="BS497" s="225"/>
      <c r="BT497" s="226"/>
      <c r="BU497" s="225"/>
      <c r="BV497" s="225"/>
      <c r="BW497" s="225"/>
      <c r="BX497" s="225"/>
      <c r="BY497" s="225"/>
      <c r="BZ497" s="225"/>
    </row>
    <row r="498">
      <c r="A498" s="225"/>
      <c r="B498" s="225"/>
      <c r="C498" s="225"/>
      <c r="D498" s="226"/>
      <c r="E498" s="225"/>
      <c r="F498" s="225"/>
      <c r="G498" s="225"/>
      <c r="H498" s="225"/>
      <c r="I498" s="225"/>
      <c r="J498" s="225"/>
      <c r="K498" s="244"/>
      <c r="L498" s="225"/>
      <c r="M498" s="225"/>
      <c r="N498" s="225"/>
      <c r="O498" s="225"/>
      <c r="P498" s="225"/>
      <c r="Q498" s="227"/>
      <c r="R498" s="234"/>
      <c r="S498" s="225"/>
      <c r="T498" s="225"/>
      <c r="U498" s="225"/>
      <c r="V498" s="225"/>
      <c r="W498" s="225"/>
      <c r="X498" s="225"/>
      <c r="Y498" s="229"/>
      <c r="Z498" s="257"/>
      <c r="AA498" s="225"/>
      <c r="AB498" s="257"/>
      <c r="AC498" s="257"/>
      <c r="AD498" s="226"/>
      <c r="AE498" s="259"/>
      <c r="AF498" s="347"/>
      <c r="AG498" s="232"/>
      <c r="AH498" s="257"/>
      <c r="AI498" s="225"/>
      <c r="AJ498" s="267"/>
      <c r="AK498" s="259"/>
      <c r="AL498" s="226"/>
      <c r="AM498" s="225"/>
      <c r="AN498" s="225"/>
      <c r="AO498" s="254"/>
      <c r="AP498" s="225"/>
      <c r="AQ498" s="225"/>
      <c r="AR498" s="226"/>
      <c r="AS498" s="225"/>
      <c r="AT498" s="225"/>
      <c r="AU498" s="225"/>
      <c r="AV498" s="225"/>
      <c r="AW498" s="225"/>
      <c r="AX498" s="226"/>
      <c r="AY498" s="225"/>
      <c r="AZ498" s="225"/>
      <c r="BA498" s="226"/>
      <c r="BB498" s="225"/>
      <c r="BC498" s="225"/>
      <c r="BD498" s="225"/>
      <c r="BE498" s="225"/>
      <c r="BF498" s="225"/>
      <c r="BG498" s="225"/>
      <c r="BH498" s="225"/>
      <c r="BI498" s="225"/>
      <c r="BJ498" s="225"/>
      <c r="BK498" s="225"/>
      <c r="BL498" s="225"/>
      <c r="BM498" s="225"/>
      <c r="BN498" s="225"/>
      <c r="BO498" s="225"/>
      <c r="BP498" s="225"/>
      <c r="BQ498" s="225"/>
      <c r="BR498" s="225"/>
      <c r="BS498" s="225"/>
      <c r="BT498" s="226"/>
      <c r="BU498" s="225"/>
      <c r="BV498" s="225"/>
      <c r="BW498" s="225"/>
      <c r="BX498" s="225"/>
      <c r="BY498" s="225"/>
      <c r="BZ498" s="225"/>
    </row>
    <row r="499">
      <c r="A499" s="225"/>
      <c r="B499" s="225"/>
      <c r="C499" s="225"/>
      <c r="D499" s="226"/>
      <c r="E499" s="225"/>
      <c r="F499" s="225"/>
      <c r="G499" s="225"/>
      <c r="H499" s="225"/>
      <c r="I499" s="225"/>
      <c r="J499" s="225"/>
      <c r="K499" s="244"/>
      <c r="L499" s="225"/>
      <c r="M499" s="225"/>
      <c r="N499" s="225"/>
      <c r="O499" s="225"/>
      <c r="P499" s="225"/>
      <c r="Q499" s="227"/>
      <c r="R499" s="234"/>
      <c r="S499" s="225"/>
      <c r="T499" s="225"/>
      <c r="U499" s="225"/>
      <c r="V499" s="225"/>
      <c r="W499" s="225"/>
      <c r="X499" s="225"/>
      <c r="Y499" s="229"/>
      <c r="Z499" s="257"/>
      <c r="AA499" s="225"/>
      <c r="AB499" s="257"/>
      <c r="AC499" s="257"/>
      <c r="AD499" s="226"/>
      <c r="AE499" s="259"/>
      <c r="AF499" s="347"/>
      <c r="AG499" s="232"/>
      <c r="AH499" s="257"/>
      <c r="AI499" s="225"/>
      <c r="AJ499" s="267"/>
      <c r="AK499" s="259"/>
      <c r="AL499" s="226"/>
      <c r="AM499" s="225"/>
      <c r="AN499" s="225"/>
      <c r="AO499" s="254"/>
      <c r="AP499" s="225"/>
      <c r="AQ499" s="225"/>
      <c r="AR499" s="226"/>
      <c r="AS499" s="225"/>
      <c r="AT499" s="225"/>
      <c r="AU499" s="225"/>
      <c r="AV499" s="225"/>
      <c r="AW499" s="225"/>
      <c r="AX499" s="226"/>
      <c r="AY499" s="225"/>
      <c r="AZ499" s="225"/>
      <c r="BA499" s="226"/>
      <c r="BB499" s="225"/>
      <c r="BC499" s="225"/>
      <c r="BD499" s="225"/>
      <c r="BE499" s="225"/>
      <c r="BF499" s="225"/>
      <c r="BG499" s="225"/>
      <c r="BH499" s="225"/>
      <c r="BI499" s="225"/>
      <c r="BJ499" s="225"/>
      <c r="BK499" s="225"/>
      <c r="BL499" s="225"/>
      <c r="BM499" s="225"/>
      <c r="BN499" s="225"/>
      <c r="BO499" s="225"/>
      <c r="BP499" s="225"/>
      <c r="BQ499" s="225"/>
      <c r="BR499" s="225"/>
      <c r="BS499" s="225"/>
      <c r="BT499" s="226"/>
      <c r="BU499" s="225"/>
      <c r="BV499" s="225"/>
      <c r="BW499" s="225"/>
      <c r="BX499" s="225"/>
      <c r="BY499" s="225"/>
      <c r="BZ499" s="225"/>
    </row>
    <row r="500">
      <c r="A500" s="225"/>
      <c r="B500" s="225"/>
      <c r="C500" s="225"/>
      <c r="D500" s="226"/>
      <c r="E500" s="225"/>
      <c r="F500" s="225"/>
      <c r="G500" s="225"/>
      <c r="H500" s="225"/>
      <c r="I500" s="225"/>
      <c r="J500" s="225"/>
      <c r="K500" s="244"/>
      <c r="L500" s="225"/>
      <c r="M500" s="225"/>
      <c r="N500" s="225"/>
      <c r="O500" s="225"/>
      <c r="P500" s="225"/>
      <c r="Q500" s="227"/>
      <c r="R500" s="234"/>
      <c r="S500" s="225"/>
      <c r="T500" s="225"/>
      <c r="U500" s="225"/>
      <c r="V500" s="225"/>
      <c r="W500" s="225"/>
      <c r="X500" s="225"/>
      <c r="Y500" s="229"/>
      <c r="Z500" s="257"/>
      <c r="AA500" s="225"/>
      <c r="AB500" s="257"/>
      <c r="AC500" s="257"/>
      <c r="AD500" s="226"/>
      <c r="AE500" s="259"/>
      <c r="AF500" s="347"/>
      <c r="AG500" s="232"/>
      <c r="AH500" s="257"/>
      <c r="AI500" s="225"/>
      <c r="AJ500" s="267"/>
      <c r="AK500" s="259"/>
      <c r="AL500" s="226"/>
      <c r="AM500" s="225"/>
      <c r="AN500" s="225"/>
      <c r="AO500" s="254"/>
      <c r="AP500" s="225"/>
      <c r="AQ500" s="225"/>
      <c r="AR500" s="226"/>
      <c r="AS500" s="225"/>
      <c r="AT500" s="225"/>
      <c r="AU500" s="225"/>
      <c r="AV500" s="225"/>
      <c r="AW500" s="225"/>
      <c r="AX500" s="226"/>
      <c r="AY500" s="225"/>
      <c r="AZ500" s="225"/>
      <c r="BA500" s="226"/>
      <c r="BB500" s="225"/>
      <c r="BC500" s="225"/>
      <c r="BD500" s="225"/>
      <c r="BE500" s="225"/>
      <c r="BF500" s="225"/>
      <c r="BG500" s="225"/>
      <c r="BH500" s="225"/>
      <c r="BI500" s="225"/>
      <c r="BJ500" s="225"/>
      <c r="BK500" s="225"/>
      <c r="BL500" s="225"/>
      <c r="BM500" s="225"/>
      <c r="BN500" s="225"/>
      <c r="BO500" s="225"/>
      <c r="BP500" s="225"/>
      <c r="BQ500" s="225"/>
      <c r="BR500" s="225"/>
      <c r="BS500" s="225"/>
      <c r="BT500" s="226"/>
      <c r="BU500" s="225"/>
      <c r="BV500" s="225"/>
      <c r="BW500" s="225"/>
      <c r="BX500" s="225"/>
      <c r="BY500" s="225"/>
      <c r="BZ500" s="225"/>
    </row>
    <row r="501">
      <c r="A501" s="225"/>
      <c r="B501" s="225"/>
      <c r="C501" s="225"/>
      <c r="D501" s="226"/>
      <c r="E501" s="225"/>
      <c r="F501" s="225"/>
      <c r="G501" s="225"/>
      <c r="H501" s="225"/>
      <c r="I501" s="225"/>
      <c r="J501" s="225"/>
      <c r="K501" s="244"/>
      <c r="L501" s="225"/>
      <c r="M501" s="225"/>
      <c r="N501" s="225"/>
      <c r="O501" s="225"/>
      <c r="P501" s="225"/>
      <c r="Q501" s="227"/>
      <c r="R501" s="234"/>
      <c r="S501" s="225"/>
      <c r="T501" s="225"/>
      <c r="U501" s="225"/>
      <c r="V501" s="225"/>
      <c r="W501" s="225"/>
      <c r="X501" s="225"/>
      <c r="Y501" s="229"/>
      <c r="Z501" s="257"/>
      <c r="AA501" s="225"/>
      <c r="AB501" s="257"/>
      <c r="AC501" s="257"/>
      <c r="AD501" s="226"/>
      <c r="AE501" s="259"/>
      <c r="AF501" s="347"/>
      <c r="AG501" s="232"/>
      <c r="AH501" s="257"/>
      <c r="AI501" s="225"/>
      <c r="AJ501" s="267"/>
      <c r="AK501" s="259"/>
      <c r="AL501" s="226"/>
      <c r="AM501" s="225"/>
      <c r="AN501" s="225"/>
      <c r="AO501" s="254"/>
      <c r="AP501" s="225"/>
      <c r="AQ501" s="225"/>
      <c r="AR501" s="226"/>
      <c r="AS501" s="225"/>
      <c r="AT501" s="225"/>
      <c r="AU501" s="225"/>
      <c r="AV501" s="225"/>
      <c r="AW501" s="225"/>
      <c r="AX501" s="226"/>
      <c r="AY501" s="225"/>
      <c r="AZ501" s="225"/>
      <c r="BA501" s="226"/>
      <c r="BB501" s="225"/>
      <c r="BC501" s="225"/>
      <c r="BD501" s="225"/>
      <c r="BE501" s="225"/>
      <c r="BF501" s="225"/>
      <c r="BG501" s="225"/>
      <c r="BH501" s="225"/>
      <c r="BI501" s="225"/>
      <c r="BJ501" s="225"/>
      <c r="BK501" s="225"/>
      <c r="BL501" s="225"/>
      <c r="BM501" s="225"/>
      <c r="BN501" s="225"/>
      <c r="BO501" s="225"/>
      <c r="BP501" s="225"/>
      <c r="BQ501" s="225"/>
      <c r="BR501" s="225"/>
      <c r="BS501" s="225"/>
      <c r="BT501" s="226"/>
      <c r="BU501" s="225"/>
      <c r="BV501" s="225"/>
      <c r="BW501" s="225"/>
      <c r="BX501" s="225"/>
      <c r="BY501" s="225"/>
      <c r="BZ501" s="225"/>
    </row>
    <row r="502">
      <c r="A502" s="225"/>
      <c r="B502" s="225"/>
      <c r="C502" s="225"/>
      <c r="D502" s="226"/>
      <c r="E502" s="225"/>
      <c r="F502" s="225"/>
      <c r="G502" s="225"/>
      <c r="H502" s="225"/>
      <c r="I502" s="225"/>
      <c r="J502" s="225"/>
      <c r="K502" s="244"/>
      <c r="L502" s="225"/>
      <c r="M502" s="225"/>
      <c r="N502" s="225"/>
      <c r="O502" s="225"/>
      <c r="P502" s="225"/>
      <c r="Q502" s="227"/>
      <c r="R502" s="234"/>
      <c r="S502" s="225"/>
      <c r="T502" s="225"/>
      <c r="U502" s="225"/>
      <c r="V502" s="225"/>
      <c r="W502" s="225"/>
      <c r="X502" s="225"/>
      <c r="Y502" s="229"/>
      <c r="Z502" s="257"/>
      <c r="AA502" s="225"/>
      <c r="AB502" s="257"/>
      <c r="AC502" s="257"/>
      <c r="AD502" s="226"/>
      <c r="AE502" s="259"/>
      <c r="AF502" s="347"/>
      <c r="AG502" s="232"/>
      <c r="AH502" s="257"/>
      <c r="AI502" s="225"/>
      <c r="AJ502" s="267"/>
      <c r="AK502" s="259"/>
      <c r="AL502" s="226"/>
      <c r="AM502" s="225"/>
      <c r="AN502" s="225"/>
      <c r="AO502" s="254"/>
      <c r="AP502" s="225"/>
      <c r="AQ502" s="225"/>
      <c r="AR502" s="226"/>
      <c r="AS502" s="225"/>
      <c r="AT502" s="225"/>
      <c r="AU502" s="225"/>
      <c r="AV502" s="225"/>
      <c r="AW502" s="225"/>
      <c r="AX502" s="226"/>
      <c r="AY502" s="225"/>
      <c r="AZ502" s="225"/>
      <c r="BA502" s="226"/>
      <c r="BB502" s="225"/>
      <c r="BC502" s="225"/>
      <c r="BD502" s="225"/>
      <c r="BE502" s="225"/>
      <c r="BF502" s="225"/>
      <c r="BG502" s="225"/>
      <c r="BH502" s="225"/>
      <c r="BI502" s="225"/>
      <c r="BJ502" s="225"/>
      <c r="BK502" s="225"/>
      <c r="BL502" s="225"/>
      <c r="BM502" s="225"/>
      <c r="BN502" s="225"/>
      <c r="BO502" s="225"/>
      <c r="BP502" s="225"/>
      <c r="BQ502" s="225"/>
      <c r="BR502" s="225"/>
      <c r="BS502" s="225"/>
      <c r="BT502" s="226"/>
      <c r="BU502" s="225"/>
      <c r="BV502" s="225"/>
      <c r="BW502" s="225"/>
      <c r="BX502" s="225"/>
      <c r="BY502" s="225"/>
      <c r="BZ502" s="225"/>
    </row>
    <row r="503">
      <c r="A503" s="225"/>
      <c r="B503" s="225"/>
      <c r="C503" s="225"/>
      <c r="D503" s="226"/>
      <c r="E503" s="225"/>
      <c r="F503" s="225"/>
      <c r="G503" s="225"/>
      <c r="H503" s="225"/>
      <c r="I503" s="225"/>
      <c r="J503" s="225"/>
      <c r="K503" s="244"/>
      <c r="L503" s="225"/>
      <c r="M503" s="225"/>
      <c r="N503" s="225"/>
      <c r="O503" s="225"/>
      <c r="P503" s="225"/>
      <c r="Q503" s="227"/>
      <c r="R503" s="234"/>
      <c r="S503" s="225"/>
      <c r="T503" s="225"/>
      <c r="U503" s="225"/>
      <c r="V503" s="225"/>
      <c r="W503" s="225"/>
      <c r="X503" s="225"/>
      <c r="Y503" s="229"/>
      <c r="Z503" s="257"/>
      <c r="AA503" s="225"/>
      <c r="AB503" s="257"/>
      <c r="AC503" s="257"/>
      <c r="AD503" s="226"/>
      <c r="AE503" s="259"/>
      <c r="AF503" s="347"/>
      <c r="AG503" s="232"/>
      <c r="AH503" s="257"/>
      <c r="AI503" s="225"/>
      <c r="AJ503" s="267"/>
      <c r="AK503" s="259"/>
      <c r="AL503" s="226"/>
      <c r="AM503" s="225"/>
      <c r="AN503" s="225"/>
      <c r="AO503" s="254"/>
      <c r="AP503" s="225"/>
      <c r="AQ503" s="225"/>
      <c r="AR503" s="226"/>
      <c r="AS503" s="225"/>
      <c r="AT503" s="225"/>
      <c r="AU503" s="225"/>
      <c r="AV503" s="225"/>
      <c r="AW503" s="225"/>
      <c r="AX503" s="226"/>
      <c r="AY503" s="225"/>
      <c r="AZ503" s="225"/>
      <c r="BA503" s="226"/>
      <c r="BB503" s="225"/>
      <c r="BC503" s="225"/>
      <c r="BD503" s="225"/>
      <c r="BE503" s="225"/>
      <c r="BF503" s="225"/>
      <c r="BG503" s="225"/>
      <c r="BH503" s="225"/>
      <c r="BI503" s="225"/>
      <c r="BJ503" s="225"/>
      <c r="BK503" s="225"/>
      <c r="BL503" s="225"/>
      <c r="BM503" s="225"/>
      <c r="BN503" s="225"/>
      <c r="BO503" s="225"/>
      <c r="BP503" s="225"/>
      <c r="BQ503" s="225"/>
      <c r="BR503" s="225"/>
      <c r="BS503" s="225"/>
      <c r="BT503" s="226"/>
      <c r="BU503" s="225"/>
      <c r="BV503" s="225"/>
      <c r="BW503" s="225"/>
      <c r="BX503" s="225"/>
      <c r="BY503" s="225"/>
      <c r="BZ503" s="225"/>
    </row>
    <row r="504">
      <c r="A504" s="225"/>
      <c r="B504" s="225"/>
      <c r="C504" s="225"/>
      <c r="D504" s="226"/>
      <c r="E504" s="225"/>
      <c r="F504" s="225"/>
      <c r="G504" s="225"/>
      <c r="H504" s="225"/>
      <c r="I504" s="225"/>
      <c r="J504" s="225"/>
      <c r="K504" s="244"/>
      <c r="L504" s="225"/>
      <c r="M504" s="225"/>
      <c r="N504" s="225"/>
      <c r="O504" s="225"/>
      <c r="P504" s="225"/>
      <c r="Q504" s="227"/>
      <c r="R504" s="234"/>
      <c r="S504" s="225"/>
      <c r="T504" s="225"/>
      <c r="U504" s="225"/>
      <c r="V504" s="225"/>
      <c r="W504" s="225"/>
      <c r="X504" s="225"/>
      <c r="Y504" s="229"/>
      <c r="Z504" s="257"/>
      <c r="AA504" s="225"/>
      <c r="AB504" s="257"/>
      <c r="AC504" s="257"/>
      <c r="AD504" s="226"/>
      <c r="AE504" s="259"/>
      <c r="AF504" s="347"/>
      <c r="AG504" s="232"/>
      <c r="AH504" s="257"/>
      <c r="AI504" s="225"/>
      <c r="AJ504" s="267"/>
      <c r="AK504" s="259"/>
      <c r="AL504" s="226"/>
      <c r="AM504" s="225"/>
      <c r="AN504" s="225"/>
      <c r="AO504" s="254"/>
      <c r="AP504" s="225"/>
      <c r="AQ504" s="225"/>
      <c r="AR504" s="226"/>
      <c r="AS504" s="225"/>
      <c r="AT504" s="225"/>
      <c r="AU504" s="225"/>
      <c r="AV504" s="225"/>
      <c r="AW504" s="225"/>
      <c r="AX504" s="226"/>
      <c r="AY504" s="225"/>
      <c r="AZ504" s="225"/>
      <c r="BA504" s="226"/>
      <c r="BB504" s="225"/>
      <c r="BC504" s="225"/>
      <c r="BD504" s="225"/>
      <c r="BE504" s="225"/>
      <c r="BF504" s="225"/>
      <c r="BG504" s="225"/>
      <c r="BH504" s="225"/>
      <c r="BI504" s="225"/>
      <c r="BJ504" s="225"/>
      <c r="BK504" s="225"/>
      <c r="BL504" s="225"/>
      <c r="BM504" s="225"/>
      <c r="BN504" s="225"/>
      <c r="BO504" s="225"/>
      <c r="BP504" s="225"/>
      <c r="BQ504" s="225"/>
      <c r="BR504" s="225"/>
      <c r="BS504" s="225"/>
      <c r="BT504" s="226"/>
      <c r="BU504" s="225"/>
      <c r="BV504" s="225"/>
      <c r="BW504" s="225"/>
      <c r="BX504" s="225"/>
      <c r="BY504" s="225"/>
      <c r="BZ504" s="225"/>
    </row>
    <row r="505">
      <c r="A505" s="225"/>
      <c r="B505" s="225"/>
      <c r="C505" s="225"/>
      <c r="D505" s="226"/>
      <c r="E505" s="225"/>
      <c r="F505" s="225"/>
      <c r="G505" s="225"/>
      <c r="H505" s="225"/>
      <c r="I505" s="225"/>
      <c r="J505" s="225"/>
      <c r="K505" s="244"/>
      <c r="L505" s="225"/>
      <c r="M505" s="225"/>
      <c r="N505" s="225"/>
      <c r="O505" s="225"/>
      <c r="P505" s="225"/>
      <c r="Q505" s="227"/>
      <c r="R505" s="234"/>
      <c r="S505" s="225"/>
      <c r="T505" s="225"/>
      <c r="U505" s="225"/>
      <c r="V505" s="225"/>
      <c r="W505" s="225"/>
      <c r="X505" s="225"/>
      <c r="Y505" s="229"/>
      <c r="Z505" s="257"/>
      <c r="AA505" s="225"/>
      <c r="AB505" s="257"/>
      <c r="AC505" s="257"/>
      <c r="AD505" s="226"/>
      <c r="AE505" s="259"/>
      <c r="AF505" s="347"/>
      <c r="AG505" s="232"/>
      <c r="AH505" s="257"/>
      <c r="AI505" s="225"/>
      <c r="AJ505" s="267"/>
      <c r="AK505" s="259"/>
      <c r="AL505" s="226"/>
      <c r="AM505" s="225"/>
      <c r="AN505" s="225"/>
      <c r="AO505" s="254"/>
      <c r="AP505" s="225"/>
      <c r="AQ505" s="225"/>
      <c r="AR505" s="226"/>
      <c r="AS505" s="225"/>
      <c r="AT505" s="225"/>
      <c r="AU505" s="225"/>
      <c r="AV505" s="225"/>
      <c r="AW505" s="225"/>
      <c r="AX505" s="226"/>
      <c r="AY505" s="225"/>
      <c r="AZ505" s="225"/>
      <c r="BA505" s="226"/>
      <c r="BB505" s="225"/>
      <c r="BC505" s="225"/>
      <c r="BD505" s="225"/>
      <c r="BE505" s="225"/>
      <c r="BF505" s="225"/>
      <c r="BG505" s="225"/>
      <c r="BH505" s="225"/>
      <c r="BI505" s="225"/>
      <c r="BJ505" s="225"/>
      <c r="BK505" s="225"/>
      <c r="BL505" s="225"/>
      <c r="BM505" s="225"/>
      <c r="BN505" s="225"/>
      <c r="BO505" s="225"/>
      <c r="BP505" s="225"/>
      <c r="BQ505" s="225"/>
      <c r="BR505" s="225"/>
      <c r="BS505" s="225"/>
      <c r="BT505" s="226"/>
      <c r="BU505" s="225"/>
      <c r="BV505" s="225"/>
      <c r="BW505" s="225"/>
      <c r="BX505" s="225"/>
      <c r="BY505" s="225"/>
      <c r="BZ505" s="225"/>
    </row>
    <row r="506">
      <c r="A506" s="225"/>
      <c r="B506" s="225"/>
      <c r="C506" s="225"/>
      <c r="D506" s="226"/>
      <c r="E506" s="225"/>
      <c r="F506" s="225"/>
      <c r="G506" s="225"/>
      <c r="H506" s="225"/>
      <c r="I506" s="225"/>
      <c r="J506" s="225"/>
      <c r="K506" s="244"/>
      <c r="L506" s="225"/>
      <c r="M506" s="225"/>
      <c r="N506" s="225"/>
      <c r="O506" s="225"/>
      <c r="P506" s="225"/>
      <c r="Q506" s="227"/>
      <c r="R506" s="234"/>
      <c r="S506" s="225"/>
      <c r="T506" s="225"/>
      <c r="U506" s="225"/>
      <c r="V506" s="225"/>
      <c r="W506" s="225"/>
      <c r="X506" s="225"/>
      <c r="Y506" s="229"/>
      <c r="Z506" s="257"/>
      <c r="AA506" s="225"/>
      <c r="AB506" s="257"/>
      <c r="AC506" s="257"/>
      <c r="AD506" s="226"/>
      <c r="AE506" s="259"/>
      <c r="AF506" s="347"/>
      <c r="AG506" s="232"/>
      <c r="AH506" s="257"/>
      <c r="AI506" s="225"/>
      <c r="AJ506" s="267"/>
      <c r="AK506" s="259"/>
      <c r="AL506" s="226"/>
      <c r="AM506" s="225"/>
      <c r="AN506" s="225"/>
      <c r="AO506" s="254"/>
      <c r="AP506" s="225"/>
      <c r="AQ506" s="225"/>
      <c r="AR506" s="226"/>
      <c r="AS506" s="225"/>
      <c r="AT506" s="225"/>
      <c r="AU506" s="225"/>
      <c r="AV506" s="225"/>
      <c r="AW506" s="225"/>
      <c r="AX506" s="226"/>
      <c r="AY506" s="225"/>
      <c r="AZ506" s="225"/>
      <c r="BA506" s="226"/>
      <c r="BB506" s="225"/>
      <c r="BC506" s="225"/>
      <c r="BD506" s="225"/>
      <c r="BE506" s="225"/>
      <c r="BF506" s="225"/>
      <c r="BG506" s="225"/>
      <c r="BH506" s="225"/>
      <c r="BI506" s="225"/>
      <c r="BJ506" s="225"/>
      <c r="BK506" s="225"/>
      <c r="BL506" s="225"/>
      <c r="BM506" s="225"/>
      <c r="BN506" s="225"/>
      <c r="BO506" s="225"/>
      <c r="BP506" s="225"/>
      <c r="BQ506" s="225"/>
      <c r="BR506" s="225"/>
      <c r="BS506" s="225"/>
      <c r="BT506" s="226"/>
      <c r="BU506" s="225"/>
      <c r="BV506" s="225"/>
      <c r="BW506" s="225"/>
      <c r="BX506" s="225"/>
      <c r="BY506" s="225"/>
      <c r="BZ506" s="225"/>
    </row>
    <row r="507">
      <c r="A507" s="225"/>
      <c r="B507" s="225"/>
      <c r="C507" s="225"/>
      <c r="D507" s="226"/>
      <c r="E507" s="225"/>
      <c r="F507" s="225"/>
      <c r="G507" s="225"/>
      <c r="H507" s="225"/>
      <c r="I507" s="225"/>
      <c r="J507" s="225"/>
      <c r="K507" s="244"/>
      <c r="L507" s="225"/>
      <c r="M507" s="225"/>
      <c r="N507" s="225"/>
      <c r="O507" s="225"/>
      <c r="P507" s="225"/>
      <c r="Q507" s="227"/>
      <c r="R507" s="234"/>
      <c r="S507" s="225"/>
      <c r="T507" s="225"/>
      <c r="U507" s="225"/>
      <c r="V507" s="225"/>
      <c r="W507" s="225"/>
      <c r="X507" s="225"/>
      <c r="Y507" s="229"/>
      <c r="Z507" s="257"/>
      <c r="AA507" s="225"/>
      <c r="AB507" s="257"/>
      <c r="AC507" s="257"/>
      <c r="AD507" s="226"/>
      <c r="AE507" s="259"/>
      <c r="AF507" s="347"/>
      <c r="AG507" s="232"/>
      <c r="AH507" s="257"/>
      <c r="AI507" s="225"/>
      <c r="AJ507" s="267"/>
      <c r="AK507" s="259"/>
      <c r="AL507" s="226"/>
      <c r="AM507" s="225"/>
      <c r="AN507" s="225"/>
      <c r="AO507" s="254"/>
      <c r="AP507" s="225"/>
      <c r="AQ507" s="225"/>
      <c r="AR507" s="226"/>
      <c r="AS507" s="225"/>
      <c r="AT507" s="225"/>
      <c r="AU507" s="225"/>
      <c r="AV507" s="225"/>
      <c r="AW507" s="225"/>
      <c r="AX507" s="226"/>
      <c r="AY507" s="225"/>
      <c r="AZ507" s="225"/>
      <c r="BA507" s="226"/>
      <c r="BB507" s="225"/>
      <c r="BC507" s="225"/>
      <c r="BD507" s="225"/>
      <c r="BE507" s="225"/>
      <c r="BF507" s="225"/>
      <c r="BG507" s="225"/>
      <c r="BH507" s="225"/>
      <c r="BI507" s="225"/>
      <c r="BJ507" s="225"/>
      <c r="BK507" s="225"/>
      <c r="BL507" s="225"/>
      <c r="BM507" s="225"/>
      <c r="BN507" s="225"/>
      <c r="BO507" s="225"/>
      <c r="BP507" s="225"/>
      <c r="BQ507" s="225"/>
      <c r="BR507" s="225"/>
      <c r="BS507" s="225"/>
      <c r="BT507" s="226"/>
      <c r="BU507" s="225"/>
      <c r="BV507" s="225"/>
      <c r="BW507" s="225"/>
      <c r="BX507" s="225"/>
      <c r="BY507" s="225"/>
      <c r="BZ507" s="225"/>
    </row>
    <row r="508">
      <c r="A508" s="225"/>
      <c r="B508" s="225"/>
      <c r="C508" s="225"/>
      <c r="D508" s="226"/>
      <c r="E508" s="225"/>
      <c r="F508" s="225"/>
      <c r="G508" s="225"/>
      <c r="H508" s="225"/>
      <c r="I508" s="225"/>
      <c r="J508" s="225"/>
      <c r="K508" s="244"/>
      <c r="L508" s="225"/>
      <c r="M508" s="225"/>
      <c r="N508" s="225"/>
      <c r="O508" s="225"/>
      <c r="P508" s="225"/>
      <c r="Q508" s="227"/>
      <c r="R508" s="234"/>
      <c r="S508" s="225"/>
      <c r="T508" s="225"/>
      <c r="U508" s="225"/>
      <c r="V508" s="225"/>
      <c r="W508" s="225"/>
      <c r="X508" s="225"/>
      <c r="Y508" s="229"/>
      <c r="Z508" s="257"/>
      <c r="AA508" s="225"/>
      <c r="AB508" s="257"/>
      <c r="AC508" s="257"/>
      <c r="AD508" s="226"/>
      <c r="AE508" s="259"/>
      <c r="AF508" s="347"/>
      <c r="AG508" s="232"/>
      <c r="AH508" s="257"/>
      <c r="AI508" s="225"/>
      <c r="AJ508" s="267"/>
      <c r="AK508" s="259"/>
      <c r="AL508" s="226"/>
      <c r="AM508" s="225"/>
      <c r="AN508" s="225"/>
      <c r="AO508" s="254"/>
      <c r="AP508" s="225"/>
      <c r="AQ508" s="225"/>
      <c r="AR508" s="226"/>
      <c r="AS508" s="225"/>
      <c r="AT508" s="225"/>
      <c r="AU508" s="225"/>
      <c r="AV508" s="225"/>
      <c r="AW508" s="225"/>
      <c r="AX508" s="226"/>
      <c r="AY508" s="225"/>
      <c r="AZ508" s="225"/>
      <c r="BA508" s="226"/>
      <c r="BB508" s="225"/>
      <c r="BC508" s="225"/>
      <c r="BD508" s="225"/>
      <c r="BE508" s="225"/>
      <c r="BF508" s="225"/>
      <c r="BG508" s="225"/>
      <c r="BH508" s="225"/>
      <c r="BI508" s="225"/>
      <c r="BJ508" s="225"/>
      <c r="BK508" s="225"/>
      <c r="BL508" s="225"/>
      <c r="BM508" s="225"/>
      <c r="BN508" s="225"/>
      <c r="BO508" s="225"/>
      <c r="BP508" s="225"/>
      <c r="BQ508" s="225"/>
      <c r="BR508" s="225"/>
      <c r="BS508" s="225"/>
      <c r="BT508" s="226"/>
      <c r="BU508" s="225"/>
      <c r="BV508" s="225"/>
      <c r="BW508" s="225"/>
      <c r="BX508" s="225"/>
      <c r="BY508" s="225"/>
      <c r="BZ508" s="225"/>
    </row>
    <row r="509">
      <c r="A509" s="225"/>
      <c r="B509" s="225"/>
      <c r="C509" s="225"/>
      <c r="D509" s="226"/>
      <c r="E509" s="225"/>
      <c r="F509" s="225"/>
      <c r="G509" s="225"/>
      <c r="H509" s="225"/>
      <c r="I509" s="225"/>
      <c r="J509" s="225"/>
      <c r="K509" s="244"/>
      <c r="L509" s="225"/>
      <c r="M509" s="225"/>
      <c r="N509" s="225"/>
      <c r="O509" s="225"/>
      <c r="P509" s="225"/>
      <c r="Q509" s="227"/>
      <c r="R509" s="234"/>
      <c r="S509" s="225"/>
      <c r="T509" s="225"/>
      <c r="U509" s="225"/>
      <c r="V509" s="225"/>
      <c r="W509" s="225"/>
      <c r="X509" s="225"/>
      <c r="Y509" s="229"/>
      <c r="Z509" s="257"/>
      <c r="AA509" s="225"/>
      <c r="AB509" s="257"/>
      <c r="AC509" s="257"/>
      <c r="AD509" s="226"/>
      <c r="AE509" s="259"/>
      <c r="AF509" s="347"/>
      <c r="AG509" s="232"/>
      <c r="AH509" s="257"/>
      <c r="AI509" s="225"/>
      <c r="AJ509" s="267"/>
      <c r="AK509" s="259"/>
      <c r="AL509" s="226"/>
      <c r="AM509" s="225"/>
      <c r="AN509" s="225"/>
      <c r="AO509" s="254"/>
      <c r="AP509" s="225"/>
      <c r="AQ509" s="225"/>
      <c r="AR509" s="226"/>
      <c r="AS509" s="225"/>
      <c r="AT509" s="225"/>
      <c r="AU509" s="225"/>
      <c r="AV509" s="225"/>
      <c r="AW509" s="225"/>
      <c r="AX509" s="226"/>
      <c r="AY509" s="225"/>
      <c r="AZ509" s="225"/>
      <c r="BA509" s="226"/>
      <c r="BB509" s="225"/>
      <c r="BC509" s="225"/>
      <c r="BD509" s="225"/>
      <c r="BE509" s="225"/>
      <c r="BF509" s="225"/>
      <c r="BG509" s="225"/>
      <c r="BH509" s="225"/>
      <c r="BI509" s="225"/>
      <c r="BJ509" s="225"/>
      <c r="BK509" s="225"/>
      <c r="BL509" s="225"/>
      <c r="BM509" s="225"/>
      <c r="BN509" s="225"/>
      <c r="BO509" s="225"/>
      <c r="BP509" s="225"/>
      <c r="BQ509" s="225"/>
      <c r="BR509" s="225"/>
      <c r="BS509" s="225"/>
      <c r="BT509" s="226"/>
      <c r="BU509" s="225"/>
      <c r="BV509" s="225"/>
      <c r="BW509" s="225"/>
      <c r="BX509" s="225"/>
      <c r="BY509" s="225"/>
      <c r="BZ509" s="225"/>
    </row>
    <row r="510">
      <c r="A510" s="225"/>
      <c r="B510" s="225"/>
      <c r="C510" s="225"/>
      <c r="D510" s="226"/>
      <c r="E510" s="225"/>
      <c r="F510" s="225"/>
      <c r="G510" s="225"/>
      <c r="H510" s="225"/>
      <c r="I510" s="225"/>
      <c r="J510" s="225"/>
      <c r="K510" s="244"/>
      <c r="L510" s="225"/>
      <c r="M510" s="225"/>
      <c r="N510" s="225"/>
      <c r="O510" s="225"/>
      <c r="P510" s="225"/>
      <c r="Q510" s="227"/>
      <c r="R510" s="234"/>
      <c r="S510" s="225"/>
      <c r="T510" s="225"/>
      <c r="U510" s="225"/>
      <c r="V510" s="225"/>
      <c r="W510" s="225"/>
      <c r="X510" s="225"/>
      <c r="Y510" s="229"/>
      <c r="Z510" s="257"/>
      <c r="AA510" s="225"/>
      <c r="AB510" s="257"/>
      <c r="AC510" s="257"/>
      <c r="AD510" s="226"/>
      <c r="AE510" s="259"/>
      <c r="AF510" s="347"/>
      <c r="AG510" s="232"/>
      <c r="AH510" s="257"/>
      <c r="AI510" s="225"/>
      <c r="AJ510" s="267"/>
      <c r="AK510" s="259"/>
      <c r="AL510" s="226"/>
      <c r="AM510" s="225"/>
      <c r="AN510" s="225"/>
      <c r="AO510" s="254"/>
      <c r="AP510" s="225"/>
      <c r="AQ510" s="225"/>
      <c r="AR510" s="226"/>
      <c r="AS510" s="225"/>
      <c r="AT510" s="225"/>
      <c r="AU510" s="225"/>
      <c r="AV510" s="225"/>
      <c r="AW510" s="225"/>
      <c r="AX510" s="226"/>
      <c r="AY510" s="225"/>
      <c r="AZ510" s="225"/>
      <c r="BA510" s="226"/>
      <c r="BB510" s="225"/>
      <c r="BC510" s="225"/>
      <c r="BD510" s="225"/>
      <c r="BE510" s="225"/>
      <c r="BF510" s="225"/>
      <c r="BG510" s="225"/>
      <c r="BH510" s="225"/>
      <c r="BI510" s="225"/>
      <c r="BJ510" s="225"/>
      <c r="BK510" s="225"/>
      <c r="BL510" s="225"/>
      <c r="BM510" s="225"/>
      <c r="BN510" s="225"/>
      <c r="BO510" s="225"/>
      <c r="BP510" s="225"/>
      <c r="BQ510" s="225"/>
      <c r="BR510" s="225"/>
      <c r="BS510" s="225"/>
      <c r="BT510" s="226"/>
      <c r="BU510" s="225"/>
      <c r="BV510" s="225"/>
      <c r="BW510" s="225"/>
      <c r="BX510" s="225"/>
      <c r="BY510" s="225"/>
      <c r="BZ510" s="225"/>
    </row>
    <row r="511">
      <c r="A511" s="225"/>
      <c r="B511" s="225"/>
      <c r="C511" s="225"/>
      <c r="D511" s="226"/>
      <c r="E511" s="225"/>
      <c r="F511" s="225"/>
      <c r="G511" s="225"/>
      <c r="H511" s="225"/>
      <c r="I511" s="225"/>
      <c r="J511" s="225"/>
      <c r="K511" s="244"/>
      <c r="L511" s="225"/>
      <c r="M511" s="225"/>
      <c r="N511" s="225"/>
      <c r="O511" s="225"/>
      <c r="P511" s="225"/>
      <c r="Q511" s="227"/>
      <c r="R511" s="234"/>
      <c r="S511" s="225"/>
      <c r="T511" s="225"/>
      <c r="U511" s="225"/>
      <c r="V511" s="225"/>
      <c r="W511" s="225"/>
      <c r="X511" s="225"/>
      <c r="Y511" s="229"/>
      <c r="Z511" s="257"/>
      <c r="AA511" s="225"/>
      <c r="AB511" s="257"/>
      <c r="AC511" s="257"/>
      <c r="AD511" s="226"/>
      <c r="AE511" s="259"/>
      <c r="AF511" s="347"/>
      <c r="AG511" s="232"/>
      <c r="AH511" s="257"/>
      <c r="AI511" s="225"/>
      <c r="AJ511" s="267"/>
      <c r="AK511" s="259"/>
      <c r="AL511" s="226"/>
      <c r="AM511" s="225"/>
      <c r="AN511" s="225"/>
      <c r="AO511" s="254"/>
      <c r="AP511" s="225"/>
      <c r="AQ511" s="225"/>
      <c r="AR511" s="226"/>
      <c r="AS511" s="225"/>
      <c r="AT511" s="225"/>
      <c r="AU511" s="225"/>
      <c r="AV511" s="225"/>
      <c r="AW511" s="225"/>
      <c r="AX511" s="226"/>
      <c r="AY511" s="225"/>
      <c r="AZ511" s="225"/>
      <c r="BA511" s="226"/>
      <c r="BB511" s="225"/>
      <c r="BC511" s="225"/>
      <c r="BD511" s="225"/>
      <c r="BE511" s="225"/>
      <c r="BF511" s="225"/>
      <c r="BG511" s="225"/>
      <c r="BH511" s="225"/>
      <c r="BI511" s="225"/>
      <c r="BJ511" s="225"/>
      <c r="BK511" s="225"/>
      <c r="BL511" s="225"/>
      <c r="BM511" s="225"/>
      <c r="BN511" s="225"/>
      <c r="BO511" s="225"/>
      <c r="BP511" s="225"/>
      <c r="BQ511" s="225"/>
      <c r="BR511" s="225"/>
      <c r="BS511" s="225"/>
      <c r="BT511" s="226"/>
      <c r="BU511" s="225"/>
      <c r="BV511" s="225"/>
      <c r="BW511" s="225"/>
      <c r="BX511" s="225"/>
      <c r="BY511" s="225"/>
      <c r="BZ511" s="225"/>
    </row>
    <row r="512">
      <c r="A512" s="225"/>
      <c r="B512" s="225"/>
      <c r="C512" s="225"/>
      <c r="D512" s="226"/>
      <c r="E512" s="225"/>
      <c r="F512" s="225"/>
      <c r="G512" s="225"/>
      <c r="H512" s="225"/>
      <c r="I512" s="225"/>
      <c r="J512" s="225"/>
      <c r="K512" s="244"/>
      <c r="L512" s="225"/>
      <c r="M512" s="225"/>
      <c r="N512" s="225"/>
      <c r="O512" s="225"/>
      <c r="P512" s="225"/>
      <c r="Q512" s="227"/>
      <c r="R512" s="234"/>
      <c r="S512" s="225"/>
      <c r="T512" s="225"/>
      <c r="U512" s="225"/>
      <c r="V512" s="225"/>
      <c r="W512" s="225"/>
      <c r="X512" s="225"/>
      <c r="Y512" s="229"/>
      <c r="Z512" s="257"/>
      <c r="AA512" s="225"/>
      <c r="AB512" s="257"/>
      <c r="AC512" s="257"/>
      <c r="AD512" s="226"/>
      <c r="AE512" s="259"/>
      <c r="AF512" s="347"/>
      <c r="AG512" s="232"/>
      <c r="AH512" s="257"/>
      <c r="AI512" s="225"/>
      <c r="AJ512" s="267"/>
      <c r="AK512" s="259"/>
      <c r="AL512" s="226"/>
      <c r="AM512" s="225"/>
      <c r="AN512" s="225"/>
      <c r="AO512" s="254"/>
      <c r="AP512" s="225"/>
      <c r="AQ512" s="225"/>
      <c r="AR512" s="226"/>
      <c r="AS512" s="225"/>
      <c r="AT512" s="225"/>
      <c r="AU512" s="225"/>
      <c r="AV512" s="225"/>
      <c r="AW512" s="225"/>
      <c r="AX512" s="226"/>
      <c r="AY512" s="225"/>
      <c r="AZ512" s="225"/>
      <c r="BA512" s="226"/>
      <c r="BB512" s="225"/>
      <c r="BC512" s="225"/>
      <c r="BD512" s="225"/>
      <c r="BE512" s="225"/>
      <c r="BF512" s="225"/>
      <c r="BG512" s="225"/>
      <c r="BH512" s="225"/>
      <c r="BI512" s="225"/>
      <c r="BJ512" s="225"/>
      <c r="BK512" s="225"/>
      <c r="BL512" s="225"/>
      <c r="BM512" s="225"/>
      <c r="BN512" s="225"/>
      <c r="BO512" s="225"/>
      <c r="BP512" s="225"/>
      <c r="BQ512" s="225"/>
      <c r="BR512" s="225"/>
      <c r="BS512" s="225"/>
      <c r="BT512" s="226"/>
      <c r="BU512" s="225"/>
      <c r="BV512" s="225"/>
      <c r="BW512" s="225"/>
      <c r="BX512" s="225"/>
      <c r="BY512" s="225"/>
      <c r="BZ512" s="225"/>
    </row>
    <row r="513">
      <c r="A513" s="225"/>
      <c r="B513" s="225"/>
      <c r="C513" s="225"/>
      <c r="D513" s="226"/>
      <c r="E513" s="225"/>
      <c r="F513" s="225"/>
      <c r="G513" s="225"/>
      <c r="H513" s="225"/>
      <c r="I513" s="225"/>
      <c r="J513" s="225"/>
      <c r="K513" s="244"/>
      <c r="L513" s="225"/>
      <c r="M513" s="225"/>
      <c r="N513" s="225"/>
      <c r="O513" s="225"/>
      <c r="P513" s="225"/>
      <c r="Q513" s="227"/>
      <c r="R513" s="234"/>
      <c r="S513" s="225"/>
      <c r="T513" s="225"/>
      <c r="U513" s="225"/>
      <c r="V513" s="225"/>
      <c r="W513" s="225"/>
      <c r="X513" s="225"/>
      <c r="Y513" s="229"/>
      <c r="Z513" s="257"/>
      <c r="AA513" s="225"/>
      <c r="AB513" s="257"/>
      <c r="AC513" s="257"/>
      <c r="AD513" s="226"/>
      <c r="AE513" s="259"/>
      <c r="AF513" s="347"/>
      <c r="AG513" s="232"/>
      <c r="AH513" s="257"/>
      <c r="AI513" s="225"/>
      <c r="AJ513" s="267"/>
      <c r="AK513" s="259"/>
      <c r="AL513" s="226"/>
      <c r="AM513" s="225"/>
      <c r="AN513" s="225"/>
      <c r="AO513" s="254"/>
      <c r="AP513" s="225"/>
      <c r="AQ513" s="225"/>
      <c r="AR513" s="226"/>
      <c r="AS513" s="225"/>
      <c r="AT513" s="225"/>
      <c r="AU513" s="225"/>
      <c r="AV513" s="225"/>
      <c r="AW513" s="225"/>
      <c r="AX513" s="226"/>
      <c r="AY513" s="225"/>
      <c r="AZ513" s="225"/>
      <c r="BA513" s="226"/>
      <c r="BB513" s="225"/>
      <c r="BC513" s="225"/>
      <c r="BD513" s="225"/>
      <c r="BE513" s="225"/>
      <c r="BF513" s="225"/>
      <c r="BG513" s="225"/>
      <c r="BH513" s="225"/>
      <c r="BI513" s="225"/>
      <c r="BJ513" s="225"/>
      <c r="BK513" s="225"/>
      <c r="BL513" s="225"/>
      <c r="BM513" s="225"/>
      <c r="BN513" s="225"/>
      <c r="BO513" s="225"/>
      <c r="BP513" s="225"/>
      <c r="BQ513" s="225"/>
      <c r="BR513" s="225"/>
      <c r="BS513" s="225"/>
      <c r="BT513" s="226"/>
      <c r="BU513" s="225"/>
      <c r="BV513" s="225"/>
      <c r="BW513" s="225"/>
      <c r="BX513" s="225"/>
      <c r="BY513" s="225"/>
      <c r="BZ513" s="225"/>
    </row>
    <row r="514">
      <c r="A514" s="225"/>
      <c r="B514" s="225"/>
      <c r="C514" s="225"/>
      <c r="D514" s="226"/>
      <c r="E514" s="225"/>
      <c r="F514" s="225"/>
      <c r="G514" s="225"/>
      <c r="H514" s="225"/>
      <c r="I514" s="225"/>
      <c r="J514" s="225"/>
      <c r="K514" s="244"/>
      <c r="L514" s="225"/>
      <c r="M514" s="225"/>
      <c r="N514" s="225"/>
      <c r="O514" s="225"/>
      <c r="P514" s="225"/>
      <c r="Q514" s="227"/>
      <c r="R514" s="234"/>
      <c r="S514" s="225"/>
      <c r="T514" s="225"/>
      <c r="U514" s="225"/>
      <c r="V514" s="225"/>
      <c r="W514" s="225"/>
      <c r="X514" s="225"/>
      <c r="Y514" s="229"/>
      <c r="Z514" s="257"/>
      <c r="AA514" s="225"/>
      <c r="AB514" s="257"/>
      <c r="AC514" s="257"/>
      <c r="AD514" s="226"/>
      <c r="AE514" s="259"/>
      <c r="AF514" s="347"/>
      <c r="AG514" s="232"/>
      <c r="AH514" s="257"/>
      <c r="AI514" s="225"/>
      <c r="AJ514" s="267"/>
      <c r="AK514" s="259"/>
      <c r="AL514" s="226"/>
      <c r="AM514" s="225"/>
      <c r="AN514" s="225"/>
      <c r="AO514" s="254"/>
      <c r="AP514" s="225"/>
      <c r="AQ514" s="225"/>
      <c r="AR514" s="226"/>
      <c r="AS514" s="225"/>
      <c r="AT514" s="225"/>
      <c r="AU514" s="225"/>
      <c r="AV514" s="225"/>
      <c r="AW514" s="225"/>
      <c r="AX514" s="226"/>
      <c r="AY514" s="225"/>
      <c r="AZ514" s="225"/>
      <c r="BA514" s="226"/>
      <c r="BB514" s="225"/>
      <c r="BC514" s="225"/>
      <c r="BD514" s="225"/>
      <c r="BE514" s="225"/>
      <c r="BF514" s="225"/>
      <c r="BG514" s="225"/>
      <c r="BH514" s="225"/>
      <c r="BI514" s="225"/>
      <c r="BJ514" s="225"/>
      <c r="BK514" s="225"/>
      <c r="BL514" s="225"/>
      <c r="BM514" s="225"/>
      <c r="BN514" s="225"/>
      <c r="BO514" s="225"/>
      <c r="BP514" s="225"/>
      <c r="BQ514" s="225"/>
      <c r="BR514" s="225"/>
      <c r="BS514" s="225"/>
      <c r="BT514" s="226"/>
      <c r="BU514" s="225"/>
      <c r="BV514" s="225"/>
      <c r="BW514" s="225"/>
      <c r="BX514" s="225"/>
      <c r="BY514" s="225"/>
      <c r="BZ514" s="225"/>
    </row>
    <row r="515">
      <c r="A515" s="225"/>
      <c r="B515" s="225"/>
      <c r="C515" s="225"/>
      <c r="D515" s="226"/>
      <c r="E515" s="225"/>
      <c r="F515" s="225"/>
      <c r="G515" s="225"/>
      <c r="H515" s="225"/>
      <c r="I515" s="225"/>
      <c r="J515" s="225"/>
      <c r="K515" s="244"/>
      <c r="L515" s="225"/>
      <c r="M515" s="225"/>
      <c r="N515" s="225"/>
      <c r="O515" s="225"/>
      <c r="P515" s="225"/>
      <c r="Q515" s="227"/>
      <c r="R515" s="234"/>
      <c r="S515" s="225"/>
      <c r="T515" s="225"/>
      <c r="U515" s="225"/>
      <c r="V515" s="225"/>
      <c r="W515" s="225"/>
      <c r="X515" s="225"/>
      <c r="Y515" s="229"/>
      <c r="Z515" s="257"/>
      <c r="AA515" s="225"/>
      <c r="AB515" s="257"/>
      <c r="AC515" s="257"/>
      <c r="AD515" s="226"/>
      <c r="AE515" s="259"/>
      <c r="AF515" s="347"/>
      <c r="AG515" s="232"/>
      <c r="AH515" s="257"/>
      <c r="AI515" s="225"/>
      <c r="AJ515" s="267"/>
      <c r="AK515" s="259"/>
      <c r="AL515" s="226"/>
      <c r="AM515" s="225"/>
      <c r="AN515" s="225"/>
      <c r="AO515" s="254"/>
      <c r="AP515" s="225"/>
      <c r="AQ515" s="225"/>
      <c r="AR515" s="226"/>
      <c r="AS515" s="225"/>
      <c r="AT515" s="225"/>
      <c r="AU515" s="225"/>
      <c r="AV515" s="225"/>
      <c r="AW515" s="225"/>
      <c r="AX515" s="226"/>
      <c r="AY515" s="225"/>
      <c r="AZ515" s="225"/>
      <c r="BA515" s="226"/>
      <c r="BB515" s="225"/>
      <c r="BC515" s="225"/>
      <c r="BD515" s="225"/>
      <c r="BE515" s="225"/>
      <c r="BF515" s="225"/>
      <c r="BG515" s="225"/>
      <c r="BH515" s="225"/>
      <c r="BI515" s="225"/>
      <c r="BJ515" s="225"/>
      <c r="BK515" s="225"/>
      <c r="BL515" s="225"/>
      <c r="BM515" s="225"/>
      <c r="BN515" s="225"/>
      <c r="BO515" s="225"/>
      <c r="BP515" s="225"/>
      <c r="BQ515" s="225"/>
      <c r="BR515" s="225"/>
      <c r="BS515" s="225"/>
      <c r="BT515" s="226"/>
      <c r="BU515" s="225"/>
      <c r="BV515" s="225"/>
      <c r="BW515" s="225"/>
      <c r="BX515" s="225"/>
      <c r="BY515" s="225"/>
      <c r="BZ515" s="225"/>
    </row>
    <row r="516">
      <c r="A516" s="225"/>
      <c r="B516" s="225"/>
      <c r="C516" s="225"/>
      <c r="D516" s="226"/>
      <c r="E516" s="225"/>
      <c r="F516" s="225"/>
      <c r="G516" s="225"/>
      <c r="H516" s="225"/>
      <c r="I516" s="225"/>
      <c r="J516" s="225"/>
      <c r="K516" s="244"/>
      <c r="L516" s="225"/>
      <c r="M516" s="225"/>
      <c r="N516" s="225"/>
      <c r="O516" s="225"/>
      <c r="P516" s="225"/>
      <c r="Q516" s="227"/>
      <c r="R516" s="234"/>
      <c r="S516" s="225"/>
      <c r="T516" s="225"/>
      <c r="U516" s="225"/>
      <c r="V516" s="225"/>
      <c r="W516" s="225"/>
      <c r="X516" s="225"/>
      <c r="Y516" s="229"/>
      <c r="Z516" s="257"/>
      <c r="AA516" s="225"/>
      <c r="AB516" s="257"/>
      <c r="AC516" s="257"/>
      <c r="AD516" s="226"/>
      <c r="AE516" s="259"/>
      <c r="AF516" s="347"/>
      <c r="AG516" s="232"/>
      <c r="AH516" s="257"/>
      <c r="AI516" s="225"/>
      <c r="AJ516" s="267"/>
      <c r="AK516" s="259"/>
      <c r="AL516" s="226"/>
      <c r="AM516" s="225"/>
      <c r="AN516" s="225"/>
      <c r="AO516" s="254"/>
      <c r="AP516" s="225"/>
      <c r="AQ516" s="225"/>
      <c r="AR516" s="226"/>
      <c r="AS516" s="225"/>
      <c r="AT516" s="225"/>
      <c r="AU516" s="225"/>
      <c r="AV516" s="225"/>
      <c r="AW516" s="225"/>
      <c r="AX516" s="226"/>
      <c r="AY516" s="225"/>
      <c r="AZ516" s="225"/>
      <c r="BA516" s="226"/>
      <c r="BB516" s="225"/>
      <c r="BC516" s="225"/>
      <c r="BD516" s="225"/>
      <c r="BE516" s="225"/>
      <c r="BF516" s="225"/>
      <c r="BG516" s="225"/>
      <c r="BH516" s="225"/>
      <c r="BI516" s="225"/>
      <c r="BJ516" s="225"/>
      <c r="BK516" s="225"/>
      <c r="BL516" s="225"/>
      <c r="BM516" s="225"/>
      <c r="BN516" s="225"/>
      <c r="BO516" s="225"/>
      <c r="BP516" s="225"/>
      <c r="BQ516" s="225"/>
      <c r="BR516" s="225"/>
      <c r="BS516" s="225"/>
      <c r="BT516" s="226"/>
      <c r="BU516" s="225"/>
      <c r="BV516" s="225"/>
      <c r="BW516" s="225"/>
      <c r="BX516" s="225"/>
      <c r="BY516" s="225"/>
      <c r="BZ516" s="225"/>
    </row>
    <row r="517">
      <c r="A517" s="225"/>
      <c r="B517" s="225"/>
      <c r="C517" s="225"/>
      <c r="D517" s="226"/>
      <c r="E517" s="225"/>
      <c r="F517" s="225"/>
      <c r="G517" s="225"/>
      <c r="H517" s="225"/>
      <c r="I517" s="225"/>
      <c r="J517" s="225"/>
      <c r="K517" s="244"/>
      <c r="L517" s="225"/>
      <c r="M517" s="225"/>
      <c r="N517" s="225"/>
      <c r="O517" s="225"/>
      <c r="P517" s="225"/>
      <c r="Q517" s="227"/>
      <c r="R517" s="234"/>
      <c r="S517" s="225"/>
      <c r="T517" s="225"/>
      <c r="U517" s="225"/>
      <c r="V517" s="225"/>
      <c r="W517" s="225"/>
      <c r="X517" s="225"/>
      <c r="Y517" s="229"/>
      <c r="Z517" s="257"/>
      <c r="AA517" s="225"/>
      <c r="AB517" s="257"/>
      <c r="AC517" s="257"/>
      <c r="AD517" s="226"/>
      <c r="AE517" s="259"/>
      <c r="AF517" s="347"/>
      <c r="AG517" s="232"/>
      <c r="AH517" s="257"/>
      <c r="AI517" s="225"/>
      <c r="AJ517" s="267"/>
      <c r="AK517" s="259"/>
      <c r="AL517" s="226"/>
      <c r="AM517" s="225"/>
      <c r="AN517" s="225"/>
      <c r="AO517" s="254"/>
      <c r="AP517" s="225"/>
      <c r="AQ517" s="225"/>
      <c r="AR517" s="226"/>
      <c r="AS517" s="225"/>
      <c r="AT517" s="225"/>
      <c r="AU517" s="225"/>
      <c r="AV517" s="225"/>
      <c r="AW517" s="225"/>
      <c r="AX517" s="226"/>
      <c r="AY517" s="225"/>
      <c r="AZ517" s="225"/>
      <c r="BA517" s="226"/>
      <c r="BB517" s="225"/>
      <c r="BC517" s="225"/>
      <c r="BD517" s="225"/>
      <c r="BE517" s="225"/>
      <c r="BF517" s="225"/>
      <c r="BG517" s="225"/>
      <c r="BH517" s="225"/>
      <c r="BI517" s="225"/>
      <c r="BJ517" s="225"/>
      <c r="BK517" s="225"/>
      <c r="BL517" s="225"/>
      <c r="BM517" s="225"/>
      <c r="BN517" s="225"/>
      <c r="BO517" s="225"/>
      <c r="BP517" s="225"/>
      <c r="BQ517" s="225"/>
      <c r="BR517" s="225"/>
      <c r="BS517" s="225"/>
      <c r="BT517" s="226"/>
      <c r="BU517" s="225"/>
      <c r="BV517" s="225"/>
      <c r="BW517" s="225"/>
      <c r="BX517" s="225"/>
      <c r="BY517" s="225"/>
      <c r="BZ517" s="225"/>
    </row>
    <row r="518">
      <c r="A518" s="225"/>
      <c r="B518" s="225"/>
      <c r="C518" s="225"/>
      <c r="D518" s="226"/>
      <c r="E518" s="225"/>
      <c r="F518" s="225"/>
      <c r="G518" s="225"/>
      <c r="H518" s="225"/>
      <c r="I518" s="225"/>
      <c r="J518" s="225"/>
      <c r="K518" s="244"/>
      <c r="L518" s="225"/>
      <c r="M518" s="225"/>
      <c r="N518" s="225"/>
      <c r="O518" s="225"/>
      <c r="P518" s="225"/>
      <c r="Q518" s="227"/>
      <c r="R518" s="234"/>
      <c r="S518" s="225"/>
      <c r="T518" s="225"/>
      <c r="U518" s="225"/>
      <c r="V518" s="225"/>
      <c r="W518" s="225"/>
      <c r="X518" s="225"/>
      <c r="Y518" s="229"/>
      <c r="Z518" s="257"/>
      <c r="AA518" s="225"/>
      <c r="AB518" s="257"/>
      <c r="AC518" s="257"/>
      <c r="AD518" s="226"/>
      <c r="AE518" s="259"/>
      <c r="AF518" s="347"/>
      <c r="AG518" s="232"/>
      <c r="AH518" s="257"/>
      <c r="AI518" s="225"/>
      <c r="AJ518" s="267"/>
      <c r="AK518" s="259"/>
      <c r="AL518" s="226"/>
      <c r="AM518" s="225"/>
      <c r="AN518" s="225"/>
      <c r="AO518" s="254"/>
      <c r="AP518" s="225"/>
      <c r="AQ518" s="225"/>
      <c r="AR518" s="226"/>
      <c r="AS518" s="225"/>
      <c r="AT518" s="225"/>
      <c r="AU518" s="225"/>
      <c r="AV518" s="225"/>
      <c r="AW518" s="225"/>
      <c r="AX518" s="226"/>
      <c r="AY518" s="225"/>
      <c r="AZ518" s="225"/>
      <c r="BA518" s="226"/>
      <c r="BB518" s="225"/>
      <c r="BC518" s="225"/>
      <c r="BD518" s="225"/>
      <c r="BE518" s="225"/>
      <c r="BF518" s="225"/>
      <c r="BG518" s="225"/>
      <c r="BH518" s="225"/>
      <c r="BI518" s="225"/>
      <c r="BJ518" s="225"/>
      <c r="BK518" s="225"/>
      <c r="BL518" s="225"/>
      <c r="BM518" s="225"/>
      <c r="BN518" s="225"/>
      <c r="BO518" s="225"/>
      <c r="BP518" s="225"/>
      <c r="BQ518" s="225"/>
      <c r="BR518" s="225"/>
      <c r="BS518" s="225"/>
      <c r="BT518" s="226"/>
      <c r="BU518" s="225"/>
      <c r="BV518" s="225"/>
      <c r="BW518" s="225"/>
      <c r="BX518" s="225"/>
      <c r="BY518" s="225"/>
      <c r="BZ518" s="225"/>
    </row>
    <row r="519">
      <c r="A519" s="225"/>
      <c r="B519" s="225"/>
      <c r="C519" s="225"/>
      <c r="D519" s="226"/>
      <c r="E519" s="225"/>
      <c r="F519" s="225"/>
      <c r="G519" s="225"/>
      <c r="H519" s="225"/>
      <c r="I519" s="225"/>
      <c r="J519" s="225"/>
      <c r="K519" s="244"/>
      <c r="L519" s="225"/>
      <c r="M519" s="225"/>
      <c r="N519" s="225"/>
      <c r="O519" s="225"/>
      <c r="P519" s="225"/>
      <c r="Q519" s="227"/>
      <c r="R519" s="234"/>
      <c r="S519" s="225"/>
      <c r="T519" s="225"/>
      <c r="U519" s="225"/>
      <c r="V519" s="225"/>
      <c r="W519" s="225"/>
      <c r="X519" s="225"/>
      <c r="Y519" s="229"/>
      <c r="Z519" s="257"/>
      <c r="AA519" s="225"/>
      <c r="AB519" s="257"/>
      <c r="AC519" s="257"/>
      <c r="AD519" s="226"/>
      <c r="AE519" s="259"/>
      <c r="AF519" s="347"/>
      <c r="AG519" s="232"/>
      <c r="AH519" s="257"/>
      <c r="AI519" s="225"/>
      <c r="AJ519" s="267"/>
      <c r="AK519" s="259"/>
      <c r="AL519" s="226"/>
      <c r="AM519" s="225"/>
      <c r="AN519" s="225"/>
      <c r="AO519" s="254"/>
      <c r="AP519" s="225"/>
      <c r="AQ519" s="225"/>
      <c r="AR519" s="226"/>
      <c r="AS519" s="225"/>
      <c r="AT519" s="225"/>
      <c r="AU519" s="225"/>
      <c r="AV519" s="225"/>
      <c r="AW519" s="225"/>
      <c r="AX519" s="226"/>
      <c r="AY519" s="225"/>
      <c r="AZ519" s="225"/>
      <c r="BA519" s="226"/>
      <c r="BB519" s="225"/>
      <c r="BC519" s="225"/>
      <c r="BD519" s="225"/>
      <c r="BE519" s="225"/>
      <c r="BF519" s="225"/>
      <c r="BG519" s="225"/>
      <c r="BH519" s="225"/>
      <c r="BI519" s="225"/>
      <c r="BJ519" s="225"/>
      <c r="BK519" s="225"/>
      <c r="BL519" s="225"/>
      <c r="BM519" s="225"/>
      <c r="BN519" s="225"/>
      <c r="BO519" s="225"/>
      <c r="BP519" s="225"/>
      <c r="BQ519" s="225"/>
      <c r="BR519" s="225"/>
      <c r="BS519" s="225"/>
      <c r="BT519" s="226"/>
      <c r="BU519" s="225"/>
      <c r="BV519" s="225"/>
      <c r="BW519" s="225"/>
      <c r="BX519" s="225"/>
      <c r="BY519" s="225"/>
      <c r="BZ519" s="225"/>
    </row>
    <row r="520">
      <c r="A520" s="225"/>
      <c r="B520" s="225"/>
      <c r="C520" s="225"/>
      <c r="D520" s="226"/>
      <c r="E520" s="225"/>
      <c r="F520" s="225"/>
      <c r="G520" s="225"/>
      <c r="H520" s="225"/>
      <c r="I520" s="225"/>
      <c r="J520" s="225"/>
      <c r="K520" s="244"/>
      <c r="L520" s="225"/>
      <c r="M520" s="225"/>
      <c r="N520" s="225"/>
      <c r="O520" s="225"/>
      <c r="P520" s="225"/>
      <c r="Q520" s="227"/>
      <c r="R520" s="234"/>
      <c r="S520" s="225"/>
      <c r="T520" s="225"/>
      <c r="U520" s="225"/>
      <c r="V520" s="225"/>
      <c r="W520" s="225"/>
      <c r="X520" s="225"/>
      <c r="Y520" s="229"/>
      <c r="Z520" s="257"/>
      <c r="AA520" s="225"/>
      <c r="AB520" s="257"/>
      <c r="AC520" s="257"/>
      <c r="AD520" s="226"/>
      <c r="AE520" s="259"/>
      <c r="AF520" s="347"/>
      <c r="AG520" s="232"/>
      <c r="AH520" s="257"/>
      <c r="AI520" s="225"/>
      <c r="AJ520" s="267"/>
      <c r="AK520" s="259"/>
      <c r="AL520" s="226"/>
      <c r="AM520" s="225"/>
      <c r="AN520" s="225"/>
      <c r="AO520" s="254"/>
      <c r="AP520" s="225"/>
      <c r="AQ520" s="225"/>
      <c r="AR520" s="226"/>
      <c r="AS520" s="225"/>
      <c r="AT520" s="225"/>
      <c r="AU520" s="225"/>
      <c r="AV520" s="225"/>
      <c r="AW520" s="225"/>
      <c r="AX520" s="226"/>
      <c r="AY520" s="225"/>
      <c r="AZ520" s="225"/>
      <c r="BA520" s="226"/>
      <c r="BB520" s="225"/>
      <c r="BC520" s="225"/>
      <c r="BD520" s="225"/>
      <c r="BE520" s="225"/>
      <c r="BF520" s="225"/>
      <c r="BG520" s="225"/>
      <c r="BH520" s="225"/>
      <c r="BI520" s="225"/>
      <c r="BJ520" s="225"/>
      <c r="BK520" s="225"/>
      <c r="BL520" s="225"/>
      <c r="BM520" s="225"/>
      <c r="BN520" s="225"/>
      <c r="BO520" s="225"/>
      <c r="BP520" s="225"/>
      <c r="BQ520" s="225"/>
      <c r="BR520" s="225"/>
      <c r="BS520" s="225"/>
      <c r="BT520" s="226"/>
      <c r="BU520" s="225"/>
      <c r="BV520" s="225"/>
      <c r="BW520" s="225"/>
      <c r="BX520" s="225"/>
      <c r="BY520" s="225"/>
      <c r="BZ520" s="225"/>
    </row>
    <row r="521">
      <c r="A521" s="225"/>
      <c r="B521" s="225"/>
      <c r="C521" s="225"/>
      <c r="D521" s="226"/>
      <c r="E521" s="225"/>
      <c r="F521" s="225"/>
      <c r="G521" s="225"/>
      <c r="H521" s="225"/>
      <c r="I521" s="225"/>
      <c r="J521" s="225"/>
      <c r="K521" s="244"/>
      <c r="L521" s="225"/>
      <c r="M521" s="225"/>
      <c r="N521" s="225"/>
      <c r="O521" s="225"/>
      <c r="P521" s="225"/>
      <c r="Q521" s="227"/>
      <c r="R521" s="234"/>
      <c r="S521" s="225"/>
      <c r="T521" s="225"/>
      <c r="U521" s="225"/>
      <c r="V521" s="225"/>
      <c r="W521" s="225"/>
      <c r="X521" s="225"/>
      <c r="Y521" s="229"/>
      <c r="Z521" s="257"/>
      <c r="AA521" s="225"/>
      <c r="AB521" s="257"/>
      <c r="AC521" s="257"/>
      <c r="AD521" s="226"/>
      <c r="AE521" s="259"/>
      <c r="AF521" s="347"/>
      <c r="AG521" s="232"/>
      <c r="AH521" s="257"/>
      <c r="AI521" s="225"/>
      <c r="AJ521" s="267"/>
      <c r="AK521" s="259"/>
      <c r="AL521" s="226"/>
      <c r="AM521" s="225"/>
      <c r="AN521" s="225"/>
      <c r="AO521" s="254"/>
      <c r="AP521" s="225"/>
      <c r="AQ521" s="225"/>
      <c r="AR521" s="226"/>
      <c r="AS521" s="225"/>
      <c r="AT521" s="225"/>
      <c r="AU521" s="225"/>
      <c r="AV521" s="225"/>
      <c r="AW521" s="225"/>
      <c r="AX521" s="226"/>
      <c r="AY521" s="225"/>
      <c r="AZ521" s="225"/>
      <c r="BA521" s="226"/>
      <c r="BB521" s="225"/>
      <c r="BC521" s="225"/>
      <c r="BD521" s="225"/>
      <c r="BE521" s="225"/>
      <c r="BF521" s="225"/>
      <c r="BG521" s="225"/>
      <c r="BH521" s="225"/>
      <c r="BI521" s="225"/>
      <c r="BJ521" s="225"/>
      <c r="BK521" s="225"/>
      <c r="BL521" s="225"/>
      <c r="BM521" s="225"/>
      <c r="BN521" s="225"/>
      <c r="BO521" s="225"/>
      <c r="BP521" s="225"/>
      <c r="BQ521" s="225"/>
      <c r="BR521" s="225"/>
      <c r="BS521" s="225"/>
      <c r="BT521" s="226"/>
      <c r="BU521" s="225"/>
      <c r="BV521" s="225"/>
      <c r="BW521" s="225"/>
      <c r="BX521" s="225"/>
      <c r="BY521" s="225"/>
      <c r="BZ521" s="225"/>
    </row>
    <row r="522">
      <c r="A522" s="225"/>
      <c r="B522" s="225"/>
      <c r="C522" s="225"/>
      <c r="D522" s="226"/>
      <c r="E522" s="225"/>
      <c r="F522" s="225"/>
      <c r="G522" s="225"/>
      <c r="H522" s="225"/>
      <c r="I522" s="225"/>
      <c r="J522" s="225"/>
      <c r="K522" s="244"/>
      <c r="L522" s="225"/>
      <c r="M522" s="225"/>
      <c r="N522" s="225"/>
      <c r="O522" s="225"/>
      <c r="P522" s="225"/>
      <c r="Q522" s="227"/>
      <c r="R522" s="234"/>
      <c r="S522" s="225"/>
      <c r="T522" s="225"/>
      <c r="U522" s="225"/>
      <c r="V522" s="225"/>
      <c r="W522" s="225"/>
      <c r="X522" s="225"/>
      <c r="Y522" s="229"/>
      <c r="Z522" s="257"/>
      <c r="AA522" s="225"/>
      <c r="AB522" s="257"/>
      <c r="AC522" s="257"/>
      <c r="AD522" s="226"/>
      <c r="AE522" s="259"/>
      <c r="AF522" s="347"/>
      <c r="AG522" s="232"/>
      <c r="AH522" s="257"/>
      <c r="AI522" s="225"/>
      <c r="AJ522" s="267"/>
      <c r="AK522" s="259"/>
      <c r="AL522" s="226"/>
      <c r="AM522" s="225"/>
      <c r="AN522" s="225"/>
      <c r="AO522" s="254"/>
      <c r="AP522" s="225"/>
      <c r="AQ522" s="225"/>
      <c r="AR522" s="226"/>
      <c r="AS522" s="225"/>
      <c r="AT522" s="225"/>
      <c r="AU522" s="225"/>
      <c r="AV522" s="225"/>
      <c r="AW522" s="225"/>
      <c r="AX522" s="226"/>
      <c r="AY522" s="225"/>
      <c r="AZ522" s="225"/>
      <c r="BA522" s="226"/>
      <c r="BB522" s="225"/>
      <c r="BC522" s="225"/>
      <c r="BD522" s="225"/>
      <c r="BE522" s="225"/>
      <c r="BF522" s="225"/>
      <c r="BG522" s="225"/>
      <c r="BH522" s="225"/>
      <c r="BI522" s="225"/>
      <c r="BJ522" s="225"/>
      <c r="BK522" s="225"/>
      <c r="BL522" s="225"/>
      <c r="BM522" s="225"/>
      <c r="BN522" s="225"/>
      <c r="BO522" s="225"/>
      <c r="BP522" s="225"/>
      <c r="BQ522" s="225"/>
      <c r="BR522" s="225"/>
      <c r="BS522" s="225"/>
      <c r="BT522" s="226"/>
      <c r="BU522" s="225"/>
      <c r="BV522" s="225"/>
      <c r="BW522" s="225"/>
      <c r="BX522" s="225"/>
      <c r="BY522" s="225"/>
      <c r="BZ522" s="225"/>
    </row>
    <row r="523">
      <c r="A523" s="225"/>
      <c r="B523" s="225"/>
      <c r="C523" s="225"/>
      <c r="D523" s="226"/>
      <c r="E523" s="225"/>
      <c r="F523" s="225"/>
      <c r="G523" s="225"/>
      <c r="H523" s="225"/>
      <c r="I523" s="225"/>
      <c r="J523" s="225"/>
      <c r="K523" s="244"/>
      <c r="L523" s="225"/>
      <c r="M523" s="225"/>
      <c r="N523" s="225"/>
      <c r="O523" s="225"/>
      <c r="P523" s="225"/>
      <c r="Q523" s="227"/>
      <c r="R523" s="234"/>
      <c r="S523" s="225"/>
      <c r="T523" s="225"/>
      <c r="U523" s="225"/>
      <c r="V523" s="225"/>
      <c r="W523" s="225"/>
      <c r="X523" s="225"/>
      <c r="Y523" s="229"/>
      <c r="Z523" s="257"/>
      <c r="AA523" s="225"/>
      <c r="AB523" s="257"/>
      <c r="AC523" s="257"/>
      <c r="AD523" s="226"/>
      <c r="AE523" s="259"/>
      <c r="AF523" s="347"/>
      <c r="AG523" s="232"/>
      <c r="AH523" s="257"/>
      <c r="AI523" s="225"/>
      <c r="AJ523" s="267"/>
      <c r="AK523" s="259"/>
      <c r="AL523" s="226"/>
      <c r="AM523" s="225"/>
      <c r="AN523" s="225"/>
      <c r="AO523" s="254"/>
      <c r="AP523" s="225"/>
      <c r="AQ523" s="225"/>
      <c r="AR523" s="226"/>
      <c r="AS523" s="225"/>
      <c r="AT523" s="225"/>
      <c r="AU523" s="225"/>
      <c r="AV523" s="225"/>
      <c r="AW523" s="225"/>
      <c r="AX523" s="226"/>
      <c r="AY523" s="225"/>
      <c r="AZ523" s="225"/>
      <c r="BA523" s="226"/>
      <c r="BB523" s="225"/>
      <c r="BC523" s="225"/>
      <c r="BD523" s="225"/>
      <c r="BE523" s="225"/>
      <c r="BF523" s="225"/>
      <c r="BG523" s="225"/>
      <c r="BH523" s="225"/>
      <c r="BI523" s="225"/>
      <c r="BJ523" s="225"/>
      <c r="BK523" s="225"/>
      <c r="BL523" s="225"/>
      <c r="BM523" s="225"/>
      <c r="BN523" s="225"/>
      <c r="BO523" s="225"/>
      <c r="BP523" s="225"/>
      <c r="BQ523" s="225"/>
      <c r="BR523" s="225"/>
      <c r="BS523" s="225"/>
      <c r="BT523" s="226"/>
      <c r="BU523" s="225"/>
      <c r="BV523" s="225"/>
      <c r="BW523" s="225"/>
      <c r="BX523" s="225"/>
      <c r="BY523" s="225"/>
      <c r="BZ523" s="225"/>
    </row>
    <row r="524">
      <c r="A524" s="225"/>
      <c r="B524" s="225"/>
      <c r="C524" s="225"/>
      <c r="D524" s="226"/>
      <c r="E524" s="225"/>
      <c r="F524" s="225"/>
      <c r="G524" s="225"/>
      <c r="H524" s="225"/>
      <c r="I524" s="225"/>
      <c r="J524" s="225"/>
      <c r="K524" s="244"/>
      <c r="L524" s="225"/>
      <c r="M524" s="225"/>
      <c r="N524" s="225"/>
      <c r="O524" s="225"/>
      <c r="P524" s="225"/>
      <c r="Q524" s="227"/>
      <c r="R524" s="234"/>
      <c r="S524" s="225"/>
      <c r="T524" s="225"/>
      <c r="U524" s="225"/>
      <c r="V524" s="225"/>
      <c r="W524" s="225"/>
      <c r="X524" s="225"/>
      <c r="Y524" s="229"/>
      <c r="Z524" s="257"/>
      <c r="AA524" s="225"/>
      <c r="AB524" s="257"/>
      <c r="AC524" s="257"/>
      <c r="AD524" s="226"/>
      <c r="AE524" s="259"/>
      <c r="AF524" s="347"/>
      <c r="AG524" s="232"/>
      <c r="AH524" s="257"/>
      <c r="AI524" s="225"/>
      <c r="AJ524" s="267"/>
      <c r="AK524" s="259"/>
      <c r="AL524" s="226"/>
      <c r="AM524" s="225"/>
      <c r="AN524" s="225"/>
      <c r="AO524" s="254"/>
      <c r="AP524" s="225"/>
      <c r="AQ524" s="225"/>
      <c r="AR524" s="226"/>
      <c r="AS524" s="225"/>
      <c r="AT524" s="225"/>
      <c r="AU524" s="225"/>
      <c r="AV524" s="225"/>
      <c r="AW524" s="225"/>
      <c r="AX524" s="226"/>
      <c r="AY524" s="225"/>
      <c r="AZ524" s="225"/>
      <c r="BA524" s="226"/>
      <c r="BB524" s="225"/>
      <c r="BC524" s="225"/>
      <c r="BD524" s="225"/>
      <c r="BE524" s="225"/>
      <c r="BF524" s="225"/>
      <c r="BG524" s="225"/>
      <c r="BH524" s="225"/>
      <c r="BI524" s="225"/>
      <c r="BJ524" s="225"/>
      <c r="BK524" s="225"/>
      <c r="BL524" s="225"/>
      <c r="BM524" s="225"/>
      <c r="BN524" s="225"/>
      <c r="BO524" s="225"/>
      <c r="BP524" s="225"/>
      <c r="BQ524" s="225"/>
      <c r="BR524" s="225"/>
      <c r="BS524" s="225"/>
      <c r="BT524" s="226"/>
      <c r="BU524" s="225"/>
      <c r="BV524" s="225"/>
      <c r="BW524" s="225"/>
      <c r="BX524" s="225"/>
      <c r="BY524" s="225"/>
      <c r="BZ524" s="225"/>
    </row>
    <row r="525">
      <c r="A525" s="225"/>
      <c r="B525" s="225"/>
      <c r="C525" s="225"/>
      <c r="D525" s="226"/>
      <c r="E525" s="225"/>
      <c r="F525" s="225"/>
      <c r="G525" s="225"/>
      <c r="H525" s="225"/>
      <c r="I525" s="225"/>
      <c r="J525" s="225"/>
      <c r="K525" s="244"/>
      <c r="L525" s="225"/>
      <c r="M525" s="225"/>
      <c r="N525" s="225"/>
      <c r="O525" s="225"/>
      <c r="P525" s="225"/>
      <c r="Q525" s="227"/>
      <c r="R525" s="234"/>
      <c r="S525" s="225"/>
      <c r="T525" s="225"/>
      <c r="U525" s="225"/>
      <c r="V525" s="225"/>
      <c r="W525" s="225"/>
      <c r="X525" s="225"/>
      <c r="Y525" s="229"/>
      <c r="Z525" s="257"/>
      <c r="AA525" s="225"/>
      <c r="AB525" s="257"/>
      <c r="AC525" s="257"/>
      <c r="AD525" s="226"/>
      <c r="AE525" s="259"/>
      <c r="AF525" s="347"/>
      <c r="AG525" s="232"/>
      <c r="AH525" s="257"/>
      <c r="AI525" s="225"/>
      <c r="AJ525" s="267"/>
      <c r="AK525" s="259"/>
      <c r="AL525" s="226"/>
      <c r="AM525" s="225"/>
      <c r="AN525" s="225"/>
      <c r="AO525" s="254"/>
      <c r="AP525" s="225"/>
      <c r="AQ525" s="225"/>
      <c r="AR525" s="226"/>
      <c r="AS525" s="225"/>
      <c r="AT525" s="225"/>
      <c r="AU525" s="225"/>
      <c r="AV525" s="225"/>
      <c r="AW525" s="225"/>
      <c r="AX525" s="226"/>
      <c r="AY525" s="225"/>
      <c r="AZ525" s="225"/>
      <c r="BA525" s="226"/>
      <c r="BB525" s="225"/>
      <c r="BC525" s="225"/>
      <c r="BD525" s="225"/>
      <c r="BE525" s="225"/>
      <c r="BF525" s="225"/>
      <c r="BG525" s="225"/>
      <c r="BH525" s="225"/>
      <c r="BI525" s="225"/>
      <c r="BJ525" s="225"/>
      <c r="BK525" s="225"/>
      <c r="BL525" s="225"/>
      <c r="BM525" s="225"/>
      <c r="BN525" s="225"/>
      <c r="BO525" s="225"/>
      <c r="BP525" s="225"/>
      <c r="BQ525" s="225"/>
      <c r="BR525" s="225"/>
      <c r="BS525" s="225"/>
      <c r="BT525" s="226"/>
      <c r="BU525" s="225"/>
      <c r="BV525" s="225"/>
      <c r="BW525" s="225"/>
      <c r="BX525" s="225"/>
      <c r="BY525" s="225"/>
      <c r="BZ525" s="225"/>
    </row>
    <row r="526">
      <c r="A526" s="225"/>
      <c r="B526" s="225"/>
      <c r="C526" s="225"/>
      <c r="D526" s="226"/>
      <c r="E526" s="225"/>
      <c r="F526" s="225"/>
      <c r="G526" s="225"/>
      <c r="H526" s="225"/>
      <c r="I526" s="225"/>
      <c r="J526" s="225"/>
      <c r="K526" s="244"/>
      <c r="L526" s="225"/>
      <c r="M526" s="225"/>
      <c r="N526" s="225"/>
      <c r="O526" s="225"/>
      <c r="P526" s="225"/>
      <c r="Q526" s="227"/>
      <c r="R526" s="234"/>
      <c r="S526" s="225"/>
      <c r="T526" s="225"/>
      <c r="U526" s="225"/>
      <c r="V526" s="225"/>
      <c r="W526" s="225"/>
      <c r="X526" s="225"/>
      <c r="Y526" s="229"/>
      <c r="Z526" s="257"/>
      <c r="AA526" s="225"/>
      <c r="AB526" s="257"/>
      <c r="AC526" s="257"/>
      <c r="AD526" s="226"/>
      <c r="AE526" s="259"/>
      <c r="AF526" s="347"/>
      <c r="AG526" s="232"/>
      <c r="AH526" s="257"/>
      <c r="AI526" s="225"/>
      <c r="AJ526" s="267"/>
      <c r="AK526" s="259"/>
      <c r="AL526" s="226"/>
      <c r="AM526" s="225"/>
      <c r="AN526" s="225"/>
      <c r="AO526" s="254"/>
      <c r="AP526" s="225"/>
      <c r="AQ526" s="225"/>
      <c r="AR526" s="226"/>
      <c r="AS526" s="225"/>
      <c r="AT526" s="225"/>
      <c r="AU526" s="225"/>
      <c r="AV526" s="225"/>
      <c r="AW526" s="225"/>
      <c r="AX526" s="226"/>
      <c r="AY526" s="225"/>
      <c r="AZ526" s="225"/>
      <c r="BA526" s="226"/>
      <c r="BB526" s="225"/>
      <c r="BC526" s="225"/>
      <c r="BD526" s="225"/>
      <c r="BE526" s="225"/>
      <c r="BF526" s="225"/>
      <c r="BG526" s="225"/>
      <c r="BH526" s="225"/>
      <c r="BI526" s="225"/>
      <c r="BJ526" s="225"/>
      <c r="BK526" s="225"/>
      <c r="BL526" s="225"/>
      <c r="BM526" s="225"/>
      <c r="BN526" s="225"/>
      <c r="BO526" s="225"/>
      <c r="BP526" s="225"/>
      <c r="BQ526" s="225"/>
      <c r="BR526" s="225"/>
      <c r="BS526" s="225"/>
      <c r="BT526" s="226"/>
      <c r="BU526" s="225"/>
      <c r="BV526" s="225"/>
      <c r="BW526" s="225"/>
      <c r="BX526" s="225"/>
      <c r="BY526" s="225"/>
      <c r="BZ526" s="225"/>
    </row>
    <row r="527">
      <c r="A527" s="225"/>
      <c r="B527" s="225"/>
      <c r="C527" s="225"/>
      <c r="D527" s="226"/>
      <c r="E527" s="225"/>
      <c r="F527" s="225"/>
      <c r="G527" s="225"/>
      <c r="H527" s="225"/>
      <c r="I527" s="225"/>
      <c r="J527" s="225"/>
      <c r="K527" s="244"/>
      <c r="L527" s="225"/>
      <c r="M527" s="225"/>
      <c r="N527" s="225"/>
      <c r="O527" s="225"/>
      <c r="P527" s="225"/>
      <c r="Q527" s="227"/>
      <c r="R527" s="234"/>
      <c r="S527" s="225"/>
      <c r="T527" s="225"/>
      <c r="U527" s="225"/>
      <c r="V527" s="225"/>
      <c r="W527" s="225"/>
      <c r="X527" s="225"/>
      <c r="Y527" s="229"/>
      <c r="Z527" s="257"/>
      <c r="AA527" s="225"/>
      <c r="AB527" s="257"/>
      <c r="AC527" s="257"/>
      <c r="AD527" s="226"/>
      <c r="AE527" s="259"/>
      <c r="AF527" s="347"/>
      <c r="AG527" s="232"/>
      <c r="AH527" s="257"/>
      <c r="AI527" s="225"/>
      <c r="AJ527" s="267"/>
      <c r="AK527" s="259"/>
      <c r="AL527" s="226"/>
      <c r="AM527" s="225"/>
      <c r="AN527" s="225"/>
      <c r="AO527" s="254"/>
      <c r="AP527" s="225"/>
      <c r="AQ527" s="225"/>
      <c r="AR527" s="226"/>
      <c r="AS527" s="225"/>
      <c r="AT527" s="225"/>
      <c r="AU527" s="225"/>
      <c r="AV527" s="225"/>
      <c r="AW527" s="225"/>
      <c r="AX527" s="226"/>
      <c r="AY527" s="225"/>
      <c r="AZ527" s="225"/>
      <c r="BA527" s="226"/>
      <c r="BB527" s="225"/>
      <c r="BC527" s="225"/>
      <c r="BD527" s="225"/>
      <c r="BE527" s="225"/>
      <c r="BF527" s="225"/>
      <c r="BG527" s="225"/>
      <c r="BH527" s="225"/>
      <c r="BI527" s="225"/>
      <c r="BJ527" s="225"/>
      <c r="BK527" s="225"/>
      <c r="BL527" s="225"/>
      <c r="BM527" s="225"/>
      <c r="BN527" s="225"/>
      <c r="BO527" s="225"/>
      <c r="BP527" s="225"/>
      <c r="BQ527" s="225"/>
      <c r="BR527" s="225"/>
      <c r="BS527" s="225"/>
      <c r="BT527" s="226"/>
      <c r="BU527" s="225"/>
      <c r="BV527" s="225"/>
      <c r="BW527" s="225"/>
      <c r="BX527" s="225"/>
      <c r="BY527" s="225"/>
      <c r="BZ527" s="225"/>
    </row>
    <row r="528">
      <c r="A528" s="225"/>
      <c r="B528" s="225"/>
      <c r="C528" s="225"/>
      <c r="D528" s="226"/>
      <c r="E528" s="225"/>
      <c r="F528" s="225"/>
      <c r="G528" s="225"/>
      <c r="H528" s="225"/>
      <c r="I528" s="225"/>
      <c r="J528" s="225"/>
      <c r="K528" s="244"/>
      <c r="L528" s="225"/>
      <c r="M528" s="225"/>
      <c r="N528" s="225"/>
      <c r="O528" s="225"/>
      <c r="P528" s="225"/>
      <c r="Q528" s="227"/>
      <c r="R528" s="234"/>
      <c r="S528" s="225"/>
      <c r="T528" s="225"/>
      <c r="U528" s="225"/>
      <c r="V528" s="225"/>
      <c r="W528" s="225"/>
      <c r="X528" s="225"/>
      <c r="Y528" s="229"/>
      <c r="Z528" s="257"/>
      <c r="AA528" s="225"/>
      <c r="AB528" s="257"/>
      <c r="AC528" s="257"/>
      <c r="AD528" s="226"/>
      <c r="AE528" s="259"/>
      <c r="AF528" s="347"/>
      <c r="AG528" s="232"/>
      <c r="AH528" s="257"/>
      <c r="AI528" s="225"/>
      <c r="AJ528" s="267"/>
      <c r="AK528" s="259"/>
      <c r="AL528" s="226"/>
      <c r="AM528" s="225"/>
      <c r="AN528" s="225"/>
      <c r="AO528" s="254"/>
      <c r="AP528" s="225"/>
      <c r="AQ528" s="225"/>
      <c r="AR528" s="226"/>
      <c r="AS528" s="225"/>
      <c r="AT528" s="225"/>
      <c r="AU528" s="225"/>
      <c r="AV528" s="225"/>
      <c r="AW528" s="225"/>
      <c r="AX528" s="226"/>
      <c r="AY528" s="225"/>
      <c r="AZ528" s="225"/>
      <c r="BA528" s="226"/>
      <c r="BB528" s="225"/>
      <c r="BC528" s="225"/>
      <c r="BD528" s="225"/>
      <c r="BE528" s="225"/>
      <c r="BF528" s="225"/>
      <c r="BG528" s="225"/>
      <c r="BH528" s="225"/>
      <c r="BI528" s="225"/>
      <c r="BJ528" s="225"/>
      <c r="BK528" s="225"/>
      <c r="BL528" s="225"/>
      <c r="BM528" s="225"/>
      <c r="BN528" s="225"/>
      <c r="BO528" s="225"/>
      <c r="BP528" s="225"/>
      <c r="BQ528" s="225"/>
      <c r="BR528" s="225"/>
      <c r="BS528" s="225"/>
      <c r="BT528" s="226"/>
      <c r="BU528" s="225"/>
      <c r="BV528" s="225"/>
      <c r="BW528" s="225"/>
      <c r="BX528" s="225"/>
      <c r="BY528" s="225"/>
      <c r="BZ528" s="225"/>
    </row>
    <row r="529">
      <c r="A529" s="225"/>
      <c r="B529" s="225"/>
      <c r="C529" s="225"/>
      <c r="D529" s="226"/>
      <c r="E529" s="225"/>
      <c r="F529" s="225"/>
      <c r="G529" s="225"/>
      <c r="H529" s="225"/>
      <c r="I529" s="225"/>
      <c r="J529" s="225"/>
      <c r="K529" s="244"/>
      <c r="L529" s="225"/>
      <c r="M529" s="225"/>
      <c r="N529" s="225"/>
      <c r="O529" s="225"/>
      <c r="P529" s="225"/>
      <c r="Q529" s="227"/>
      <c r="R529" s="234"/>
      <c r="S529" s="225"/>
      <c r="T529" s="225"/>
      <c r="U529" s="225"/>
      <c r="V529" s="225"/>
      <c r="W529" s="225"/>
      <c r="X529" s="225"/>
      <c r="Y529" s="229"/>
      <c r="Z529" s="257"/>
      <c r="AA529" s="225"/>
      <c r="AB529" s="257"/>
      <c r="AC529" s="257"/>
      <c r="AD529" s="226"/>
      <c r="AE529" s="259"/>
      <c r="AF529" s="347"/>
      <c r="AG529" s="232"/>
      <c r="AH529" s="257"/>
      <c r="AI529" s="225"/>
      <c r="AJ529" s="267"/>
      <c r="AK529" s="259"/>
      <c r="AL529" s="226"/>
      <c r="AM529" s="225"/>
      <c r="AN529" s="225"/>
      <c r="AO529" s="254"/>
      <c r="AP529" s="225"/>
      <c r="AQ529" s="225"/>
      <c r="AR529" s="226"/>
      <c r="AS529" s="225"/>
      <c r="AT529" s="225"/>
      <c r="AU529" s="225"/>
      <c r="AV529" s="225"/>
      <c r="AW529" s="225"/>
      <c r="AX529" s="226"/>
      <c r="AY529" s="225"/>
      <c r="AZ529" s="225"/>
      <c r="BA529" s="226"/>
      <c r="BB529" s="225"/>
      <c r="BC529" s="225"/>
      <c r="BD529" s="225"/>
      <c r="BE529" s="225"/>
      <c r="BF529" s="225"/>
      <c r="BG529" s="225"/>
      <c r="BH529" s="225"/>
      <c r="BI529" s="225"/>
      <c r="BJ529" s="225"/>
      <c r="BK529" s="225"/>
      <c r="BL529" s="225"/>
      <c r="BM529" s="225"/>
      <c r="BN529" s="225"/>
      <c r="BO529" s="225"/>
      <c r="BP529" s="225"/>
      <c r="BQ529" s="225"/>
      <c r="BR529" s="225"/>
      <c r="BS529" s="225"/>
      <c r="BT529" s="226"/>
      <c r="BU529" s="225"/>
      <c r="BV529" s="225"/>
      <c r="BW529" s="225"/>
      <c r="BX529" s="225"/>
      <c r="BY529" s="225"/>
      <c r="BZ529" s="225"/>
    </row>
    <row r="530">
      <c r="A530" s="225"/>
      <c r="B530" s="225"/>
      <c r="C530" s="225"/>
      <c r="D530" s="226"/>
      <c r="E530" s="225"/>
      <c r="F530" s="225"/>
      <c r="G530" s="225"/>
      <c r="H530" s="225"/>
      <c r="I530" s="225"/>
      <c r="J530" s="225"/>
      <c r="K530" s="244"/>
      <c r="L530" s="225"/>
      <c r="M530" s="225"/>
      <c r="N530" s="225"/>
      <c r="O530" s="225"/>
      <c r="P530" s="225"/>
      <c r="Q530" s="227"/>
      <c r="R530" s="234"/>
      <c r="S530" s="225"/>
      <c r="T530" s="225"/>
      <c r="U530" s="225"/>
      <c r="V530" s="225"/>
      <c r="W530" s="225"/>
      <c r="X530" s="225"/>
      <c r="Y530" s="229"/>
      <c r="Z530" s="257"/>
      <c r="AA530" s="225"/>
      <c r="AB530" s="257"/>
      <c r="AC530" s="257"/>
      <c r="AD530" s="226"/>
      <c r="AE530" s="259"/>
      <c r="AF530" s="347"/>
      <c r="AG530" s="232"/>
      <c r="AH530" s="257"/>
      <c r="AI530" s="225"/>
      <c r="AJ530" s="267"/>
      <c r="AK530" s="259"/>
      <c r="AL530" s="226"/>
      <c r="AM530" s="225"/>
      <c r="AN530" s="225"/>
      <c r="AO530" s="254"/>
      <c r="AP530" s="225"/>
      <c r="AQ530" s="225"/>
      <c r="AR530" s="226"/>
      <c r="AS530" s="225"/>
      <c r="AT530" s="225"/>
      <c r="AU530" s="225"/>
      <c r="AV530" s="225"/>
      <c r="AW530" s="225"/>
      <c r="AX530" s="226"/>
      <c r="AY530" s="225"/>
      <c r="AZ530" s="225"/>
      <c r="BA530" s="226"/>
      <c r="BB530" s="225"/>
      <c r="BC530" s="225"/>
      <c r="BD530" s="225"/>
      <c r="BE530" s="225"/>
      <c r="BF530" s="225"/>
      <c r="BG530" s="225"/>
      <c r="BH530" s="225"/>
      <c r="BI530" s="225"/>
      <c r="BJ530" s="225"/>
      <c r="BK530" s="225"/>
      <c r="BL530" s="225"/>
      <c r="BM530" s="225"/>
      <c r="BN530" s="225"/>
      <c r="BO530" s="225"/>
      <c r="BP530" s="225"/>
      <c r="BQ530" s="225"/>
      <c r="BR530" s="225"/>
      <c r="BS530" s="225"/>
      <c r="BT530" s="226"/>
      <c r="BU530" s="225"/>
      <c r="BV530" s="225"/>
      <c r="BW530" s="225"/>
      <c r="BX530" s="225"/>
      <c r="BY530" s="225"/>
      <c r="BZ530" s="225"/>
    </row>
    <row r="531">
      <c r="A531" s="225"/>
      <c r="B531" s="225"/>
      <c r="C531" s="225"/>
      <c r="D531" s="226"/>
      <c r="E531" s="225"/>
      <c r="F531" s="225"/>
      <c r="G531" s="225"/>
      <c r="H531" s="225"/>
      <c r="I531" s="225"/>
      <c r="J531" s="225"/>
      <c r="K531" s="244"/>
      <c r="L531" s="225"/>
      <c r="M531" s="225"/>
      <c r="N531" s="225"/>
      <c r="O531" s="225"/>
      <c r="P531" s="225"/>
      <c r="Q531" s="227"/>
      <c r="R531" s="234"/>
      <c r="S531" s="225"/>
      <c r="T531" s="225"/>
      <c r="U531" s="225"/>
      <c r="V531" s="225"/>
      <c r="W531" s="225"/>
      <c r="X531" s="225"/>
      <c r="Y531" s="229"/>
      <c r="Z531" s="257"/>
      <c r="AA531" s="225"/>
      <c r="AB531" s="257"/>
      <c r="AC531" s="257"/>
      <c r="AD531" s="226"/>
      <c r="AE531" s="259"/>
      <c r="AF531" s="347"/>
      <c r="AG531" s="232"/>
      <c r="AH531" s="257"/>
      <c r="AI531" s="225"/>
      <c r="AJ531" s="267"/>
      <c r="AK531" s="259"/>
      <c r="AL531" s="226"/>
      <c r="AM531" s="225"/>
      <c r="AN531" s="225"/>
      <c r="AO531" s="254"/>
      <c r="AP531" s="225"/>
      <c r="AQ531" s="225"/>
      <c r="AR531" s="226"/>
      <c r="AS531" s="225"/>
      <c r="AT531" s="225"/>
      <c r="AU531" s="225"/>
      <c r="AV531" s="225"/>
      <c r="AW531" s="225"/>
      <c r="AX531" s="226"/>
      <c r="AY531" s="225"/>
      <c r="AZ531" s="225"/>
      <c r="BA531" s="226"/>
      <c r="BB531" s="225"/>
      <c r="BC531" s="225"/>
      <c r="BD531" s="225"/>
      <c r="BE531" s="225"/>
      <c r="BF531" s="225"/>
      <c r="BG531" s="225"/>
      <c r="BH531" s="225"/>
      <c r="BI531" s="225"/>
      <c r="BJ531" s="225"/>
      <c r="BK531" s="225"/>
      <c r="BL531" s="225"/>
      <c r="BM531" s="225"/>
      <c r="BN531" s="225"/>
      <c r="BO531" s="225"/>
      <c r="BP531" s="225"/>
      <c r="BQ531" s="225"/>
      <c r="BR531" s="225"/>
      <c r="BS531" s="225"/>
      <c r="BT531" s="226"/>
      <c r="BU531" s="225"/>
      <c r="BV531" s="225"/>
      <c r="BW531" s="225"/>
      <c r="BX531" s="225"/>
      <c r="BY531" s="225"/>
      <c r="BZ531" s="225"/>
    </row>
    <row r="532">
      <c r="A532" s="225"/>
      <c r="B532" s="225"/>
      <c r="C532" s="225"/>
      <c r="D532" s="226"/>
      <c r="E532" s="225"/>
      <c r="F532" s="225"/>
      <c r="G532" s="225"/>
      <c r="H532" s="225"/>
      <c r="I532" s="225"/>
      <c r="J532" s="225"/>
      <c r="K532" s="244"/>
      <c r="L532" s="225"/>
      <c r="M532" s="225"/>
      <c r="N532" s="225"/>
      <c r="O532" s="225"/>
      <c r="P532" s="225"/>
      <c r="Q532" s="227"/>
      <c r="R532" s="234"/>
      <c r="S532" s="225"/>
      <c r="T532" s="225"/>
      <c r="U532" s="225"/>
      <c r="V532" s="225"/>
      <c r="W532" s="225"/>
      <c r="X532" s="225"/>
      <c r="Y532" s="229"/>
      <c r="Z532" s="257"/>
      <c r="AA532" s="225"/>
      <c r="AB532" s="257"/>
      <c r="AC532" s="257"/>
      <c r="AD532" s="226"/>
      <c r="AE532" s="259"/>
      <c r="AF532" s="347"/>
      <c r="AG532" s="232"/>
      <c r="AH532" s="257"/>
      <c r="AI532" s="225"/>
      <c r="AJ532" s="267"/>
      <c r="AK532" s="259"/>
      <c r="AL532" s="226"/>
      <c r="AM532" s="225"/>
      <c r="AN532" s="225"/>
      <c r="AO532" s="254"/>
      <c r="AP532" s="225"/>
      <c r="AQ532" s="225"/>
      <c r="AR532" s="226"/>
      <c r="AS532" s="225"/>
      <c r="AT532" s="225"/>
      <c r="AU532" s="225"/>
      <c r="AV532" s="225"/>
      <c r="AW532" s="225"/>
      <c r="AX532" s="226"/>
      <c r="AY532" s="225"/>
      <c r="AZ532" s="225"/>
      <c r="BA532" s="226"/>
      <c r="BB532" s="225"/>
      <c r="BC532" s="225"/>
      <c r="BD532" s="225"/>
      <c r="BE532" s="225"/>
      <c r="BF532" s="225"/>
      <c r="BG532" s="225"/>
      <c r="BH532" s="225"/>
      <c r="BI532" s="225"/>
      <c r="BJ532" s="225"/>
      <c r="BK532" s="225"/>
      <c r="BL532" s="225"/>
      <c r="BM532" s="225"/>
      <c r="BN532" s="225"/>
      <c r="BO532" s="225"/>
      <c r="BP532" s="225"/>
      <c r="BQ532" s="225"/>
      <c r="BR532" s="225"/>
      <c r="BS532" s="225"/>
      <c r="BT532" s="226"/>
      <c r="BU532" s="225"/>
      <c r="BV532" s="225"/>
      <c r="BW532" s="225"/>
      <c r="BX532" s="225"/>
      <c r="BY532" s="225"/>
      <c r="BZ532" s="225"/>
    </row>
    <row r="533">
      <c r="A533" s="225"/>
      <c r="B533" s="225"/>
      <c r="C533" s="225"/>
      <c r="D533" s="226"/>
      <c r="E533" s="225"/>
      <c r="F533" s="225"/>
      <c r="G533" s="225"/>
      <c r="H533" s="225"/>
      <c r="I533" s="225"/>
      <c r="J533" s="225"/>
      <c r="K533" s="244"/>
      <c r="L533" s="225"/>
      <c r="M533" s="225"/>
      <c r="N533" s="225"/>
      <c r="O533" s="225"/>
      <c r="P533" s="225"/>
      <c r="Q533" s="227"/>
      <c r="R533" s="234"/>
      <c r="S533" s="225"/>
      <c r="T533" s="225"/>
      <c r="U533" s="225"/>
      <c r="V533" s="225"/>
      <c r="W533" s="225"/>
      <c r="X533" s="225"/>
      <c r="Y533" s="229"/>
      <c r="Z533" s="257"/>
      <c r="AA533" s="225"/>
      <c r="AB533" s="257"/>
      <c r="AC533" s="257"/>
      <c r="AD533" s="226"/>
      <c r="AE533" s="259"/>
      <c r="AF533" s="347"/>
      <c r="AG533" s="232"/>
      <c r="AH533" s="257"/>
      <c r="AI533" s="225"/>
      <c r="AJ533" s="267"/>
      <c r="AK533" s="259"/>
      <c r="AL533" s="226"/>
      <c r="AM533" s="225"/>
      <c r="AN533" s="225"/>
      <c r="AO533" s="254"/>
      <c r="AP533" s="225"/>
      <c r="AQ533" s="225"/>
      <c r="AR533" s="226"/>
      <c r="AS533" s="225"/>
      <c r="AT533" s="225"/>
      <c r="AU533" s="225"/>
      <c r="AV533" s="225"/>
      <c r="AW533" s="225"/>
      <c r="AX533" s="226"/>
      <c r="AY533" s="225"/>
      <c r="AZ533" s="225"/>
      <c r="BA533" s="226"/>
      <c r="BB533" s="225"/>
      <c r="BC533" s="225"/>
      <c r="BD533" s="225"/>
      <c r="BE533" s="225"/>
      <c r="BF533" s="225"/>
      <c r="BG533" s="225"/>
      <c r="BH533" s="225"/>
      <c r="BI533" s="225"/>
      <c r="BJ533" s="225"/>
      <c r="BK533" s="225"/>
      <c r="BL533" s="225"/>
      <c r="BM533" s="225"/>
      <c r="BN533" s="225"/>
      <c r="BO533" s="225"/>
      <c r="BP533" s="225"/>
      <c r="BQ533" s="225"/>
      <c r="BR533" s="225"/>
      <c r="BS533" s="225"/>
      <c r="BT533" s="226"/>
      <c r="BU533" s="225"/>
      <c r="BV533" s="225"/>
      <c r="BW533" s="225"/>
      <c r="BX533" s="225"/>
      <c r="BY533" s="225"/>
      <c r="BZ533" s="225"/>
    </row>
    <row r="534">
      <c r="A534" s="225"/>
      <c r="B534" s="225"/>
      <c r="C534" s="225"/>
      <c r="D534" s="226"/>
      <c r="E534" s="225"/>
      <c r="F534" s="225"/>
      <c r="G534" s="225"/>
      <c r="H534" s="225"/>
      <c r="I534" s="225"/>
      <c r="J534" s="225"/>
      <c r="K534" s="244"/>
      <c r="L534" s="225"/>
      <c r="M534" s="225"/>
      <c r="N534" s="225"/>
      <c r="O534" s="225"/>
      <c r="P534" s="225"/>
      <c r="Q534" s="227"/>
      <c r="R534" s="234"/>
      <c r="S534" s="225"/>
      <c r="T534" s="225"/>
      <c r="U534" s="225"/>
      <c r="V534" s="225"/>
      <c r="W534" s="225"/>
      <c r="X534" s="225"/>
      <c r="Y534" s="229"/>
      <c r="Z534" s="257"/>
      <c r="AA534" s="225"/>
      <c r="AB534" s="257"/>
      <c r="AC534" s="257"/>
      <c r="AD534" s="226"/>
      <c r="AE534" s="259"/>
      <c r="AF534" s="347"/>
      <c r="AG534" s="232"/>
      <c r="AH534" s="257"/>
      <c r="AI534" s="225"/>
      <c r="AJ534" s="267"/>
      <c r="AK534" s="259"/>
      <c r="AL534" s="226"/>
      <c r="AM534" s="225"/>
      <c r="AN534" s="225"/>
      <c r="AO534" s="254"/>
      <c r="AP534" s="225"/>
      <c r="AQ534" s="225"/>
      <c r="AR534" s="226"/>
      <c r="AS534" s="225"/>
      <c r="AT534" s="225"/>
      <c r="AU534" s="225"/>
      <c r="AV534" s="225"/>
      <c r="AW534" s="225"/>
      <c r="AX534" s="226"/>
      <c r="AY534" s="225"/>
      <c r="AZ534" s="225"/>
      <c r="BA534" s="226"/>
      <c r="BB534" s="225"/>
      <c r="BC534" s="225"/>
      <c r="BD534" s="225"/>
      <c r="BE534" s="225"/>
      <c r="BF534" s="225"/>
      <c r="BG534" s="225"/>
      <c r="BH534" s="225"/>
      <c r="BI534" s="225"/>
      <c r="BJ534" s="225"/>
      <c r="BK534" s="225"/>
      <c r="BL534" s="225"/>
      <c r="BM534" s="225"/>
      <c r="BN534" s="225"/>
      <c r="BO534" s="225"/>
      <c r="BP534" s="225"/>
      <c r="BQ534" s="225"/>
      <c r="BR534" s="225"/>
      <c r="BS534" s="225"/>
      <c r="BT534" s="226"/>
      <c r="BU534" s="225"/>
      <c r="BV534" s="225"/>
      <c r="BW534" s="225"/>
      <c r="BX534" s="225"/>
      <c r="BY534" s="225"/>
      <c r="BZ534" s="225"/>
    </row>
    <row r="535">
      <c r="A535" s="225"/>
      <c r="B535" s="225"/>
      <c r="C535" s="225"/>
      <c r="D535" s="226"/>
      <c r="E535" s="225"/>
      <c r="F535" s="225"/>
      <c r="G535" s="225"/>
      <c r="H535" s="225"/>
      <c r="I535" s="225"/>
      <c r="J535" s="225"/>
      <c r="K535" s="244"/>
      <c r="L535" s="225"/>
      <c r="M535" s="225"/>
      <c r="N535" s="225"/>
      <c r="O535" s="225"/>
      <c r="P535" s="225"/>
      <c r="Q535" s="227"/>
      <c r="R535" s="234"/>
      <c r="S535" s="225"/>
      <c r="T535" s="225"/>
      <c r="U535" s="225"/>
      <c r="V535" s="225"/>
      <c r="W535" s="225"/>
      <c r="X535" s="225"/>
      <c r="Y535" s="229"/>
      <c r="Z535" s="257"/>
      <c r="AA535" s="225"/>
      <c r="AB535" s="257"/>
      <c r="AC535" s="257"/>
      <c r="AD535" s="226"/>
      <c r="AE535" s="259"/>
      <c r="AF535" s="347"/>
      <c r="AG535" s="232"/>
      <c r="AH535" s="257"/>
      <c r="AI535" s="225"/>
      <c r="AJ535" s="267"/>
      <c r="AK535" s="259"/>
      <c r="AL535" s="226"/>
      <c r="AM535" s="225"/>
      <c r="AN535" s="225"/>
      <c r="AO535" s="254"/>
      <c r="AP535" s="225"/>
      <c r="AQ535" s="225"/>
      <c r="AR535" s="226"/>
      <c r="AS535" s="225"/>
      <c r="AT535" s="225"/>
      <c r="AU535" s="225"/>
      <c r="AV535" s="225"/>
      <c r="AW535" s="225"/>
      <c r="AX535" s="226"/>
      <c r="AY535" s="225"/>
      <c r="AZ535" s="225"/>
      <c r="BA535" s="226"/>
      <c r="BB535" s="225"/>
      <c r="BC535" s="225"/>
      <c r="BD535" s="225"/>
      <c r="BE535" s="225"/>
      <c r="BF535" s="225"/>
      <c r="BG535" s="225"/>
      <c r="BH535" s="225"/>
      <c r="BI535" s="225"/>
      <c r="BJ535" s="225"/>
      <c r="BK535" s="225"/>
      <c r="BL535" s="225"/>
      <c r="BM535" s="225"/>
      <c r="BN535" s="225"/>
      <c r="BO535" s="225"/>
      <c r="BP535" s="225"/>
      <c r="BQ535" s="225"/>
      <c r="BR535" s="225"/>
      <c r="BS535" s="225"/>
      <c r="BT535" s="226"/>
      <c r="BU535" s="225"/>
      <c r="BV535" s="225"/>
      <c r="BW535" s="225"/>
      <c r="BX535" s="225"/>
      <c r="BY535" s="225"/>
      <c r="BZ535" s="225"/>
    </row>
    <row r="536">
      <c r="A536" s="225"/>
      <c r="B536" s="225"/>
      <c r="C536" s="225"/>
      <c r="D536" s="226"/>
      <c r="E536" s="225"/>
      <c r="F536" s="225"/>
      <c r="G536" s="225"/>
      <c r="H536" s="225"/>
      <c r="I536" s="225"/>
      <c r="J536" s="225"/>
      <c r="K536" s="244"/>
      <c r="L536" s="225"/>
      <c r="M536" s="225"/>
      <c r="N536" s="225"/>
      <c r="O536" s="225"/>
      <c r="P536" s="225"/>
      <c r="Q536" s="227"/>
      <c r="R536" s="234"/>
      <c r="S536" s="225"/>
      <c r="T536" s="225"/>
      <c r="U536" s="225"/>
      <c r="V536" s="225"/>
      <c r="W536" s="225"/>
      <c r="X536" s="225"/>
      <c r="Y536" s="229"/>
      <c r="Z536" s="257"/>
      <c r="AA536" s="225"/>
      <c r="AB536" s="257"/>
      <c r="AC536" s="257"/>
      <c r="AD536" s="226"/>
      <c r="AE536" s="259"/>
      <c r="AF536" s="347"/>
      <c r="AG536" s="232"/>
      <c r="AH536" s="257"/>
      <c r="AI536" s="225"/>
      <c r="AJ536" s="267"/>
      <c r="AK536" s="259"/>
      <c r="AL536" s="226"/>
      <c r="AM536" s="225"/>
      <c r="AN536" s="225"/>
      <c r="AO536" s="254"/>
      <c r="AP536" s="225"/>
      <c r="AQ536" s="225"/>
      <c r="AR536" s="226"/>
      <c r="AS536" s="225"/>
      <c r="AT536" s="225"/>
      <c r="AU536" s="225"/>
      <c r="AV536" s="225"/>
      <c r="AW536" s="225"/>
      <c r="AX536" s="226"/>
      <c r="AY536" s="225"/>
      <c r="AZ536" s="225"/>
      <c r="BA536" s="226"/>
      <c r="BB536" s="225"/>
      <c r="BC536" s="225"/>
      <c r="BD536" s="225"/>
      <c r="BE536" s="225"/>
      <c r="BF536" s="225"/>
      <c r="BG536" s="225"/>
      <c r="BH536" s="225"/>
      <c r="BI536" s="225"/>
      <c r="BJ536" s="225"/>
      <c r="BK536" s="225"/>
      <c r="BL536" s="225"/>
      <c r="BM536" s="225"/>
      <c r="BN536" s="225"/>
      <c r="BO536" s="225"/>
      <c r="BP536" s="225"/>
      <c r="BQ536" s="225"/>
      <c r="BR536" s="225"/>
      <c r="BS536" s="225"/>
      <c r="BT536" s="226"/>
      <c r="BU536" s="225"/>
      <c r="BV536" s="225"/>
      <c r="BW536" s="225"/>
      <c r="BX536" s="225"/>
      <c r="BY536" s="225"/>
      <c r="BZ536" s="225"/>
    </row>
    <row r="537">
      <c r="A537" s="225"/>
      <c r="B537" s="225"/>
      <c r="C537" s="225"/>
      <c r="D537" s="226"/>
      <c r="E537" s="225"/>
      <c r="F537" s="225"/>
      <c r="G537" s="225"/>
      <c r="H537" s="225"/>
      <c r="I537" s="225"/>
      <c r="J537" s="225"/>
      <c r="K537" s="244"/>
      <c r="L537" s="225"/>
      <c r="M537" s="225"/>
      <c r="N537" s="225"/>
      <c r="O537" s="225"/>
      <c r="P537" s="225"/>
      <c r="Q537" s="227"/>
      <c r="R537" s="234"/>
      <c r="S537" s="225"/>
      <c r="T537" s="225"/>
      <c r="U537" s="225"/>
      <c r="V537" s="225"/>
      <c r="W537" s="225"/>
      <c r="X537" s="225"/>
      <c r="Y537" s="229"/>
      <c r="Z537" s="257"/>
      <c r="AA537" s="225"/>
      <c r="AB537" s="257"/>
      <c r="AC537" s="257"/>
      <c r="AD537" s="226"/>
      <c r="AE537" s="259"/>
      <c r="AF537" s="347"/>
      <c r="AG537" s="232"/>
      <c r="AH537" s="257"/>
      <c r="AI537" s="225"/>
      <c r="AJ537" s="267"/>
      <c r="AK537" s="259"/>
      <c r="AL537" s="226"/>
      <c r="AM537" s="225"/>
      <c r="AN537" s="225"/>
      <c r="AO537" s="254"/>
      <c r="AP537" s="225"/>
      <c r="AQ537" s="225"/>
      <c r="AR537" s="226"/>
      <c r="AS537" s="225"/>
      <c r="AT537" s="225"/>
      <c r="AU537" s="225"/>
      <c r="AV537" s="225"/>
      <c r="AW537" s="225"/>
      <c r="AX537" s="226"/>
      <c r="AY537" s="225"/>
      <c r="AZ537" s="225"/>
      <c r="BA537" s="226"/>
      <c r="BB537" s="225"/>
      <c r="BC537" s="225"/>
      <c r="BD537" s="225"/>
      <c r="BE537" s="225"/>
      <c r="BF537" s="225"/>
      <c r="BG537" s="225"/>
      <c r="BH537" s="225"/>
      <c r="BI537" s="225"/>
      <c r="BJ537" s="225"/>
      <c r="BK537" s="225"/>
      <c r="BL537" s="225"/>
      <c r="BM537" s="225"/>
      <c r="BN537" s="225"/>
      <c r="BO537" s="225"/>
      <c r="BP537" s="225"/>
      <c r="BQ537" s="225"/>
      <c r="BR537" s="225"/>
      <c r="BS537" s="225"/>
      <c r="BT537" s="226"/>
      <c r="BU537" s="225"/>
      <c r="BV537" s="225"/>
      <c r="BW537" s="225"/>
      <c r="BX537" s="225"/>
      <c r="BY537" s="225"/>
      <c r="BZ537" s="225"/>
    </row>
    <row r="538">
      <c r="A538" s="225"/>
      <c r="B538" s="225"/>
      <c r="C538" s="225"/>
      <c r="D538" s="226"/>
      <c r="E538" s="225"/>
      <c r="F538" s="225"/>
      <c r="G538" s="225"/>
      <c r="H538" s="225"/>
      <c r="I538" s="225"/>
      <c r="J538" s="225"/>
      <c r="K538" s="244"/>
      <c r="L538" s="225"/>
      <c r="M538" s="225"/>
      <c r="N538" s="225"/>
      <c r="O538" s="225"/>
      <c r="P538" s="225"/>
      <c r="Q538" s="227"/>
      <c r="R538" s="234"/>
      <c r="S538" s="225"/>
      <c r="T538" s="225"/>
      <c r="U538" s="225"/>
      <c r="V538" s="225"/>
      <c r="W538" s="225"/>
      <c r="X538" s="225"/>
      <c r="Y538" s="229"/>
      <c r="Z538" s="257"/>
      <c r="AA538" s="225"/>
      <c r="AB538" s="257"/>
      <c r="AC538" s="257"/>
      <c r="AD538" s="226"/>
      <c r="AE538" s="259"/>
      <c r="AF538" s="347"/>
      <c r="AG538" s="232"/>
      <c r="AH538" s="257"/>
      <c r="AI538" s="225"/>
      <c r="AJ538" s="267"/>
      <c r="AK538" s="259"/>
      <c r="AL538" s="226"/>
      <c r="AM538" s="225"/>
      <c r="AN538" s="225"/>
      <c r="AO538" s="254"/>
      <c r="AP538" s="225"/>
      <c r="AQ538" s="225"/>
      <c r="AR538" s="226"/>
      <c r="AS538" s="225"/>
      <c r="AT538" s="225"/>
      <c r="AU538" s="225"/>
      <c r="AV538" s="225"/>
      <c r="AW538" s="225"/>
      <c r="AX538" s="226"/>
      <c r="AY538" s="225"/>
      <c r="AZ538" s="225"/>
      <c r="BA538" s="226"/>
      <c r="BB538" s="225"/>
      <c r="BC538" s="225"/>
      <c r="BD538" s="225"/>
      <c r="BE538" s="225"/>
      <c r="BF538" s="225"/>
      <c r="BG538" s="225"/>
      <c r="BH538" s="225"/>
      <c r="BI538" s="225"/>
      <c r="BJ538" s="225"/>
      <c r="BK538" s="225"/>
      <c r="BL538" s="225"/>
      <c r="BM538" s="225"/>
      <c r="BN538" s="225"/>
      <c r="BO538" s="225"/>
      <c r="BP538" s="225"/>
      <c r="BQ538" s="225"/>
      <c r="BR538" s="225"/>
      <c r="BS538" s="225"/>
      <c r="BT538" s="226"/>
      <c r="BU538" s="225"/>
      <c r="BV538" s="225"/>
      <c r="BW538" s="225"/>
      <c r="BX538" s="225"/>
      <c r="BY538" s="225"/>
      <c r="BZ538" s="225"/>
    </row>
    <row r="539">
      <c r="A539" s="225"/>
      <c r="B539" s="225"/>
      <c r="C539" s="225"/>
      <c r="D539" s="226"/>
      <c r="E539" s="225"/>
      <c r="F539" s="225"/>
      <c r="G539" s="225"/>
      <c r="H539" s="225"/>
      <c r="I539" s="225"/>
      <c r="J539" s="225"/>
      <c r="K539" s="244"/>
      <c r="L539" s="225"/>
      <c r="M539" s="225"/>
      <c r="N539" s="225"/>
      <c r="O539" s="225"/>
      <c r="P539" s="225"/>
      <c r="Q539" s="227"/>
      <c r="R539" s="234"/>
      <c r="S539" s="225"/>
      <c r="T539" s="225"/>
      <c r="U539" s="225"/>
      <c r="V539" s="225"/>
      <c r="W539" s="225"/>
      <c r="X539" s="225"/>
      <c r="Y539" s="229"/>
      <c r="Z539" s="257"/>
      <c r="AA539" s="225"/>
      <c r="AB539" s="257"/>
      <c r="AC539" s="257"/>
      <c r="AD539" s="226"/>
      <c r="AE539" s="259"/>
      <c r="AF539" s="347"/>
      <c r="AG539" s="232"/>
      <c r="AH539" s="257"/>
      <c r="AI539" s="225"/>
      <c r="AJ539" s="267"/>
      <c r="AK539" s="259"/>
      <c r="AL539" s="226"/>
      <c r="AM539" s="225"/>
      <c r="AN539" s="225"/>
      <c r="AO539" s="254"/>
      <c r="AP539" s="225"/>
      <c r="AQ539" s="225"/>
      <c r="AR539" s="226"/>
      <c r="AS539" s="225"/>
      <c r="AT539" s="225"/>
      <c r="AU539" s="225"/>
      <c r="AV539" s="225"/>
      <c r="AW539" s="225"/>
      <c r="AX539" s="226"/>
      <c r="AY539" s="225"/>
      <c r="AZ539" s="225"/>
      <c r="BA539" s="226"/>
      <c r="BB539" s="225"/>
      <c r="BC539" s="225"/>
      <c r="BD539" s="225"/>
      <c r="BE539" s="225"/>
      <c r="BF539" s="225"/>
      <c r="BG539" s="225"/>
      <c r="BH539" s="225"/>
      <c r="BI539" s="225"/>
      <c r="BJ539" s="225"/>
      <c r="BK539" s="225"/>
      <c r="BL539" s="225"/>
      <c r="BM539" s="225"/>
      <c r="BN539" s="225"/>
      <c r="BO539" s="225"/>
      <c r="BP539" s="225"/>
      <c r="BQ539" s="225"/>
      <c r="BR539" s="225"/>
      <c r="BS539" s="225"/>
      <c r="BT539" s="226"/>
      <c r="BU539" s="225"/>
      <c r="BV539" s="225"/>
      <c r="BW539" s="225"/>
      <c r="BX539" s="225"/>
      <c r="BY539" s="225"/>
      <c r="BZ539" s="225"/>
    </row>
    <row r="540">
      <c r="A540" s="225"/>
      <c r="B540" s="225"/>
      <c r="C540" s="225"/>
      <c r="D540" s="226"/>
      <c r="E540" s="225"/>
      <c r="F540" s="225"/>
      <c r="G540" s="225"/>
      <c r="H540" s="225"/>
      <c r="I540" s="225"/>
      <c r="J540" s="225"/>
      <c r="K540" s="244"/>
      <c r="L540" s="225"/>
      <c r="M540" s="225"/>
      <c r="N540" s="225"/>
      <c r="O540" s="225"/>
      <c r="P540" s="225"/>
      <c r="Q540" s="227"/>
      <c r="R540" s="234"/>
      <c r="S540" s="225"/>
      <c r="T540" s="225"/>
      <c r="U540" s="225"/>
      <c r="V540" s="225"/>
      <c r="W540" s="225"/>
      <c r="X540" s="225"/>
      <c r="Y540" s="229"/>
      <c r="Z540" s="257"/>
      <c r="AA540" s="225"/>
      <c r="AB540" s="257"/>
      <c r="AC540" s="257"/>
      <c r="AD540" s="226"/>
      <c r="AE540" s="259"/>
      <c r="AF540" s="347"/>
      <c r="AG540" s="232"/>
      <c r="AH540" s="257"/>
      <c r="AI540" s="225"/>
      <c r="AJ540" s="267"/>
      <c r="AK540" s="259"/>
      <c r="AL540" s="226"/>
      <c r="AM540" s="225"/>
      <c r="AN540" s="225"/>
      <c r="AO540" s="254"/>
      <c r="AP540" s="225"/>
      <c r="AQ540" s="225"/>
      <c r="AR540" s="226"/>
      <c r="AS540" s="225"/>
      <c r="AT540" s="225"/>
      <c r="AU540" s="225"/>
      <c r="AV540" s="225"/>
      <c r="AW540" s="225"/>
      <c r="AX540" s="226"/>
      <c r="AY540" s="225"/>
      <c r="AZ540" s="225"/>
      <c r="BA540" s="226"/>
      <c r="BB540" s="225"/>
      <c r="BC540" s="225"/>
      <c r="BD540" s="225"/>
      <c r="BE540" s="225"/>
      <c r="BF540" s="225"/>
      <c r="BG540" s="225"/>
      <c r="BH540" s="225"/>
      <c r="BI540" s="225"/>
      <c r="BJ540" s="225"/>
      <c r="BK540" s="225"/>
      <c r="BL540" s="225"/>
      <c r="BM540" s="225"/>
      <c r="BN540" s="225"/>
      <c r="BO540" s="225"/>
      <c r="BP540" s="225"/>
      <c r="BQ540" s="225"/>
      <c r="BR540" s="225"/>
      <c r="BS540" s="225"/>
      <c r="BT540" s="226"/>
      <c r="BU540" s="225"/>
      <c r="BV540" s="225"/>
      <c r="BW540" s="225"/>
      <c r="BX540" s="225"/>
      <c r="BY540" s="225"/>
      <c r="BZ540" s="225"/>
    </row>
    <row r="541">
      <c r="A541" s="225"/>
      <c r="B541" s="225"/>
      <c r="C541" s="225"/>
      <c r="D541" s="226"/>
      <c r="E541" s="225"/>
      <c r="F541" s="225"/>
      <c r="G541" s="225"/>
      <c r="H541" s="225"/>
      <c r="I541" s="225"/>
      <c r="J541" s="225"/>
      <c r="K541" s="244"/>
      <c r="L541" s="225"/>
      <c r="M541" s="225"/>
      <c r="N541" s="225"/>
      <c r="O541" s="225"/>
      <c r="P541" s="225"/>
      <c r="Q541" s="227"/>
      <c r="R541" s="234"/>
      <c r="S541" s="225"/>
      <c r="T541" s="225"/>
      <c r="U541" s="225"/>
      <c r="V541" s="225"/>
      <c r="W541" s="225"/>
      <c r="X541" s="225"/>
      <c r="Y541" s="229"/>
      <c r="Z541" s="257"/>
      <c r="AA541" s="225"/>
      <c r="AB541" s="257"/>
      <c r="AC541" s="257"/>
      <c r="AD541" s="226"/>
      <c r="AE541" s="259"/>
      <c r="AF541" s="347"/>
      <c r="AG541" s="232"/>
      <c r="AH541" s="257"/>
      <c r="AI541" s="225"/>
      <c r="AJ541" s="267"/>
      <c r="AK541" s="259"/>
      <c r="AL541" s="226"/>
      <c r="AM541" s="225"/>
      <c r="AN541" s="225"/>
      <c r="AO541" s="254"/>
      <c r="AP541" s="225"/>
      <c r="AQ541" s="225"/>
      <c r="AR541" s="226"/>
      <c r="AS541" s="225"/>
      <c r="AT541" s="225"/>
      <c r="AU541" s="225"/>
      <c r="AV541" s="225"/>
      <c r="AW541" s="225"/>
      <c r="AX541" s="226"/>
      <c r="AY541" s="225"/>
      <c r="AZ541" s="225"/>
      <c r="BA541" s="226"/>
      <c r="BB541" s="225"/>
      <c r="BC541" s="225"/>
      <c r="BD541" s="225"/>
      <c r="BE541" s="225"/>
      <c r="BF541" s="225"/>
      <c r="BG541" s="225"/>
      <c r="BH541" s="225"/>
      <c r="BI541" s="225"/>
      <c r="BJ541" s="225"/>
      <c r="BK541" s="225"/>
      <c r="BL541" s="225"/>
      <c r="BM541" s="225"/>
      <c r="BN541" s="225"/>
      <c r="BO541" s="225"/>
      <c r="BP541" s="225"/>
      <c r="BQ541" s="225"/>
      <c r="BR541" s="225"/>
      <c r="BS541" s="225"/>
      <c r="BT541" s="226"/>
      <c r="BU541" s="225"/>
      <c r="BV541" s="225"/>
      <c r="BW541" s="225"/>
      <c r="BX541" s="225"/>
      <c r="BY541" s="225"/>
      <c r="BZ541" s="225"/>
    </row>
    <row r="542">
      <c r="A542" s="225"/>
      <c r="B542" s="225"/>
      <c r="C542" s="225"/>
      <c r="D542" s="226"/>
      <c r="E542" s="225"/>
      <c r="F542" s="225"/>
      <c r="G542" s="225"/>
      <c r="H542" s="225"/>
      <c r="I542" s="225"/>
      <c r="J542" s="225"/>
      <c r="K542" s="244"/>
      <c r="L542" s="225"/>
      <c r="M542" s="225"/>
      <c r="N542" s="225"/>
      <c r="O542" s="225"/>
      <c r="P542" s="225"/>
      <c r="Q542" s="227"/>
      <c r="R542" s="234"/>
      <c r="S542" s="225"/>
      <c r="T542" s="225"/>
      <c r="U542" s="225"/>
      <c r="V542" s="225"/>
      <c r="W542" s="225"/>
      <c r="X542" s="225"/>
      <c r="Y542" s="229"/>
      <c r="Z542" s="257"/>
      <c r="AA542" s="225"/>
      <c r="AB542" s="257"/>
      <c r="AC542" s="257"/>
      <c r="AD542" s="226"/>
      <c r="AE542" s="259"/>
      <c r="AF542" s="347"/>
      <c r="AG542" s="232"/>
      <c r="AH542" s="257"/>
      <c r="AI542" s="225"/>
      <c r="AJ542" s="267"/>
      <c r="AK542" s="259"/>
      <c r="AL542" s="226"/>
      <c r="AM542" s="225"/>
      <c r="AN542" s="225"/>
      <c r="AO542" s="254"/>
      <c r="AP542" s="225"/>
      <c r="AQ542" s="225"/>
      <c r="AR542" s="226"/>
      <c r="AS542" s="225"/>
      <c r="AT542" s="225"/>
      <c r="AU542" s="225"/>
      <c r="AV542" s="225"/>
      <c r="AW542" s="225"/>
      <c r="AX542" s="226"/>
      <c r="AY542" s="225"/>
      <c r="AZ542" s="225"/>
      <c r="BA542" s="226"/>
      <c r="BB542" s="225"/>
      <c r="BC542" s="225"/>
      <c r="BD542" s="225"/>
      <c r="BE542" s="225"/>
      <c r="BF542" s="225"/>
      <c r="BG542" s="225"/>
      <c r="BH542" s="225"/>
      <c r="BI542" s="225"/>
      <c r="BJ542" s="225"/>
      <c r="BK542" s="225"/>
      <c r="BL542" s="225"/>
      <c r="BM542" s="225"/>
      <c r="BN542" s="225"/>
      <c r="BO542" s="225"/>
      <c r="BP542" s="225"/>
      <c r="BQ542" s="225"/>
      <c r="BR542" s="225"/>
      <c r="BS542" s="225"/>
      <c r="BT542" s="226"/>
      <c r="BU542" s="225"/>
      <c r="BV542" s="225"/>
      <c r="BW542" s="225"/>
      <c r="BX542" s="225"/>
      <c r="BY542" s="225"/>
      <c r="BZ542" s="225"/>
    </row>
    <row r="543">
      <c r="A543" s="225"/>
      <c r="B543" s="225"/>
      <c r="C543" s="225"/>
      <c r="D543" s="226"/>
      <c r="E543" s="225"/>
      <c r="F543" s="225"/>
      <c r="G543" s="225"/>
      <c r="H543" s="225"/>
      <c r="I543" s="225"/>
      <c r="J543" s="225"/>
      <c r="K543" s="244"/>
      <c r="L543" s="225"/>
      <c r="M543" s="225"/>
      <c r="N543" s="225"/>
      <c r="O543" s="225"/>
      <c r="P543" s="225"/>
      <c r="Q543" s="227"/>
      <c r="R543" s="234"/>
      <c r="S543" s="225"/>
      <c r="T543" s="225"/>
      <c r="U543" s="225"/>
      <c r="V543" s="225"/>
      <c r="W543" s="225"/>
      <c r="X543" s="225"/>
      <c r="Y543" s="229"/>
      <c r="Z543" s="257"/>
      <c r="AA543" s="225"/>
      <c r="AB543" s="257"/>
      <c r="AC543" s="257"/>
      <c r="AD543" s="226"/>
      <c r="AE543" s="259"/>
      <c r="AF543" s="347"/>
      <c r="AG543" s="232"/>
      <c r="AH543" s="257"/>
      <c r="AI543" s="225"/>
      <c r="AJ543" s="267"/>
      <c r="AK543" s="259"/>
      <c r="AL543" s="226"/>
      <c r="AM543" s="225"/>
      <c r="AN543" s="225"/>
      <c r="AO543" s="254"/>
      <c r="AP543" s="225"/>
      <c r="AQ543" s="225"/>
      <c r="AR543" s="226"/>
      <c r="AS543" s="225"/>
      <c r="AT543" s="225"/>
      <c r="AU543" s="225"/>
      <c r="AV543" s="225"/>
      <c r="AW543" s="225"/>
      <c r="AX543" s="226"/>
      <c r="AY543" s="225"/>
      <c r="AZ543" s="225"/>
      <c r="BA543" s="226"/>
      <c r="BB543" s="225"/>
      <c r="BC543" s="225"/>
      <c r="BD543" s="225"/>
      <c r="BE543" s="225"/>
      <c r="BF543" s="225"/>
      <c r="BG543" s="225"/>
      <c r="BH543" s="225"/>
      <c r="BI543" s="225"/>
      <c r="BJ543" s="225"/>
      <c r="BK543" s="225"/>
      <c r="BL543" s="225"/>
      <c r="BM543" s="225"/>
      <c r="BN543" s="225"/>
      <c r="BO543" s="225"/>
      <c r="BP543" s="225"/>
      <c r="BQ543" s="225"/>
      <c r="BR543" s="225"/>
      <c r="BS543" s="225"/>
      <c r="BT543" s="226"/>
      <c r="BU543" s="225"/>
      <c r="BV543" s="225"/>
      <c r="BW543" s="225"/>
      <c r="BX543" s="225"/>
      <c r="BY543" s="225"/>
      <c r="BZ543" s="225"/>
    </row>
    <row r="544">
      <c r="A544" s="225"/>
      <c r="B544" s="225"/>
      <c r="C544" s="225"/>
      <c r="D544" s="226"/>
      <c r="E544" s="225"/>
      <c r="F544" s="225"/>
      <c r="G544" s="225"/>
      <c r="H544" s="225"/>
      <c r="I544" s="225"/>
      <c r="J544" s="225"/>
      <c r="K544" s="244"/>
      <c r="L544" s="225"/>
      <c r="M544" s="225"/>
      <c r="N544" s="225"/>
      <c r="O544" s="225"/>
      <c r="P544" s="225"/>
      <c r="Q544" s="227"/>
      <c r="R544" s="234"/>
      <c r="S544" s="225"/>
      <c r="T544" s="225"/>
      <c r="U544" s="225"/>
      <c r="V544" s="225"/>
      <c r="W544" s="225"/>
      <c r="X544" s="225"/>
      <c r="Y544" s="229"/>
      <c r="Z544" s="257"/>
      <c r="AA544" s="225"/>
      <c r="AB544" s="257"/>
      <c r="AC544" s="257"/>
      <c r="AD544" s="226"/>
      <c r="AE544" s="259"/>
      <c r="AF544" s="347"/>
      <c r="AG544" s="232"/>
      <c r="AH544" s="257"/>
      <c r="AI544" s="225"/>
      <c r="AJ544" s="267"/>
      <c r="AK544" s="259"/>
      <c r="AL544" s="226"/>
      <c r="AM544" s="225"/>
      <c r="AN544" s="225"/>
      <c r="AO544" s="254"/>
      <c r="AP544" s="225"/>
      <c r="AQ544" s="225"/>
      <c r="AR544" s="226"/>
      <c r="AS544" s="225"/>
      <c r="AT544" s="225"/>
      <c r="AU544" s="225"/>
      <c r="AV544" s="225"/>
      <c r="AW544" s="225"/>
      <c r="AX544" s="226"/>
      <c r="AY544" s="225"/>
      <c r="AZ544" s="225"/>
      <c r="BA544" s="226"/>
      <c r="BB544" s="225"/>
      <c r="BC544" s="225"/>
      <c r="BD544" s="225"/>
      <c r="BE544" s="225"/>
      <c r="BF544" s="225"/>
      <c r="BG544" s="225"/>
      <c r="BH544" s="225"/>
      <c r="BI544" s="225"/>
      <c r="BJ544" s="225"/>
      <c r="BK544" s="225"/>
      <c r="BL544" s="225"/>
      <c r="BM544" s="225"/>
      <c r="BN544" s="225"/>
      <c r="BO544" s="225"/>
      <c r="BP544" s="225"/>
      <c r="BQ544" s="225"/>
      <c r="BR544" s="225"/>
      <c r="BS544" s="225"/>
      <c r="BT544" s="226"/>
      <c r="BU544" s="225"/>
      <c r="BV544" s="225"/>
      <c r="BW544" s="225"/>
      <c r="BX544" s="225"/>
      <c r="BY544" s="225"/>
      <c r="BZ544" s="225"/>
    </row>
    <row r="545">
      <c r="A545" s="284"/>
      <c r="B545" s="225"/>
      <c r="C545" s="225"/>
      <c r="D545" s="226"/>
      <c r="E545" s="225"/>
      <c r="F545" s="225"/>
      <c r="G545" s="225"/>
      <c r="H545" s="225"/>
      <c r="I545" s="225"/>
      <c r="J545" s="225"/>
      <c r="K545" s="244"/>
      <c r="L545" s="225"/>
      <c r="M545" s="225"/>
      <c r="N545" s="225"/>
      <c r="O545" s="225"/>
      <c r="P545" s="225"/>
      <c r="Q545" s="227"/>
      <c r="R545" s="234"/>
      <c r="S545" s="225"/>
      <c r="T545" s="225"/>
      <c r="U545" s="225"/>
      <c r="V545" s="225"/>
      <c r="W545" s="225"/>
      <c r="X545" s="225"/>
      <c r="Y545" s="229"/>
      <c r="Z545" s="257"/>
      <c r="AA545" s="225"/>
      <c r="AB545" s="257"/>
      <c r="AC545" s="257"/>
      <c r="AD545" s="226"/>
      <c r="AE545" s="259"/>
      <c r="AF545" s="347"/>
      <c r="AG545" s="232"/>
      <c r="AH545" s="257"/>
      <c r="AI545" s="225"/>
      <c r="AJ545" s="267"/>
      <c r="AK545" s="259"/>
      <c r="AL545" s="226"/>
      <c r="AM545" s="225"/>
      <c r="AN545" s="225"/>
      <c r="AO545" s="254"/>
      <c r="AP545" s="225"/>
      <c r="AQ545" s="225"/>
      <c r="AR545" s="226"/>
      <c r="AS545" s="225"/>
      <c r="AT545" s="225"/>
      <c r="AU545" s="225"/>
      <c r="AV545" s="225"/>
      <c r="AW545" s="225"/>
      <c r="AX545" s="226"/>
      <c r="AY545" s="225"/>
      <c r="AZ545" s="225"/>
      <c r="BA545" s="226"/>
      <c r="BB545" s="225"/>
      <c r="BC545" s="225"/>
      <c r="BD545" s="225"/>
      <c r="BE545" s="225"/>
      <c r="BF545" s="225"/>
      <c r="BG545" s="225"/>
      <c r="BH545" s="225"/>
      <c r="BI545" s="225"/>
      <c r="BJ545" s="225"/>
      <c r="BK545" s="225"/>
      <c r="BL545" s="225"/>
      <c r="BM545" s="225"/>
      <c r="BN545" s="225"/>
      <c r="BO545" s="225"/>
      <c r="BP545" s="225"/>
      <c r="BQ545" s="225"/>
      <c r="BR545" s="225"/>
      <c r="BS545" s="225"/>
      <c r="BT545" s="226"/>
      <c r="BU545" s="225"/>
      <c r="BV545" s="225"/>
      <c r="BW545" s="225"/>
      <c r="BX545" s="225"/>
      <c r="BY545" s="225"/>
      <c r="BZ545" s="225"/>
    </row>
    <row r="546">
      <c r="A546" s="284"/>
      <c r="B546" s="225"/>
      <c r="C546" s="225"/>
      <c r="D546" s="226"/>
      <c r="E546" s="225"/>
      <c r="F546" s="225"/>
      <c r="G546" s="225"/>
      <c r="H546" s="225"/>
      <c r="I546" s="225"/>
      <c r="J546" s="225"/>
      <c r="K546" s="244"/>
      <c r="L546" s="225"/>
      <c r="M546" s="225"/>
      <c r="N546" s="225"/>
      <c r="O546" s="225"/>
      <c r="P546" s="225"/>
      <c r="Q546" s="227"/>
      <c r="R546" s="234"/>
      <c r="S546" s="225"/>
      <c r="T546" s="225"/>
      <c r="U546" s="225"/>
      <c r="V546" s="225"/>
      <c r="W546" s="225"/>
      <c r="X546" s="225"/>
      <c r="Y546" s="229"/>
      <c r="Z546" s="257"/>
      <c r="AA546" s="225"/>
      <c r="AB546" s="257"/>
      <c r="AC546" s="257"/>
      <c r="AD546" s="226"/>
      <c r="AE546" s="259"/>
      <c r="AF546" s="347"/>
      <c r="AG546" s="232"/>
      <c r="AH546" s="257"/>
      <c r="AI546" s="225"/>
      <c r="AJ546" s="267"/>
      <c r="AK546" s="259"/>
      <c r="AL546" s="226"/>
      <c r="AM546" s="225"/>
      <c r="AN546" s="225"/>
      <c r="AO546" s="254"/>
      <c r="AP546" s="225"/>
      <c r="AQ546" s="225"/>
      <c r="AR546" s="226"/>
      <c r="AS546" s="225"/>
      <c r="AT546" s="225"/>
      <c r="AU546" s="225"/>
      <c r="AV546" s="225"/>
      <c r="AW546" s="225"/>
      <c r="AX546" s="226"/>
      <c r="AY546" s="225"/>
      <c r="AZ546" s="225"/>
      <c r="BA546" s="226"/>
      <c r="BB546" s="225"/>
      <c r="BC546" s="225"/>
      <c r="BD546" s="225"/>
      <c r="BE546" s="225"/>
      <c r="BF546" s="225"/>
      <c r="BG546" s="225"/>
      <c r="BH546" s="225"/>
      <c r="BI546" s="225"/>
      <c r="BJ546" s="225"/>
      <c r="BK546" s="225"/>
      <c r="BL546" s="225"/>
      <c r="BM546" s="225"/>
      <c r="BN546" s="225"/>
      <c r="BO546" s="225"/>
      <c r="BP546" s="225"/>
      <c r="BQ546" s="225"/>
      <c r="BR546" s="225"/>
      <c r="BS546" s="225"/>
      <c r="BT546" s="226"/>
      <c r="BU546" s="225"/>
      <c r="BV546" s="225"/>
      <c r="BW546" s="225"/>
      <c r="BX546" s="225"/>
      <c r="BY546" s="225"/>
      <c r="BZ546" s="225"/>
    </row>
    <row r="547">
      <c r="A547" s="284"/>
      <c r="B547" s="225"/>
      <c r="C547" s="225"/>
      <c r="D547" s="226"/>
      <c r="E547" s="225"/>
      <c r="F547" s="225"/>
      <c r="G547" s="225"/>
      <c r="H547" s="225"/>
      <c r="I547" s="225"/>
      <c r="J547" s="225"/>
      <c r="K547" s="244"/>
      <c r="L547" s="225"/>
      <c r="M547" s="225"/>
      <c r="N547" s="225"/>
      <c r="O547" s="225"/>
      <c r="P547" s="225"/>
      <c r="Q547" s="227"/>
      <c r="R547" s="234"/>
      <c r="S547" s="225"/>
      <c r="T547" s="225"/>
      <c r="U547" s="225"/>
      <c r="V547" s="225"/>
      <c r="W547" s="225"/>
      <c r="X547" s="225"/>
      <c r="Y547" s="229"/>
      <c r="Z547" s="257"/>
      <c r="AA547" s="225"/>
      <c r="AB547" s="257"/>
      <c r="AC547" s="257"/>
      <c r="AD547" s="226"/>
      <c r="AE547" s="259"/>
      <c r="AF547" s="347"/>
      <c r="AG547" s="232"/>
      <c r="AH547" s="257"/>
      <c r="AI547" s="225"/>
      <c r="AJ547" s="267"/>
      <c r="AK547" s="259"/>
      <c r="AL547" s="226"/>
      <c r="AM547" s="225"/>
      <c r="AN547" s="225"/>
      <c r="AO547" s="254"/>
      <c r="AP547" s="225"/>
      <c r="AQ547" s="225"/>
      <c r="AR547" s="226"/>
      <c r="AS547" s="225"/>
      <c r="AT547" s="225"/>
      <c r="AU547" s="225"/>
      <c r="AV547" s="225"/>
      <c r="AW547" s="225"/>
      <c r="AX547" s="226"/>
      <c r="AY547" s="225"/>
      <c r="AZ547" s="225"/>
      <c r="BA547" s="226"/>
      <c r="BB547" s="225"/>
      <c r="BC547" s="225"/>
      <c r="BD547" s="225"/>
      <c r="BE547" s="225"/>
      <c r="BF547" s="225"/>
      <c r="BG547" s="225"/>
      <c r="BH547" s="225"/>
      <c r="BI547" s="225"/>
      <c r="BJ547" s="225"/>
      <c r="BK547" s="225"/>
      <c r="BL547" s="225"/>
      <c r="BM547" s="225"/>
      <c r="BN547" s="225"/>
      <c r="BO547" s="225"/>
      <c r="BP547" s="225"/>
      <c r="BQ547" s="225"/>
      <c r="BR547" s="225"/>
      <c r="BS547" s="225"/>
      <c r="BT547" s="226"/>
      <c r="BU547" s="225"/>
      <c r="BV547" s="225"/>
      <c r="BW547" s="225"/>
      <c r="BX547" s="225"/>
      <c r="BY547" s="225"/>
      <c r="BZ547" s="225"/>
    </row>
    <row r="548">
      <c r="A548" s="284"/>
      <c r="B548" s="225"/>
      <c r="C548" s="225"/>
      <c r="D548" s="226"/>
      <c r="E548" s="225"/>
      <c r="F548" s="225"/>
      <c r="G548" s="225"/>
      <c r="H548" s="225"/>
      <c r="I548" s="225"/>
      <c r="J548" s="225"/>
      <c r="K548" s="244"/>
      <c r="L548" s="225"/>
      <c r="M548" s="225"/>
      <c r="N548" s="225"/>
      <c r="O548" s="225"/>
      <c r="P548" s="225"/>
      <c r="Q548" s="227"/>
      <c r="R548" s="234"/>
      <c r="S548" s="225"/>
      <c r="T548" s="225"/>
      <c r="U548" s="225"/>
      <c r="V548" s="225"/>
      <c r="W548" s="225"/>
      <c r="X548" s="225"/>
      <c r="Y548" s="229"/>
      <c r="Z548" s="257"/>
      <c r="AA548" s="225"/>
      <c r="AB548" s="257"/>
      <c r="AC548" s="257"/>
      <c r="AD548" s="226"/>
      <c r="AE548" s="259"/>
      <c r="AF548" s="347"/>
      <c r="AG548" s="232"/>
      <c r="AH548" s="257"/>
      <c r="AI548" s="225"/>
      <c r="AJ548" s="267"/>
      <c r="AK548" s="259"/>
      <c r="AL548" s="226"/>
      <c r="AM548" s="225"/>
      <c r="AN548" s="225"/>
      <c r="AO548" s="254"/>
      <c r="AP548" s="225"/>
      <c r="AQ548" s="225"/>
      <c r="AR548" s="226"/>
      <c r="AS548" s="225"/>
      <c r="AT548" s="225"/>
      <c r="AU548" s="225"/>
      <c r="AV548" s="225"/>
      <c r="AW548" s="225"/>
      <c r="AX548" s="226"/>
      <c r="AY548" s="225"/>
      <c r="AZ548" s="225"/>
      <c r="BA548" s="226"/>
      <c r="BB548" s="225"/>
      <c r="BC548" s="225"/>
      <c r="BD548" s="225"/>
      <c r="BE548" s="225"/>
      <c r="BF548" s="225"/>
      <c r="BG548" s="225"/>
      <c r="BH548" s="225"/>
      <c r="BI548" s="225"/>
      <c r="BJ548" s="225"/>
      <c r="BK548" s="225"/>
      <c r="BL548" s="225"/>
      <c r="BM548" s="225"/>
      <c r="BN548" s="225"/>
      <c r="BO548" s="225"/>
      <c r="BP548" s="225"/>
      <c r="BQ548" s="225"/>
      <c r="BR548" s="225"/>
      <c r="BS548" s="225"/>
      <c r="BT548" s="226"/>
      <c r="BU548" s="225"/>
      <c r="BV548" s="225"/>
      <c r="BW548" s="225"/>
      <c r="BX548" s="225"/>
      <c r="BY548" s="225"/>
      <c r="BZ548" s="225"/>
    </row>
    <row r="549">
      <c r="A549" s="284"/>
      <c r="B549" s="225"/>
      <c r="C549" s="225"/>
      <c r="D549" s="226"/>
      <c r="E549" s="225"/>
      <c r="F549" s="225"/>
      <c r="G549" s="225"/>
      <c r="H549" s="225"/>
      <c r="I549" s="225"/>
      <c r="J549" s="225"/>
      <c r="K549" s="244"/>
      <c r="L549" s="225"/>
      <c r="M549" s="225"/>
      <c r="N549" s="225"/>
      <c r="O549" s="225"/>
      <c r="P549" s="225"/>
      <c r="Q549" s="227"/>
      <c r="R549" s="234"/>
      <c r="S549" s="225"/>
      <c r="T549" s="225"/>
      <c r="U549" s="225"/>
      <c r="V549" s="225"/>
      <c r="W549" s="225"/>
      <c r="X549" s="225"/>
      <c r="Y549" s="229"/>
      <c r="Z549" s="257"/>
      <c r="AA549" s="225"/>
      <c r="AB549" s="257"/>
      <c r="AC549" s="257"/>
      <c r="AD549" s="226"/>
      <c r="AE549" s="259"/>
      <c r="AF549" s="347"/>
      <c r="AG549" s="232"/>
      <c r="AH549" s="257"/>
      <c r="AI549" s="225"/>
      <c r="AJ549" s="267"/>
      <c r="AK549" s="259"/>
      <c r="AL549" s="226"/>
      <c r="AM549" s="225"/>
      <c r="AN549" s="225"/>
      <c r="AO549" s="254"/>
      <c r="AP549" s="225"/>
      <c r="AQ549" s="225"/>
      <c r="AR549" s="226"/>
      <c r="AS549" s="225"/>
      <c r="AT549" s="225"/>
      <c r="AU549" s="225"/>
      <c r="AV549" s="225"/>
      <c r="AW549" s="225"/>
      <c r="AX549" s="226"/>
      <c r="AY549" s="225"/>
      <c r="AZ549" s="225"/>
      <c r="BA549" s="226"/>
      <c r="BB549" s="225"/>
      <c r="BC549" s="225"/>
      <c r="BD549" s="225"/>
      <c r="BE549" s="225"/>
      <c r="BF549" s="225"/>
      <c r="BG549" s="225"/>
      <c r="BH549" s="225"/>
      <c r="BI549" s="225"/>
      <c r="BJ549" s="225"/>
      <c r="BK549" s="225"/>
      <c r="BL549" s="225"/>
      <c r="BM549" s="225"/>
      <c r="BN549" s="225"/>
      <c r="BO549" s="225"/>
      <c r="BP549" s="225"/>
      <c r="BQ549" s="225"/>
      <c r="BR549" s="225"/>
      <c r="BS549" s="225"/>
      <c r="BT549" s="226"/>
      <c r="BU549" s="225"/>
      <c r="BV549" s="225"/>
      <c r="BW549" s="225"/>
      <c r="BX549" s="225"/>
      <c r="BY549" s="225"/>
      <c r="BZ549" s="225"/>
    </row>
    <row r="550">
      <c r="A550" s="284"/>
      <c r="B550" s="225"/>
      <c r="C550" s="225"/>
      <c r="D550" s="226"/>
      <c r="E550" s="225"/>
      <c r="F550" s="225"/>
      <c r="G550" s="225"/>
      <c r="H550" s="225"/>
      <c r="I550" s="225"/>
      <c r="J550" s="225"/>
      <c r="K550" s="244"/>
      <c r="L550" s="225"/>
      <c r="M550" s="225"/>
      <c r="N550" s="225"/>
      <c r="O550" s="225"/>
      <c r="P550" s="225"/>
      <c r="Q550" s="227"/>
      <c r="R550" s="234"/>
      <c r="S550" s="225"/>
      <c r="T550" s="225"/>
      <c r="U550" s="225"/>
      <c r="V550" s="225"/>
      <c r="W550" s="225"/>
      <c r="X550" s="225"/>
      <c r="Y550" s="229"/>
      <c r="Z550" s="257"/>
      <c r="AA550" s="225"/>
      <c r="AB550" s="257"/>
      <c r="AC550" s="257"/>
      <c r="AD550" s="226"/>
      <c r="AE550" s="259"/>
      <c r="AF550" s="347"/>
      <c r="AG550" s="232"/>
      <c r="AH550" s="257"/>
      <c r="AI550" s="225"/>
      <c r="AJ550" s="267"/>
      <c r="AK550" s="259"/>
      <c r="AL550" s="226"/>
      <c r="AM550" s="225"/>
      <c r="AN550" s="225"/>
      <c r="AO550" s="254"/>
      <c r="AP550" s="225"/>
      <c r="AQ550" s="225"/>
      <c r="AR550" s="226"/>
      <c r="AS550" s="225"/>
      <c r="AT550" s="225"/>
      <c r="AU550" s="225"/>
      <c r="AV550" s="225"/>
      <c r="AW550" s="225"/>
      <c r="AX550" s="226"/>
      <c r="AY550" s="225"/>
      <c r="AZ550" s="225"/>
      <c r="BA550" s="226"/>
      <c r="BB550" s="225"/>
      <c r="BC550" s="225"/>
      <c r="BD550" s="225"/>
      <c r="BE550" s="225"/>
      <c r="BF550" s="225"/>
      <c r="BG550" s="225"/>
      <c r="BH550" s="225"/>
      <c r="BI550" s="225"/>
      <c r="BJ550" s="225"/>
      <c r="BK550" s="225"/>
      <c r="BL550" s="225"/>
      <c r="BM550" s="225"/>
      <c r="BN550" s="225"/>
      <c r="BO550" s="225"/>
      <c r="BP550" s="225"/>
      <c r="BQ550" s="225"/>
      <c r="BR550" s="225"/>
      <c r="BS550" s="225"/>
      <c r="BT550" s="226"/>
      <c r="BU550" s="225"/>
      <c r="BV550" s="225"/>
      <c r="BW550" s="225"/>
      <c r="BX550" s="225"/>
      <c r="BY550" s="225"/>
      <c r="BZ550" s="225"/>
    </row>
    <row r="551">
      <c r="A551" s="284"/>
      <c r="B551" s="225"/>
      <c r="C551" s="225"/>
      <c r="D551" s="226"/>
      <c r="E551" s="225"/>
      <c r="F551" s="225"/>
      <c r="G551" s="225"/>
      <c r="H551" s="225"/>
      <c r="I551" s="225"/>
      <c r="J551" s="225"/>
      <c r="K551" s="244"/>
      <c r="L551" s="225"/>
      <c r="M551" s="225"/>
      <c r="N551" s="225"/>
      <c r="O551" s="225"/>
      <c r="P551" s="225"/>
      <c r="Q551" s="227"/>
      <c r="R551" s="234"/>
      <c r="S551" s="225"/>
      <c r="T551" s="225"/>
      <c r="U551" s="225"/>
      <c r="V551" s="225"/>
      <c r="W551" s="225"/>
      <c r="X551" s="225"/>
      <c r="Y551" s="229"/>
      <c r="Z551" s="257"/>
      <c r="AA551" s="225"/>
      <c r="AB551" s="257"/>
      <c r="AC551" s="257"/>
      <c r="AD551" s="226"/>
      <c r="AE551" s="259"/>
      <c r="AF551" s="347"/>
      <c r="AG551" s="232"/>
      <c r="AH551" s="257"/>
      <c r="AI551" s="225"/>
      <c r="AJ551" s="267"/>
      <c r="AK551" s="259"/>
      <c r="AL551" s="226"/>
      <c r="AM551" s="225"/>
      <c r="AN551" s="225"/>
      <c r="AO551" s="254"/>
      <c r="AP551" s="225"/>
      <c r="AQ551" s="225"/>
      <c r="AR551" s="226"/>
      <c r="AS551" s="225"/>
      <c r="AT551" s="225"/>
      <c r="AU551" s="225"/>
      <c r="AV551" s="225"/>
      <c r="AW551" s="225"/>
      <c r="AX551" s="226"/>
      <c r="AY551" s="225"/>
      <c r="AZ551" s="225"/>
      <c r="BA551" s="226"/>
      <c r="BB551" s="225"/>
      <c r="BC551" s="225"/>
      <c r="BD551" s="225"/>
      <c r="BE551" s="225"/>
      <c r="BF551" s="225"/>
      <c r="BG551" s="225"/>
      <c r="BH551" s="225"/>
      <c r="BI551" s="225"/>
      <c r="BJ551" s="225"/>
      <c r="BK551" s="225"/>
      <c r="BL551" s="225"/>
      <c r="BM551" s="225"/>
      <c r="BN551" s="225"/>
      <c r="BO551" s="225"/>
      <c r="BP551" s="225"/>
      <c r="BQ551" s="225"/>
      <c r="BR551" s="225"/>
      <c r="BS551" s="225"/>
      <c r="BT551" s="226"/>
      <c r="BU551" s="225"/>
      <c r="BV551" s="225"/>
      <c r="BW551" s="225"/>
      <c r="BX551" s="225"/>
      <c r="BY551" s="225"/>
      <c r="BZ551" s="225"/>
    </row>
    <row r="552">
      <c r="A552" s="284"/>
      <c r="B552" s="225"/>
      <c r="C552" s="225"/>
      <c r="D552" s="226"/>
      <c r="E552" s="225"/>
      <c r="F552" s="225"/>
      <c r="G552" s="225"/>
      <c r="H552" s="225"/>
      <c r="I552" s="225"/>
      <c r="J552" s="225"/>
      <c r="K552" s="244"/>
      <c r="L552" s="225"/>
      <c r="M552" s="225"/>
      <c r="N552" s="225"/>
      <c r="O552" s="225"/>
      <c r="P552" s="225"/>
      <c r="Q552" s="227"/>
      <c r="R552" s="234"/>
      <c r="S552" s="225"/>
      <c r="T552" s="225"/>
      <c r="U552" s="225"/>
      <c r="V552" s="225"/>
      <c r="W552" s="225"/>
      <c r="X552" s="225"/>
      <c r="Y552" s="229"/>
      <c r="Z552" s="257"/>
      <c r="AA552" s="225"/>
      <c r="AB552" s="257"/>
      <c r="AC552" s="257"/>
      <c r="AD552" s="226"/>
      <c r="AE552" s="259"/>
      <c r="AF552" s="347"/>
      <c r="AG552" s="232"/>
      <c r="AH552" s="257"/>
      <c r="AI552" s="225"/>
      <c r="AJ552" s="267"/>
      <c r="AK552" s="259"/>
      <c r="AL552" s="226"/>
      <c r="AM552" s="225"/>
      <c r="AN552" s="225"/>
      <c r="AO552" s="254"/>
      <c r="AP552" s="225"/>
      <c r="AQ552" s="225"/>
      <c r="AR552" s="226"/>
      <c r="AS552" s="225"/>
      <c r="AT552" s="225"/>
      <c r="AU552" s="225"/>
      <c r="AV552" s="225"/>
      <c r="AW552" s="225"/>
      <c r="AX552" s="226"/>
      <c r="AY552" s="225"/>
      <c r="AZ552" s="225"/>
      <c r="BA552" s="226"/>
      <c r="BB552" s="225"/>
      <c r="BC552" s="225"/>
      <c r="BD552" s="225"/>
      <c r="BE552" s="225"/>
      <c r="BF552" s="225"/>
      <c r="BG552" s="225"/>
      <c r="BH552" s="225"/>
      <c r="BI552" s="225"/>
      <c r="BJ552" s="225"/>
      <c r="BK552" s="225"/>
      <c r="BL552" s="225"/>
      <c r="BM552" s="225"/>
      <c r="BN552" s="225"/>
      <c r="BO552" s="225"/>
      <c r="BP552" s="225"/>
      <c r="BQ552" s="225"/>
      <c r="BR552" s="225"/>
      <c r="BS552" s="225"/>
      <c r="BT552" s="226"/>
      <c r="BU552" s="225"/>
      <c r="BV552" s="225"/>
      <c r="BW552" s="225"/>
      <c r="BX552" s="225"/>
      <c r="BY552" s="225"/>
      <c r="BZ552" s="225"/>
    </row>
    <row r="553">
      <c r="A553" s="284"/>
      <c r="B553" s="225"/>
      <c r="C553" s="225"/>
      <c r="D553" s="226"/>
      <c r="E553" s="225"/>
      <c r="F553" s="225"/>
      <c r="G553" s="225"/>
      <c r="H553" s="225"/>
      <c r="I553" s="225"/>
      <c r="J553" s="225"/>
      <c r="K553" s="244"/>
      <c r="L553" s="225"/>
      <c r="M553" s="225"/>
      <c r="N553" s="225"/>
      <c r="O553" s="225"/>
      <c r="P553" s="225"/>
      <c r="Q553" s="227"/>
      <c r="R553" s="234"/>
      <c r="S553" s="225"/>
      <c r="T553" s="225"/>
      <c r="U553" s="225"/>
      <c r="V553" s="225"/>
      <c r="W553" s="225"/>
      <c r="X553" s="225"/>
      <c r="Y553" s="229"/>
      <c r="Z553" s="257"/>
      <c r="AA553" s="225"/>
      <c r="AB553" s="257"/>
      <c r="AC553" s="257"/>
      <c r="AD553" s="226"/>
      <c r="AE553" s="259"/>
      <c r="AF553" s="347"/>
      <c r="AG553" s="232"/>
      <c r="AH553" s="257"/>
      <c r="AI553" s="225"/>
      <c r="AJ553" s="267"/>
      <c r="AK553" s="259"/>
      <c r="AL553" s="226"/>
      <c r="AM553" s="225"/>
      <c r="AN553" s="225"/>
      <c r="AO553" s="254"/>
      <c r="AP553" s="225"/>
      <c r="AQ553" s="225"/>
      <c r="AR553" s="226"/>
      <c r="AS553" s="225"/>
      <c r="AT553" s="225"/>
      <c r="AU553" s="225"/>
      <c r="AV553" s="225"/>
      <c r="AW553" s="225"/>
      <c r="AX553" s="226"/>
      <c r="AY553" s="225"/>
      <c r="AZ553" s="225"/>
      <c r="BA553" s="226"/>
      <c r="BB553" s="225"/>
      <c r="BC553" s="225"/>
      <c r="BD553" s="225"/>
      <c r="BE553" s="225"/>
      <c r="BF553" s="225"/>
      <c r="BG553" s="225"/>
      <c r="BH553" s="225"/>
      <c r="BI553" s="225"/>
      <c r="BJ553" s="225"/>
      <c r="BK553" s="225"/>
      <c r="BL553" s="225"/>
      <c r="BM553" s="225"/>
      <c r="BN553" s="225"/>
      <c r="BO553" s="225"/>
      <c r="BP553" s="225"/>
      <c r="BQ553" s="225"/>
      <c r="BR553" s="225"/>
      <c r="BS553" s="225"/>
      <c r="BT553" s="226"/>
      <c r="BU553" s="225"/>
      <c r="BV553" s="225"/>
      <c r="BW553" s="225"/>
      <c r="BX553" s="225"/>
      <c r="BY553" s="225"/>
      <c r="BZ553" s="225"/>
    </row>
    <row r="554">
      <c r="A554" s="284"/>
      <c r="B554" s="225"/>
      <c r="C554" s="225"/>
      <c r="D554" s="226"/>
      <c r="E554" s="225"/>
      <c r="F554" s="225"/>
      <c r="G554" s="225"/>
      <c r="H554" s="225"/>
      <c r="I554" s="225"/>
      <c r="J554" s="225"/>
      <c r="K554" s="244"/>
      <c r="L554" s="225"/>
      <c r="M554" s="225"/>
      <c r="N554" s="225"/>
      <c r="O554" s="225"/>
      <c r="P554" s="225"/>
      <c r="Q554" s="227"/>
      <c r="R554" s="234"/>
      <c r="S554" s="225"/>
      <c r="T554" s="225"/>
      <c r="U554" s="225"/>
      <c r="V554" s="225"/>
      <c r="W554" s="225"/>
      <c r="X554" s="225"/>
      <c r="Y554" s="229"/>
      <c r="Z554" s="257"/>
      <c r="AA554" s="225"/>
      <c r="AB554" s="257"/>
      <c r="AC554" s="257"/>
      <c r="AD554" s="226"/>
      <c r="AE554" s="259"/>
      <c r="AF554" s="347"/>
      <c r="AG554" s="232"/>
      <c r="AH554" s="257"/>
      <c r="AI554" s="225"/>
      <c r="AJ554" s="267"/>
      <c r="AK554" s="259"/>
      <c r="AL554" s="226"/>
      <c r="AM554" s="225"/>
      <c r="AN554" s="225"/>
      <c r="AO554" s="254"/>
      <c r="AP554" s="225"/>
      <c r="AQ554" s="225"/>
      <c r="AR554" s="226"/>
      <c r="AS554" s="225"/>
      <c r="AT554" s="225"/>
      <c r="AU554" s="225"/>
      <c r="AV554" s="225"/>
      <c r="AW554" s="225"/>
      <c r="AX554" s="226"/>
      <c r="AY554" s="225"/>
      <c r="AZ554" s="225"/>
      <c r="BA554" s="226"/>
      <c r="BB554" s="225"/>
      <c r="BC554" s="225"/>
      <c r="BD554" s="225"/>
      <c r="BE554" s="225"/>
      <c r="BF554" s="225"/>
      <c r="BG554" s="225"/>
      <c r="BH554" s="225"/>
      <c r="BI554" s="225"/>
      <c r="BJ554" s="225"/>
      <c r="BK554" s="225"/>
      <c r="BL554" s="225"/>
      <c r="BM554" s="225"/>
      <c r="BN554" s="225"/>
      <c r="BO554" s="225"/>
      <c r="BP554" s="225"/>
      <c r="BQ554" s="225"/>
      <c r="BR554" s="225"/>
      <c r="BS554" s="225"/>
      <c r="BT554" s="226"/>
      <c r="BU554" s="225"/>
      <c r="BV554" s="225"/>
      <c r="BW554" s="225"/>
      <c r="BX554" s="225"/>
      <c r="BY554" s="225"/>
      <c r="BZ554" s="225"/>
    </row>
    <row r="555">
      <c r="A555" s="284"/>
      <c r="B555" s="225"/>
      <c r="C555" s="225"/>
      <c r="D555" s="226"/>
      <c r="E555" s="225"/>
      <c r="F555" s="225"/>
      <c r="G555" s="225"/>
      <c r="H555" s="225"/>
      <c r="I555" s="225"/>
      <c r="J555" s="225"/>
      <c r="K555" s="244"/>
      <c r="L555" s="225"/>
      <c r="M555" s="225"/>
      <c r="N555" s="225"/>
      <c r="O555" s="225"/>
      <c r="P555" s="225"/>
      <c r="Q555" s="227"/>
      <c r="R555" s="234"/>
      <c r="S555" s="225"/>
      <c r="T555" s="225"/>
      <c r="U555" s="225"/>
      <c r="V555" s="225"/>
      <c r="W555" s="225"/>
      <c r="X555" s="225"/>
      <c r="Y555" s="229"/>
      <c r="Z555" s="257"/>
      <c r="AA555" s="225"/>
      <c r="AB555" s="257"/>
      <c r="AC555" s="257"/>
      <c r="AD555" s="226"/>
      <c r="AE555" s="259"/>
      <c r="AF555" s="347"/>
      <c r="AG555" s="232"/>
      <c r="AH555" s="257"/>
      <c r="AI555" s="225"/>
      <c r="AJ555" s="267"/>
      <c r="AK555" s="259"/>
      <c r="AL555" s="226"/>
      <c r="AM555" s="225"/>
      <c r="AN555" s="225"/>
      <c r="AO555" s="254"/>
      <c r="AP555" s="225"/>
      <c r="AQ555" s="225"/>
      <c r="AR555" s="226"/>
      <c r="AS555" s="225"/>
      <c r="AT555" s="225"/>
      <c r="AU555" s="225"/>
      <c r="AV555" s="225"/>
      <c r="AW555" s="225"/>
      <c r="AX555" s="226"/>
      <c r="AY555" s="225"/>
      <c r="AZ555" s="225"/>
      <c r="BA555" s="226"/>
      <c r="BB555" s="225"/>
      <c r="BC555" s="225"/>
      <c r="BD555" s="225"/>
      <c r="BE555" s="225"/>
      <c r="BF555" s="225"/>
      <c r="BG555" s="225"/>
      <c r="BH555" s="225"/>
      <c r="BI555" s="225"/>
      <c r="BJ555" s="225"/>
      <c r="BK555" s="225"/>
      <c r="BL555" s="225"/>
      <c r="BM555" s="225"/>
      <c r="BN555" s="225"/>
      <c r="BO555" s="225"/>
      <c r="BP555" s="225"/>
      <c r="BQ555" s="225"/>
      <c r="BR555" s="225"/>
      <c r="BS555" s="225"/>
      <c r="BT555" s="226"/>
      <c r="BU555" s="225"/>
      <c r="BV555" s="225"/>
      <c r="BW555" s="225"/>
      <c r="BX555" s="225"/>
      <c r="BY555" s="225"/>
      <c r="BZ555" s="225"/>
    </row>
    <row r="556">
      <c r="A556" s="284"/>
      <c r="B556" s="225"/>
      <c r="C556" s="225"/>
      <c r="D556" s="226"/>
      <c r="E556" s="225"/>
      <c r="F556" s="225"/>
      <c r="G556" s="225"/>
      <c r="H556" s="225"/>
      <c r="I556" s="225"/>
      <c r="J556" s="225"/>
      <c r="K556" s="244"/>
      <c r="L556" s="225"/>
      <c r="M556" s="225"/>
      <c r="N556" s="225"/>
      <c r="O556" s="225"/>
      <c r="P556" s="225"/>
      <c r="Q556" s="227"/>
      <c r="R556" s="234"/>
      <c r="S556" s="225"/>
      <c r="T556" s="225"/>
      <c r="U556" s="225"/>
      <c r="V556" s="225"/>
      <c r="W556" s="225"/>
      <c r="X556" s="225"/>
      <c r="Y556" s="229"/>
      <c r="Z556" s="257"/>
      <c r="AA556" s="225"/>
      <c r="AB556" s="257"/>
      <c r="AC556" s="257"/>
      <c r="AD556" s="226"/>
      <c r="AE556" s="259"/>
      <c r="AF556" s="347"/>
      <c r="AG556" s="232"/>
      <c r="AH556" s="257"/>
      <c r="AI556" s="225"/>
      <c r="AJ556" s="267"/>
      <c r="AK556" s="259"/>
      <c r="AL556" s="226"/>
      <c r="AM556" s="225"/>
      <c r="AN556" s="225"/>
      <c r="AO556" s="254"/>
      <c r="AP556" s="225"/>
      <c r="AQ556" s="225"/>
      <c r="AR556" s="226"/>
      <c r="AS556" s="225"/>
      <c r="AT556" s="225"/>
      <c r="AU556" s="225"/>
      <c r="AV556" s="225"/>
      <c r="AW556" s="225"/>
      <c r="AX556" s="226"/>
      <c r="AY556" s="225"/>
      <c r="AZ556" s="225"/>
      <c r="BA556" s="226"/>
      <c r="BB556" s="225"/>
      <c r="BC556" s="225"/>
      <c r="BD556" s="225"/>
      <c r="BE556" s="225"/>
      <c r="BF556" s="225"/>
      <c r="BG556" s="225"/>
      <c r="BH556" s="225"/>
      <c r="BI556" s="225"/>
      <c r="BJ556" s="225"/>
      <c r="BK556" s="225"/>
      <c r="BL556" s="225"/>
      <c r="BM556" s="225"/>
      <c r="BN556" s="225"/>
      <c r="BO556" s="225"/>
      <c r="BP556" s="225"/>
      <c r="BQ556" s="225"/>
      <c r="BR556" s="225"/>
      <c r="BS556" s="225"/>
      <c r="BT556" s="226"/>
      <c r="BU556" s="225"/>
      <c r="BV556" s="225"/>
      <c r="BW556" s="225"/>
      <c r="BX556" s="225"/>
      <c r="BY556" s="225"/>
      <c r="BZ556" s="225"/>
    </row>
    <row r="557">
      <c r="A557" s="284"/>
      <c r="B557" s="225"/>
      <c r="C557" s="225"/>
      <c r="D557" s="226"/>
      <c r="E557" s="225"/>
      <c r="F557" s="225"/>
      <c r="G557" s="225"/>
      <c r="H557" s="225"/>
      <c r="I557" s="225"/>
      <c r="J557" s="225"/>
      <c r="K557" s="244"/>
      <c r="L557" s="225"/>
      <c r="M557" s="225"/>
      <c r="N557" s="225"/>
      <c r="O557" s="225"/>
      <c r="P557" s="225"/>
      <c r="Q557" s="227"/>
      <c r="R557" s="234"/>
      <c r="S557" s="225"/>
      <c r="T557" s="225"/>
      <c r="U557" s="225"/>
      <c r="V557" s="225"/>
      <c r="W557" s="225"/>
      <c r="X557" s="225"/>
      <c r="Y557" s="229"/>
      <c r="Z557" s="257"/>
      <c r="AA557" s="225"/>
      <c r="AB557" s="257"/>
      <c r="AC557" s="257"/>
      <c r="AD557" s="226"/>
      <c r="AE557" s="259"/>
      <c r="AF557" s="347"/>
      <c r="AG557" s="232"/>
      <c r="AH557" s="257"/>
      <c r="AI557" s="225"/>
      <c r="AJ557" s="267"/>
      <c r="AK557" s="259"/>
      <c r="AL557" s="226"/>
      <c r="AM557" s="225"/>
      <c r="AN557" s="225"/>
      <c r="AO557" s="254"/>
      <c r="AP557" s="225"/>
      <c r="AQ557" s="225"/>
      <c r="AR557" s="226"/>
      <c r="AS557" s="225"/>
      <c r="AT557" s="225"/>
      <c r="AU557" s="225"/>
      <c r="AV557" s="225"/>
      <c r="AW557" s="225"/>
      <c r="AX557" s="226"/>
      <c r="AY557" s="225"/>
      <c r="AZ557" s="225"/>
      <c r="BA557" s="226"/>
      <c r="BB557" s="225"/>
      <c r="BC557" s="225"/>
      <c r="BD557" s="225"/>
      <c r="BE557" s="225"/>
      <c r="BF557" s="225"/>
      <c r="BG557" s="225"/>
      <c r="BH557" s="225"/>
      <c r="BI557" s="225"/>
      <c r="BJ557" s="225"/>
      <c r="BK557" s="225"/>
      <c r="BL557" s="225"/>
      <c r="BM557" s="225"/>
      <c r="BN557" s="225"/>
      <c r="BO557" s="225"/>
      <c r="BP557" s="225"/>
      <c r="BQ557" s="225"/>
      <c r="BR557" s="225"/>
      <c r="BS557" s="225"/>
      <c r="BT557" s="226"/>
      <c r="BU557" s="225"/>
      <c r="BV557" s="225"/>
      <c r="BW557" s="225"/>
      <c r="BX557" s="225"/>
      <c r="BY557" s="225"/>
      <c r="BZ557" s="225"/>
    </row>
    <row r="558">
      <c r="A558" s="284"/>
      <c r="B558" s="225"/>
      <c r="C558" s="225"/>
      <c r="D558" s="226"/>
      <c r="E558" s="225"/>
      <c r="F558" s="225"/>
      <c r="G558" s="225"/>
      <c r="H558" s="225"/>
      <c r="I558" s="225"/>
      <c r="J558" s="225"/>
      <c r="K558" s="244"/>
      <c r="L558" s="225"/>
      <c r="M558" s="225"/>
      <c r="N558" s="225"/>
      <c r="O558" s="225"/>
      <c r="P558" s="225"/>
      <c r="Q558" s="227"/>
      <c r="R558" s="234"/>
      <c r="S558" s="225"/>
      <c r="T558" s="225"/>
      <c r="U558" s="225"/>
      <c r="V558" s="225"/>
      <c r="W558" s="225"/>
      <c r="X558" s="225"/>
      <c r="Y558" s="229"/>
      <c r="Z558" s="257"/>
      <c r="AA558" s="225"/>
      <c r="AB558" s="257"/>
      <c r="AC558" s="257"/>
      <c r="AD558" s="226"/>
      <c r="AE558" s="259"/>
      <c r="AF558" s="347"/>
      <c r="AG558" s="232"/>
      <c r="AH558" s="257"/>
      <c r="AI558" s="225"/>
      <c r="AJ558" s="267"/>
      <c r="AK558" s="259"/>
      <c r="AL558" s="226"/>
      <c r="AM558" s="225"/>
      <c r="AN558" s="225"/>
      <c r="AO558" s="254"/>
      <c r="AP558" s="225"/>
      <c r="AQ558" s="225"/>
      <c r="AR558" s="226"/>
      <c r="AS558" s="225"/>
      <c r="AT558" s="225"/>
      <c r="AU558" s="225"/>
      <c r="AV558" s="225"/>
      <c r="AW558" s="225"/>
      <c r="AX558" s="226"/>
      <c r="AY558" s="225"/>
      <c r="AZ558" s="225"/>
      <c r="BA558" s="226"/>
      <c r="BB558" s="225"/>
      <c r="BC558" s="225"/>
      <c r="BD558" s="225"/>
      <c r="BE558" s="225"/>
      <c r="BF558" s="225"/>
      <c r="BG558" s="225"/>
      <c r="BH558" s="225"/>
      <c r="BI558" s="225"/>
      <c r="BJ558" s="225"/>
      <c r="BK558" s="225"/>
      <c r="BL558" s="225"/>
      <c r="BM558" s="225"/>
      <c r="BN558" s="225"/>
      <c r="BO558" s="225"/>
      <c r="BP558" s="225"/>
      <c r="BQ558" s="225"/>
      <c r="BR558" s="225"/>
      <c r="BS558" s="225"/>
      <c r="BT558" s="226"/>
      <c r="BU558" s="225"/>
      <c r="BV558" s="225"/>
      <c r="BW558" s="225"/>
      <c r="BX558" s="225"/>
      <c r="BY558" s="225"/>
      <c r="BZ558" s="225"/>
    </row>
    <row r="559">
      <c r="A559" s="284"/>
      <c r="B559" s="225"/>
      <c r="C559" s="225"/>
      <c r="D559" s="226"/>
      <c r="E559" s="225"/>
      <c r="F559" s="225"/>
      <c r="G559" s="225"/>
      <c r="H559" s="225"/>
      <c r="I559" s="225"/>
      <c r="J559" s="225"/>
      <c r="K559" s="244"/>
      <c r="L559" s="225"/>
      <c r="M559" s="225"/>
      <c r="N559" s="225"/>
      <c r="O559" s="225"/>
      <c r="P559" s="225"/>
      <c r="Q559" s="227"/>
      <c r="R559" s="234"/>
      <c r="S559" s="225"/>
      <c r="T559" s="225"/>
      <c r="U559" s="225"/>
      <c r="V559" s="225"/>
      <c r="W559" s="225"/>
      <c r="X559" s="225"/>
      <c r="Y559" s="229"/>
      <c r="Z559" s="257"/>
      <c r="AA559" s="225"/>
      <c r="AB559" s="257"/>
      <c r="AC559" s="257"/>
      <c r="AD559" s="226"/>
      <c r="AE559" s="259"/>
      <c r="AF559" s="347"/>
      <c r="AG559" s="232"/>
      <c r="AH559" s="257"/>
      <c r="AI559" s="225"/>
      <c r="AJ559" s="267"/>
      <c r="AK559" s="259"/>
      <c r="AL559" s="226"/>
      <c r="AM559" s="225"/>
      <c r="AN559" s="225"/>
      <c r="AO559" s="254"/>
      <c r="AP559" s="225"/>
      <c r="AQ559" s="225"/>
      <c r="AR559" s="226"/>
      <c r="AS559" s="225"/>
      <c r="AT559" s="225"/>
      <c r="AU559" s="225"/>
      <c r="AV559" s="225"/>
      <c r="AW559" s="225"/>
      <c r="AX559" s="226"/>
      <c r="AY559" s="225"/>
      <c r="AZ559" s="225"/>
      <c r="BA559" s="226"/>
      <c r="BB559" s="225"/>
      <c r="BC559" s="225"/>
      <c r="BD559" s="225"/>
      <c r="BE559" s="225"/>
      <c r="BF559" s="225"/>
      <c r="BG559" s="225"/>
      <c r="BH559" s="225"/>
      <c r="BI559" s="225"/>
      <c r="BJ559" s="225"/>
      <c r="BK559" s="225"/>
      <c r="BL559" s="225"/>
      <c r="BM559" s="225"/>
      <c r="BN559" s="225"/>
      <c r="BO559" s="225"/>
      <c r="BP559" s="225"/>
      <c r="BQ559" s="225"/>
      <c r="BR559" s="225"/>
      <c r="BS559" s="225"/>
      <c r="BT559" s="226"/>
      <c r="BU559" s="225"/>
      <c r="BV559" s="225"/>
      <c r="BW559" s="225"/>
      <c r="BX559" s="225"/>
      <c r="BY559" s="225"/>
      <c r="BZ559" s="225"/>
    </row>
    <row r="560">
      <c r="A560" s="284"/>
      <c r="B560" s="225"/>
      <c r="C560" s="225"/>
      <c r="D560" s="226"/>
      <c r="E560" s="225"/>
      <c r="F560" s="225"/>
      <c r="G560" s="225"/>
      <c r="H560" s="225"/>
      <c r="I560" s="225"/>
      <c r="J560" s="225"/>
      <c r="K560" s="244"/>
      <c r="L560" s="225"/>
      <c r="M560" s="225"/>
      <c r="N560" s="225"/>
      <c r="O560" s="225"/>
      <c r="P560" s="225"/>
      <c r="Q560" s="227"/>
      <c r="R560" s="234"/>
      <c r="S560" s="225"/>
      <c r="T560" s="225"/>
      <c r="U560" s="225"/>
      <c r="V560" s="225"/>
      <c r="W560" s="225"/>
      <c r="X560" s="225"/>
      <c r="Y560" s="229"/>
      <c r="Z560" s="257"/>
      <c r="AA560" s="225"/>
      <c r="AB560" s="257"/>
      <c r="AC560" s="257"/>
      <c r="AD560" s="226"/>
      <c r="AE560" s="259"/>
      <c r="AF560" s="347"/>
      <c r="AG560" s="232"/>
      <c r="AH560" s="257"/>
      <c r="AI560" s="225"/>
      <c r="AJ560" s="267"/>
      <c r="AK560" s="259"/>
      <c r="AL560" s="226"/>
      <c r="AM560" s="225"/>
      <c r="AN560" s="225"/>
      <c r="AO560" s="254"/>
      <c r="AP560" s="225"/>
      <c r="AQ560" s="225"/>
      <c r="AR560" s="226"/>
      <c r="AS560" s="225"/>
      <c r="AT560" s="225"/>
      <c r="AU560" s="225"/>
      <c r="AV560" s="225"/>
      <c r="AW560" s="225"/>
      <c r="AX560" s="226"/>
      <c r="AY560" s="225"/>
      <c r="AZ560" s="225"/>
      <c r="BA560" s="226"/>
      <c r="BB560" s="225"/>
      <c r="BC560" s="225"/>
      <c r="BD560" s="225"/>
      <c r="BE560" s="225"/>
      <c r="BF560" s="225"/>
      <c r="BG560" s="225"/>
      <c r="BH560" s="225"/>
      <c r="BI560" s="225"/>
      <c r="BJ560" s="225"/>
      <c r="BK560" s="225"/>
      <c r="BL560" s="225"/>
      <c r="BM560" s="225"/>
      <c r="BN560" s="225"/>
      <c r="BO560" s="225"/>
      <c r="BP560" s="225"/>
      <c r="BQ560" s="225"/>
      <c r="BR560" s="225"/>
      <c r="BS560" s="225"/>
      <c r="BT560" s="226"/>
      <c r="BU560" s="225"/>
      <c r="BV560" s="225"/>
      <c r="BW560" s="225"/>
      <c r="BX560" s="225"/>
      <c r="BY560" s="225"/>
      <c r="BZ560" s="225"/>
    </row>
    <row r="561">
      <c r="A561" s="284"/>
      <c r="B561" s="225"/>
      <c r="C561" s="225"/>
      <c r="D561" s="226"/>
      <c r="E561" s="225"/>
      <c r="F561" s="225"/>
      <c r="G561" s="225"/>
      <c r="H561" s="225"/>
      <c r="I561" s="225"/>
      <c r="J561" s="225"/>
      <c r="K561" s="244"/>
      <c r="L561" s="225"/>
      <c r="M561" s="225"/>
      <c r="N561" s="225"/>
      <c r="O561" s="225"/>
      <c r="P561" s="225"/>
      <c r="Q561" s="227"/>
      <c r="R561" s="234"/>
      <c r="S561" s="225"/>
      <c r="T561" s="225"/>
      <c r="U561" s="225"/>
      <c r="V561" s="225"/>
      <c r="W561" s="225"/>
      <c r="X561" s="225"/>
      <c r="Y561" s="229"/>
      <c r="Z561" s="257"/>
      <c r="AA561" s="225"/>
      <c r="AB561" s="257"/>
      <c r="AC561" s="257"/>
      <c r="AD561" s="226"/>
      <c r="AE561" s="259"/>
      <c r="AF561" s="347"/>
      <c r="AG561" s="232"/>
      <c r="AH561" s="257"/>
      <c r="AI561" s="225"/>
      <c r="AJ561" s="267"/>
      <c r="AK561" s="259"/>
      <c r="AL561" s="226"/>
      <c r="AM561" s="225"/>
      <c r="AN561" s="225"/>
      <c r="AO561" s="254"/>
      <c r="AP561" s="225"/>
      <c r="AQ561" s="225"/>
      <c r="AR561" s="226"/>
      <c r="AS561" s="225"/>
      <c r="AT561" s="225"/>
      <c r="AU561" s="225"/>
      <c r="AV561" s="225"/>
      <c r="AW561" s="225"/>
      <c r="AX561" s="226"/>
      <c r="AY561" s="225"/>
      <c r="AZ561" s="225"/>
      <c r="BA561" s="226"/>
      <c r="BB561" s="225"/>
      <c r="BC561" s="225"/>
      <c r="BD561" s="225"/>
      <c r="BE561" s="225"/>
      <c r="BF561" s="225"/>
      <c r="BG561" s="225"/>
      <c r="BH561" s="225"/>
      <c r="BI561" s="225"/>
      <c r="BJ561" s="225"/>
      <c r="BK561" s="225"/>
      <c r="BL561" s="225"/>
      <c r="BM561" s="225"/>
      <c r="BN561" s="225"/>
      <c r="BO561" s="225"/>
      <c r="BP561" s="225"/>
      <c r="BQ561" s="225"/>
      <c r="BR561" s="225"/>
      <c r="BS561" s="225"/>
      <c r="BT561" s="226"/>
      <c r="BU561" s="225"/>
      <c r="BV561" s="225"/>
      <c r="BW561" s="225"/>
      <c r="BX561" s="225"/>
      <c r="BY561" s="225"/>
      <c r="BZ561" s="225"/>
    </row>
    <row r="562">
      <c r="A562" s="284"/>
      <c r="B562" s="225"/>
      <c r="C562" s="225"/>
      <c r="D562" s="226"/>
      <c r="E562" s="225"/>
      <c r="F562" s="225"/>
      <c r="G562" s="225"/>
      <c r="H562" s="225"/>
      <c r="I562" s="225"/>
      <c r="J562" s="225"/>
      <c r="K562" s="244"/>
      <c r="L562" s="225"/>
      <c r="M562" s="225"/>
      <c r="N562" s="225"/>
      <c r="O562" s="225"/>
      <c r="P562" s="225"/>
      <c r="Q562" s="227"/>
      <c r="R562" s="234"/>
      <c r="S562" s="225"/>
      <c r="T562" s="225"/>
      <c r="U562" s="225"/>
      <c r="V562" s="225"/>
      <c r="W562" s="225"/>
      <c r="X562" s="225"/>
      <c r="Y562" s="229"/>
      <c r="Z562" s="257"/>
      <c r="AA562" s="225"/>
      <c r="AB562" s="257"/>
      <c r="AC562" s="257"/>
      <c r="AD562" s="226"/>
      <c r="AE562" s="259"/>
      <c r="AF562" s="347"/>
      <c r="AG562" s="232"/>
      <c r="AH562" s="257"/>
      <c r="AI562" s="225"/>
      <c r="AJ562" s="267"/>
      <c r="AK562" s="259"/>
      <c r="AL562" s="226"/>
      <c r="AM562" s="225"/>
      <c r="AN562" s="225"/>
      <c r="AO562" s="254"/>
      <c r="AP562" s="225"/>
      <c r="AQ562" s="225"/>
      <c r="AR562" s="226"/>
      <c r="AS562" s="225"/>
      <c r="AT562" s="225"/>
      <c r="AU562" s="225"/>
      <c r="AV562" s="225"/>
      <c r="AW562" s="225"/>
      <c r="AX562" s="226"/>
      <c r="AY562" s="225"/>
      <c r="AZ562" s="225"/>
      <c r="BA562" s="226"/>
      <c r="BB562" s="225"/>
      <c r="BC562" s="225"/>
      <c r="BD562" s="225"/>
      <c r="BE562" s="225"/>
      <c r="BF562" s="225"/>
      <c r="BG562" s="225"/>
      <c r="BH562" s="225"/>
      <c r="BI562" s="225"/>
      <c r="BJ562" s="225"/>
      <c r="BK562" s="225"/>
      <c r="BL562" s="225"/>
      <c r="BM562" s="225"/>
      <c r="BN562" s="225"/>
      <c r="BO562" s="225"/>
      <c r="BP562" s="225"/>
      <c r="BQ562" s="225"/>
      <c r="BR562" s="225"/>
      <c r="BS562" s="225"/>
      <c r="BT562" s="226"/>
      <c r="BU562" s="225"/>
      <c r="BV562" s="225"/>
      <c r="BW562" s="225"/>
      <c r="BX562" s="225"/>
      <c r="BY562" s="225"/>
      <c r="BZ562" s="225"/>
    </row>
    <row r="563">
      <c r="A563" s="284"/>
      <c r="B563" s="225"/>
      <c r="C563" s="225"/>
      <c r="D563" s="226"/>
      <c r="E563" s="225"/>
      <c r="F563" s="225"/>
      <c r="G563" s="225"/>
      <c r="H563" s="225"/>
      <c r="I563" s="225"/>
      <c r="J563" s="225"/>
      <c r="K563" s="244"/>
      <c r="L563" s="225"/>
      <c r="M563" s="225"/>
      <c r="N563" s="225"/>
      <c r="O563" s="225"/>
      <c r="P563" s="225"/>
      <c r="Q563" s="227"/>
      <c r="R563" s="234"/>
      <c r="S563" s="225"/>
      <c r="T563" s="225"/>
      <c r="U563" s="225"/>
      <c r="V563" s="225"/>
      <c r="W563" s="225"/>
      <c r="X563" s="225"/>
      <c r="Y563" s="229"/>
      <c r="Z563" s="257"/>
      <c r="AA563" s="225"/>
      <c r="AB563" s="257"/>
      <c r="AC563" s="257"/>
      <c r="AD563" s="226"/>
      <c r="AE563" s="259"/>
      <c r="AF563" s="347"/>
      <c r="AG563" s="232"/>
      <c r="AH563" s="257"/>
      <c r="AI563" s="225"/>
      <c r="AJ563" s="267"/>
      <c r="AK563" s="259"/>
      <c r="AL563" s="226"/>
      <c r="AM563" s="225"/>
      <c r="AN563" s="225"/>
      <c r="AO563" s="254"/>
      <c r="AP563" s="225"/>
      <c r="AQ563" s="225"/>
      <c r="AR563" s="226"/>
      <c r="AS563" s="225"/>
      <c r="AT563" s="225"/>
      <c r="AU563" s="225"/>
      <c r="AV563" s="225"/>
      <c r="AW563" s="225"/>
      <c r="AX563" s="226"/>
      <c r="AY563" s="225"/>
      <c r="AZ563" s="225"/>
      <c r="BA563" s="226"/>
      <c r="BB563" s="225"/>
      <c r="BC563" s="225"/>
      <c r="BD563" s="225"/>
      <c r="BE563" s="225"/>
      <c r="BF563" s="225"/>
      <c r="BG563" s="225"/>
      <c r="BH563" s="225"/>
      <c r="BI563" s="225"/>
      <c r="BJ563" s="225"/>
      <c r="BK563" s="225"/>
      <c r="BL563" s="225"/>
      <c r="BM563" s="225"/>
      <c r="BN563" s="225"/>
      <c r="BO563" s="225"/>
      <c r="BP563" s="225"/>
      <c r="BQ563" s="225"/>
      <c r="BR563" s="225"/>
      <c r="BS563" s="225"/>
      <c r="BT563" s="226"/>
      <c r="BU563" s="225"/>
      <c r="BV563" s="225"/>
      <c r="BW563" s="225"/>
      <c r="BX563" s="225"/>
      <c r="BY563" s="225"/>
      <c r="BZ563" s="225"/>
    </row>
    <row r="564">
      <c r="A564" s="284"/>
      <c r="B564" s="225"/>
      <c r="C564" s="225"/>
      <c r="D564" s="226"/>
      <c r="E564" s="225"/>
      <c r="F564" s="225"/>
      <c r="G564" s="225"/>
      <c r="H564" s="225"/>
      <c r="I564" s="225"/>
      <c r="J564" s="225"/>
      <c r="K564" s="244"/>
      <c r="L564" s="225"/>
      <c r="M564" s="225"/>
      <c r="N564" s="225"/>
      <c r="O564" s="225"/>
      <c r="P564" s="225"/>
      <c r="Q564" s="227"/>
      <c r="R564" s="234"/>
      <c r="S564" s="225"/>
      <c r="T564" s="225"/>
      <c r="U564" s="225"/>
      <c r="V564" s="225"/>
      <c r="W564" s="225"/>
      <c r="X564" s="225"/>
      <c r="Y564" s="229"/>
      <c r="Z564" s="257"/>
      <c r="AA564" s="225"/>
      <c r="AB564" s="257"/>
      <c r="AC564" s="257"/>
      <c r="AD564" s="226"/>
      <c r="AE564" s="259"/>
      <c r="AF564" s="347"/>
      <c r="AG564" s="232"/>
      <c r="AH564" s="257"/>
      <c r="AI564" s="225"/>
      <c r="AJ564" s="267"/>
      <c r="AK564" s="259"/>
      <c r="AL564" s="226"/>
      <c r="AM564" s="225"/>
      <c r="AN564" s="225"/>
      <c r="AO564" s="254"/>
      <c r="AP564" s="225"/>
      <c r="AQ564" s="225"/>
      <c r="AR564" s="226"/>
      <c r="AS564" s="225"/>
      <c r="AT564" s="225"/>
      <c r="AU564" s="225"/>
      <c r="AV564" s="225"/>
      <c r="AW564" s="225"/>
      <c r="AX564" s="226"/>
      <c r="AY564" s="225"/>
      <c r="AZ564" s="225"/>
      <c r="BA564" s="226"/>
      <c r="BB564" s="225"/>
      <c r="BC564" s="225"/>
      <c r="BD564" s="225"/>
      <c r="BE564" s="225"/>
      <c r="BF564" s="225"/>
      <c r="BG564" s="225"/>
      <c r="BH564" s="225"/>
      <c r="BI564" s="225"/>
      <c r="BJ564" s="225"/>
      <c r="BK564" s="225"/>
      <c r="BL564" s="225"/>
      <c r="BM564" s="225"/>
      <c r="BN564" s="225"/>
      <c r="BO564" s="225"/>
      <c r="BP564" s="225"/>
      <c r="BQ564" s="225"/>
      <c r="BR564" s="225"/>
      <c r="BS564" s="225"/>
      <c r="BT564" s="226"/>
      <c r="BU564" s="225"/>
      <c r="BV564" s="225"/>
      <c r="BW564" s="225"/>
      <c r="BX564" s="225"/>
      <c r="BY564" s="225"/>
      <c r="BZ564" s="225"/>
    </row>
    <row r="565">
      <c r="A565" s="284"/>
      <c r="B565" s="225"/>
      <c r="C565" s="225"/>
      <c r="D565" s="226"/>
      <c r="E565" s="225"/>
      <c r="F565" s="225"/>
      <c r="G565" s="225"/>
      <c r="H565" s="225"/>
      <c r="I565" s="225"/>
      <c r="J565" s="225"/>
      <c r="K565" s="244"/>
      <c r="L565" s="225"/>
      <c r="M565" s="225"/>
      <c r="N565" s="225"/>
      <c r="O565" s="225"/>
      <c r="P565" s="225"/>
      <c r="Q565" s="227"/>
      <c r="R565" s="234"/>
      <c r="S565" s="225"/>
      <c r="T565" s="225"/>
      <c r="U565" s="225"/>
      <c r="V565" s="225"/>
      <c r="W565" s="225"/>
      <c r="X565" s="225"/>
      <c r="Y565" s="229"/>
      <c r="Z565" s="257"/>
      <c r="AA565" s="225"/>
      <c r="AB565" s="257"/>
      <c r="AC565" s="257"/>
      <c r="AD565" s="226"/>
      <c r="AE565" s="259"/>
      <c r="AF565" s="347"/>
      <c r="AG565" s="232"/>
      <c r="AH565" s="257"/>
      <c r="AI565" s="225"/>
      <c r="AJ565" s="267"/>
      <c r="AK565" s="259"/>
      <c r="AL565" s="226"/>
      <c r="AM565" s="225"/>
      <c r="AN565" s="225"/>
      <c r="AO565" s="254"/>
      <c r="AP565" s="225"/>
      <c r="AQ565" s="225"/>
      <c r="AR565" s="226"/>
      <c r="AS565" s="225"/>
      <c r="AT565" s="225"/>
      <c r="AU565" s="225"/>
      <c r="AV565" s="225"/>
      <c r="AW565" s="225"/>
      <c r="AX565" s="226"/>
      <c r="AY565" s="225"/>
      <c r="AZ565" s="225"/>
      <c r="BA565" s="226"/>
      <c r="BB565" s="225"/>
      <c r="BC565" s="225"/>
      <c r="BD565" s="225"/>
      <c r="BE565" s="225"/>
      <c r="BF565" s="225"/>
      <c r="BG565" s="225"/>
      <c r="BH565" s="225"/>
      <c r="BI565" s="225"/>
      <c r="BJ565" s="225"/>
      <c r="BK565" s="225"/>
      <c r="BL565" s="225"/>
      <c r="BM565" s="225"/>
      <c r="BN565" s="225"/>
      <c r="BO565" s="225"/>
      <c r="BP565" s="225"/>
      <c r="BQ565" s="225"/>
      <c r="BR565" s="225"/>
      <c r="BS565" s="225"/>
      <c r="BT565" s="226"/>
      <c r="BU565" s="225"/>
      <c r="BV565" s="225"/>
      <c r="BW565" s="225"/>
      <c r="BX565" s="225"/>
      <c r="BY565" s="225"/>
      <c r="BZ565" s="225"/>
    </row>
    <row r="566">
      <c r="A566" s="284"/>
      <c r="B566" s="225"/>
      <c r="C566" s="225"/>
      <c r="D566" s="226"/>
      <c r="E566" s="225"/>
      <c r="F566" s="225"/>
      <c r="G566" s="225"/>
      <c r="H566" s="225"/>
      <c r="I566" s="225"/>
      <c r="J566" s="225"/>
      <c r="K566" s="244"/>
      <c r="L566" s="225"/>
      <c r="M566" s="225"/>
      <c r="N566" s="225"/>
      <c r="O566" s="225"/>
      <c r="P566" s="225"/>
      <c r="Q566" s="227"/>
      <c r="R566" s="234"/>
      <c r="S566" s="225"/>
      <c r="T566" s="225"/>
      <c r="U566" s="225"/>
      <c r="V566" s="225"/>
      <c r="W566" s="225"/>
      <c r="X566" s="225"/>
      <c r="Y566" s="229"/>
      <c r="Z566" s="257"/>
      <c r="AA566" s="225"/>
      <c r="AB566" s="257"/>
      <c r="AC566" s="257"/>
      <c r="AD566" s="226"/>
      <c r="AE566" s="259"/>
      <c r="AF566" s="347"/>
      <c r="AG566" s="232"/>
      <c r="AH566" s="257"/>
      <c r="AI566" s="225"/>
      <c r="AJ566" s="267"/>
      <c r="AK566" s="259"/>
      <c r="AL566" s="226"/>
      <c r="AM566" s="225"/>
      <c r="AN566" s="225"/>
      <c r="AO566" s="254"/>
      <c r="AP566" s="225"/>
      <c r="AQ566" s="225"/>
      <c r="AR566" s="226"/>
      <c r="AS566" s="225"/>
      <c r="AT566" s="225"/>
      <c r="AU566" s="225"/>
      <c r="AV566" s="225"/>
      <c r="AW566" s="225"/>
      <c r="AX566" s="226"/>
      <c r="AY566" s="225"/>
      <c r="AZ566" s="225"/>
      <c r="BA566" s="226"/>
      <c r="BB566" s="225"/>
      <c r="BC566" s="225"/>
      <c r="BD566" s="225"/>
      <c r="BE566" s="225"/>
      <c r="BF566" s="225"/>
      <c r="BG566" s="225"/>
      <c r="BH566" s="225"/>
      <c r="BI566" s="225"/>
      <c r="BJ566" s="225"/>
      <c r="BK566" s="225"/>
      <c r="BL566" s="225"/>
      <c r="BM566" s="225"/>
      <c r="BN566" s="225"/>
      <c r="BO566" s="225"/>
      <c r="BP566" s="225"/>
      <c r="BQ566" s="225"/>
      <c r="BR566" s="225"/>
      <c r="BS566" s="225"/>
      <c r="BT566" s="226"/>
      <c r="BU566" s="225"/>
      <c r="BV566" s="225"/>
      <c r="BW566" s="225"/>
      <c r="BX566" s="225"/>
      <c r="BY566" s="225"/>
      <c r="BZ566" s="225"/>
    </row>
    <row r="567">
      <c r="A567" s="284"/>
      <c r="B567" s="225"/>
      <c r="C567" s="225"/>
      <c r="D567" s="226"/>
      <c r="E567" s="225"/>
      <c r="F567" s="225"/>
      <c r="G567" s="225"/>
      <c r="H567" s="225"/>
      <c r="I567" s="225"/>
      <c r="J567" s="225"/>
      <c r="K567" s="244"/>
      <c r="L567" s="225"/>
      <c r="M567" s="225"/>
      <c r="N567" s="225"/>
      <c r="O567" s="225"/>
      <c r="P567" s="225"/>
      <c r="Q567" s="227"/>
      <c r="R567" s="234"/>
      <c r="S567" s="225"/>
      <c r="T567" s="225"/>
      <c r="U567" s="225"/>
      <c r="V567" s="225"/>
      <c r="W567" s="225"/>
      <c r="X567" s="225"/>
      <c r="Y567" s="229"/>
      <c r="Z567" s="257"/>
      <c r="AA567" s="225"/>
      <c r="AB567" s="257"/>
      <c r="AC567" s="257"/>
      <c r="AD567" s="226"/>
      <c r="AE567" s="259"/>
      <c r="AF567" s="347"/>
      <c r="AG567" s="232"/>
      <c r="AH567" s="257"/>
      <c r="AI567" s="225"/>
      <c r="AJ567" s="267"/>
      <c r="AK567" s="259"/>
      <c r="AL567" s="226"/>
      <c r="AM567" s="225"/>
      <c r="AN567" s="225"/>
      <c r="AO567" s="254"/>
      <c r="AP567" s="225"/>
      <c r="AQ567" s="225"/>
      <c r="AR567" s="226"/>
      <c r="AS567" s="225"/>
      <c r="AT567" s="225"/>
      <c r="AU567" s="225"/>
      <c r="AV567" s="225"/>
      <c r="AW567" s="225"/>
      <c r="AX567" s="226"/>
      <c r="AY567" s="225"/>
      <c r="AZ567" s="225"/>
      <c r="BA567" s="226"/>
      <c r="BB567" s="225"/>
      <c r="BC567" s="225"/>
      <c r="BD567" s="225"/>
      <c r="BE567" s="225"/>
      <c r="BF567" s="225"/>
      <c r="BG567" s="225"/>
      <c r="BH567" s="225"/>
      <c r="BI567" s="225"/>
      <c r="BJ567" s="225"/>
      <c r="BK567" s="225"/>
      <c r="BL567" s="225"/>
      <c r="BM567" s="225"/>
      <c r="BN567" s="225"/>
      <c r="BO567" s="225"/>
      <c r="BP567" s="225"/>
      <c r="BQ567" s="225"/>
      <c r="BR567" s="225"/>
      <c r="BS567" s="225"/>
      <c r="BT567" s="226"/>
      <c r="BU567" s="225"/>
      <c r="BV567" s="225"/>
      <c r="BW567" s="225"/>
      <c r="BX567" s="225"/>
      <c r="BY567" s="225"/>
      <c r="BZ567" s="225"/>
    </row>
    <row r="568">
      <c r="A568" s="284"/>
      <c r="B568" s="225"/>
      <c r="C568" s="225"/>
      <c r="D568" s="226"/>
      <c r="E568" s="225"/>
      <c r="F568" s="225"/>
      <c r="G568" s="225"/>
      <c r="H568" s="225"/>
      <c r="I568" s="225"/>
      <c r="J568" s="225"/>
      <c r="K568" s="244"/>
      <c r="L568" s="225"/>
      <c r="M568" s="225"/>
      <c r="N568" s="225"/>
      <c r="O568" s="225"/>
      <c r="P568" s="225"/>
      <c r="Q568" s="227"/>
      <c r="R568" s="234"/>
      <c r="S568" s="225"/>
      <c r="T568" s="225"/>
      <c r="U568" s="225"/>
      <c r="V568" s="225"/>
      <c r="W568" s="225"/>
      <c r="X568" s="225"/>
      <c r="Y568" s="229"/>
      <c r="Z568" s="257"/>
      <c r="AA568" s="225"/>
      <c r="AB568" s="257"/>
      <c r="AC568" s="257"/>
      <c r="AD568" s="226"/>
      <c r="AE568" s="259"/>
      <c r="AF568" s="347"/>
      <c r="AG568" s="232"/>
      <c r="AH568" s="257"/>
      <c r="AI568" s="225"/>
      <c r="AJ568" s="267"/>
      <c r="AK568" s="259"/>
      <c r="AL568" s="226"/>
      <c r="AM568" s="225"/>
      <c r="AN568" s="225"/>
      <c r="AO568" s="254"/>
      <c r="AP568" s="225"/>
      <c r="AQ568" s="225"/>
      <c r="AR568" s="226"/>
      <c r="AS568" s="225"/>
      <c r="AT568" s="225"/>
      <c r="AU568" s="225"/>
      <c r="AV568" s="225"/>
      <c r="AW568" s="225"/>
      <c r="AX568" s="226"/>
      <c r="AY568" s="225"/>
      <c r="AZ568" s="225"/>
      <c r="BA568" s="226"/>
      <c r="BB568" s="225"/>
      <c r="BC568" s="225"/>
      <c r="BD568" s="225"/>
      <c r="BE568" s="225"/>
      <c r="BF568" s="225"/>
      <c r="BG568" s="225"/>
      <c r="BH568" s="225"/>
      <c r="BI568" s="225"/>
      <c r="BJ568" s="225"/>
      <c r="BK568" s="225"/>
      <c r="BL568" s="225"/>
      <c r="BM568" s="225"/>
      <c r="BN568" s="225"/>
      <c r="BO568" s="225"/>
      <c r="BP568" s="225"/>
      <c r="BQ568" s="225"/>
      <c r="BR568" s="225"/>
      <c r="BS568" s="225"/>
      <c r="BT568" s="226"/>
      <c r="BU568" s="225"/>
      <c r="BV568" s="225"/>
      <c r="BW568" s="225"/>
      <c r="BX568" s="225"/>
      <c r="BY568" s="225"/>
      <c r="BZ568" s="225"/>
    </row>
    <row r="569">
      <c r="A569" s="284"/>
      <c r="B569" s="225"/>
      <c r="C569" s="225"/>
      <c r="D569" s="226"/>
      <c r="E569" s="225"/>
      <c r="F569" s="225"/>
      <c r="G569" s="225"/>
      <c r="H569" s="225"/>
      <c r="I569" s="225"/>
      <c r="J569" s="225"/>
      <c r="K569" s="244"/>
      <c r="L569" s="225"/>
      <c r="M569" s="225"/>
      <c r="N569" s="225"/>
      <c r="O569" s="225"/>
      <c r="P569" s="225"/>
      <c r="Q569" s="227"/>
      <c r="R569" s="234"/>
      <c r="S569" s="225"/>
      <c r="T569" s="225"/>
      <c r="U569" s="225"/>
      <c r="V569" s="225"/>
      <c r="W569" s="225"/>
      <c r="X569" s="225"/>
      <c r="Y569" s="229"/>
      <c r="Z569" s="257"/>
      <c r="AA569" s="225"/>
      <c r="AB569" s="257"/>
      <c r="AC569" s="257"/>
      <c r="AD569" s="226"/>
      <c r="AE569" s="259"/>
      <c r="AF569" s="347"/>
      <c r="AG569" s="232"/>
      <c r="AH569" s="257"/>
      <c r="AI569" s="225"/>
      <c r="AJ569" s="267"/>
      <c r="AK569" s="259"/>
      <c r="AL569" s="226"/>
      <c r="AM569" s="225"/>
      <c r="AN569" s="225"/>
      <c r="AO569" s="254"/>
      <c r="AP569" s="225"/>
      <c r="AQ569" s="225"/>
      <c r="AR569" s="226"/>
      <c r="AS569" s="225"/>
      <c r="AT569" s="225"/>
      <c r="AU569" s="225"/>
      <c r="AV569" s="225"/>
      <c r="AW569" s="225"/>
      <c r="AX569" s="226"/>
      <c r="AY569" s="225"/>
      <c r="AZ569" s="225"/>
      <c r="BA569" s="226"/>
      <c r="BB569" s="225"/>
      <c r="BC569" s="225"/>
      <c r="BD569" s="225"/>
      <c r="BE569" s="225"/>
      <c r="BF569" s="225"/>
      <c r="BG569" s="225"/>
      <c r="BH569" s="225"/>
      <c r="BI569" s="225"/>
      <c r="BJ569" s="225"/>
      <c r="BK569" s="225"/>
      <c r="BL569" s="225"/>
      <c r="BM569" s="225"/>
      <c r="BN569" s="225"/>
      <c r="BO569" s="225"/>
      <c r="BP569" s="225"/>
      <c r="BQ569" s="225"/>
      <c r="BR569" s="225"/>
      <c r="BS569" s="225"/>
      <c r="BT569" s="226"/>
      <c r="BU569" s="225"/>
      <c r="BV569" s="225"/>
      <c r="BW569" s="225"/>
      <c r="BX569" s="225"/>
      <c r="BY569" s="225"/>
      <c r="BZ569" s="225"/>
    </row>
    <row r="570">
      <c r="A570" s="284"/>
      <c r="B570" s="225"/>
      <c r="C570" s="225"/>
      <c r="D570" s="226"/>
      <c r="E570" s="225"/>
      <c r="F570" s="225"/>
      <c r="G570" s="225"/>
      <c r="H570" s="225"/>
      <c r="I570" s="225"/>
      <c r="J570" s="225"/>
      <c r="K570" s="244"/>
      <c r="L570" s="225"/>
      <c r="M570" s="225"/>
      <c r="N570" s="225"/>
      <c r="O570" s="225"/>
      <c r="P570" s="225"/>
      <c r="Q570" s="227"/>
      <c r="R570" s="234"/>
      <c r="S570" s="225"/>
      <c r="T570" s="225"/>
      <c r="U570" s="225"/>
      <c r="V570" s="225"/>
      <c r="W570" s="225"/>
      <c r="X570" s="225"/>
      <c r="Y570" s="229"/>
      <c r="Z570" s="257"/>
      <c r="AA570" s="225"/>
      <c r="AB570" s="257"/>
      <c r="AC570" s="257"/>
      <c r="AD570" s="226"/>
      <c r="AE570" s="259"/>
      <c r="AF570" s="347"/>
      <c r="AG570" s="232"/>
      <c r="AH570" s="257"/>
      <c r="AI570" s="225"/>
      <c r="AJ570" s="267"/>
      <c r="AK570" s="259"/>
      <c r="AL570" s="226"/>
      <c r="AM570" s="225"/>
      <c r="AN570" s="225"/>
      <c r="AO570" s="254"/>
      <c r="AP570" s="225"/>
      <c r="AQ570" s="225"/>
      <c r="AR570" s="226"/>
      <c r="AS570" s="225"/>
      <c r="AT570" s="225"/>
      <c r="AU570" s="225"/>
      <c r="AV570" s="225"/>
      <c r="AW570" s="225"/>
      <c r="AX570" s="226"/>
      <c r="AY570" s="225"/>
      <c r="AZ570" s="225"/>
      <c r="BA570" s="226"/>
      <c r="BB570" s="225"/>
      <c r="BC570" s="225"/>
      <c r="BD570" s="225"/>
      <c r="BE570" s="225"/>
      <c r="BF570" s="225"/>
      <c r="BG570" s="225"/>
      <c r="BH570" s="225"/>
      <c r="BI570" s="225"/>
      <c r="BJ570" s="225"/>
      <c r="BK570" s="225"/>
      <c r="BL570" s="225"/>
      <c r="BM570" s="225"/>
      <c r="BN570" s="225"/>
      <c r="BO570" s="225"/>
      <c r="BP570" s="225"/>
      <c r="BQ570" s="225"/>
      <c r="BR570" s="225"/>
      <c r="BS570" s="225"/>
      <c r="BT570" s="226"/>
      <c r="BU570" s="225"/>
      <c r="BV570" s="225"/>
      <c r="BW570" s="225"/>
      <c r="BX570" s="225"/>
      <c r="BY570" s="225"/>
      <c r="BZ570" s="225"/>
    </row>
    <row r="571">
      <c r="A571" s="284"/>
      <c r="B571" s="225"/>
      <c r="C571" s="225"/>
      <c r="D571" s="226"/>
      <c r="E571" s="225"/>
      <c r="F571" s="225"/>
      <c r="G571" s="225"/>
      <c r="H571" s="225"/>
      <c r="I571" s="225"/>
      <c r="J571" s="225"/>
      <c r="K571" s="244"/>
      <c r="L571" s="225"/>
      <c r="M571" s="225"/>
      <c r="N571" s="225"/>
      <c r="O571" s="225"/>
      <c r="P571" s="225"/>
      <c r="Q571" s="227"/>
      <c r="R571" s="234"/>
      <c r="S571" s="225"/>
      <c r="T571" s="225"/>
      <c r="U571" s="225"/>
      <c r="V571" s="225"/>
      <c r="W571" s="225"/>
      <c r="X571" s="225"/>
      <c r="Y571" s="229"/>
      <c r="Z571" s="257"/>
      <c r="AA571" s="225"/>
      <c r="AB571" s="257"/>
      <c r="AC571" s="257"/>
      <c r="AD571" s="226"/>
      <c r="AE571" s="259"/>
      <c r="AF571" s="347"/>
      <c r="AG571" s="232"/>
      <c r="AH571" s="257"/>
      <c r="AI571" s="225"/>
      <c r="AJ571" s="267"/>
      <c r="AK571" s="259"/>
      <c r="AL571" s="226"/>
      <c r="AM571" s="225"/>
      <c r="AN571" s="225"/>
      <c r="AO571" s="254"/>
      <c r="AP571" s="225"/>
      <c r="AQ571" s="225"/>
      <c r="AR571" s="226"/>
      <c r="AS571" s="225"/>
      <c r="AT571" s="225"/>
      <c r="AU571" s="225"/>
      <c r="AV571" s="225"/>
      <c r="AW571" s="225"/>
      <c r="AX571" s="226"/>
      <c r="AY571" s="225"/>
      <c r="AZ571" s="225"/>
      <c r="BA571" s="226"/>
      <c r="BB571" s="225"/>
      <c r="BC571" s="225"/>
      <c r="BD571" s="225"/>
      <c r="BE571" s="225"/>
      <c r="BF571" s="225"/>
      <c r="BG571" s="225"/>
      <c r="BH571" s="225"/>
      <c r="BI571" s="225"/>
      <c r="BJ571" s="225"/>
      <c r="BK571" s="225"/>
      <c r="BL571" s="225"/>
      <c r="BM571" s="225"/>
      <c r="BN571" s="225"/>
      <c r="BO571" s="225"/>
      <c r="BP571" s="225"/>
      <c r="BQ571" s="225"/>
      <c r="BR571" s="225"/>
      <c r="BS571" s="225"/>
      <c r="BT571" s="226"/>
      <c r="BU571" s="225"/>
      <c r="BV571" s="225"/>
      <c r="BW571" s="225"/>
      <c r="BX571" s="225"/>
      <c r="BY571" s="225"/>
      <c r="BZ571" s="225"/>
    </row>
    <row r="572">
      <c r="A572" s="284"/>
      <c r="B572" s="225"/>
      <c r="C572" s="225"/>
      <c r="D572" s="226"/>
      <c r="E572" s="225"/>
      <c r="F572" s="225"/>
      <c r="G572" s="225"/>
      <c r="H572" s="225"/>
      <c r="I572" s="225"/>
      <c r="J572" s="225"/>
      <c r="K572" s="244"/>
      <c r="L572" s="225"/>
      <c r="M572" s="225"/>
      <c r="N572" s="225"/>
      <c r="O572" s="225"/>
      <c r="P572" s="225"/>
      <c r="Q572" s="227"/>
      <c r="R572" s="234"/>
      <c r="S572" s="225"/>
      <c r="T572" s="225"/>
      <c r="U572" s="225"/>
      <c r="V572" s="225"/>
      <c r="W572" s="225"/>
      <c r="X572" s="225"/>
      <c r="Y572" s="229"/>
      <c r="Z572" s="257"/>
      <c r="AA572" s="225"/>
      <c r="AB572" s="257"/>
      <c r="AC572" s="257"/>
      <c r="AD572" s="226"/>
      <c r="AE572" s="259"/>
      <c r="AF572" s="347"/>
      <c r="AG572" s="232"/>
      <c r="AH572" s="257"/>
      <c r="AI572" s="225"/>
      <c r="AJ572" s="267"/>
      <c r="AK572" s="259"/>
      <c r="AL572" s="226"/>
      <c r="AM572" s="225"/>
      <c r="AN572" s="225"/>
      <c r="AO572" s="254"/>
      <c r="AP572" s="225"/>
      <c r="AQ572" s="225"/>
      <c r="AR572" s="226"/>
      <c r="AS572" s="225"/>
      <c r="AT572" s="225"/>
      <c r="AU572" s="225"/>
      <c r="AV572" s="225"/>
      <c r="AW572" s="225"/>
      <c r="AX572" s="226"/>
      <c r="AY572" s="225"/>
      <c r="AZ572" s="225"/>
      <c r="BA572" s="226"/>
      <c r="BB572" s="225"/>
      <c r="BC572" s="225"/>
      <c r="BD572" s="225"/>
      <c r="BE572" s="225"/>
      <c r="BF572" s="225"/>
      <c r="BG572" s="225"/>
      <c r="BH572" s="225"/>
      <c r="BI572" s="225"/>
      <c r="BJ572" s="225"/>
      <c r="BK572" s="225"/>
      <c r="BL572" s="225"/>
      <c r="BM572" s="225"/>
      <c r="BN572" s="225"/>
      <c r="BO572" s="225"/>
      <c r="BP572" s="225"/>
      <c r="BQ572" s="225"/>
      <c r="BR572" s="225"/>
      <c r="BS572" s="225"/>
      <c r="BT572" s="226"/>
      <c r="BU572" s="225"/>
      <c r="BV572" s="225"/>
      <c r="BW572" s="225"/>
      <c r="BX572" s="225"/>
      <c r="BY572" s="225"/>
      <c r="BZ572" s="225"/>
    </row>
    <row r="573">
      <c r="A573" s="284"/>
      <c r="B573" s="225"/>
      <c r="C573" s="225"/>
      <c r="D573" s="226"/>
      <c r="E573" s="225"/>
      <c r="F573" s="225"/>
      <c r="G573" s="225"/>
      <c r="H573" s="225"/>
      <c r="I573" s="225"/>
      <c r="J573" s="225"/>
      <c r="K573" s="244"/>
      <c r="L573" s="225"/>
      <c r="M573" s="225"/>
      <c r="N573" s="225"/>
      <c r="O573" s="225"/>
      <c r="P573" s="225"/>
      <c r="Q573" s="227"/>
      <c r="R573" s="234"/>
      <c r="S573" s="225"/>
      <c r="T573" s="225"/>
      <c r="U573" s="225"/>
      <c r="V573" s="225"/>
      <c r="W573" s="225"/>
      <c r="X573" s="225"/>
      <c r="Y573" s="229"/>
      <c r="Z573" s="257"/>
      <c r="AA573" s="225"/>
      <c r="AB573" s="257"/>
      <c r="AC573" s="257"/>
      <c r="AD573" s="226"/>
      <c r="AE573" s="259"/>
      <c r="AF573" s="347"/>
      <c r="AG573" s="232"/>
      <c r="AH573" s="257"/>
      <c r="AI573" s="225"/>
      <c r="AJ573" s="267"/>
      <c r="AK573" s="259"/>
      <c r="AL573" s="226"/>
      <c r="AM573" s="225"/>
      <c r="AN573" s="225"/>
      <c r="AO573" s="254"/>
      <c r="AP573" s="225"/>
      <c r="AQ573" s="225"/>
      <c r="AR573" s="226"/>
      <c r="AS573" s="225"/>
      <c r="AT573" s="225"/>
      <c r="AU573" s="225"/>
      <c r="AV573" s="225"/>
      <c r="AW573" s="225"/>
      <c r="AX573" s="226"/>
      <c r="AY573" s="225"/>
      <c r="AZ573" s="225"/>
      <c r="BA573" s="226"/>
      <c r="BB573" s="225"/>
      <c r="BC573" s="225"/>
      <c r="BD573" s="225"/>
      <c r="BE573" s="225"/>
      <c r="BF573" s="225"/>
      <c r="BG573" s="225"/>
      <c r="BH573" s="225"/>
      <c r="BI573" s="225"/>
      <c r="BJ573" s="225"/>
      <c r="BK573" s="225"/>
      <c r="BL573" s="225"/>
      <c r="BM573" s="225"/>
      <c r="BN573" s="225"/>
      <c r="BO573" s="225"/>
      <c r="BP573" s="225"/>
      <c r="BQ573" s="225"/>
      <c r="BR573" s="225"/>
      <c r="BS573" s="225"/>
      <c r="BT573" s="226"/>
      <c r="BU573" s="225"/>
      <c r="BV573" s="225"/>
      <c r="BW573" s="225"/>
      <c r="BX573" s="225"/>
      <c r="BY573" s="225"/>
      <c r="BZ573" s="225"/>
    </row>
    <row r="574">
      <c r="A574" s="284"/>
      <c r="B574" s="225"/>
      <c r="C574" s="225"/>
      <c r="D574" s="226"/>
      <c r="E574" s="225"/>
      <c r="F574" s="225"/>
      <c r="G574" s="225"/>
      <c r="H574" s="225"/>
      <c r="I574" s="225"/>
      <c r="J574" s="225"/>
      <c r="K574" s="244"/>
      <c r="L574" s="225"/>
      <c r="M574" s="225"/>
      <c r="N574" s="225"/>
      <c r="O574" s="225"/>
      <c r="P574" s="225"/>
      <c r="Q574" s="227"/>
      <c r="R574" s="234"/>
      <c r="S574" s="225"/>
      <c r="T574" s="225"/>
      <c r="U574" s="225"/>
      <c r="V574" s="225"/>
      <c r="W574" s="225"/>
      <c r="X574" s="225"/>
      <c r="Y574" s="229"/>
      <c r="Z574" s="257"/>
      <c r="AA574" s="225"/>
      <c r="AB574" s="257"/>
      <c r="AC574" s="257"/>
      <c r="AD574" s="226"/>
      <c r="AE574" s="259"/>
      <c r="AF574" s="347"/>
      <c r="AG574" s="232"/>
      <c r="AH574" s="257"/>
      <c r="AI574" s="225"/>
      <c r="AJ574" s="267"/>
      <c r="AK574" s="259"/>
      <c r="AL574" s="226"/>
      <c r="AM574" s="225"/>
      <c r="AN574" s="225"/>
      <c r="AO574" s="254"/>
      <c r="AP574" s="225"/>
      <c r="AQ574" s="225"/>
      <c r="AR574" s="226"/>
      <c r="AS574" s="225"/>
      <c r="AT574" s="225"/>
      <c r="AU574" s="225"/>
      <c r="AV574" s="225"/>
      <c r="AW574" s="225"/>
      <c r="AX574" s="226"/>
      <c r="AY574" s="225"/>
      <c r="AZ574" s="225"/>
      <c r="BA574" s="226"/>
      <c r="BB574" s="225"/>
      <c r="BC574" s="225"/>
      <c r="BD574" s="225"/>
      <c r="BE574" s="225"/>
      <c r="BF574" s="225"/>
      <c r="BG574" s="225"/>
      <c r="BH574" s="225"/>
      <c r="BI574" s="225"/>
      <c r="BJ574" s="225"/>
      <c r="BK574" s="225"/>
      <c r="BL574" s="225"/>
      <c r="BM574" s="225"/>
      <c r="BN574" s="225"/>
      <c r="BO574" s="225"/>
      <c r="BP574" s="225"/>
      <c r="BQ574" s="225"/>
      <c r="BR574" s="225"/>
      <c r="BS574" s="225"/>
      <c r="BT574" s="226"/>
      <c r="BU574" s="225"/>
      <c r="BV574" s="225"/>
      <c r="BW574" s="225"/>
      <c r="BX574" s="225"/>
      <c r="BY574" s="225"/>
      <c r="BZ574" s="225"/>
    </row>
    <row r="575">
      <c r="A575" s="225"/>
      <c r="B575" s="225"/>
      <c r="C575" s="225"/>
      <c r="D575" s="226"/>
      <c r="E575" s="225"/>
      <c r="F575" s="225"/>
      <c r="G575" s="225"/>
      <c r="H575" s="225"/>
      <c r="I575" s="225"/>
      <c r="J575" s="225"/>
      <c r="K575" s="244"/>
      <c r="L575" s="225"/>
      <c r="M575" s="225"/>
      <c r="N575" s="225"/>
      <c r="O575" s="225"/>
      <c r="P575" s="225"/>
      <c r="Q575" s="227"/>
      <c r="R575" s="234"/>
      <c r="S575" s="225"/>
      <c r="T575" s="225"/>
      <c r="U575" s="225"/>
      <c r="V575" s="225"/>
      <c r="W575" s="225"/>
      <c r="X575" s="225"/>
      <c r="Y575" s="229"/>
      <c r="Z575" s="257"/>
      <c r="AA575" s="225"/>
      <c r="AB575" s="257"/>
      <c r="AC575" s="257"/>
      <c r="AD575" s="226"/>
      <c r="AE575" s="259"/>
      <c r="AF575" s="347"/>
      <c r="AG575" s="232"/>
      <c r="AH575" s="257"/>
      <c r="AI575" s="225"/>
      <c r="AJ575" s="267"/>
      <c r="AK575" s="259"/>
      <c r="AL575" s="226"/>
      <c r="AM575" s="225"/>
      <c r="AN575" s="225"/>
      <c r="AO575" s="254"/>
      <c r="AP575" s="225"/>
      <c r="AQ575" s="225"/>
      <c r="AR575" s="226"/>
      <c r="AS575" s="225"/>
      <c r="AT575" s="225"/>
      <c r="AU575" s="225"/>
      <c r="AV575" s="225"/>
      <c r="AW575" s="225"/>
      <c r="AX575" s="226"/>
      <c r="AY575" s="225"/>
      <c r="AZ575" s="225"/>
      <c r="BA575" s="226"/>
      <c r="BB575" s="225"/>
      <c r="BC575" s="225"/>
      <c r="BD575" s="225"/>
      <c r="BE575" s="225"/>
      <c r="BF575" s="225"/>
      <c r="BG575" s="225"/>
      <c r="BH575" s="225"/>
      <c r="BI575" s="225"/>
      <c r="BJ575" s="225"/>
      <c r="BK575" s="225"/>
      <c r="BL575" s="225"/>
      <c r="BM575" s="225"/>
      <c r="BN575" s="225"/>
      <c r="BO575" s="225"/>
      <c r="BP575" s="225"/>
      <c r="BQ575" s="225"/>
      <c r="BR575" s="225"/>
      <c r="BS575" s="225"/>
      <c r="BT575" s="226"/>
      <c r="BU575" s="225"/>
      <c r="BV575" s="225"/>
      <c r="BW575" s="225"/>
      <c r="BX575" s="225"/>
      <c r="BY575" s="225"/>
      <c r="BZ575" s="225"/>
    </row>
    <row r="576">
      <c r="A576" s="225"/>
      <c r="B576" s="225"/>
      <c r="C576" s="225"/>
      <c r="D576" s="226"/>
      <c r="E576" s="225"/>
      <c r="F576" s="225"/>
      <c r="G576" s="225"/>
      <c r="H576" s="225"/>
      <c r="I576" s="225"/>
      <c r="J576" s="225"/>
      <c r="K576" s="244"/>
      <c r="L576" s="225"/>
      <c r="M576" s="225"/>
      <c r="N576" s="225"/>
      <c r="O576" s="225"/>
      <c r="P576" s="225"/>
      <c r="Q576" s="227"/>
      <c r="R576" s="234"/>
      <c r="S576" s="225"/>
      <c r="T576" s="225"/>
      <c r="U576" s="225"/>
      <c r="V576" s="225"/>
      <c r="W576" s="225"/>
      <c r="X576" s="225"/>
      <c r="Y576" s="229"/>
      <c r="Z576" s="257"/>
      <c r="AA576" s="225"/>
      <c r="AB576" s="257"/>
      <c r="AC576" s="257"/>
      <c r="AD576" s="226"/>
      <c r="AE576" s="259"/>
      <c r="AF576" s="347"/>
      <c r="AG576" s="232"/>
      <c r="AH576" s="257"/>
      <c r="AI576" s="225"/>
      <c r="AJ576" s="267"/>
      <c r="AK576" s="259"/>
      <c r="AL576" s="226"/>
      <c r="AM576" s="225"/>
      <c r="AN576" s="225"/>
      <c r="AO576" s="254"/>
      <c r="AP576" s="225"/>
      <c r="AQ576" s="225"/>
      <c r="AR576" s="226"/>
      <c r="AS576" s="225"/>
      <c r="AT576" s="225"/>
      <c r="AU576" s="225"/>
      <c r="AV576" s="225"/>
      <c r="AW576" s="225"/>
      <c r="AX576" s="226"/>
      <c r="AY576" s="225"/>
      <c r="AZ576" s="225"/>
      <c r="BA576" s="226"/>
      <c r="BB576" s="225"/>
      <c r="BC576" s="225"/>
      <c r="BD576" s="225"/>
      <c r="BE576" s="225"/>
      <c r="BF576" s="225"/>
      <c r="BG576" s="225"/>
      <c r="BH576" s="225"/>
      <c r="BI576" s="225"/>
      <c r="BJ576" s="225"/>
      <c r="BK576" s="225"/>
      <c r="BL576" s="225"/>
      <c r="BM576" s="225"/>
      <c r="BN576" s="225"/>
      <c r="BO576" s="225"/>
      <c r="BP576" s="225"/>
      <c r="BQ576" s="225"/>
      <c r="BR576" s="225"/>
      <c r="BS576" s="225"/>
      <c r="BT576" s="226"/>
      <c r="BU576" s="225"/>
      <c r="BV576" s="225"/>
      <c r="BW576" s="225"/>
      <c r="BX576" s="225"/>
      <c r="BY576" s="225"/>
      <c r="BZ576" s="225"/>
    </row>
    <row r="577">
      <c r="A577" s="225"/>
      <c r="B577" s="225"/>
      <c r="C577" s="225"/>
      <c r="D577" s="226"/>
      <c r="E577" s="225"/>
      <c r="F577" s="225"/>
      <c r="G577" s="225"/>
      <c r="H577" s="225"/>
      <c r="I577" s="225"/>
      <c r="J577" s="225"/>
      <c r="K577" s="244"/>
      <c r="L577" s="225"/>
      <c r="M577" s="225"/>
      <c r="N577" s="225"/>
      <c r="O577" s="225"/>
      <c r="P577" s="225"/>
      <c r="Q577" s="227"/>
      <c r="R577" s="234"/>
      <c r="S577" s="225"/>
      <c r="T577" s="225"/>
      <c r="U577" s="225"/>
      <c r="V577" s="225"/>
      <c r="W577" s="225"/>
      <c r="X577" s="225"/>
      <c r="Y577" s="229"/>
      <c r="Z577" s="257"/>
      <c r="AA577" s="225"/>
      <c r="AB577" s="257"/>
      <c r="AC577" s="257"/>
      <c r="AD577" s="226"/>
      <c r="AE577" s="259"/>
      <c r="AF577" s="347"/>
      <c r="AG577" s="232"/>
      <c r="AH577" s="257"/>
      <c r="AI577" s="225"/>
      <c r="AJ577" s="267"/>
      <c r="AK577" s="259"/>
      <c r="AL577" s="226"/>
      <c r="AM577" s="225"/>
      <c r="AN577" s="225"/>
      <c r="AO577" s="254"/>
      <c r="AP577" s="225"/>
      <c r="AQ577" s="225"/>
      <c r="AR577" s="226"/>
      <c r="AS577" s="225"/>
      <c r="AT577" s="225"/>
      <c r="AU577" s="225"/>
      <c r="AV577" s="225"/>
      <c r="AW577" s="225"/>
      <c r="AX577" s="226"/>
      <c r="AY577" s="225"/>
      <c r="AZ577" s="225"/>
      <c r="BA577" s="226"/>
      <c r="BB577" s="225"/>
      <c r="BC577" s="225"/>
      <c r="BD577" s="225"/>
      <c r="BE577" s="225"/>
      <c r="BF577" s="225"/>
      <c r="BG577" s="225"/>
      <c r="BH577" s="225"/>
      <c r="BI577" s="225"/>
      <c r="BJ577" s="225"/>
      <c r="BK577" s="225"/>
      <c r="BL577" s="225"/>
      <c r="BM577" s="225"/>
      <c r="BN577" s="225"/>
      <c r="BO577" s="225"/>
      <c r="BP577" s="225"/>
      <c r="BQ577" s="225"/>
      <c r="BR577" s="225"/>
      <c r="BS577" s="225"/>
      <c r="BT577" s="226"/>
      <c r="BU577" s="225"/>
      <c r="BV577" s="225"/>
      <c r="BW577" s="225"/>
      <c r="BX577" s="225"/>
      <c r="BY577" s="225"/>
      <c r="BZ577" s="225"/>
    </row>
    <row r="578">
      <c r="A578" s="225"/>
      <c r="B578" s="225"/>
      <c r="C578" s="225"/>
      <c r="D578" s="226"/>
      <c r="E578" s="225"/>
      <c r="F578" s="225"/>
      <c r="G578" s="225"/>
      <c r="H578" s="225"/>
      <c r="I578" s="225"/>
      <c r="J578" s="225"/>
      <c r="K578" s="244"/>
      <c r="L578" s="225"/>
      <c r="M578" s="225"/>
      <c r="N578" s="225"/>
      <c r="O578" s="225"/>
      <c r="P578" s="225"/>
      <c r="Q578" s="227"/>
      <c r="R578" s="234"/>
      <c r="S578" s="225"/>
      <c r="T578" s="225"/>
      <c r="U578" s="225"/>
      <c r="V578" s="225"/>
      <c r="W578" s="225"/>
      <c r="X578" s="225"/>
      <c r="Y578" s="229"/>
      <c r="Z578" s="257"/>
      <c r="AA578" s="225"/>
      <c r="AB578" s="257"/>
      <c r="AC578" s="257"/>
      <c r="AD578" s="226"/>
      <c r="AE578" s="259"/>
      <c r="AF578" s="347"/>
      <c r="AG578" s="232"/>
      <c r="AH578" s="257"/>
      <c r="AI578" s="225"/>
      <c r="AJ578" s="267"/>
      <c r="AK578" s="259"/>
      <c r="AL578" s="226"/>
      <c r="AM578" s="225"/>
      <c r="AN578" s="225"/>
      <c r="AO578" s="254"/>
      <c r="AP578" s="225"/>
      <c r="AQ578" s="225"/>
      <c r="AR578" s="226"/>
      <c r="AS578" s="225"/>
      <c r="AT578" s="225"/>
      <c r="AU578" s="225"/>
      <c r="AV578" s="225"/>
      <c r="AW578" s="225"/>
      <c r="AX578" s="226"/>
      <c r="AY578" s="225"/>
      <c r="AZ578" s="225"/>
      <c r="BA578" s="226"/>
      <c r="BB578" s="225"/>
      <c r="BC578" s="225"/>
      <c r="BD578" s="225"/>
      <c r="BE578" s="225"/>
      <c r="BF578" s="225"/>
      <c r="BG578" s="225"/>
      <c r="BH578" s="225"/>
      <c r="BI578" s="225"/>
      <c r="BJ578" s="225"/>
      <c r="BK578" s="225"/>
      <c r="BL578" s="225"/>
      <c r="BM578" s="225"/>
      <c r="BN578" s="225"/>
      <c r="BO578" s="225"/>
      <c r="BP578" s="225"/>
      <c r="BQ578" s="225"/>
      <c r="BR578" s="225"/>
      <c r="BS578" s="225"/>
      <c r="BT578" s="226"/>
      <c r="BU578" s="225"/>
      <c r="BV578" s="225"/>
      <c r="BW578" s="225"/>
      <c r="BX578" s="225"/>
      <c r="BY578" s="225"/>
      <c r="BZ578" s="225"/>
    </row>
    <row r="579">
      <c r="A579" s="225"/>
      <c r="B579" s="225"/>
      <c r="C579" s="225"/>
      <c r="D579" s="226"/>
      <c r="E579" s="225"/>
      <c r="F579" s="225"/>
      <c r="G579" s="225"/>
      <c r="H579" s="225"/>
      <c r="I579" s="225"/>
      <c r="J579" s="225"/>
      <c r="K579" s="244"/>
      <c r="L579" s="225"/>
      <c r="M579" s="225"/>
      <c r="N579" s="225"/>
      <c r="O579" s="225"/>
      <c r="P579" s="225"/>
      <c r="Q579" s="227"/>
      <c r="R579" s="234"/>
      <c r="S579" s="225"/>
      <c r="T579" s="225"/>
      <c r="U579" s="225"/>
      <c r="V579" s="225"/>
      <c r="W579" s="225"/>
      <c r="X579" s="225"/>
      <c r="Y579" s="229"/>
      <c r="Z579" s="257"/>
      <c r="AA579" s="225"/>
      <c r="AB579" s="257"/>
      <c r="AC579" s="257"/>
      <c r="AD579" s="226"/>
      <c r="AE579" s="259"/>
      <c r="AF579" s="347"/>
      <c r="AG579" s="232"/>
      <c r="AH579" s="257"/>
      <c r="AI579" s="225"/>
      <c r="AJ579" s="267"/>
      <c r="AK579" s="259"/>
      <c r="AL579" s="226"/>
      <c r="AM579" s="225"/>
      <c r="AN579" s="225"/>
      <c r="AO579" s="254"/>
      <c r="AP579" s="225"/>
      <c r="AQ579" s="225"/>
      <c r="AR579" s="226"/>
      <c r="AS579" s="225"/>
      <c r="AT579" s="225"/>
      <c r="AU579" s="225"/>
      <c r="AV579" s="225"/>
      <c r="AW579" s="225"/>
      <c r="AX579" s="226"/>
      <c r="AY579" s="225"/>
      <c r="AZ579" s="225"/>
      <c r="BA579" s="226"/>
      <c r="BB579" s="225"/>
      <c r="BC579" s="225"/>
      <c r="BD579" s="225"/>
      <c r="BE579" s="225"/>
      <c r="BF579" s="225"/>
      <c r="BG579" s="225"/>
      <c r="BH579" s="225"/>
      <c r="BI579" s="225"/>
      <c r="BJ579" s="225"/>
      <c r="BK579" s="225"/>
      <c r="BL579" s="225"/>
      <c r="BM579" s="225"/>
      <c r="BN579" s="225"/>
      <c r="BO579" s="225"/>
      <c r="BP579" s="225"/>
      <c r="BQ579" s="225"/>
      <c r="BR579" s="225"/>
      <c r="BS579" s="225"/>
      <c r="BT579" s="226"/>
      <c r="BU579" s="225"/>
      <c r="BV579" s="225"/>
      <c r="BW579" s="225"/>
      <c r="BX579" s="225"/>
      <c r="BY579" s="225"/>
      <c r="BZ579" s="225"/>
    </row>
    <row r="580">
      <c r="A580" s="225"/>
      <c r="B580" s="225"/>
      <c r="C580" s="225"/>
      <c r="D580" s="226"/>
      <c r="E580" s="225"/>
      <c r="F580" s="225"/>
      <c r="G580" s="225"/>
      <c r="H580" s="225"/>
      <c r="I580" s="225"/>
      <c r="J580" s="225"/>
      <c r="K580" s="244"/>
      <c r="L580" s="225"/>
      <c r="M580" s="225"/>
      <c r="N580" s="225"/>
      <c r="O580" s="225"/>
      <c r="P580" s="225"/>
      <c r="Q580" s="227"/>
      <c r="R580" s="234"/>
      <c r="S580" s="225"/>
      <c r="T580" s="225"/>
      <c r="U580" s="225"/>
      <c r="V580" s="225"/>
      <c r="W580" s="225"/>
      <c r="X580" s="225"/>
      <c r="Y580" s="229"/>
      <c r="Z580" s="257"/>
      <c r="AA580" s="225"/>
      <c r="AB580" s="257"/>
      <c r="AC580" s="257"/>
      <c r="AD580" s="226"/>
      <c r="AE580" s="259"/>
      <c r="AF580" s="347"/>
      <c r="AG580" s="232"/>
      <c r="AH580" s="257"/>
      <c r="AI580" s="225"/>
      <c r="AJ580" s="267"/>
      <c r="AK580" s="259"/>
      <c r="AL580" s="226"/>
      <c r="AM580" s="225"/>
      <c r="AN580" s="225"/>
      <c r="AO580" s="254"/>
      <c r="AP580" s="225"/>
      <c r="AQ580" s="225"/>
      <c r="AR580" s="226"/>
      <c r="AS580" s="225"/>
      <c r="AT580" s="225"/>
      <c r="AU580" s="225"/>
      <c r="AV580" s="225"/>
      <c r="AW580" s="225"/>
      <c r="AX580" s="226"/>
      <c r="AY580" s="225"/>
      <c r="AZ580" s="225"/>
      <c r="BA580" s="226"/>
      <c r="BB580" s="225"/>
      <c r="BC580" s="225"/>
      <c r="BD580" s="225"/>
      <c r="BE580" s="225"/>
      <c r="BF580" s="225"/>
      <c r="BG580" s="225"/>
      <c r="BH580" s="225"/>
      <c r="BI580" s="225"/>
      <c r="BJ580" s="225"/>
      <c r="BK580" s="225"/>
      <c r="BL580" s="225"/>
      <c r="BM580" s="225"/>
      <c r="BN580" s="225"/>
      <c r="BO580" s="225"/>
      <c r="BP580" s="225"/>
      <c r="BQ580" s="225"/>
      <c r="BR580" s="225"/>
      <c r="BS580" s="225"/>
      <c r="BT580" s="226"/>
      <c r="BU580" s="225"/>
      <c r="BV580" s="225"/>
      <c r="BW580" s="225"/>
      <c r="BX580" s="225"/>
      <c r="BY580" s="225"/>
      <c r="BZ580" s="225"/>
    </row>
    <row r="581">
      <c r="A581" s="225"/>
      <c r="B581" s="225"/>
      <c r="C581" s="225"/>
      <c r="D581" s="226"/>
      <c r="E581" s="225"/>
      <c r="F581" s="225"/>
      <c r="G581" s="225"/>
      <c r="H581" s="225"/>
      <c r="I581" s="225"/>
      <c r="J581" s="225"/>
      <c r="K581" s="244"/>
      <c r="L581" s="225"/>
      <c r="M581" s="225"/>
      <c r="N581" s="225"/>
      <c r="O581" s="225"/>
      <c r="P581" s="225"/>
      <c r="Q581" s="227"/>
      <c r="R581" s="234"/>
      <c r="S581" s="225"/>
      <c r="T581" s="225"/>
      <c r="U581" s="225"/>
      <c r="V581" s="225"/>
      <c r="W581" s="225"/>
      <c r="X581" s="225"/>
      <c r="Y581" s="229"/>
      <c r="Z581" s="257"/>
      <c r="AA581" s="225"/>
      <c r="AB581" s="257"/>
      <c r="AC581" s="257"/>
      <c r="AD581" s="226"/>
      <c r="AE581" s="259"/>
      <c r="AF581" s="347"/>
      <c r="AG581" s="232"/>
      <c r="AH581" s="257"/>
      <c r="AI581" s="225"/>
      <c r="AJ581" s="267"/>
      <c r="AK581" s="259"/>
      <c r="AL581" s="226"/>
      <c r="AM581" s="225"/>
      <c r="AN581" s="225"/>
      <c r="AO581" s="254"/>
      <c r="AP581" s="225"/>
      <c r="AQ581" s="225"/>
      <c r="AR581" s="226"/>
      <c r="AS581" s="225"/>
      <c r="AT581" s="225"/>
      <c r="AU581" s="225"/>
      <c r="AV581" s="225"/>
      <c r="AW581" s="225"/>
      <c r="AX581" s="226"/>
      <c r="AY581" s="225"/>
      <c r="AZ581" s="225"/>
      <c r="BA581" s="226"/>
      <c r="BB581" s="225"/>
      <c r="BC581" s="225"/>
      <c r="BD581" s="225"/>
      <c r="BE581" s="225"/>
      <c r="BF581" s="225"/>
      <c r="BG581" s="225"/>
      <c r="BH581" s="225"/>
      <c r="BI581" s="225"/>
      <c r="BJ581" s="225"/>
      <c r="BK581" s="225"/>
      <c r="BL581" s="225"/>
      <c r="BM581" s="225"/>
      <c r="BN581" s="225"/>
      <c r="BO581" s="225"/>
      <c r="BP581" s="225"/>
      <c r="BQ581" s="225"/>
      <c r="BR581" s="225"/>
      <c r="BS581" s="225"/>
      <c r="BT581" s="226"/>
      <c r="BU581" s="225"/>
      <c r="BV581" s="225"/>
      <c r="BW581" s="225"/>
      <c r="BX581" s="225"/>
      <c r="BY581" s="225"/>
      <c r="BZ581" s="225"/>
    </row>
    <row r="582">
      <c r="A582" s="225"/>
      <c r="B582" s="225"/>
      <c r="C582" s="225"/>
      <c r="D582" s="226"/>
      <c r="E582" s="225"/>
      <c r="F582" s="225"/>
      <c r="G582" s="225"/>
      <c r="H582" s="225"/>
      <c r="I582" s="225"/>
      <c r="J582" s="225"/>
      <c r="K582" s="244"/>
      <c r="L582" s="225"/>
      <c r="M582" s="225"/>
      <c r="N582" s="225"/>
      <c r="O582" s="225"/>
      <c r="P582" s="225"/>
      <c r="Q582" s="227"/>
      <c r="R582" s="234"/>
      <c r="S582" s="225"/>
      <c r="T582" s="225"/>
      <c r="U582" s="225"/>
      <c r="V582" s="225"/>
      <c r="W582" s="225"/>
      <c r="X582" s="225"/>
      <c r="Y582" s="229"/>
      <c r="Z582" s="257"/>
      <c r="AA582" s="225"/>
      <c r="AB582" s="257"/>
      <c r="AC582" s="257"/>
      <c r="AD582" s="226"/>
      <c r="AE582" s="259"/>
      <c r="AF582" s="347"/>
      <c r="AG582" s="232"/>
      <c r="AH582" s="257"/>
      <c r="AI582" s="225"/>
      <c r="AJ582" s="267"/>
      <c r="AK582" s="259"/>
      <c r="AL582" s="226"/>
      <c r="AM582" s="225"/>
      <c r="AN582" s="225"/>
      <c r="AO582" s="254"/>
      <c r="AP582" s="225"/>
      <c r="AQ582" s="225"/>
      <c r="AR582" s="226"/>
      <c r="AS582" s="225"/>
      <c r="AT582" s="225"/>
      <c r="AU582" s="225"/>
      <c r="AV582" s="225"/>
      <c r="AW582" s="225"/>
      <c r="AX582" s="226"/>
      <c r="AY582" s="225"/>
      <c r="AZ582" s="225"/>
      <c r="BA582" s="226"/>
      <c r="BB582" s="225"/>
      <c r="BC582" s="225"/>
      <c r="BD582" s="225"/>
      <c r="BE582" s="225"/>
      <c r="BF582" s="225"/>
      <c r="BG582" s="225"/>
      <c r="BH582" s="225"/>
      <c r="BI582" s="225"/>
      <c r="BJ582" s="225"/>
      <c r="BK582" s="225"/>
      <c r="BL582" s="225"/>
      <c r="BM582" s="225"/>
      <c r="BN582" s="225"/>
      <c r="BO582" s="225"/>
      <c r="BP582" s="225"/>
      <c r="BQ582" s="225"/>
      <c r="BR582" s="225"/>
      <c r="BS582" s="225"/>
      <c r="BT582" s="226"/>
      <c r="BU582" s="225"/>
      <c r="BV582" s="225"/>
      <c r="BW582" s="225"/>
      <c r="BX582" s="225"/>
      <c r="BY582" s="225"/>
      <c r="BZ582" s="225"/>
    </row>
    <row r="583">
      <c r="A583" s="225"/>
      <c r="B583" s="225"/>
      <c r="C583" s="225"/>
      <c r="D583" s="226"/>
      <c r="E583" s="225"/>
      <c r="F583" s="225"/>
      <c r="G583" s="225"/>
      <c r="H583" s="225"/>
      <c r="I583" s="225"/>
      <c r="J583" s="225"/>
      <c r="K583" s="244"/>
      <c r="L583" s="225"/>
      <c r="M583" s="225"/>
      <c r="N583" s="225"/>
      <c r="O583" s="225"/>
      <c r="P583" s="225"/>
      <c r="Q583" s="227"/>
      <c r="R583" s="234"/>
      <c r="S583" s="225"/>
      <c r="T583" s="225"/>
      <c r="U583" s="225"/>
      <c r="V583" s="225"/>
      <c r="W583" s="225"/>
      <c r="X583" s="225"/>
      <c r="Y583" s="229"/>
      <c r="Z583" s="257"/>
      <c r="AA583" s="225"/>
      <c r="AB583" s="257"/>
      <c r="AC583" s="257"/>
      <c r="AD583" s="226"/>
      <c r="AE583" s="259"/>
      <c r="AF583" s="347"/>
      <c r="AG583" s="232"/>
      <c r="AH583" s="257"/>
      <c r="AI583" s="225"/>
      <c r="AJ583" s="267"/>
      <c r="AK583" s="259"/>
      <c r="AL583" s="226"/>
      <c r="AM583" s="225"/>
      <c r="AN583" s="225"/>
      <c r="AO583" s="254"/>
      <c r="AP583" s="225"/>
      <c r="AQ583" s="225"/>
      <c r="AR583" s="226"/>
      <c r="AS583" s="225"/>
      <c r="AT583" s="225"/>
      <c r="AU583" s="225"/>
      <c r="AV583" s="225"/>
      <c r="AW583" s="225"/>
      <c r="AX583" s="226"/>
      <c r="AY583" s="225"/>
      <c r="AZ583" s="225"/>
      <c r="BA583" s="226"/>
      <c r="BB583" s="225"/>
      <c r="BC583" s="225"/>
      <c r="BD583" s="225"/>
      <c r="BE583" s="225"/>
      <c r="BF583" s="225"/>
      <c r="BG583" s="225"/>
      <c r="BH583" s="225"/>
      <c r="BI583" s="225"/>
      <c r="BJ583" s="225"/>
      <c r="BK583" s="225"/>
      <c r="BL583" s="225"/>
      <c r="BM583" s="225"/>
      <c r="BN583" s="225"/>
      <c r="BO583" s="225"/>
      <c r="BP583" s="225"/>
      <c r="BQ583" s="225"/>
      <c r="BR583" s="225"/>
      <c r="BS583" s="225"/>
      <c r="BT583" s="226"/>
      <c r="BU583" s="225"/>
      <c r="BV583" s="225"/>
      <c r="BW583" s="225"/>
      <c r="BX583" s="225"/>
      <c r="BY583" s="225"/>
      <c r="BZ583" s="225"/>
    </row>
    <row r="584">
      <c r="A584" s="225"/>
      <c r="B584" s="225"/>
      <c r="C584" s="225"/>
      <c r="D584" s="226"/>
      <c r="E584" s="225"/>
      <c r="F584" s="225"/>
      <c r="G584" s="225"/>
      <c r="H584" s="225"/>
      <c r="I584" s="225"/>
      <c r="J584" s="225"/>
      <c r="K584" s="244"/>
      <c r="L584" s="225"/>
      <c r="M584" s="225"/>
      <c r="N584" s="225"/>
      <c r="O584" s="225"/>
      <c r="P584" s="225"/>
      <c r="Q584" s="227"/>
      <c r="R584" s="234"/>
      <c r="S584" s="225"/>
      <c r="T584" s="225"/>
      <c r="U584" s="225"/>
      <c r="V584" s="225"/>
      <c r="W584" s="225"/>
      <c r="X584" s="225"/>
      <c r="Y584" s="229"/>
      <c r="Z584" s="257"/>
      <c r="AA584" s="225"/>
      <c r="AB584" s="257"/>
      <c r="AC584" s="257"/>
      <c r="AD584" s="226"/>
      <c r="AE584" s="259"/>
      <c r="AF584" s="347"/>
      <c r="AG584" s="232"/>
      <c r="AH584" s="257"/>
      <c r="AI584" s="225"/>
      <c r="AJ584" s="267"/>
      <c r="AK584" s="259"/>
      <c r="AL584" s="226"/>
      <c r="AM584" s="225"/>
      <c r="AN584" s="225"/>
      <c r="AO584" s="254"/>
      <c r="AP584" s="225"/>
      <c r="AQ584" s="225"/>
      <c r="AR584" s="226"/>
      <c r="AS584" s="225"/>
      <c r="AT584" s="225"/>
      <c r="AU584" s="225"/>
      <c r="AV584" s="225"/>
      <c r="AW584" s="225"/>
      <c r="AX584" s="226"/>
      <c r="AY584" s="225"/>
      <c r="AZ584" s="225"/>
      <c r="BA584" s="226"/>
      <c r="BB584" s="225"/>
      <c r="BC584" s="225"/>
      <c r="BD584" s="225"/>
      <c r="BE584" s="225"/>
      <c r="BF584" s="225"/>
      <c r="BG584" s="225"/>
      <c r="BH584" s="225"/>
      <c r="BI584" s="225"/>
      <c r="BJ584" s="225"/>
      <c r="BK584" s="225"/>
      <c r="BL584" s="225"/>
      <c r="BM584" s="225"/>
      <c r="BN584" s="225"/>
      <c r="BO584" s="225"/>
      <c r="BP584" s="225"/>
      <c r="BQ584" s="225"/>
      <c r="BR584" s="225"/>
      <c r="BS584" s="225"/>
      <c r="BT584" s="226"/>
      <c r="BU584" s="225"/>
      <c r="BV584" s="225"/>
      <c r="BW584" s="225"/>
      <c r="BX584" s="225"/>
      <c r="BY584" s="225"/>
      <c r="BZ584" s="225"/>
    </row>
    <row r="585">
      <c r="A585" s="225"/>
      <c r="B585" s="225"/>
      <c r="C585" s="225"/>
      <c r="D585" s="226"/>
      <c r="E585" s="225"/>
      <c r="F585" s="225"/>
      <c r="G585" s="225"/>
      <c r="H585" s="225"/>
      <c r="I585" s="225"/>
      <c r="J585" s="225"/>
      <c r="K585" s="244"/>
      <c r="L585" s="225"/>
      <c r="M585" s="225"/>
      <c r="N585" s="225"/>
      <c r="O585" s="225"/>
      <c r="P585" s="225"/>
      <c r="Q585" s="227"/>
      <c r="R585" s="234"/>
      <c r="S585" s="225"/>
      <c r="T585" s="225"/>
      <c r="U585" s="225"/>
      <c r="V585" s="225"/>
      <c r="W585" s="225"/>
      <c r="X585" s="225"/>
      <c r="Y585" s="229"/>
      <c r="Z585" s="257"/>
      <c r="AA585" s="225"/>
      <c r="AB585" s="257"/>
      <c r="AC585" s="257"/>
      <c r="AD585" s="226"/>
      <c r="AE585" s="259"/>
      <c r="AF585" s="347"/>
      <c r="AG585" s="232"/>
      <c r="AH585" s="257"/>
      <c r="AI585" s="225"/>
      <c r="AJ585" s="267"/>
      <c r="AK585" s="259"/>
      <c r="AL585" s="226"/>
      <c r="AM585" s="225"/>
      <c r="AN585" s="225"/>
      <c r="AO585" s="254"/>
      <c r="AP585" s="225"/>
      <c r="AQ585" s="225"/>
      <c r="AR585" s="226"/>
      <c r="AS585" s="225"/>
      <c r="AT585" s="225"/>
      <c r="AU585" s="225"/>
      <c r="AV585" s="225"/>
      <c r="AW585" s="225"/>
      <c r="AX585" s="226"/>
      <c r="AY585" s="225"/>
      <c r="AZ585" s="225"/>
      <c r="BA585" s="226"/>
      <c r="BB585" s="225"/>
      <c r="BC585" s="225"/>
      <c r="BD585" s="225"/>
      <c r="BE585" s="225"/>
      <c r="BF585" s="225"/>
      <c r="BG585" s="225"/>
      <c r="BH585" s="225"/>
      <c r="BI585" s="225"/>
      <c r="BJ585" s="225"/>
      <c r="BK585" s="225"/>
      <c r="BL585" s="225"/>
      <c r="BM585" s="225"/>
      <c r="BN585" s="225"/>
      <c r="BO585" s="225"/>
      <c r="BP585" s="225"/>
      <c r="BQ585" s="225"/>
      <c r="BR585" s="225"/>
      <c r="BS585" s="225"/>
      <c r="BT585" s="226"/>
      <c r="BU585" s="225"/>
      <c r="BV585" s="225"/>
      <c r="BW585" s="225"/>
      <c r="BX585" s="225"/>
      <c r="BY585" s="225"/>
      <c r="BZ585" s="225"/>
    </row>
    <row r="586">
      <c r="A586" s="225"/>
      <c r="B586" s="225"/>
      <c r="C586" s="225"/>
      <c r="D586" s="226"/>
      <c r="E586" s="225"/>
      <c r="F586" s="225"/>
      <c r="G586" s="225"/>
      <c r="H586" s="225"/>
      <c r="I586" s="225"/>
      <c r="J586" s="225"/>
      <c r="K586" s="244"/>
      <c r="L586" s="225"/>
      <c r="M586" s="225"/>
      <c r="N586" s="225"/>
      <c r="O586" s="225"/>
      <c r="P586" s="225"/>
      <c r="Q586" s="227"/>
      <c r="R586" s="234"/>
      <c r="S586" s="225"/>
      <c r="T586" s="225"/>
      <c r="U586" s="225"/>
      <c r="V586" s="225"/>
      <c r="W586" s="225"/>
      <c r="X586" s="225"/>
      <c r="Y586" s="229"/>
      <c r="Z586" s="257"/>
      <c r="AA586" s="225"/>
      <c r="AB586" s="257"/>
      <c r="AC586" s="257"/>
      <c r="AD586" s="226"/>
      <c r="AE586" s="259"/>
      <c r="AF586" s="347"/>
      <c r="AG586" s="232"/>
      <c r="AH586" s="257"/>
      <c r="AI586" s="225"/>
      <c r="AJ586" s="267"/>
      <c r="AK586" s="259"/>
      <c r="AL586" s="226"/>
      <c r="AM586" s="225"/>
      <c r="AN586" s="225"/>
      <c r="AO586" s="254"/>
      <c r="AP586" s="225"/>
      <c r="AQ586" s="225"/>
      <c r="AR586" s="226"/>
      <c r="AS586" s="225"/>
      <c r="AT586" s="225"/>
      <c r="AU586" s="225"/>
      <c r="AV586" s="225"/>
      <c r="AW586" s="225"/>
      <c r="AX586" s="226"/>
      <c r="AY586" s="225"/>
      <c r="AZ586" s="225"/>
      <c r="BA586" s="226"/>
      <c r="BB586" s="225"/>
      <c r="BC586" s="225"/>
      <c r="BD586" s="225"/>
      <c r="BE586" s="225"/>
      <c r="BF586" s="225"/>
      <c r="BG586" s="225"/>
      <c r="BH586" s="225"/>
      <c r="BI586" s="225"/>
      <c r="BJ586" s="225"/>
      <c r="BK586" s="225"/>
      <c r="BL586" s="225"/>
      <c r="BM586" s="225"/>
      <c r="BN586" s="225"/>
      <c r="BO586" s="225"/>
      <c r="BP586" s="225"/>
      <c r="BQ586" s="225"/>
      <c r="BR586" s="225"/>
      <c r="BS586" s="225"/>
      <c r="BT586" s="226"/>
      <c r="BU586" s="225"/>
      <c r="BV586" s="225"/>
      <c r="BW586" s="225"/>
      <c r="BX586" s="225"/>
      <c r="BY586" s="225"/>
      <c r="BZ586" s="225"/>
    </row>
    <row r="587">
      <c r="A587" s="225"/>
      <c r="B587" s="225"/>
      <c r="C587" s="225"/>
      <c r="D587" s="226"/>
      <c r="E587" s="225"/>
      <c r="F587" s="225"/>
      <c r="G587" s="225"/>
      <c r="H587" s="225"/>
      <c r="I587" s="225"/>
      <c r="J587" s="225"/>
      <c r="K587" s="244"/>
      <c r="L587" s="225"/>
      <c r="M587" s="225"/>
      <c r="N587" s="225"/>
      <c r="O587" s="225"/>
      <c r="P587" s="225"/>
      <c r="Q587" s="227"/>
      <c r="R587" s="234"/>
      <c r="S587" s="225"/>
      <c r="T587" s="225"/>
      <c r="U587" s="225"/>
      <c r="V587" s="225"/>
      <c r="W587" s="225"/>
      <c r="X587" s="225"/>
      <c r="Y587" s="229"/>
      <c r="Z587" s="257"/>
      <c r="AA587" s="225"/>
      <c r="AB587" s="257"/>
      <c r="AC587" s="257"/>
      <c r="AD587" s="226"/>
      <c r="AE587" s="259"/>
      <c r="AF587" s="347"/>
      <c r="AG587" s="232"/>
      <c r="AH587" s="257"/>
      <c r="AI587" s="225"/>
      <c r="AJ587" s="267"/>
      <c r="AK587" s="259"/>
      <c r="AL587" s="226"/>
      <c r="AM587" s="225"/>
      <c r="AN587" s="225"/>
      <c r="AO587" s="254"/>
      <c r="AP587" s="225"/>
      <c r="AQ587" s="225"/>
      <c r="AR587" s="226"/>
      <c r="AS587" s="225"/>
      <c r="AT587" s="225"/>
      <c r="AU587" s="225"/>
      <c r="AV587" s="225"/>
      <c r="AW587" s="225"/>
      <c r="AX587" s="226"/>
      <c r="AY587" s="225"/>
      <c r="AZ587" s="225"/>
      <c r="BA587" s="226"/>
      <c r="BB587" s="225"/>
      <c r="BC587" s="225"/>
      <c r="BD587" s="225"/>
      <c r="BE587" s="225"/>
      <c r="BF587" s="225"/>
      <c r="BG587" s="225"/>
      <c r="BH587" s="225"/>
      <c r="BI587" s="225"/>
      <c r="BJ587" s="225"/>
      <c r="BK587" s="225"/>
      <c r="BL587" s="225"/>
      <c r="BM587" s="225"/>
      <c r="BN587" s="225"/>
      <c r="BO587" s="225"/>
      <c r="BP587" s="225"/>
      <c r="BQ587" s="225"/>
      <c r="BR587" s="225"/>
      <c r="BS587" s="225"/>
      <c r="BT587" s="226"/>
      <c r="BU587" s="225"/>
      <c r="BV587" s="225"/>
      <c r="BW587" s="225"/>
      <c r="BX587" s="225"/>
      <c r="BY587" s="225"/>
      <c r="BZ587" s="225"/>
    </row>
    <row r="588">
      <c r="A588" s="225"/>
      <c r="B588" s="225"/>
      <c r="C588" s="225"/>
      <c r="D588" s="226"/>
      <c r="E588" s="225"/>
      <c r="F588" s="225"/>
      <c r="G588" s="225"/>
      <c r="H588" s="225"/>
      <c r="I588" s="225"/>
      <c r="J588" s="225"/>
      <c r="K588" s="244"/>
      <c r="L588" s="225"/>
      <c r="M588" s="225"/>
      <c r="N588" s="225"/>
      <c r="O588" s="225"/>
      <c r="P588" s="225"/>
      <c r="Q588" s="227"/>
      <c r="R588" s="234"/>
      <c r="S588" s="225"/>
      <c r="T588" s="225"/>
      <c r="U588" s="225"/>
      <c r="V588" s="225"/>
      <c r="W588" s="225"/>
      <c r="X588" s="225"/>
      <c r="Y588" s="229"/>
      <c r="Z588" s="257"/>
      <c r="AA588" s="225"/>
      <c r="AB588" s="257"/>
      <c r="AC588" s="257"/>
      <c r="AD588" s="226"/>
      <c r="AE588" s="259"/>
      <c r="AF588" s="347"/>
      <c r="AG588" s="232"/>
      <c r="AH588" s="257"/>
      <c r="AI588" s="225"/>
      <c r="AJ588" s="267"/>
      <c r="AK588" s="259"/>
      <c r="AL588" s="226"/>
      <c r="AM588" s="225"/>
      <c r="AN588" s="225"/>
      <c r="AO588" s="254"/>
      <c r="AP588" s="225"/>
      <c r="AQ588" s="225"/>
      <c r="AR588" s="226"/>
      <c r="AS588" s="225"/>
      <c r="AT588" s="225"/>
      <c r="AU588" s="225"/>
      <c r="AV588" s="225"/>
      <c r="AW588" s="225"/>
      <c r="AX588" s="226"/>
      <c r="AY588" s="225"/>
      <c r="AZ588" s="225"/>
      <c r="BA588" s="226"/>
      <c r="BB588" s="225"/>
      <c r="BC588" s="225"/>
      <c r="BD588" s="225"/>
      <c r="BE588" s="225"/>
      <c r="BF588" s="225"/>
      <c r="BG588" s="225"/>
      <c r="BH588" s="225"/>
      <c r="BI588" s="225"/>
      <c r="BJ588" s="225"/>
      <c r="BK588" s="225"/>
      <c r="BL588" s="225"/>
      <c r="BM588" s="225"/>
      <c r="BN588" s="225"/>
      <c r="BO588" s="225"/>
      <c r="BP588" s="225"/>
      <c r="BQ588" s="225"/>
      <c r="BR588" s="225"/>
      <c r="BS588" s="225"/>
      <c r="BT588" s="226"/>
      <c r="BU588" s="225"/>
      <c r="BV588" s="225"/>
      <c r="BW588" s="225"/>
      <c r="BX588" s="225"/>
      <c r="BY588" s="225"/>
      <c r="BZ588" s="225"/>
    </row>
    <row r="589">
      <c r="A589" s="225"/>
      <c r="B589" s="225"/>
      <c r="C589" s="225"/>
      <c r="D589" s="226"/>
      <c r="E589" s="225"/>
      <c r="F589" s="225"/>
      <c r="G589" s="225"/>
      <c r="H589" s="225"/>
      <c r="I589" s="225"/>
      <c r="J589" s="225"/>
      <c r="K589" s="244"/>
      <c r="L589" s="225"/>
      <c r="M589" s="225"/>
      <c r="N589" s="225"/>
      <c r="O589" s="225"/>
      <c r="P589" s="225"/>
      <c r="Q589" s="227"/>
      <c r="R589" s="234"/>
      <c r="S589" s="225"/>
      <c r="T589" s="225"/>
      <c r="U589" s="225"/>
      <c r="V589" s="225"/>
      <c r="W589" s="225"/>
      <c r="X589" s="225"/>
      <c r="Y589" s="229"/>
      <c r="Z589" s="257"/>
      <c r="AA589" s="225"/>
      <c r="AB589" s="257"/>
      <c r="AC589" s="257"/>
      <c r="AD589" s="226"/>
      <c r="AE589" s="259"/>
      <c r="AF589" s="347"/>
      <c r="AG589" s="232"/>
      <c r="AH589" s="257"/>
      <c r="AI589" s="225"/>
      <c r="AJ589" s="267"/>
      <c r="AK589" s="259"/>
      <c r="AL589" s="226"/>
      <c r="AM589" s="225"/>
      <c r="AN589" s="225"/>
      <c r="AO589" s="254"/>
      <c r="AP589" s="225"/>
      <c r="AQ589" s="225"/>
      <c r="AR589" s="226"/>
      <c r="AS589" s="225"/>
      <c r="AT589" s="225"/>
      <c r="AU589" s="225"/>
      <c r="AV589" s="225"/>
      <c r="AW589" s="225"/>
      <c r="AX589" s="226"/>
      <c r="AY589" s="225"/>
      <c r="AZ589" s="225"/>
      <c r="BA589" s="226"/>
      <c r="BB589" s="225"/>
      <c r="BC589" s="225"/>
      <c r="BD589" s="225"/>
      <c r="BE589" s="225"/>
      <c r="BF589" s="225"/>
      <c r="BG589" s="225"/>
      <c r="BH589" s="225"/>
      <c r="BI589" s="225"/>
      <c r="BJ589" s="225"/>
      <c r="BK589" s="225"/>
      <c r="BL589" s="225"/>
      <c r="BM589" s="225"/>
      <c r="BN589" s="225"/>
      <c r="BO589" s="225"/>
      <c r="BP589" s="225"/>
      <c r="BQ589" s="225"/>
      <c r="BR589" s="225"/>
      <c r="BS589" s="225"/>
      <c r="BT589" s="226"/>
      <c r="BU589" s="225"/>
      <c r="BV589" s="225"/>
      <c r="BW589" s="225"/>
      <c r="BX589" s="225"/>
      <c r="BY589" s="225"/>
      <c r="BZ589" s="225"/>
    </row>
    <row r="590">
      <c r="A590" s="225"/>
      <c r="B590" s="225"/>
      <c r="C590" s="225"/>
      <c r="D590" s="226"/>
      <c r="E590" s="225"/>
      <c r="F590" s="225"/>
      <c r="G590" s="225"/>
      <c r="H590" s="225"/>
      <c r="I590" s="225"/>
      <c r="J590" s="225"/>
      <c r="K590" s="244"/>
      <c r="L590" s="225"/>
      <c r="M590" s="225"/>
      <c r="N590" s="225"/>
      <c r="O590" s="225"/>
      <c r="P590" s="225"/>
      <c r="Q590" s="227"/>
      <c r="R590" s="234"/>
      <c r="S590" s="225"/>
      <c r="T590" s="225"/>
      <c r="U590" s="225"/>
      <c r="V590" s="225"/>
      <c r="W590" s="225"/>
      <c r="X590" s="225"/>
      <c r="Y590" s="229"/>
      <c r="Z590" s="257"/>
      <c r="AA590" s="225"/>
      <c r="AB590" s="257"/>
      <c r="AC590" s="257"/>
      <c r="AD590" s="226"/>
      <c r="AE590" s="259"/>
      <c r="AF590" s="347"/>
      <c r="AG590" s="232"/>
      <c r="AH590" s="257"/>
      <c r="AI590" s="225"/>
      <c r="AJ590" s="267"/>
      <c r="AK590" s="259"/>
      <c r="AL590" s="226"/>
      <c r="AM590" s="225"/>
      <c r="AN590" s="225"/>
      <c r="AO590" s="254"/>
      <c r="AP590" s="225"/>
      <c r="AQ590" s="225"/>
      <c r="AR590" s="226"/>
      <c r="AS590" s="225"/>
      <c r="AT590" s="225"/>
      <c r="AU590" s="225"/>
      <c r="AV590" s="225"/>
      <c r="AW590" s="225"/>
      <c r="AX590" s="226"/>
      <c r="AY590" s="225"/>
      <c r="AZ590" s="225"/>
      <c r="BA590" s="226"/>
      <c r="BB590" s="225"/>
      <c r="BC590" s="225"/>
      <c r="BD590" s="225"/>
      <c r="BE590" s="225"/>
      <c r="BF590" s="225"/>
      <c r="BG590" s="225"/>
      <c r="BH590" s="225"/>
      <c r="BI590" s="225"/>
      <c r="BJ590" s="225"/>
      <c r="BK590" s="225"/>
      <c r="BL590" s="225"/>
      <c r="BM590" s="225"/>
      <c r="BN590" s="225"/>
      <c r="BO590" s="225"/>
      <c r="BP590" s="225"/>
      <c r="BQ590" s="225"/>
      <c r="BR590" s="225"/>
      <c r="BS590" s="225"/>
      <c r="BT590" s="226"/>
      <c r="BU590" s="225"/>
      <c r="BV590" s="225"/>
      <c r="BW590" s="225"/>
      <c r="BX590" s="225"/>
      <c r="BY590" s="225"/>
      <c r="BZ590" s="225"/>
    </row>
    <row r="591">
      <c r="A591" s="225"/>
      <c r="B591" s="225"/>
      <c r="C591" s="225"/>
      <c r="D591" s="226"/>
      <c r="E591" s="225"/>
      <c r="F591" s="225"/>
      <c r="G591" s="225"/>
      <c r="H591" s="225"/>
      <c r="I591" s="225"/>
      <c r="J591" s="225"/>
      <c r="K591" s="244"/>
      <c r="L591" s="225"/>
      <c r="M591" s="225"/>
      <c r="N591" s="225"/>
      <c r="O591" s="225"/>
      <c r="P591" s="225"/>
      <c r="Q591" s="227"/>
      <c r="R591" s="234"/>
      <c r="S591" s="225"/>
      <c r="T591" s="225"/>
      <c r="U591" s="225"/>
      <c r="V591" s="225"/>
      <c r="W591" s="225"/>
      <c r="X591" s="225"/>
      <c r="Y591" s="229"/>
      <c r="Z591" s="257"/>
      <c r="AA591" s="225"/>
      <c r="AB591" s="257"/>
      <c r="AC591" s="257"/>
      <c r="AD591" s="226"/>
      <c r="AE591" s="259"/>
      <c r="AF591" s="347"/>
      <c r="AG591" s="232"/>
      <c r="AH591" s="257"/>
      <c r="AI591" s="225"/>
      <c r="AJ591" s="267"/>
      <c r="AK591" s="259"/>
      <c r="AL591" s="226"/>
      <c r="AM591" s="225"/>
      <c r="AN591" s="225"/>
      <c r="AO591" s="254"/>
      <c r="AP591" s="225"/>
      <c r="AQ591" s="225"/>
      <c r="AR591" s="226"/>
      <c r="AS591" s="225"/>
      <c r="AT591" s="225"/>
      <c r="AU591" s="225"/>
      <c r="AV591" s="225"/>
      <c r="AW591" s="225"/>
      <c r="AX591" s="226"/>
      <c r="AY591" s="225"/>
      <c r="AZ591" s="225"/>
      <c r="BA591" s="226"/>
      <c r="BB591" s="225"/>
      <c r="BC591" s="225"/>
      <c r="BD591" s="225"/>
      <c r="BE591" s="225"/>
      <c r="BF591" s="225"/>
      <c r="BG591" s="225"/>
      <c r="BH591" s="225"/>
      <c r="BI591" s="225"/>
      <c r="BJ591" s="225"/>
      <c r="BK591" s="225"/>
      <c r="BL591" s="225"/>
      <c r="BM591" s="225"/>
      <c r="BN591" s="225"/>
      <c r="BO591" s="225"/>
      <c r="BP591" s="225"/>
      <c r="BQ591" s="225"/>
      <c r="BR591" s="225"/>
      <c r="BS591" s="225"/>
      <c r="BT591" s="226"/>
      <c r="BU591" s="225"/>
      <c r="BV591" s="225"/>
      <c r="BW591" s="225"/>
      <c r="BX591" s="225"/>
      <c r="BY591" s="225"/>
      <c r="BZ591" s="225"/>
    </row>
    <row r="592">
      <c r="A592" s="225"/>
      <c r="B592" s="225"/>
      <c r="C592" s="225"/>
      <c r="D592" s="226"/>
      <c r="E592" s="225"/>
      <c r="F592" s="225"/>
      <c r="G592" s="225"/>
      <c r="H592" s="225"/>
      <c r="I592" s="225"/>
      <c r="J592" s="225"/>
      <c r="K592" s="244"/>
      <c r="L592" s="225"/>
      <c r="M592" s="225"/>
      <c r="N592" s="225"/>
      <c r="O592" s="225"/>
      <c r="P592" s="225"/>
      <c r="Q592" s="227"/>
      <c r="R592" s="234"/>
      <c r="S592" s="225"/>
      <c r="T592" s="225"/>
      <c r="U592" s="225"/>
      <c r="V592" s="225"/>
      <c r="W592" s="225"/>
      <c r="X592" s="225"/>
      <c r="Y592" s="229"/>
      <c r="Z592" s="257"/>
      <c r="AA592" s="225"/>
      <c r="AB592" s="257"/>
      <c r="AC592" s="257"/>
      <c r="AD592" s="226"/>
      <c r="AE592" s="259"/>
      <c r="AF592" s="347"/>
      <c r="AG592" s="232"/>
      <c r="AH592" s="257"/>
      <c r="AI592" s="225"/>
      <c r="AJ592" s="267"/>
      <c r="AK592" s="259"/>
      <c r="AL592" s="226"/>
      <c r="AM592" s="225"/>
      <c r="AN592" s="225"/>
      <c r="AO592" s="254"/>
      <c r="AP592" s="225"/>
      <c r="AQ592" s="225"/>
      <c r="AR592" s="226"/>
      <c r="AS592" s="225"/>
      <c r="AT592" s="225"/>
      <c r="AU592" s="225"/>
      <c r="AV592" s="225"/>
      <c r="AW592" s="225"/>
      <c r="AX592" s="226"/>
      <c r="AY592" s="225"/>
      <c r="AZ592" s="225"/>
      <c r="BA592" s="226"/>
      <c r="BB592" s="225"/>
      <c r="BC592" s="225"/>
      <c r="BD592" s="225"/>
      <c r="BE592" s="225"/>
      <c r="BF592" s="225"/>
      <c r="BG592" s="225"/>
      <c r="BH592" s="225"/>
      <c r="BI592" s="225"/>
      <c r="BJ592" s="225"/>
      <c r="BK592" s="225"/>
      <c r="BL592" s="225"/>
      <c r="BM592" s="225"/>
      <c r="BN592" s="225"/>
      <c r="BO592" s="225"/>
      <c r="BP592" s="225"/>
      <c r="BQ592" s="225"/>
      <c r="BR592" s="225"/>
      <c r="BS592" s="225"/>
      <c r="BT592" s="226"/>
      <c r="BU592" s="225"/>
      <c r="BV592" s="225"/>
      <c r="BW592" s="225"/>
      <c r="BX592" s="225"/>
      <c r="BY592" s="225"/>
      <c r="BZ592" s="225"/>
    </row>
    <row r="593">
      <c r="A593" s="225"/>
      <c r="B593" s="225"/>
      <c r="C593" s="225"/>
      <c r="D593" s="226"/>
      <c r="E593" s="225"/>
      <c r="F593" s="225"/>
      <c r="G593" s="225"/>
      <c r="H593" s="225"/>
      <c r="I593" s="225"/>
      <c r="J593" s="225"/>
      <c r="K593" s="244"/>
      <c r="L593" s="225"/>
      <c r="M593" s="225"/>
      <c r="N593" s="225"/>
      <c r="O593" s="225"/>
      <c r="P593" s="225"/>
      <c r="Q593" s="227"/>
      <c r="R593" s="234"/>
      <c r="S593" s="225"/>
      <c r="T593" s="225"/>
      <c r="U593" s="225"/>
      <c r="V593" s="225"/>
      <c r="W593" s="225"/>
      <c r="X593" s="225"/>
      <c r="Y593" s="229"/>
      <c r="Z593" s="257"/>
      <c r="AA593" s="225"/>
      <c r="AB593" s="257"/>
      <c r="AC593" s="257"/>
      <c r="AD593" s="226"/>
      <c r="AE593" s="259"/>
      <c r="AF593" s="347"/>
      <c r="AG593" s="232"/>
      <c r="AH593" s="257"/>
      <c r="AI593" s="225"/>
      <c r="AJ593" s="267"/>
      <c r="AK593" s="259"/>
      <c r="AL593" s="226"/>
      <c r="AM593" s="225"/>
      <c r="AN593" s="225"/>
      <c r="AO593" s="254"/>
      <c r="AP593" s="225"/>
      <c r="AQ593" s="225"/>
      <c r="AR593" s="226"/>
      <c r="AS593" s="225"/>
      <c r="AT593" s="225"/>
      <c r="AU593" s="225"/>
      <c r="AV593" s="225"/>
      <c r="AW593" s="225"/>
      <c r="AX593" s="226"/>
      <c r="AY593" s="225"/>
      <c r="AZ593" s="225"/>
      <c r="BA593" s="226"/>
      <c r="BB593" s="225"/>
      <c r="BC593" s="225"/>
      <c r="BD593" s="225"/>
      <c r="BE593" s="225"/>
      <c r="BF593" s="225"/>
      <c r="BG593" s="225"/>
      <c r="BH593" s="225"/>
      <c r="BI593" s="225"/>
      <c r="BJ593" s="225"/>
      <c r="BK593" s="225"/>
      <c r="BL593" s="225"/>
      <c r="BM593" s="225"/>
      <c r="BN593" s="225"/>
      <c r="BO593" s="225"/>
      <c r="BP593" s="225"/>
      <c r="BQ593" s="225"/>
      <c r="BR593" s="225"/>
      <c r="BS593" s="225"/>
      <c r="BT593" s="226"/>
      <c r="BU593" s="225"/>
      <c r="BV593" s="225"/>
      <c r="BW593" s="225"/>
      <c r="BX593" s="225"/>
      <c r="BY593" s="225"/>
      <c r="BZ593" s="225"/>
    </row>
    <row r="594">
      <c r="A594" s="225"/>
      <c r="B594" s="225"/>
      <c r="C594" s="225"/>
      <c r="D594" s="226"/>
      <c r="E594" s="225"/>
      <c r="F594" s="225"/>
      <c r="G594" s="225"/>
      <c r="H594" s="225"/>
      <c r="I594" s="225"/>
      <c r="J594" s="225"/>
      <c r="K594" s="244"/>
      <c r="L594" s="225"/>
      <c r="M594" s="225"/>
      <c r="N594" s="225"/>
      <c r="O594" s="225"/>
      <c r="P594" s="225"/>
      <c r="Q594" s="227"/>
      <c r="R594" s="234"/>
      <c r="S594" s="225"/>
      <c r="T594" s="225"/>
      <c r="U594" s="225"/>
      <c r="V594" s="225"/>
      <c r="W594" s="225"/>
      <c r="X594" s="225"/>
      <c r="Y594" s="229"/>
      <c r="Z594" s="257"/>
      <c r="AA594" s="225"/>
      <c r="AB594" s="257"/>
      <c r="AC594" s="257"/>
      <c r="AD594" s="226"/>
      <c r="AE594" s="259"/>
      <c r="AF594" s="347"/>
      <c r="AG594" s="232"/>
      <c r="AH594" s="257"/>
      <c r="AI594" s="225"/>
      <c r="AJ594" s="267"/>
      <c r="AK594" s="259"/>
      <c r="AL594" s="226"/>
      <c r="AM594" s="225"/>
      <c r="AN594" s="225"/>
      <c r="AO594" s="254"/>
      <c r="AP594" s="225"/>
      <c r="AQ594" s="225"/>
      <c r="AR594" s="226"/>
      <c r="AS594" s="225"/>
      <c r="AT594" s="225"/>
      <c r="AU594" s="225"/>
      <c r="AV594" s="225"/>
      <c r="AW594" s="225"/>
      <c r="AX594" s="226"/>
      <c r="AY594" s="225"/>
      <c r="AZ594" s="225"/>
      <c r="BA594" s="226"/>
      <c r="BB594" s="225"/>
      <c r="BC594" s="225"/>
      <c r="BD594" s="225"/>
      <c r="BE594" s="225"/>
      <c r="BF594" s="225"/>
      <c r="BG594" s="225"/>
      <c r="BH594" s="225"/>
      <c r="BI594" s="225"/>
      <c r="BJ594" s="225"/>
      <c r="BK594" s="225"/>
      <c r="BL594" s="225"/>
      <c r="BM594" s="225"/>
      <c r="BN594" s="225"/>
      <c r="BO594" s="225"/>
      <c r="BP594" s="225"/>
      <c r="BQ594" s="225"/>
      <c r="BR594" s="225"/>
      <c r="BS594" s="225"/>
      <c r="BT594" s="226"/>
      <c r="BU594" s="225"/>
      <c r="BV594" s="225"/>
      <c r="BW594" s="225"/>
      <c r="BX594" s="225"/>
      <c r="BY594" s="225"/>
      <c r="BZ594" s="225"/>
    </row>
    <row r="595">
      <c r="A595" s="225"/>
      <c r="B595" s="225"/>
      <c r="C595" s="225"/>
      <c r="D595" s="226"/>
      <c r="E595" s="225"/>
      <c r="F595" s="225"/>
      <c r="G595" s="225"/>
      <c r="H595" s="225"/>
      <c r="I595" s="225"/>
      <c r="J595" s="225"/>
      <c r="K595" s="244"/>
      <c r="L595" s="225"/>
      <c r="M595" s="225"/>
      <c r="N595" s="225"/>
      <c r="O595" s="225"/>
      <c r="P595" s="225"/>
      <c r="Q595" s="227"/>
      <c r="R595" s="234"/>
      <c r="S595" s="225"/>
      <c r="T595" s="225"/>
      <c r="U595" s="225"/>
      <c r="V595" s="225"/>
      <c r="W595" s="225"/>
      <c r="X595" s="225"/>
      <c r="Y595" s="229"/>
      <c r="Z595" s="257"/>
      <c r="AA595" s="225"/>
      <c r="AB595" s="257"/>
      <c r="AC595" s="257"/>
      <c r="AD595" s="226"/>
      <c r="AE595" s="259"/>
      <c r="AF595" s="347"/>
      <c r="AG595" s="232"/>
      <c r="AH595" s="257"/>
      <c r="AI595" s="225"/>
      <c r="AJ595" s="267"/>
      <c r="AK595" s="259"/>
      <c r="AL595" s="226"/>
      <c r="AM595" s="225"/>
      <c r="AN595" s="225"/>
      <c r="AO595" s="254"/>
      <c r="AP595" s="225"/>
      <c r="AQ595" s="225"/>
      <c r="AR595" s="226"/>
      <c r="AS595" s="225"/>
      <c r="AT595" s="225"/>
      <c r="AU595" s="225"/>
      <c r="AV595" s="225"/>
      <c r="AW595" s="225"/>
      <c r="AX595" s="226"/>
      <c r="AY595" s="225"/>
      <c r="AZ595" s="225"/>
      <c r="BA595" s="226"/>
      <c r="BB595" s="225"/>
      <c r="BC595" s="225"/>
      <c r="BD595" s="225"/>
      <c r="BE595" s="225"/>
      <c r="BF595" s="225"/>
      <c r="BG595" s="225"/>
      <c r="BH595" s="225"/>
      <c r="BI595" s="225"/>
      <c r="BJ595" s="225"/>
      <c r="BK595" s="225"/>
      <c r="BL595" s="225"/>
      <c r="BM595" s="225"/>
      <c r="BN595" s="225"/>
      <c r="BO595" s="225"/>
      <c r="BP595" s="225"/>
      <c r="BQ595" s="225"/>
      <c r="BR595" s="225"/>
      <c r="BS595" s="225"/>
      <c r="BT595" s="226"/>
      <c r="BU595" s="225"/>
      <c r="BV595" s="225"/>
      <c r="BW595" s="225"/>
      <c r="BX595" s="225"/>
      <c r="BY595" s="225"/>
      <c r="BZ595" s="225"/>
    </row>
    <row r="596">
      <c r="A596" s="225"/>
      <c r="B596" s="225"/>
      <c r="C596" s="225"/>
      <c r="D596" s="226"/>
      <c r="E596" s="225"/>
      <c r="F596" s="225"/>
      <c r="G596" s="225"/>
      <c r="H596" s="225"/>
      <c r="I596" s="225"/>
      <c r="J596" s="225"/>
      <c r="K596" s="244"/>
      <c r="L596" s="225"/>
      <c r="M596" s="225"/>
      <c r="N596" s="225"/>
      <c r="O596" s="225"/>
      <c r="P596" s="225"/>
      <c r="Q596" s="227"/>
      <c r="R596" s="234"/>
      <c r="S596" s="225"/>
      <c r="T596" s="225"/>
      <c r="U596" s="225"/>
      <c r="V596" s="225"/>
      <c r="W596" s="225"/>
      <c r="X596" s="225"/>
      <c r="Y596" s="229"/>
      <c r="Z596" s="257"/>
      <c r="AA596" s="225"/>
      <c r="AB596" s="257"/>
      <c r="AC596" s="257"/>
      <c r="AD596" s="226"/>
      <c r="AE596" s="259"/>
      <c r="AF596" s="347"/>
      <c r="AG596" s="232"/>
      <c r="AH596" s="257"/>
      <c r="AI596" s="225"/>
      <c r="AJ596" s="267"/>
      <c r="AK596" s="259"/>
      <c r="AL596" s="226"/>
      <c r="AM596" s="225"/>
      <c r="AN596" s="225"/>
      <c r="AO596" s="254"/>
      <c r="AP596" s="225"/>
      <c r="AQ596" s="225"/>
      <c r="AR596" s="226"/>
      <c r="AS596" s="225"/>
      <c r="AT596" s="225"/>
      <c r="AU596" s="225"/>
      <c r="AV596" s="225"/>
      <c r="AW596" s="225"/>
      <c r="AX596" s="226"/>
      <c r="AY596" s="225"/>
      <c r="AZ596" s="225"/>
      <c r="BA596" s="226"/>
      <c r="BB596" s="225"/>
      <c r="BC596" s="225"/>
      <c r="BD596" s="225"/>
      <c r="BE596" s="225"/>
      <c r="BF596" s="225"/>
      <c r="BG596" s="225"/>
      <c r="BH596" s="225"/>
      <c r="BI596" s="225"/>
      <c r="BJ596" s="225"/>
      <c r="BK596" s="225"/>
      <c r="BL596" s="225"/>
      <c r="BM596" s="225"/>
      <c r="BN596" s="225"/>
      <c r="BO596" s="225"/>
      <c r="BP596" s="225"/>
      <c r="BQ596" s="225"/>
      <c r="BR596" s="225"/>
      <c r="BS596" s="225"/>
      <c r="BT596" s="226"/>
      <c r="BU596" s="225"/>
      <c r="BV596" s="225"/>
      <c r="BW596" s="225"/>
      <c r="BX596" s="225"/>
      <c r="BY596" s="225"/>
      <c r="BZ596" s="225"/>
    </row>
    <row r="597">
      <c r="A597" s="225"/>
      <c r="B597" s="225"/>
      <c r="C597" s="225"/>
      <c r="D597" s="226"/>
      <c r="E597" s="225"/>
      <c r="F597" s="225"/>
      <c r="G597" s="225"/>
      <c r="H597" s="225"/>
      <c r="I597" s="225"/>
      <c r="J597" s="225"/>
      <c r="K597" s="244"/>
      <c r="L597" s="225"/>
      <c r="M597" s="225"/>
      <c r="N597" s="225"/>
      <c r="O597" s="225"/>
      <c r="P597" s="225"/>
      <c r="Q597" s="227"/>
      <c r="R597" s="234"/>
      <c r="S597" s="225"/>
      <c r="T597" s="225"/>
      <c r="U597" s="225"/>
      <c r="V597" s="225"/>
      <c r="W597" s="225"/>
      <c r="X597" s="225"/>
      <c r="Y597" s="229"/>
      <c r="Z597" s="257"/>
      <c r="AA597" s="225"/>
      <c r="AB597" s="257"/>
      <c r="AC597" s="257"/>
      <c r="AD597" s="226"/>
      <c r="AE597" s="259"/>
      <c r="AF597" s="347"/>
      <c r="AG597" s="232"/>
      <c r="AH597" s="257"/>
      <c r="AI597" s="225"/>
      <c r="AJ597" s="267"/>
      <c r="AK597" s="259"/>
      <c r="AL597" s="226"/>
      <c r="AM597" s="225"/>
      <c r="AN597" s="225"/>
      <c r="AO597" s="254"/>
      <c r="AP597" s="225"/>
      <c r="AQ597" s="225"/>
      <c r="AR597" s="226"/>
      <c r="AS597" s="225"/>
      <c r="AT597" s="225"/>
      <c r="AU597" s="225"/>
      <c r="AV597" s="225"/>
      <c r="AW597" s="225"/>
      <c r="AX597" s="226"/>
      <c r="AY597" s="225"/>
      <c r="AZ597" s="225"/>
      <c r="BA597" s="226"/>
      <c r="BB597" s="225"/>
      <c r="BC597" s="225"/>
      <c r="BD597" s="225"/>
      <c r="BE597" s="225"/>
      <c r="BF597" s="225"/>
      <c r="BG597" s="225"/>
      <c r="BH597" s="225"/>
      <c r="BI597" s="225"/>
      <c r="BJ597" s="225"/>
      <c r="BK597" s="225"/>
      <c r="BL597" s="225"/>
      <c r="BM597" s="225"/>
      <c r="BN597" s="225"/>
      <c r="BO597" s="225"/>
      <c r="BP597" s="225"/>
      <c r="BQ597" s="225"/>
      <c r="BR597" s="225"/>
      <c r="BS597" s="225"/>
      <c r="BT597" s="226"/>
      <c r="BU597" s="225"/>
      <c r="BV597" s="225"/>
      <c r="BW597" s="225"/>
      <c r="BX597" s="225"/>
      <c r="BY597" s="225"/>
      <c r="BZ597" s="225"/>
    </row>
    <row r="598">
      <c r="A598" s="225"/>
      <c r="B598" s="225"/>
      <c r="C598" s="225"/>
      <c r="D598" s="226"/>
      <c r="E598" s="225"/>
      <c r="F598" s="225"/>
      <c r="G598" s="225"/>
      <c r="H598" s="225"/>
      <c r="I598" s="225"/>
      <c r="J598" s="225"/>
      <c r="K598" s="244"/>
      <c r="L598" s="225"/>
      <c r="M598" s="225"/>
      <c r="N598" s="225"/>
      <c r="O598" s="225"/>
      <c r="P598" s="225"/>
      <c r="Q598" s="227"/>
      <c r="R598" s="234"/>
      <c r="S598" s="225"/>
      <c r="T598" s="225"/>
      <c r="U598" s="225"/>
      <c r="V598" s="225"/>
      <c r="W598" s="225"/>
      <c r="X598" s="225"/>
      <c r="Y598" s="229"/>
      <c r="Z598" s="257"/>
      <c r="AA598" s="225"/>
      <c r="AB598" s="257"/>
      <c r="AC598" s="257"/>
      <c r="AD598" s="226"/>
      <c r="AE598" s="259"/>
      <c r="AF598" s="347"/>
      <c r="AG598" s="232"/>
      <c r="AH598" s="257"/>
      <c r="AI598" s="225"/>
      <c r="AJ598" s="267"/>
      <c r="AK598" s="259"/>
      <c r="AL598" s="226"/>
      <c r="AM598" s="225"/>
      <c r="AN598" s="225"/>
      <c r="AO598" s="254"/>
      <c r="AP598" s="225"/>
      <c r="AQ598" s="225"/>
      <c r="AR598" s="226"/>
      <c r="AS598" s="225"/>
      <c r="AT598" s="225"/>
      <c r="AU598" s="225"/>
      <c r="AV598" s="225"/>
      <c r="AW598" s="225"/>
      <c r="AX598" s="226"/>
      <c r="AY598" s="225"/>
      <c r="AZ598" s="225"/>
      <c r="BA598" s="226"/>
      <c r="BB598" s="225"/>
      <c r="BC598" s="225"/>
      <c r="BD598" s="225"/>
      <c r="BE598" s="225"/>
      <c r="BF598" s="225"/>
      <c r="BG598" s="225"/>
      <c r="BH598" s="225"/>
      <c r="BI598" s="225"/>
      <c r="BJ598" s="225"/>
      <c r="BK598" s="225"/>
      <c r="BL598" s="225"/>
      <c r="BM598" s="225"/>
      <c r="BN598" s="225"/>
      <c r="BO598" s="225"/>
      <c r="BP598" s="225"/>
      <c r="BQ598" s="225"/>
      <c r="BR598" s="225"/>
      <c r="BS598" s="225"/>
      <c r="BT598" s="226"/>
      <c r="BU598" s="225"/>
      <c r="BV598" s="225"/>
      <c r="BW598" s="225"/>
      <c r="BX598" s="225"/>
      <c r="BY598" s="225"/>
      <c r="BZ598" s="225"/>
    </row>
    <row r="599">
      <c r="A599" s="225"/>
      <c r="B599" s="225"/>
      <c r="C599" s="225"/>
      <c r="D599" s="226"/>
      <c r="E599" s="225"/>
      <c r="F599" s="225"/>
      <c r="G599" s="225"/>
      <c r="H599" s="225"/>
      <c r="I599" s="225"/>
      <c r="J599" s="225"/>
      <c r="K599" s="244"/>
      <c r="L599" s="225"/>
      <c r="M599" s="225"/>
      <c r="N599" s="225"/>
      <c r="O599" s="225"/>
      <c r="P599" s="225"/>
      <c r="Q599" s="227"/>
      <c r="R599" s="234"/>
      <c r="S599" s="225"/>
      <c r="T599" s="225"/>
      <c r="U599" s="225"/>
      <c r="V599" s="225"/>
      <c r="W599" s="225"/>
      <c r="X599" s="225"/>
      <c r="Y599" s="229"/>
      <c r="Z599" s="257"/>
      <c r="AA599" s="225"/>
      <c r="AB599" s="257"/>
      <c r="AC599" s="257"/>
      <c r="AD599" s="226"/>
      <c r="AE599" s="259"/>
      <c r="AF599" s="347"/>
      <c r="AG599" s="232"/>
      <c r="AH599" s="257"/>
      <c r="AI599" s="225"/>
      <c r="AJ599" s="267"/>
      <c r="AK599" s="259"/>
      <c r="AL599" s="226"/>
      <c r="AM599" s="225"/>
      <c r="AN599" s="225"/>
      <c r="AO599" s="254"/>
      <c r="AP599" s="225"/>
      <c r="AQ599" s="225"/>
      <c r="AR599" s="226"/>
      <c r="AS599" s="225"/>
      <c r="AT599" s="225"/>
      <c r="AU599" s="225"/>
      <c r="AV599" s="225"/>
      <c r="AW599" s="225"/>
      <c r="AX599" s="226"/>
      <c r="AY599" s="225"/>
      <c r="AZ599" s="225"/>
      <c r="BA599" s="226"/>
      <c r="BB599" s="225"/>
      <c r="BC599" s="225"/>
      <c r="BD599" s="225"/>
      <c r="BE599" s="225"/>
      <c r="BF599" s="225"/>
      <c r="BG599" s="225"/>
      <c r="BH599" s="225"/>
      <c r="BI599" s="225"/>
      <c r="BJ599" s="225"/>
      <c r="BK599" s="225"/>
      <c r="BL599" s="225"/>
      <c r="BM599" s="225"/>
      <c r="BN599" s="225"/>
      <c r="BO599" s="225"/>
      <c r="BP599" s="225"/>
      <c r="BQ599" s="225"/>
      <c r="BR599" s="225"/>
      <c r="BS599" s="225"/>
      <c r="BT599" s="226"/>
      <c r="BU599" s="225"/>
      <c r="BV599" s="225"/>
      <c r="BW599" s="225"/>
      <c r="BX599" s="225"/>
      <c r="BY599" s="225"/>
      <c r="BZ599" s="225"/>
    </row>
    <row r="600">
      <c r="A600" s="225"/>
      <c r="B600" s="225"/>
      <c r="C600" s="225"/>
      <c r="D600" s="226"/>
      <c r="E600" s="225"/>
      <c r="F600" s="225"/>
      <c r="G600" s="225"/>
      <c r="H600" s="225"/>
      <c r="I600" s="225"/>
      <c r="J600" s="225"/>
      <c r="K600" s="244"/>
      <c r="L600" s="225"/>
      <c r="M600" s="225"/>
      <c r="N600" s="225"/>
      <c r="O600" s="225"/>
      <c r="P600" s="225"/>
      <c r="Q600" s="227"/>
      <c r="R600" s="234"/>
      <c r="S600" s="225"/>
      <c r="T600" s="225"/>
      <c r="U600" s="225"/>
      <c r="V600" s="225"/>
      <c r="W600" s="225"/>
      <c r="X600" s="225"/>
      <c r="Y600" s="229"/>
      <c r="Z600" s="257"/>
      <c r="AA600" s="225"/>
      <c r="AB600" s="257"/>
      <c r="AC600" s="257"/>
      <c r="AD600" s="226"/>
      <c r="AE600" s="259"/>
      <c r="AF600" s="347"/>
      <c r="AG600" s="232"/>
      <c r="AH600" s="257"/>
      <c r="AI600" s="225"/>
      <c r="AJ600" s="267"/>
      <c r="AK600" s="259"/>
      <c r="AL600" s="226"/>
      <c r="AM600" s="225"/>
      <c r="AN600" s="225"/>
      <c r="AO600" s="254"/>
      <c r="AP600" s="225"/>
      <c r="AQ600" s="225"/>
      <c r="AR600" s="226"/>
      <c r="AS600" s="225"/>
      <c r="AT600" s="225"/>
      <c r="AU600" s="225"/>
      <c r="AV600" s="225"/>
      <c r="AW600" s="225"/>
      <c r="AX600" s="226"/>
      <c r="AY600" s="225"/>
      <c r="AZ600" s="225"/>
      <c r="BA600" s="226"/>
      <c r="BB600" s="225"/>
      <c r="BC600" s="225"/>
      <c r="BD600" s="225"/>
      <c r="BE600" s="225"/>
      <c r="BF600" s="225"/>
      <c r="BG600" s="225"/>
      <c r="BH600" s="225"/>
      <c r="BI600" s="225"/>
      <c r="BJ600" s="225"/>
      <c r="BK600" s="225"/>
      <c r="BL600" s="225"/>
      <c r="BM600" s="225"/>
      <c r="BN600" s="225"/>
      <c r="BO600" s="225"/>
      <c r="BP600" s="225"/>
      <c r="BQ600" s="225"/>
      <c r="BR600" s="225"/>
      <c r="BS600" s="225"/>
      <c r="BT600" s="226"/>
      <c r="BU600" s="225"/>
      <c r="BV600" s="225"/>
      <c r="BW600" s="225"/>
      <c r="BX600" s="225"/>
      <c r="BY600" s="225"/>
      <c r="BZ600" s="225"/>
    </row>
    <row r="601">
      <c r="A601" s="225"/>
      <c r="B601" s="225"/>
      <c r="C601" s="225"/>
      <c r="D601" s="226"/>
      <c r="E601" s="225"/>
      <c r="F601" s="225"/>
      <c r="G601" s="225"/>
      <c r="H601" s="225"/>
      <c r="I601" s="225"/>
      <c r="J601" s="225"/>
      <c r="K601" s="244"/>
      <c r="L601" s="225"/>
      <c r="M601" s="225"/>
      <c r="N601" s="225"/>
      <c r="O601" s="225"/>
      <c r="P601" s="225"/>
      <c r="Q601" s="227"/>
      <c r="R601" s="234"/>
      <c r="S601" s="225"/>
      <c r="T601" s="225"/>
      <c r="U601" s="225"/>
      <c r="V601" s="225"/>
      <c r="W601" s="225"/>
      <c r="X601" s="225"/>
      <c r="Y601" s="229"/>
      <c r="Z601" s="257"/>
      <c r="AA601" s="225"/>
      <c r="AB601" s="257"/>
      <c r="AC601" s="257"/>
      <c r="AD601" s="226"/>
      <c r="AE601" s="259"/>
      <c r="AF601" s="347"/>
      <c r="AG601" s="232"/>
      <c r="AH601" s="230"/>
      <c r="AI601" s="225"/>
      <c r="AJ601" s="267"/>
      <c r="AK601" s="259"/>
      <c r="AL601" s="226"/>
      <c r="AM601" s="225"/>
      <c r="AN601" s="225"/>
      <c r="AO601" s="254"/>
      <c r="AP601" s="225"/>
      <c r="AQ601" s="225"/>
      <c r="AR601" s="226"/>
      <c r="AS601" s="225"/>
      <c r="AT601" s="225"/>
      <c r="AU601" s="225"/>
      <c r="AV601" s="225"/>
      <c r="AW601" s="225"/>
      <c r="AX601" s="226"/>
      <c r="AY601" s="225"/>
      <c r="AZ601" s="225"/>
      <c r="BA601" s="226"/>
      <c r="BB601" s="225"/>
      <c r="BC601" s="225"/>
      <c r="BD601" s="225"/>
      <c r="BE601" s="225"/>
      <c r="BF601" s="225"/>
      <c r="BG601" s="225"/>
      <c r="BH601" s="225"/>
      <c r="BI601" s="225"/>
      <c r="BJ601" s="225"/>
      <c r="BK601" s="225"/>
      <c r="BL601" s="225"/>
      <c r="BM601" s="225"/>
      <c r="BN601" s="225"/>
      <c r="BO601" s="225"/>
      <c r="BP601" s="225"/>
      <c r="BQ601" s="225"/>
      <c r="BR601" s="225"/>
      <c r="BS601" s="225"/>
      <c r="BT601" s="226"/>
      <c r="BU601" s="225"/>
      <c r="BV601" s="225"/>
      <c r="BW601" s="225"/>
      <c r="BX601" s="225"/>
      <c r="BY601" s="225"/>
      <c r="BZ601" s="225"/>
    </row>
    <row r="602">
      <c r="A602" s="225"/>
      <c r="B602" s="225"/>
      <c r="C602" s="225"/>
      <c r="D602" s="226"/>
      <c r="E602" s="225"/>
      <c r="F602" s="225"/>
      <c r="G602" s="225"/>
      <c r="H602" s="225"/>
      <c r="I602" s="225"/>
      <c r="J602" s="225"/>
      <c r="K602" s="244"/>
      <c r="L602" s="225"/>
      <c r="M602" s="225"/>
      <c r="N602" s="225"/>
      <c r="O602" s="225"/>
      <c r="P602" s="225"/>
      <c r="Q602" s="227"/>
      <c r="R602" s="234"/>
      <c r="S602" s="244"/>
      <c r="T602" s="225"/>
      <c r="U602" s="225"/>
      <c r="V602" s="225"/>
      <c r="W602" s="225"/>
      <c r="X602" s="225"/>
      <c r="Y602" s="229"/>
      <c r="Z602" s="257"/>
      <c r="AA602" s="225"/>
      <c r="AB602" s="257"/>
      <c r="AC602" s="257"/>
      <c r="AD602" s="349"/>
      <c r="AE602" s="259"/>
      <c r="AF602" s="347"/>
      <c r="AG602" s="232"/>
      <c r="AH602" s="230"/>
      <c r="AI602" s="234"/>
      <c r="AJ602" s="267"/>
      <c r="AK602" s="259"/>
      <c r="AL602" s="232"/>
      <c r="AM602" s="225"/>
      <c r="AN602" s="225"/>
      <c r="AO602" s="254"/>
      <c r="AP602" s="225"/>
      <c r="AQ602" s="257"/>
      <c r="AR602" s="256"/>
      <c r="AS602" s="225"/>
      <c r="AT602" s="257"/>
      <c r="AU602" s="225"/>
      <c r="AV602" s="267"/>
      <c r="AW602" s="259"/>
      <c r="AX602" s="226"/>
      <c r="AY602" s="225"/>
      <c r="AZ602" s="225"/>
      <c r="BA602" s="254"/>
      <c r="BB602" s="225"/>
      <c r="BC602" s="225"/>
      <c r="BD602" s="225"/>
      <c r="BE602" s="225"/>
      <c r="BF602" s="225"/>
      <c r="BG602" s="225"/>
      <c r="BH602" s="225"/>
      <c r="BI602" s="225"/>
      <c r="BJ602" s="225"/>
      <c r="BK602" s="225"/>
      <c r="BL602" s="225"/>
      <c r="BM602" s="225"/>
      <c r="BN602" s="225"/>
      <c r="BO602" s="225"/>
      <c r="BP602" s="225"/>
      <c r="BQ602" s="225"/>
      <c r="BR602" s="225"/>
      <c r="BS602" s="225"/>
      <c r="BT602" s="226"/>
      <c r="BU602" s="225"/>
      <c r="BV602" s="225"/>
      <c r="BW602" s="225"/>
      <c r="BX602" s="225"/>
      <c r="BY602" s="225"/>
      <c r="BZ602" s="225"/>
    </row>
    <row r="603">
      <c r="A603" s="225"/>
      <c r="B603" s="225"/>
      <c r="C603" s="225"/>
      <c r="D603" s="226"/>
      <c r="E603" s="225"/>
      <c r="F603" s="225"/>
      <c r="G603" s="225"/>
      <c r="H603" s="225"/>
      <c r="I603" s="225"/>
      <c r="J603" s="225"/>
      <c r="K603" s="244"/>
      <c r="L603" s="225"/>
      <c r="M603" s="225"/>
      <c r="N603" s="225"/>
      <c r="O603" s="225"/>
      <c r="P603" s="225"/>
      <c r="Q603" s="227"/>
      <c r="R603" s="234"/>
      <c r="S603" s="244"/>
      <c r="T603" s="225"/>
      <c r="U603" s="225"/>
      <c r="V603" s="225"/>
      <c r="W603" s="225"/>
      <c r="X603" s="225"/>
      <c r="Y603" s="229"/>
      <c r="Z603" s="257"/>
      <c r="AA603" s="225"/>
      <c r="AB603" s="257"/>
      <c r="AC603" s="257"/>
      <c r="AD603" s="349"/>
      <c r="AE603" s="259"/>
      <c r="AF603" s="347"/>
      <c r="AG603" s="232"/>
      <c r="AH603" s="266"/>
      <c r="AI603" s="234"/>
      <c r="AJ603" s="267"/>
      <c r="AK603" s="259"/>
      <c r="AL603" s="229"/>
      <c r="AM603" s="225"/>
      <c r="AN603" s="225"/>
      <c r="AO603" s="254"/>
      <c r="AP603" s="225"/>
      <c r="AQ603" s="269"/>
      <c r="AR603" s="226"/>
      <c r="AS603" s="225"/>
      <c r="AT603" s="269"/>
      <c r="AU603" s="225"/>
      <c r="AV603" s="271"/>
      <c r="AW603" s="271"/>
      <c r="AX603" s="226"/>
      <c r="AY603" s="225"/>
      <c r="AZ603" s="225"/>
      <c r="BA603" s="272"/>
      <c r="BB603" s="271"/>
      <c r="BC603" s="225"/>
      <c r="BD603" s="225"/>
      <c r="BE603" s="225"/>
      <c r="BF603" s="225"/>
      <c r="BG603" s="225"/>
      <c r="BH603" s="225"/>
      <c r="BI603" s="225"/>
      <c r="BJ603" s="225"/>
      <c r="BK603" s="225"/>
      <c r="BL603" s="225"/>
      <c r="BM603" s="225"/>
      <c r="BN603" s="225"/>
      <c r="BO603" s="225"/>
      <c r="BP603" s="225"/>
      <c r="BQ603" s="225"/>
      <c r="BR603" s="225"/>
      <c r="BS603" s="225"/>
      <c r="BT603" s="226"/>
      <c r="BU603" s="225"/>
      <c r="BV603" s="225"/>
      <c r="BW603" s="225"/>
      <c r="BX603" s="225"/>
      <c r="BY603" s="225"/>
      <c r="BZ603" s="225"/>
    </row>
    <row r="604">
      <c r="A604" s="225"/>
      <c r="B604" s="225"/>
      <c r="C604" s="225"/>
      <c r="D604" s="226"/>
      <c r="E604" s="225"/>
      <c r="F604" s="225"/>
      <c r="G604" s="225"/>
      <c r="H604" s="225"/>
      <c r="I604" s="225"/>
      <c r="J604" s="225"/>
      <c r="K604" s="244"/>
      <c r="L604" s="225"/>
      <c r="M604" s="225"/>
      <c r="N604" s="225"/>
      <c r="O604" s="225"/>
      <c r="P604" s="225"/>
      <c r="Q604" s="227"/>
      <c r="R604" s="234"/>
      <c r="S604" s="244"/>
      <c r="T604" s="225"/>
      <c r="U604" s="225"/>
      <c r="V604" s="225"/>
      <c r="W604" s="225"/>
      <c r="X604" s="225"/>
      <c r="Y604" s="229"/>
      <c r="Z604" s="257"/>
      <c r="AA604" s="225"/>
      <c r="AB604" s="257"/>
      <c r="AC604" s="257"/>
      <c r="AD604" s="349"/>
      <c r="AE604" s="259"/>
      <c r="AF604" s="347"/>
      <c r="AG604" s="232"/>
      <c r="AH604" s="257"/>
      <c r="AI604" s="234"/>
      <c r="AJ604" s="267"/>
      <c r="AK604" s="259"/>
      <c r="AL604" s="229"/>
      <c r="AM604" s="225"/>
      <c r="AN604" s="225"/>
      <c r="AO604" s="254"/>
      <c r="AP604" s="225"/>
      <c r="AQ604" s="269"/>
      <c r="AR604" s="226"/>
      <c r="AS604" s="225"/>
      <c r="AT604" s="269"/>
      <c r="AU604" s="225"/>
      <c r="AV604" s="230"/>
      <c r="AW604" s="281"/>
      <c r="AX604" s="226"/>
      <c r="AY604" s="225"/>
      <c r="AZ604" s="225"/>
      <c r="BA604" s="243"/>
      <c r="BB604" s="281"/>
      <c r="BC604" s="225"/>
      <c r="BD604" s="225"/>
      <c r="BE604" s="225"/>
      <c r="BF604" s="225"/>
      <c r="BG604" s="225"/>
      <c r="BH604" s="225"/>
      <c r="BI604" s="225"/>
      <c r="BJ604" s="225"/>
      <c r="BK604" s="225"/>
      <c r="BL604" s="225"/>
      <c r="BM604" s="225"/>
      <c r="BN604" s="225"/>
      <c r="BO604" s="225"/>
      <c r="BP604" s="225"/>
      <c r="BQ604" s="225"/>
      <c r="BR604" s="225"/>
      <c r="BS604" s="225"/>
      <c r="BT604" s="226"/>
      <c r="BU604" s="225"/>
      <c r="BV604" s="225"/>
      <c r="BW604" s="225"/>
      <c r="BX604" s="225"/>
      <c r="BY604" s="225"/>
      <c r="BZ604" s="225"/>
    </row>
    <row r="605">
      <c r="A605" s="225"/>
      <c r="B605" s="225"/>
      <c r="C605" s="225"/>
      <c r="D605" s="226"/>
      <c r="E605" s="225"/>
      <c r="F605" s="225"/>
      <c r="G605" s="225"/>
      <c r="H605" s="225"/>
      <c r="I605" s="225"/>
      <c r="J605" s="225"/>
      <c r="K605" s="244"/>
      <c r="L605" s="225"/>
      <c r="M605" s="225"/>
      <c r="N605" s="225"/>
      <c r="O605" s="225"/>
      <c r="P605" s="225"/>
      <c r="Q605" s="227"/>
      <c r="R605" s="234"/>
      <c r="S605" s="244"/>
      <c r="T605" s="225"/>
      <c r="U605" s="225"/>
      <c r="V605" s="225"/>
      <c r="W605" s="225"/>
      <c r="X605" s="225"/>
      <c r="Y605" s="229"/>
      <c r="Z605" s="257"/>
      <c r="AA605" s="225"/>
      <c r="AB605" s="257"/>
      <c r="AC605" s="257"/>
      <c r="AD605" s="349"/>
      <c r="AE605" s="259"/>
      <c r="AF605" s="347"/>
      <c r="AG605" s="232"/>
      <c r="AH605" s="287"/>
      <c r="AI605" s="234"/>
      <c r="AJ605" s="267"/>
      <c r="AK605" s="259"/>
      <c r="AL605" s="229"/>
      <c r="AM605" s="225"/>
      <c r="AN605" s="225"/>
      <c r="AO605" s="254"/>
      <c r="AP605" s="225"/>
      <c r="AQ605" s="269"/>
      <c r="AR605" s="226"/>
      <c r="AS605" s="225"/>
      <c r="AT605" s="269"/>
      <c r="AU605" s="225"/>
      <c r="AV605" s="350"/>
      <c r="AW605" s="291"/>
      <c r="AX605" s="226"/>
      <c r="AY605" s="284"/>
      <c r="AZ605" s="225"/>
      <c r="BA605" s="292"/>
      <c r="BB605" s="291"/>
      <c r="BC605" s="225"/>
      <c r="BD605" s="225"/>
      <c r="BE605" s="225"/>
      <c r="BF605" s="225"/>
      <c r="BG605" s="225"/>
      <c r="BH605" s="225"/>
      <c r="BI605" s="225"/>
      <c r="BJ605" s="225"/>
      <c r="BK605" s="225"/>
      <c r="BL605" s="225"/>
      <c r="BM605" s="225"/>
      <c r="BN605" s="225"/>
      <c r="BO605" s="225"/>
      <c r="BP605" s="225"/>
      <c r="BQ605" s="225"/>
      <c r="BR605" s="225"/>
      <c r="BS605" s="225"/>
      <c r="BT605" s="226"/>
      <c r="BU605" s="225"/>
      <c r="BV605" s="225"/>
      <c r="BW605" s="225"/>
      <c r="BX605" s="225"/>
      <c r="BY605" s="225"/>
      <c r="BZ605" s="225"/>
    </row>
    <row r="606">
      <c r="A606" s="225"/>
      <c r="B606" s="225"/>
      <c r="C606" s="225"/>
      <c r="D606" s="226"/>
      <c r="E606" s="225"/>
      <c r="F606" s="225"/>
      <c r="G606" s="225"/>
      <c r="H606" s="225"/>
      <c r="I606" s="225"/>
      <c r="J606" s="225"/>
      <c r="K606" s="244"/>
      <c r="L606" s="225"/>
      <c r="M606" s="225"/>
      <c r="N606" s="225"/>
      <c r="O606" s="225"/>
      <c r="P606" s="225"/>
      <c r="Q606" s="227"/>
      <c r="R606" s="234"/>
      <c r="S606" s="244"/>
      <c r="T606" s="225"/>
      <c r="U606" s="225"/>
      <c r="V606" s="225"/>
      <c r="W606" s="225"/>
      <c r="X606" s="225"/>
      <c r="Y606" s="229"/>
      <c r="Z606" s="257"/>
      <c r="AA606" s="225"/>
      <c r="AB606" s="257"/>
      <c r="AC606" s="257"/>
      <c r="AD606" s="349"/>
      <c r="AE606" s="259"/>
      <c r="AF606" s="347"/>
      <c r="AG606" s="232"/>
      <c r="AH606" s="295"/>
      <c r="AI606" s="234"/>
      <c r="AJ606" s="267"/>
      <c r="AK606" s="259"/>
      <c r="AL606" s="229"/>
      <c r="AM606" s="225"/>
      <c r="AN606" s="225"/>
      <c r="AO606" s="254"/>
      <c r="AP606" s="225"/>
      <c r="AQ606" s="269"/>
      <c r="AR606" s="297"/>
      <c r="AS606" s="225"/>
      <c r="AT606" s="269"/>
      <c r="AU606" s="225"/>
      <c r="AV606" s="351"/>
      <c r="AW606" s="291"/>
      <c r="AX606" s="226"/>
      <c r="AY606" s="225"/>
      <c r="AZ606" s="225"/>
      <c r="BA606" s="300"/>
      <c r="BB606" s="298"/>
      <c r="BC606" s="225"/>
      <c r="BD606" s="225"/>
      <c r="BE606" s="225"/>
      <c r="BF606" s="225"/>
      <c r="BG606" s="225"/>
      <c r="BH606" s="225"/>
      <c r="BI606" s="225"/>
      <c r="BJ606" s="225"/>
      <c r="BK606" s="225"/>
      <c r="BL606" s="225"/>
      <c r="BM606" s="225"/>
      <c r="BN606" s="225"/>
      <c r="BO606" s="225"/>
      <c r="BP606" s="225"/>
      <c r="BQ606" s="225"/>
      <c r="BR606" s="225"/>
      <c r="BS606" s="225"/>
      <c r="BT606" s="226"/>
      <c r="BU606" s="225"/>
      <c r="BV606" s="225"/>
      <c r="BW606" s="225"/>
      <c r="BX606" s="225"/>
      <c r="BY606" s="225"/>
      <c r="BZ606" s="225"/>
    </row>
    <row r="607">
      <c r="A607" s="225"/>
      <c r="B607" s="225"/>
      <c r="C607" s="225"/>
      <c r="D607" s="226"/>
      <c r="E607" s="225"/>
      <c r="F607" s="225"/>
      <c r="G607" s="225"/>
      <c r="H607" s="225"/>
      <c r="I607" s="225"/>
      <c r="J607" s="225"/>
      <c r="K607" s="244"/>
      <c r="L607" s="225"/>
      <c r="M607" s="225"/>
      <c r="N607" s="225"/>
      <c r="O607" s="225"/>
      <c r="P607" s="225"/>
      <c r="Q607" s="227"/>
      <c r="R607" s="234"/>
      <c r="S607" s="244"/>
      <c r="T607" s="225"/>
      <c r="U607" s="225"/>
      <c r="V607" s="225"/>
      <c r="W607" s="225"/>
      <c r="X607" s="225"/>
      <c r="Y607" s="229"/>
      <c r="Z607" s="257"/>
      <c r="AA607" s="225"/>
      <c r="AB607" s="257"/>
      <c r="AC607" s="257"/>
      <c r="AD607" s="226"/>
      <c r="AE607" s="259"/>
      <c r="AF607" s="347"/>
      <c r="AG607" s="232"/>
      <c r="AH607" s="266"/>
      <c r="AI607" s="225"/>
      <c r="AJ607" s="267"/>
      <c r="AK607" s="259"/>
      <c r="AL607" s="226"/>
      <c r="AM607" s="225"/>
      <c r="AN607" s="225"/>
      <c r="AO607" s="254"/>
      <c r="AP607" s="225"/>
      <c r="AQ607" s="225"/>
      <c r="AR607" s="232"/>
      <c r="AS607" s="225"/>
      <c r="AT607" s="225"/>
      <c r="AU607" s="225"/>
      <c r="AV607" s="328"/>
      <c r="AW607" s="257"/>
      <c r="AX607" s="226"/>
      <c r="AY607" s="225"/>
      <c r="AZ607" s="225"/>
      <c r="BA607" s="303"/>
      <c r="BB607" s="302"/>
      <c r="BC607" s="225"/>
      <c r="BD607" s="225"/>
      <c r="BE607" s="225"/>
      <c r="BF607" s="225"/>
      <c r="BG607" s="225"/>
      <c r="BH607" s="225"/>
      <c r="BI607" s="225"/>
      <c r="BJ607" s="225"/>
      <c r="BK607" s="225"/>
      <c r="BL607" s="225"/>
      <c r="BM607" s="225"/>
      <c r="BN607" s="225"/>
      <c r="BO607" s="225"/>
      <c r="BP607" s="225"/>
      <c r="BQ607" s="225"/>
      <c r="BR607" s="225"/>
      <c r="BS607" s="225"/>
      <c r="BT607" s="226"/>
      <c r="BU607" s="225"/>
      <c r="BV607" s="225"/>
      <c r="BW607" s="225"/>
      <c r="BX607" s="225"/>
      <c r="BY607" s="225"/>
      <c r="BZ607" s="225"/>
    </row>
    <row r="608">
      <c r="A608" s="225"/>
      <c r="B608" s="225"/>
      <c r="C608" s="225"/>
      <c r="D608" s="226"/>
      <c r="E608" s="225"/>
      <c r="F608" s="225"/>
      <c r="G608" s="225"/>
      <c r="H608" s="225"/>
      <c r="I608" s="225"/>
      <c r="J608" s="225"/>
      <c r="K608" s="244"/>
      <c r="L608" s="225"/>
      <c r="M608" s="225"/>
      <c r="N608" s="225"/>
      <c r="O608" s="225"/>
      <c r="P608" s="225"/>
      <c r="Q608" s="227"/>
      <c r="R608" s="234"/>
      <c r="S608" s="244"/>
      <c r="T608" s="225"/>
      <c r="U608" s="225"/>
      <c r="V608" s="225"/>
      <c r="W608" s="225"/>
      <c r="X608" s="225"/>
      <c r="Y608" s="229"/>
      <c r="Z608" s="257"/>
      <c r="AA608" s="225"/>
      <c r="AB608" s="257"/>
      <c r="AC608" s="257"/>
      <c r="AD608" s="349"/>
      <c r="AE608" s="259"/>
      <c r="AF608" s="347"/>
      <c r="AG608" s="232"/>
      <c r="AH608" s="305"/>
      <c r="AI608" s="234"/>
      <c r="AJ608" s="267"/>
      <c r="AK608" s="259"/>
      <c r="AL608" s="226"/>
      <c r="AM608" s="225"/>
      <c r="AN608" s="225"/>
      <c r="AO608" s="254"/>
      <c r="AP608" s="225"/>
      <c r="AQ608" s="225"/>
      <c r="AR608" s="232"/>
      <c r="AS608" s="225"/>
      <c r="AT608" s="257"/>
      <c r="AU608" s="225"/>
      <c r="AV608" s="267"/>
      <c r="AW608" s="257"/>
      <c r="AX608" s="226"/>
      <c r="AY608" s="225"/>
      <c r="AZ608" s="225"/>
      <c r="BA608" s="254"/>
      <c r="BB608" s="225"/>
      <c r="BC608" s="225"/>
      <c r="BD608" s="225"/>
      <c r="BE608" s="225"/>
      <c r="BF608" s="225"/>
      <c r="BG608" s="225"/>
      <c r="BH608" s="225"/>
      <c r="BI608" s="225"/>
      <c r="BJ608" s="225"/>
      <c r="BK608" s="225"/>
      <c r="BL608" s="225"/>
      <c r="BM608" s="225"/>
      <c r="BN608" s="225"/>
      <c r="BO608" s="225"/>
      <c r="BP608" s="225"/>
      <c r="BQ608" s="225"/>
      <c r="BR608" s="225"/>
      <c r="BS608" s="225"/>
      <c r="BT608" s="226"/>
      <c r="BU608" s="225"/>
      <c r="BV608" s="225"/>
      <c r="BW608" s="225"/>
      <c r="BX608" s="225"/>
      <c r="BY608" s="225"/>
      <c r="BZ608" s="225"/>
    </row>
    <row r="609">
      <c r="A609" s="225"/>
      <c r="B609" s="225"/>
      <c r="C609" s="225"/>
      <c r="D609" s="226"/>
      <c r="E609" s="225"/>
      <c r="F609" s="225"/>
      <c r="G609" s="225"/>
      <c r="H609" s="225"/>
      <c r="I609" s="225"/>
      <c r="J609" s="225"/>
      <c r="K609" s="244"/>
      <c r="L609" s="225"/>
      <c r="M609" s="225"/>
      <c r="N609" s="225"/>
      <c r="O609" s="225"/>
      <c r="P609" s="225"/>
      <c r="Q609" s="227"/>
      <c r="R609" s="234"/>
      <c r="S609" s="244"/>
      <c r="T609" s="225"/>
      <c r="U609" s="225"/>
      <c r="V609" s="225"/>
      <c r="W609" s="225"/>
      <c r="X609" s="225"/>
      <c r="Y609" s="229"/>
      <c r="Z609" s="257"/>
      <c r="AA609" s="225"/>
      <c r="AB609" s="257"/>
      <c r="AC609" s="257"/>
      <c r="AD609" s="349"/>
      <c r="AE609" s="259"/>
      <c r="AF609" s="347"/>
      <c r="AG609" s="232"/>
      <c r="AH609" s="305"/>
      <c r="AI609" s="234"/>
      <c r="AJ609" s="267"/>
      <c r="AK609" s="259"/>
      <c r="AL609" s="226"/>
      <c r="AM609" s="225"/>
      <c r="AN609" s="225"/>
      <c r="AO609" s="254"/>
      <c r="AP609" s="225"/>
      <c r="AQ609" s="225"/>
      <c r="AR609" s="226"/>
      <c r="AS609" s="225"/>
      <c r="AT609" s="225"/>
      <c r="AU609" s="225"/>
      <c r="AV609" s="352"/>
      <c r="AW609" s="291"/>
      <c r="AX609" s="226"/>
      <c r="AY609" s="225"/>
      <c r="AZ609" s="225"/>
      <c r="BA609" s="311"/>
      <c r="BB609" s="291"/>
      <c r="BC609" s="225"/>
      <c r="BD609" s="225"/>
      <c r="BE609" s="225"/>
      <c r="BF609" s="225"/>
      <c r="BG609" s="225"/>
      <c r="BH609" s="225"/>
      <c r="BI609" s="225"/>
      <c r="BJ609" s="225"/>
      <c r="BK609" s="225"/>
      <c r="BL609" s="225"/>
      <c r="BM609" s="225"/>
      <c r="BN609" s="225"/>
      <c r="BO609" s="225"/>
      <c r="BP609" s="225"/>
      <c r="BQ609" s="225"/>
      <c r="BR609" s="225"/>
      <c r="BS609" s="225"/>
      <c r="BT609" s="226"/>
      <c r="BU609" s="225"/>
      <c r="BV609" s="225"/>
      <c r="BW609" s="225"/>
      <c r="BX609" s="225"/>
      <c r="BY609" s="225"/>
      <c r="BZ609" s="225"/>
    </row>
    <row r="610">
      <c r="A610" s="225"/>
      <c r="B610" s="225"/>
      <c r="C610" s="225"/>
      <c r="D610" s="226"/>
      <c r="E610" s="225"/>
      <c r="F610" s="225"/>
      <c r="G610" s="225"/>
      <c r="H610" s="225"/>
      <c r="I610" s="225"/>
      <c r="J610" s="225"/>
      <c r="K610" s="244"/>
      <c r="L610" s="225"/>
      <c r="M610" s="225"/>
      <c r="N610" s="225"/>
      <c r="O610" s="225"/>
      <c r="P610" s="225"/>
      <c r="Q610" s="227"/>
      <c r="R610" s="234"/>
      <c r="S610" s="244"/>
      <c r="T610" s="225"/>
      <c r="U610" s="225"/>
      <c r="V610" s="225"/>
      <c r="W610" s="225"/>
      <c r="X610" s="225"/>
      <c r="Y610" s="229"/>
      <c r="Z610" s="257"/>
      <c r="AA610" s="225"/>
      <c r="AB610" s="257"/>
      <c r="AC610" s="257"/>
      <c r="AD610" s="232"/>
      <c r="AE610" s="259"/>
      <c r="AF610" s="347"/>
      <c r="AG610" s="232"/>
      <c r="AH610" s="230"/>
      <c r="AI610" s="225"/>
      <c r="AJ610" s="267"/>
      <c r="AK610" s="259"/>
      <c r="AL610" s="232"/>
      <c r="AM610" s="225"/>
      <c r="AN610" s="225"/>
      <c r="AO610" s="254"/>
      <c r="AP610" s="257"/>
      <c r="AQ610" s="257"/>
      <c r="AR610" s="232"/>
      <c r="AS610" s="225"/>
      <c r="AT610" s="257"/>
      <c r="AU610" s="257"/>
      <c r="AV610" s="257"/>
      <c r="AW610" s="257"/>
      <c r="AX610" s="226"/>
      <c r="AY610" s="225"/>
      <c r="AZ610" s="225"/>
      <c r="BA610" s="313"/>
      <c r="BB610" s="234"/>
      <c r="BC610" s="225"/>
      <c r="BD610" s="225"/>
      <c r="BE610" s="225"/>
      <c r="BF610" s="225"/>
      <c r="BG610" s="225"/>
      <c r="BH610" s="225"/>
      <c r="BI610" s="225"/>
      <c r="BJ610" s="225"/>
      <c r="BK610" s="225"/>
      <c r="BL610" s="225"/>
      <c r="BM610" s="225"/>
      <c r="BN610" s="225"/>
      <c r="BO610" s="225"/>
      <c r="BP610" s="225"/>
      <c r="BQ610" s="225"/>
      <c r="BR610" s="225"/>
      <c r="BS610" s="225"/>
      <c r="BT610" s="226"/>
      <c r="BU610" s="225"/>
      <c r="BV610" s="225"/>
      <c r="BW610" s="225"/>
      <c r="BX610" s="225"/>
      <c r="BY610" s="225"/>
      <c r="BZ610" s="225"/>
    </row>
    <row r="611">
      <c r="A611" s="225"/>
      <c r="B611" s="225"/>
      <c r="C611" s="225"/>
      <c r="D611" s="226"/>
      <c r="E611" s="225"/>
      <c r="F611" s="225"/>
      <c r="G611" s="225"/>
      <c r="H611" s="225"/>
      <c r="I611" s="225"/>
      <c r="J611" s="225"/>
      <c r="K611" s="244"/>
      <c r="L611" s="225"/>
      <c r="M611" s="225"/>
      <c r="N611" s="225"/>
      <c r="O611" s="225"/>
      <c r="P611" s="225"/>
      <c r="Q611" s="227"/>
      <c r="R611" s="234"/>
      <c r="S611" s="244"/>
      <c r="T611" s="225"/>
      <c r="U611" s="225"/>
      <c r="V611" s="225"/>
      <c r="W611" s="225"/>
      <c r="X611" s="225"/>
      <c r="Y611" s="229"/>
      <c r="Z611" s="257"/>
      <c r="AA611" s="225"/>
      <c r="AB611" s="257"/>
      <c r="AC611" s="257"/>
      <c r="AD611" s="226"/>
      <c r="AE611" s="259"/>
      <c r="AF611" s="347"/>
      <c r="AG611" s="232"/>
      <c r="AH611" s="315"/>
      <c r="AI611" s="225"/>
      <c r="AJ611" s="267"/>
      <c r="AK611" s="259"/>
      <c r="AL611" s="297"/>
      <c r="AM611" s="225"/>
      <c r="AN611" s="225"/>
      <c r="AO611" s="254"/>
      <c r="AP611" s="225"/>
      <c r="AQ611" s="291"/>
      <c r="AR611" s="226"/>
      <c r="AS611" s="225"/>
      <c r="AT611" s="291"/>
      <c r="AU611" s="225"/>
      <c r="AV611" s="339"/>
      <c r="AW611" s="234"/>
      <c r="AX611" s="226"/>
      <c r="AY611" s="225"/>
      <c r="AZ611" s="225"/>
      <c r="BA611" s="319"/>
      <c r="BB611" s="234"/>
      <c r="BC611" s="225"/>
      <c r="BD611" s="225"/>
      <c r="BE611" s="225"/>
      <c r="BF611" s="225"/>
      <c r="BG611" s="225"/>
      <c r="BH611" s="225"/>
      <c r="BI611" s="225"/>
      <c r="BJ611" s="225"/>
      <c r="BK611" s="225"/>
      <c r="BL611" s="225"/>
      <c r="BM611" s="225"/>
      <c r="BN611" s="225"/>
      <c r="BO611" s="225"/>
      <c r="BP611" s="225"/>
      <c r="BQ611" s="225"/>
      <c r="BR611" s="225"/>
      <c r="BS611" s="225"/>
      <c r="BT611" s="226"/>
      <c r="BU611" s="225"/>
      <c r="BV611" s="225"/>
      <c r="BW611" s="225"/>
      <c r="BX611" s="225"/>
      <c r="BY611" s="225"/>
      <c r="BZ611" s="225"/>
    </row>
    <row r="612">
      <c r="A612" s="225"/>
      <c r="B612" s="225"/>
      <c r="C612" s="225"/>
      <c r="D612" s="226"/>
      <c r="E612" s="225"/>
      <c r="F612" s="225"/>
      <c r="G612" s="225"/>
      <c r="H612" s="225"/>
      <c r="I612" s="225"/>
      <c r="J612" s="225"/>
      <c r="K612" s="244"/>
      <c r="L612" s="225"/>
      <c r="M612" s="225"/>
      <c r="N612" s="225"/>
      <c r="O612" s="284"/>
      <c r="P612" s="225"/>
      <c r="Q612" s="227"/>
      <c r="R612" s="234"/>
      <c r="S612" s="244"/>
      <c r="T612" s="225"/>
      <c r="U612" s="225"/>
      <c r="V612" s="225"/>
      <c r="W612" s="225"/>
      <c r="X612" s="225"/>
      <c r="Y612" s="229"/>
      <c r="Z612" s="257"/>
      <c r="AA612" s="284"/>
      <c r="AB612" s="257"/>
      <c r="AC612" s="257"/>
      <c r="AD612" s="226"/>
      <c r="AE612" s="259"/>
      <c r="AF612" s="347"/>
      <c r="AG612" s="232"/>
      <c r="AH612" s="271"/>
      <c r="AI612" s="225"/>
      <c r="AJ612" s="267"/>
      <c r="AK612" s="259"/>
      <c r="AL612" s="226"/>
      <c r="AM612" s="225"/>
      <c r="AN612" s="225"/>
      <c r="AO612" s="254"/>
      <c r="AP612" s="225"/>
      <c r="AQ612" s="225"/>
      <c r="AR612" s="226"/>
      <c r="AS612" s="225"/>
      <c r="AT612" s="225"/>
      <c r="AU612" s="225"/>
      <c r="AV612" s="353"/>
      <c r="AW612" s="234"/>
      <c r="AX612" s="226"/>
      <c r="AY612" s="225"/>
      <c r="AZ612" s="225"/>
      <c r="BA612" s="323"/>
      <c r="BB612" s="234"/>
      <c r="BC612" s="225"/>
      <c r="BD612" s="225"/>
      <c r="BE612" s="225"/>
      <c r="BF612" s="225"/>
      <c r="BG612" s="225"/>
      <c r="BH612" s="225"/>
      <c r="BI612" s="225"/>
      <c r="BJ612" s="225"/>
      <c r="BK612" s="225"/>
      <c r="BL612" s="225"/>
      <c r="BM612" s="225"/>
      <c r="BN612" s="225"/>
      <c r="BO612" s="225"/>
      <c r="BP612" s="225"/>
      <c r="BQ612" s="225"/>
      <c r="BR612" s="225"/>
      <c r="BS612" s="225"/>
      <c r="BT612" s="226"/>
      <c r="BU612" s="225"/>
      <c r="BV612" s="225"/>
      <c r="BW612" s="225"/>
      <c r="BX612" s="225"/>
      <c r="BY612" s="225"/>
      <c r="BZ612" s="225"/>
    </row>
    <row r="613">
      <c r="A613" s="225"/>
      <c r="B613" s="225"/>
      <c r="C613" s="225"/>
      <c r="D613" s="226"/>
      <c r="E613" s="225"/>
      <c r="F613" s="225"/>
      <c r="G613" s="225"/>
      <c r="H613" s="225"/>
      <c r="I613" s="225"/>
      <c r="J613" s="225"/>
      <c r="K613" s="244"/>
      <c r="L613" s="225"/>
      <c r="M613" s="225"/>
      <c r="N613" s="225"/>
      <c r="O613" s="225"/>
      <c r="P613" s="225"/>
      <c r="Q613" s="227"/>
      <c r="R613" s="234"/>
      <c r="S613" s="244"/>
      <c r="T613" s="225"/>
      <c r="U613" s="225"/>
      <c r="V613" s="225"/>
      <c r="W613" s="225"/>
      <c r="X613" s="225"/>
      <c r="Y613" s="229"/>
      <c r="Z613" s="257"/>
      <c r="AA613" s="225"/>
      <c r="AB613" s="257"/>
      <c r="AC613" s="257"/>
      <c r="AD613" s="226"/>
      <c r="AE613" s="259"/>
      <c r="AF613" s="347"/>
      <c r="AG613" s="232"/>
      <c r="AH613" s="325"/>
      <c r="AI613" s="225"/>
      <c r="AJ613" s="267"/>
      <c r="AK613" s="259"/>
      <c r="AL613" s="232"/>
      <c r="AM613" s="225"/>
      <c r="AN613" s="225"/>
      <c r="AO613" s="254"/>
      <c r="AP613" s="225"/>
      <c r="AQ613" s="257"/>
      <c r="AR613" s="254"/>
      <c r="AS613" s="225"/>
      <c r="AT613" s="257"/>
      <c r="AU613" s="225"/>
      <c r="AV613" s="352"/>
      <c r="AW613" s="267"/>
      <c r="AX613" s="226"/>
      <c r="AY613" s="284"/>
      <c r="AZ613" s="225"/>
      <c r="BA613" s="311"/>
      <c r="BB613" s="234"/>
      <c r="BC613" s="225"/>
      <c r="BD613" s="225"/>
      <c r="BE613" s="225"/>
      <c r="BF613" s="225"/>
      <c r="BG613" s="225"/>
      <c r="BH613" s="225"/>
      <c r="BI613" s="225"/>
      <c r="BJ613" s="225"/>
      <c r="BK613" s="225"/>
      <c r="BL613" s="225"/>
      <c r="BM613" s="225"/>
      <c r="BN613" s="225"/>
      <c r="BO613" s="225"/>
      <c r="BP613" s="225"/>
      <c r="BQ613" s="225"/>
      <c r="BR613" s="225"/>
      <c r="BS613" s="225"/>
      <c r="BT613" s="226"/>
      <c r="BU613" s="225"/>
      <c r="BV613" s="225"/>
      <c r="BW613" s="225"/>
      <c r="BX613" s="225"/>
      <c r="BY613" s="225"/>
      <c r="BZ613" s="225"/>
    </row>
    <row r="614">
      <c r="A614" s="225"/>
      <c r="B614" s="225"/>
      <c r="C614" s="225"/>
      <c r="D614" s="226"/>
      <c r="E614" s="225"/>
      <c r="F614" s="225"/>
      <c r="G614" s="225"/>
      <c r="H614" s="225"/>
      <c r="I614" s="225"/>
      <c r="J614" s="225"/>
      <c r="K614" s="244"/>
      <c r="L614" s="225"/>
      <c r="M614" s="225"/>
      <c r="N614" s="225"/>
      <c r="O614" s="225"/>
      <c r="P614" s="225"/>
      <c r="Q614" s="227"/>
      <c r="R614" s="234"/>
      <c r="S614" s="244"/>
      <c r="T614" s="225"/>
      <c r="U614" s="225"/>
      <c r="V614" s="225"/>
      <c r="W614" s="225"/>
      <c r="X614" s="225"/>
      <c r="Y614" s="229"/>
      <c r="Z614" s="257"/>
      <c r="AA614" s="225"/>
      <c r="AB614" s="257"/>
      <c r="AC614" s="257"/>
      <c r="AD614" s="349"/>
      <c r="AE614" s="259"/>
      <c r="AF614" s="347"/>
      <c r="AG614" s="232"/>
      <c r="AH614" s="305"/>
      <c r="AI614" s="234"/>
      <c r="AJ614" s="267"/>
      <c r="AK614" s="259"/>
      <c r="AL614" s="232"/>
      <c r="AM614" s="225"/>
      <c r="AN614" s="225"/>
      <c r="AO614" s="254"/>
      <c r="AP614" s="225"/>
      <c r="AQ614" s="257"/>
      <c r="AR614" s="254"/>
      <c r="AS614" s="225"/>
      <c r="AT614" s="257"/>
      <c r="AU614" s="225"/>
      <c r="AV614" s="354"/>
      <c r="AW614" s="267"/>
      <c r="AX614" s="226"/>
      <c r="AY614" s="225"/>
      <c r="AZ614" s="225"/>
      <c r="BA614" s="313"/>
      <c r="BB614" s="234"/>
      <c r="BC614" s="225"/>
      <c r="BD614" s="225"/>
      <c r="BE614" s="225"/>
      <c r="BF614" s="225"/>
      <c r="BG614" s="225"/>
      <c r="BH614" s="225"/>
      <c r="BI614" s="225"/>
      <c r="BJ614" s="225"/>
      <c r="BK614" s="225"/>
      <c r="BL614" s="225"/>
      <c r="BM614" s="225"/>
      <c r="BN614" s="225"/>
      <c r="BO614" s="225"/>
      <c r="BP614" s="225"/>
      <c r="BQ614" s="225"/>
      <c r="BR614" s="225"/>
      <c r="BS614" s="225"/>
      <c r="BT614" s="226"/>
      <c r="BU614" s="225"/>
      <c r="BV614" s="225"/>
      <c r="BW614" s="225"/>
      <c r="BX614" s="225"/>
      <c r="BY614" s="225"/>
      <c r="BZ614" s="225"/>
    </row>
    <row r="615">
      <c r="A615" s="225"/>
      <c r="B615" s="225"/>
      <c r="C615" s="225"/>
      <c r="D615" s="226"/>
      <c r="E615" s="225"/>
      <c r="F615" s="225"/>
      <c r="G615" s="225"/>
      <c r="H615" s="225"/>
      <c r="I615" s="225"/>
      <c r="J615" s="225"/>
      <c r="K615" s="244"/>
      <c r="L615" s="225"/>
      <c r="M615" s="225"/>
      <c r="N615" s="225"/>
      <c r="O615" s="225"/>
      <c r="P615" s="225"/>
      <c r="Q615" s="227"/>
      <c r="R615" s="234"/>
      <c r="S615" s="244"/>
      <c r="T615" s="225"/>
      <c r="U615" s="225"/>
      <c r="V615" s="225"/>
      <c r="W615" s="225"/>
      <c r="X615" s="225"/>
      <c r="Y615" s="229"/>
      <c r="Z615" s="257"/>
      <c r="AA615" s="225"/>
      <c r="AB615" s="257"/>
      <c r="AC615" s="257"/>
      <c r="AD615" s="349"/>
      <c r="AE615" s="259"/>
      <c r="AF615" s="347"/>
      <c r="AG615" s="232"/>
      <c r="AH615" s="267"/>
      <c r="AI615" s="234"/>
      <c r="AJ615" s="267"/>
      <c r="AK615" s="259"/>
      <c r="AL615" s="232"/>
      <c r="AM615" s="225"/>
      <c r="AN615" s="225"/>
      <c r="AO615" s="254"/>
      <c r="AP615" s="225"/>
      <c r="AQ615" s="257"/>
      <c r="AR615" s="254"/>
      <c r="AS615" s="225"/>
      <c r="AT615" s="257"/>
      <c r="AU615" s="225"/>
      <c r="AV615" s="305"/>
      <c r="AW615" s="267"/>
      <c r="AX615" s="226"/>
      <c r="AY615" s="225"/>
      <c r="AZ615" s="225"/>
      <c r="BA615" s="330"/>
      <c r="BB615" s="234"/>
      <c r="BC615" s="225"/>
      <c r="BD615" s="225"/>
      <c r="BE615" s="225"/>
      <c r="BF615" s="225"/>
      <c r="BG615" s="225"/>
      <c r="BH615" s="225"/>
      <c r="BI615" s="225"/>
      <c r="BJ615" s="225"/>
      <c r="BK615" s="225"/>
      <c r="BL615" s="225"/>
      <c r="BM615" s="225"/>
      <c r="BN615" s="225"/>
      <c r="BO615" s="225"/>
      <c r="BP615" s="225"/>
      <c r="BQ615" s="225"/>
      <c r="BR615" s="225"/>
      <c r="BS615" s="225"/>
      <c r="BT615" s="226"/>
      <c r="BU615" s="225"/>
      <c r="BV615" s="225"/>
      <c r="BW615" s="225"/>
      <c r="BX615" s="225"/>
      <c r="BY615" s="225"/>
      <c r="BZ615" s="225"/>
    </row>
    <row r="616">
      <c r="A616" s="284"/>
      <c r="B616" s="225"/>
      <c r="C616" s="225"/>
      <c r="D616" s="226"/>
      <c r="E616" s="225"/>
      <c r="F616" s="225"/>
      <c r="G616" s="225"/>
      <c r="H616" s="225"/>
      <c r="I616" s="225"/>
      <c r="J616" s="225"/>
      <c r="K616" s="244"/>
      <c r="L616" s="225"/>
      <c r="M616" s="225"/>
      <c r="N616" s="225"/>
      <c r="O616" s="225"/>
      <c r="P616" s="225"/>
      <c r="Q616" s="227"/>
      <c r="R616" s="234"/>
      <c r="S616" s="244"/>
      <c r="T616" s="225"/>
      <c r="U616" s="225"/>
      <c r="V616" s="225"/>
      <c r="W616" s="225"/>
      <c r="X616" s="225"/>
      <c r="Y616" s="229"/>
      <c r="Z616" s="257"/>
      <c r="AA616" s="225"/>
      <c r="AB616" s="257"/>
      <c r="AC616" s="257"/>
      <c r="AD616" s="349"/>
      <c r="AE616" s="259"/>
      <c r="AF616" s="347"/>
      <c r="AG616" s="232"/>
      <c r="AH616" s="305"/>
      <c r="AI616" s="234"/>
      <c r="AJ616" s="267"/>
      <c r="AK616" s="259"/>
      <c r="AL616" s="232"/>
      <c r="AM616" s="225"/>
      <c r="AN616" s="225"/>
      <c r="AO616" s="254"/>
      <c r="AP616" s="225"/>
      <c r="AQ616" s="257"/>
      <c r="AR616" s="254"/>
      <c r="AS616" s="225"/>
      <c r="AT616" s="257"/>
      <c r="AU616" s="225"/>
      <c r="AV616" s="353"/>
      <c r="AW616" s="267"/>
      <c r="AX616" s="226"/>
      <c r="AY616" s="225"/>
      <c r="AZ616" s="225"/>
      <c r="BA616" s="323"/>
      <c r="BB616" s="234"/>
      <c r="BC616" s="225"/>
      <c r="BD616" s="225"/>
      <c r="BE616" s="225"/>
      <c r="BF616" s="225"/>
      <c r="BG616" s="225"/>
      <c r="BH616" s="225"/>
      <c r="BI616" s="225"/>
      <c r="BJ616" s="225"/>
      <c r="BK616" s="225"/>
      <c r="BL616" s="225"/>
      <c r="BM616" s="225"/>
      <c r="BN616" s="225"/>
      <c r="BO616" s="225"/>
      <c r="BP616" s="225"/>
      <c r="BQ616" s="225"/>
      <c r="BR616" s="225"/>
      <c r="BS616" s="225"/>
      <c r="BT616" s="226"/>
      <c r="BU616" s="225"/>
      <c r="BV616" s="225"/>
      <c r="BW616" s="225"/>
      <c r="BX616" s="225"/>
      <c r="BY616" s="225"/>
      <c r="BZ616" s="225"/>
    </row>
    <row r="617">
      <c r="A617" s="225"/>
      <c r="B617" s="225"/>
      <c r="C617" s="225"/>
      <c r="D617" s="226"/>
      <c r="E617" s="225"/>
      <c r="F617" s="225"/>
      <c r="G617" s="225"/>
      <c r="H617" s="225"/>
      <c r="I617" s="225"/>
      <c r="J617" s="225"/>
      <c r="K617" s="244"/>
      <c r="L617" s="225"/>
      <c r="M617" s="225"/>
      <c r="N617" s="225"/>
      <c r="O617" s="225"/>
      <c r="P617" s="225"/>
      <c r="Q617" s="227"/>
      <c r="R617" s="234"/>
      <c r="S617" s="244"/>
      <c r="T617" s="225"/>
      <c r="U617" s="225"/>
      <c r="V617" s="225"/>
      <c r="W617" s="225"/>
      <c r="X617" s="225"/>
      <c r="Y617" s="229"/>
      <c r="Z617" s="257"/>
      <c r="AA617" s="225"/>
      <c r="AB617" s="257"/>
      <c r="AC617" s="257"/>
      <c r="AD617" s="349"/>
      <c r="AE617" s="259"/>
      <c r="AF617" s="347"/>
      <c r="AG617" s="232"/>
      <c r="AH617" s="267"/>
      <c r="AI617" s="234"/>
      <c r="AJ617" s="267"/>
      <c r="AK617" s="259"/>
      <c r="AL617" s="232"/>
      <c r="AM617" s="225"/>
      <c r="AN617" s="225"/>
      <c r="AO617" s="254"/>
      <c r="AP617" s="225"/>
      <c r="AQ617" s="257"/>
      <c r="AR617" s="254"/>
      <c r="AS617" s="225"/>
      <c r="AT617" s="257"/>
      <c r="AU617" s="225"/>
      <c r="AV617" s="352"/>
      <c r="AW617" s="267"/>
      <c r="AX617" s="226"/>
      <c r="AY617" s="225"/>
      <c r="AZ617" s="225"/>
      <c r="BA617" s="311"/>
      <c r="BB617" s="234"/>
      <c r="BC617" s="225"/>
      <c r="BD617" s="225"/>
      <c r="BE617" s="225"/>
      <c r="BF617" s="225"/>
      <c r="BG617" s="225"/>
      <c r="BH617" s="225"/>
      <c r="BI617" s="225"/>
      <c r="BJ617" s="225"/>
      <c r="BK617" s="225"/>
      <c r="BL617" s="225"/>
      <c r="BM617" s="225"/>
      <c r="BN617" s="225"/>
      <c r="BO617" s="225"/>
      <c r="BP617" s="225"/>
      <c r="BQ617" s="225"/>
      <c r="BR617" s="225"/>
      <c r="BS617" s="225"/>
      <c r="BT617" s="226"/>
      <c r="BU617" s="225"/>
      <c r="BV617" s="225"/>
      <c r="BW617" s="225"/>
      <c r="BX617" s="225"/>
      <c r="BY617" s="225"/>
      <c r="BZ617" s="225"/>
    </row>
    <row r="618">
      <c r="A618" s="225"/>
      <c r="B618" s="225"/>
      <c r="C618" s="225"/>
      <c r="D618" s="226"/>
      <c r="E618" s="225"/>
      <c r="F618" s="225"/>
      <c r="G618" s="225"/>
      <c r="H618" s="225"/>
      <c r="I618" s="225"/>
      <c r="J618" s="225"/>
      <c r="K618" s="244"/>
      <c r="L618" s="225"/>
      <c r="M618" s="225"/>
      <c r="N618" s="225"/>
      <c r="O618" s="225"/>
      <c r="P618" s="225"/>
      <c r="Q618" s="227"/>
      <c r="R618" s="234"/>
      <c r="S618" s="244"/>
      <c r="T618" s="225"/>
      <c r="U618" s="225"/>
      <c r="V618" s="225"/>
      <c r="W618" s="225"/>
      <c r="X618" s="225"/>
      <c r="Y618" s="229"/>
      <c r="Z618" s="257"/>
      <c r="AA618" s="225"/>
      <c r="AB618" s="257"/>
      <c r="AC618" s="257"/>
      <c r="AD618" s="349"/>
      <c r="AE618" s="259"/>
      <c r="AF618" s="347"/>
      <c r="AG618" s="232"/>
      <c r="AH618" s="295"/>
      <c r="AI618" s="234"/>
      <c r="AJ618" s="267"/>
      <c r="AK618" s="259"/>
      <c r="AL618" s="232"/>
      <c r="AM618" s="225"/>
      <c r="AN618" s="225"/>
      <c r="AO618" s="254"/>
      <c r="AP618" s="225"/>
      <c r="AQ618" s="257"/>
      <c r="AR618" s="254"/>
      <c r="AS618" s="225"/>
      <c r="AT618" s="257"/>
      <c r="AU618" s="225"/>
      <c r="AV618" s="225"/>
      <c r="AW618" s="267"/>
      <c r="AX618" s="226"/>
      <c r="AY618" s="225"/>
      <c r="AZ618" s="225"/>
      <c r="BA618" s="226"/>
      <c r="BB618" s="225"/>
      <c r="BC618" s="225"/>
      <c r="BD618" s="225"/>
      <c r="BE618" s="225"/>
      <c r="BF618" s="225"/>
      <c r="BG618" s="225"/>
      <c r="BH618" s="225"/>
      <c r="BI618" s="225"/>
      <c r="BJ618" s="225"/>
      <c r="BK618" s="225"/>
      <c r="BL618" s="225"/>
      <c r="BM618" s="225"/>
      <c r="BN618" s="225"/>
      <c r="BO618" s="225"/>
      <c r="BP618" s="225"/>
      <c r="BQ618" s="225"/>
      <c r="BR618" s="225"/>
      <c r="BS618" s="225"/>
      <c r="BT618" s="226"/>
      <c r="BU618" s="225"/>
      <c r="BV618" s="225"/>
      <c r="BW618" s="225"/>
      <c r="BX618" s="225"/>
      <c r="BY618" s="225"/>
      <c r="BZ618" s="225"/>
    </row>
    <row r="619">
      <c r="A619" s="225"/>
      <c r="B619" s="225"/>
      <c r="C619" s="225"/>
      <c r="D619" s="226"/>
      <c r="E619" s="225"/>
      <c r="F619" s="225"/>
      <c r="G619" s="225"/>
      <c r="H619" s="225"/>
      <c r="I619" s="225"/>
      <c r="J619" s="225"/>
      <c r="K619" s="244"/>
      <c r="L619" s="225"/>
      <c r="M619" s="225"/>
      <c r="N619" s="225"/>
      <c r="O619" s="225"/>
      <c r="P619" s="225"/>
      <c r="Q619" s="227"/>
      <c r="R619" s="234"/>
      <c r="S619" s="244"/>
      <c r="T619" s="225"/>
      <c r="U619" s="225"/>
      <c r="V619" s="225"/>
      <c r="W619" s="225"/>
      <c r="X619" s="225"/>
      <c r="Y619" s="229"/>
      <c r="Z619" s="257"/>
      <c r="AA619" s="225"/>
      <c r="AB619" s="257"/>
      <c r="AC619" s="257"/>
      <c r="AD619" s="349"/>
      <c r="AE619" s="259"/>
      <c r="AF619" s="347"/>
      <c r="AG619" s="232"/>
      <c r="AH619" s="266"/>
      <c r="AI619" s="234"/>
      <c r="AJ619" s="267"/>
      <c r="AK619" s="259"/>
      <c r="AL619" s="232"/>
      <c r="AM619" s="225"/>
      <c r="AN619" s="225"/>
      <c r="AO619" s="254"/>
      <c r="AP619" s="225"/>
      <c r="AQ619" s="257"/>
      <c r="AR619" s="254"/>
      <c r="AS619" s="225"/>
      <c r="AT619" s="257"/>
      <c r="AU619" s="225"/>
      <c r="AV619" s="225"/>
      <c r="AW619" s="267"/>
      <c r="AX619" s="226"/>
      <c r="AY619" s="225"/>
      <c r="AZ619" s="225"/>
      <c r="BA619" s="226"/>
      <c r="BB619" s="225"/>
      <c r="BC619" s="225"/>
      <c r="BD619" s="225"/>
      <c r="BE619" s="225"/>
      <c r="BF619" s="225"/>
      <c r="BG619" s="225"/>
      <c r="BH619" s="225"/>
      <c r="BI619" s="225"/>
      <c r="BJ619" s="225"/>
      <c r="BK619" s="225"/>
      <c r="BL619" s="225"/>
      <c r="BM619" s="225"/>
      <c r="BN619" s="225"/>
      <c r="BO619" s="225"/>
      <c r="BP619" s="225"/>
      <c r="BQ619" s="225"/>
      <c r="BR619" s="225"/>
      <c r="BS619" s="225"/>
      <c r="BT619" s="226"/>
      <c r="BU619" s="225"/>
      <c r="BV619" s="225"/>
      <c r="BW619" s="225"/>
      <c r="BX619" s="225"/>
      <c r="BY619" s="225"/>
      <c r="BZ619" s="225"/>
    </row>
    <row r="620">
      <c r="A620" s="225"/>
      <c r="B620" s="225"/>
      <c r="C620" s="225"/>
      <c r="D620" s="226"/>
      <c r="E620" s="225"/>
      <c r="F620" s="225"/>
      <c r="G620" s="225"/>
      <c r="H620" s="225"/>
      <c r="I620" s="225"/>
      <c r="J620" s="225"/>
      <c r="K620" s="244"/>
      <c r="L620" s="225"/>
      <c r="M620" s="225"/>
      <c r="N620" s="225"/>
      <c r="O620" s="225"/>
      <c r="P620" s="225"/>
      <c r="Q620" s="227"/>
      <c r="R620" s="234"/>
      <c r="S620" s="225"/>
      <c r="T620" s="225"/>
      <c r="U620" s="225"/>
      <c r="V620" s="225"/>
      <c r="W620" s="225"/>
      <c r="X620" s="225"/>
      <c r="Y620" s="229"/>
      <c r="Z620" s="257"/>
      <c r="AA620" s="225"/>
      <c r="AB620" s="257"/>
      <c r="AC620" s="257"/>
      <c r="AD620" s="349"/>
      <c r="AE620" s="259"/>
      <c r="AF620" s="347"/>
      <c r="AG620" s="232"/>
      <c r="AH620" s="305"/>
      <c r="AI620" s="234"/>
      <c r="AJ620" s="267"/>
      <c r="AK620" s="259"/>
      <c r="AL620" s="226"/>
      <c r="AM620" s="225"/>
      <c r="AN620" s="225"/>
      <c r="AO620" s="254"/>
      <c r="AP620" s="225"/>
      <c r="AQ620" s="225"/>
      <c r="AR620" s="254"/>
      <c r="AS620" s="225"/>
      <c r="AT620" s="257"/>
      <c r="AU620" s="225"/>
      <c r="AV620" s="225"/>
      <c r="AW620" s="267"/>
      <c r="AX620" s="226"/>
      <c r="AY620" s="225"/>
      <c r="AZ620" s="225"/>
      <c r="BA620" s="226"/>
      <c r="BB620" s="225"/>
      <c r="BC620" s="225"/>
      <c r="BD620" s="225"/>
      <c r="BE620" s="225"/>
      <c r="BF620" s="225"/>
      <c r="BG620" s="225"/>
      <c r="BH620" s="225"/>
      <c r="BI620" s="225"/>
      <c r="BJ620" s="225"/>
      <c r="BK620" s="225"/>
      <c r="BL620" s="225"/>
      <c r="BM620" s="225"/>
      <c r="BN620" s="225"/>
      <c r="BO620" s="225"/>
      <c r="BP620" s="225"/>
      <c r="BQ620" s="225"/>
      <c r="BR620" s="225"/>
      <c r="BS620" s="225"/>
      <c r="BT620" s="226"/>
      <c r="BU620" s="225"/>
      <c r="BV620" s="225"/>
      <c r="BW620" s="225"/>
      <c r="BX620" s="225"/>
      <c r="BY620" s="225"/>
      <c r="BZ620" s="225"/>
    </row>
    <row r="621">
      <c r="A621" s="225"/>
      <c r="B621" s="225"/>
      <c r="C621" s="225"/>
      <c r="D621" s="226"/>
      <c r="E621" s="225"/>
      <c r="F621" s="225"/>
      <c r="G621" s="225"/>
      <c r="H621" s="225"/>
      <c r="I621" s="225"/>
      <c r="J621" s="225"/>
      <c r="K621" s="244"/>
      <c r="L621" s="225"/>
      <c r="M621" s="225"/>
      <c r="N621" s="225"/>
      <c r="O621" s="225"/>
      <c r="P621" s="225"/>
      <c r="Q621" s="227"/>
      <c r="R621" s="234"/>
      <c r="S621" s="225"/>
      <c r="T621" s="225"/>
      <c r="U621" s="225"/>
      <c r="V621" s="225"/>
      <c r="W621" s="225"/>
      <c r="X621" s="225"/>
      <c r="Y621" s="229"/>
      <c r="Z621" s="257"/>
      <c r="AA621" s="225"/>
      <c r="AB621" s="257"/>
      <c r="AC621" s="257"/>
      <c r="AD621" s="349"/>
      <c r="AE621" s="259"/>
      <c r="AF621" s="347"/>
      <c r="AG621" s="232"/>
      <c r="AH621" s="335"/>
      <c r="AI621" s="234"/>
      <c r="AJ621" s="267"/>
      <c r="AK621" s="259"/>
      <c r="AL621" s="232"/>
      <c r="AM621" s="225"/>
      <c r="AN621" s="225"/>
      <c r="AO621" s="254"/>
      <c r="AP621" s="225"/>
      <c r="AQ621" s="257"/>
      <c r="AR621" s="254"/>
      <c r="AS621" s="225"/>
      <c r="AT621" s="257"/>
      <c r="AU621" s="225"/>
      <c r="AV621" s="225"/>
      <c r="AW621" s="267"/>
      <c r="AX621" s="226"/>
      <c r="AY621" s="225"/>
      <c r="AZ621" s="225"/>
      <c r="BA621" s="226"/>
      <c r="BB621" s="225"/>
      <c r="BC621" s="225"/>
      <c r="BD621" s="225"/>
      <c r="BE621" s="225"/>
      <c r="BF621" s="225"/>
      <c r="BG621" s="225"/>
      <c r="BH621" s="225"/>
      <c r="BI621" s="225"/>
      <c r="BJ621" s="225"/>
      <c r="BK621" s="225"/>
      <c r="BL621" s="225"/>
      <c r="BM621" s="225"/>
      <c r="BN621" s="225"/>
      <c r="BO621" s="225"/>
      <c r="BP621" s="225"/>
      <c r="BQ621" s="225"/>
      <c r="BR621" s="225"/>
      <c r="BS621" s="225"/>
      <c r="BT621" s="226"/>
      <c r="BU621" s="225"/>
      <c r="BV621" s="225"/>
      <c r="BW621" s="225"/>
      <c r="BX621" s="225"/>
      <c r="BY621" s="225"/>
      <c r="BZ621" s="225"/>
    </row>
    <row r="622">
      <c r="A622" s="225"/>
      <c r="B622" s="225"/>
      <c r="C622" s="225"/>
      <c r="D622" s="226"/>
      <c r="E622" s="225"/>
      <c r="F622" s="225"/>
      <c r="G622" s="225"/>
      <c r="H622" s="225"/>
      <c r="I622" s="225"/>
      <c r="J622" s="225"/>
      <c r="K622" s="244"/>
      <c r="L622" s="225"/>
      <c r="M622" s="225"/>
      <c r="N622" s="225"/>
      <c r="O622" s="225"/>
      <c r="P622" s="225"/>
      <c r="Q622" s="227"/>
      <c r="R622" s="234"/>
      <c r="S622" s="225"/>
      <c r="T622" s="225"/>
      <c r="U622" s="225"/>
      <c r="V622" s="225"/>
      <c r="W622" s="225"/>
      <c r="X622" s="225"/>
      <c r="Y622" s="229"/>
      <c r="Z622" s="257"/>
      <c r="AA622" s="225"/>
      <c r="AB622" s="257"/>
      <c r="AC622" s="257"/>
      <c r="AD622" s="349"/>
      <c r="AE622" s="259"/>
      <c r="AF622" s="347"/>
      <c r="AG622" s="232"/>
      <c r="AH622" s="337"/>
      <c r="AI622" s="234"/>
      <c r="AJ622" s="267"/>
      <c r="AK622" s="259"/>
      <c r="AL622" s="232"/>
      <c r="AM622" s="225"/>
      <c r="AN622" s="225"/>
      <c r="AO622" s="254"/>
      <c r="AP622" s="225"/>
      <c r="AQ622" s="257"/>
      <c r="AR622" s="254"/>
      <c r="AS622" s="225"/>
      <c r="AT622" s="257"/>
      <c r="AU622" s="225"/>
      <c r="AV622" s="225"/>
      <c r="AW622" s="267"/>
      <c r="AX622" s="226"/>
      <c r="AY622" s="225"/>
      <c r="AZ622" s="225"/>
      <c r="BA622" s="226"/>
      <c r="BB622" s="225"/>
      <c r="BC622" s="225"/>
      <c r="BD622" s="225"/>
      <c r="BE622" s="225"/>
      <c r="BF622" s="225"/>
      <c r="BG622" s="225"/>
      <c r="BH622" s="225"/>
      <c r="BI622" s="225"/>
      <c r="BJ622" s="225"/>
      <c r="BK622" s="225"/>
      <c r="BL622" s="225"/>
      <c r="BM622" s="225"/>
      <c r="BN622" s="225"/>
      <c r="BO622" s="225"/>
      <c r="BP622" s="225"/>
      <c r="BQ622" s="225"/>
      <c r="BR622" s="225"/>
      <c r="BS622" s="225"/>
      <c r="BT622" s="226"/>
      <c r="BU622" s="225"/>
      <c r="BV622" s="225"/>
      <c r="BW622" s="225"/>
      <c r="BX622" s="225"/>
      <c r="BY622" s="225"/>
      <c r="BZ622" s="225"/>
    </row>
    <row r="623">
      <c r="A623" s="225"/>
      <c r="B623" s="225"/>
      <c r="C623" s="225"/>
      <c r="D623" s="226"/>
      <c r="E623" s="225"/>
      <c r="F623" s="225"/>
      <c r="G623" s="225"/>
      <c r="H623" s="225"/>
      <c r="I623" s="225"/>
      <c r="J623" s="225"/>
      <c r="K623" s="244"/>
      <c r="L623" s="225"/>
      <c r="M623" s="225"/>
      <c r="N623" s="225"/>
      <c r="O623" s="225"/>
      <c r="P623" s="225"/>
      <c r="Q623" s="227"/>
      <c r="R623" s="234"/>
      <c r="S623" s="225"/>
      <c r="T623" s="225"/>
      <c r="U623" s="225"/>
      <c r="V623" s="225"/>
      <c r="W623" s="225"/>
      <c r="X623" s="225"/>
      <c r="Y623" s="229"/>
      <c r="Z623" s="257"/>
      <c r="AA623" s="225"/>
      <c r="AB623" s="257"/>
      <c r="AC623" s="257"/>
      <c r="AD623" s="349"/>
      <c r="AE623" s="259"/>
      <c r="AF623" s="347"/>
      <c r="AG623" s="232"/>
      <c r="AH623" s="339"/>
      <c r="AI623" s="234"/>
      <c r="AJ623" s="267"/>
      <c r="AK623" s="259"/>
      <c r="AL623" s="232"/>
      <c r="AM623" s="225"/>
      <c r="AN623" s="225"/>
      <c r="AO623" s="254"/>
      <c r="AP623" s="225"/>
      <c r="AQ623" s="257"/>
      <c r="AR623" s="254"/>
      <c r="AS623" s="225"/>
      <c r="AT623" s="257"/>
      <c r="AU623" s="225"/>
      <c r="AV623" s="225"/>
      <c r="AW623" s="267"/>
      <c r="AX623" s="226"/>
      <c r="AY623" s="225"/>
      <c r="AZ623" s="225"/>
      <c r="BA623" s="226"/>
      <c r="BB623" s="225"/>
      <c r="BC623" s="225"/>
      <c r="BD623" s="225"/>
      <c r="BE623" s="225"/>
      <c r="BF623" s="225"/>
      <c r="BG623" s="225"/>
      <c r="BH623" s="225"/>
      <c r="BI623" s="225"/>
      <c r="BJ623" s="225"/>
      <c r="BK623" s="225"/>
      <c r="BL623" s="225"/>
      <c r="BM623" s="225"/>
      <c r="BN623" s="225"/>
      <c r="BO623" s="225"/>
      <c r="BP623" s="225"/>
      <c r="BQ623" s="225"/>
      <c r="BR623" s="225"/>
      <c r="BS623" s="225"/>
      <c r="BT623" s="226"/>
      <c r="BU623" s="225"/>
      <c r="BV623" s="225"/>
      <c r="BW623" s="225"/>
      <c r="BX623" s="225"/>
      <c r="BY623" s="225"/>
      <c r="BZ623" s="225"/>
    </row>
    <row r="624">
      <c r="A624" s="225"/>
      <c r="B624" s="225"/>
      <c r="C624" s="225"/>
      <c r="D624" s="226"/>
      <c r="E624" s="225"/>
      <c r="F624" s="225"/>
      <c r="G624" s="225"/>
      <c r="H624" s="225"/>
      <c r="I624" s="225"/>
      <c r="J624" s="225"/>
      <c r="K624" s="244"/>
      <c r="L624" s="225"/>
      <c r="M624" s="225"/>
      <c r="N624" s="225"/>
      <c r="O624" s="284"/>
      <c r="P624" s="225"/>
      <c r="Q624" s="227"/>
      <c r="R624" s="234"/>
      <c r="S624" s="225"/>
      <c r="T624" s="225"/>
      <c r="U624" s="225"/>
      <c r="V624" s="225"/>
      <c r="W624" s="225"/>
      <c r="X624" s="225"/>
      <c r="Y624" s="229"/>
      <c r="Z624" s="257"/>
      <c r="AA624" s="284"/>
      <c r="AB624" s="257"/>
      <c r="AC624" s="257"/>
      <c r="AD624" s="349"/>
      <c r="AE624" s="259"/>
      <c r="AF624" s="347"/>
      <c r="AG624" s="232"/>
      <c r="AH624" s="305"/>
      <c r="AI624" s="234"/>
      <c r="AJ624" s="267"/>
      <c r="AK624" s="259"/>
      <c r="AL624" s="232"/>
      <c r="AM624" s="225"/>
      <c r="AN624" s="225"/>
      <c r="AO624" s="254"/>
      <c r="AP624" s="225"/>
      <c r="AQ624" s="257"/>
      <c r="AR624" s="254"/>
      <c r="AS624" s="225"/>
      <c r="AT624" s="257"/>
      <c r="AU624" s="225"/>
      <c r="AV624" s="225"/>
      <c r="AW624" s="267"/>
      <c r="AX624" s="226"/>
      <c r="AY624" s="225"/>
      <c r="AZ624" s="225"/>
      <c r="BA624" s="226"/>
      <c r="BB624" s="225"/>
      <c r="BC624" s="225"/>
      <c r="BD624" s="225"/>
      <c r="BE624" s="225"/>
      <c r="BF624" s="225"/>
      <c r="BG624" s="225"/>
      <c r="BH624" s="225"/>
      <c r="BI624" s="225"/>
      <c r="BJ624" s="225"/>
      <c r="BK624" s="225"/>
      <c r="BL624" s="225"/>
      <c r="BM624" s="225"/>
      <c r="BN624" s="225"/>
      <c r="BO624" s="225"/>
      <c r="BP624" s="225"/>
      <c r="BQ624" s="225"/>
      <c r="BR624" s="225"/>
      <c r="BS624" s="225"/>
      <c r="BT624" s="226"/>
      <c r="BU624" s="225"/>
      <c r="BV624" s="225"/>
      <c r="BW624" s="225"/>
      <c r="BX624" s="225"/>
      <c r="BY624" s="225"/>
      <c r="BZ624" s="225"/>
    </row>
    <row r="625">
      <c r="A625" s="225"/>
      <c r="B625" s="225"/>
      <c r="C625" s="225"/>
      <c r="D625" s="226"/>
      <c r="E625" s="225"/>
      <c r="F625" s="225"/>
      <c r="G625" s="225"/>
      <c r="H625" s="225"/>
      <c r="I625" s="225"/>
      <c r="J625" s="225"/>
      <c r="K625" s="244"/>
      <c r="L625" s="225"/>
      <c r="M625" s="225"/>
      <c r="N625" s="225"/>
      <c r="O625" s="225"/>
      <c r="P625" s="225"/>
      <c r="Q625" s="227"/>
      <c r="R625" s="234"/>
      <c r="S625" s="225"/>
      <c r="T625" s="225"/>
      <c r="U625" s="225"/>
      <c r="V625" s="225"/>
      <c r="W625" s="225"/>
      <c r="X625" s="225"/>
      <c r="Y625" s="229"/>
      <c r="Z625" s="257"/>
      <c r="AA625" s="225"/>
      <c r="AB625" s="257"/>
      <c r="AC625" s="257"/>
      <c r="AD625" s="349"/>
      <c r="AE625" s="259"/>
      <c r="AF625" s="347"/>
      <c r="AG625" s="232"/>
      <c r="AH625" s="287"/>
      <c r="AI625" s="234"/>
      <c r="AJ625" s="267"/>
      <c r="AK625" s="259"/>
      <c r="AL625" s="232"/>
      <c r="AM625" s="225"/>
      <c r="AN625" s="225"/>
      <c r="AO625" s="254"/>
      <c r="AP625" s="225"/>
      <c r="AQ625" s="257"/>
      <c r="AR625" s="254"/>
      <c r="AS625" s="225"/>
      <c r="AT625" s="257"/>
      <c r="AU625" s="225"/>
      <c r="AV625" s="225"/>
      <c r="AW625" s="267"/>
      <c r="AX625" s="226"/>
      <c r="AY625" s="225"/>
      <c r="AZ625" s="225"/>
      <c r="BA625" s="226"/>
      <c r="BB625" s="225"/>
      <c r="BC625" s="225"/>
      <c r="BD625" s="225"/>
      <c r="BE625" s="225"/>
      <c r="BF625" s="225"/>
      <c r="BG625" s="225"/>
      <c r="BH625" s="225"/>
      <c r="BI625" s="225"/>
      <c r="BJ625" s="225"/>
      <c r="BK625" s="225"/>
      <c r="BL625" s="225"/>
      <c r="BM625" s="225"/>
      <c r="BN625" s="225"/>
      <c r="BO625" s="225"/>
      <c r="BP625" s="225"/>
      <c r="BQ625" s="225"/>
      <c r="BR625" s="225"/>
      <c r="BS625" s="225"/>
      <c r="BT625" s="226"/>
      <c r="BU625" s="225"/>
      <c r="BV625" s="225"/>
      <c r="BW625" s="225"/>
      <c r="BX625" s="225"/>
      <c r="BY625" s="225"/>
      <c r="BZ625" s="225"/>
    </row>
    <row r="626">
      <c r="A626" s="225"/>
      <c r="B626" s="225"/>
      <c r="C626" s="225"/>
      <c r="D626" s="226"/>
      <c r="E626" s="225"/>
      <c r="F626" s="225"/>
      <c r="G626" s="225"/>
      <c r="H626" s="225"/>
      <c r="I626" s="225"/>
      <c r="J626" s="225"/>
      <c r="K626" s="244"/>
      <c r="L626" s="225"/>
      <c r="M626" s="225"/>
      <c r="N626" s="225"/>
      <c r="O626" s="225"/>
      <c r="P626" s="225"/>
      <c r="Q626" s="227"/>
      <c r="R626" s="234"/>
      <c r="S626" s="225"/>
      <c r="T626" s="225"/>
      <c r="U626" s="225"/>
      <c r="V626" s="225"/>
      <c r="W626" s="225"/>
      <c r="X626" s="225"/>
      <c r="Y626" s="229"/>
      <c r="Z626" s="257"/>
      <c r="AA626" s="225"/>
      <c r="AB626" s="257"/>
      <c r="AC626" s="257"/>
      <c r="AD626" s="349"/>
      <c r="AE626" s="259"/>
      <c r="AF626" s="347"/>
      <c r="AG626" s="232"/>
      <c r="AH626" s="342"/>
      <c r="AI626" s="234"/>
      <c r="AJ626" s="267"/>
      <c r="AK626" s="259"/>
      <c r="AL626" s="226"/>
      <c r="AM626" s="225"/>
      <c r="AN626" s="225"/>
      <c r="AO626" s="254"/>
      <c r="AP626" s="225"/>
      <c r="AQ626" s="225"/>
      <c r="AR626" s="226"/>
      <c r="AS626" s="225"/>
      <c r="AT626" s="257"/>
      <c r="AU626" s="225"/>
      <c r="AV626" s="225"/>
      <c r="AW626" s="225"/>
      <c r="AX626" s="226"/>
      <c r="AY626" s="225"/>
      <c r="AZ626" s="225"/>
      <c r="BA626" s="226"/>
      <c r="BB626" s="225"/>
      <c r="BC626" s="225"/>
      <c r="BD626" s="225"/>
      <c r="BE626" s="225"/>
      <c r="BF626" s="225"/>
      <c r="BG626" s="225"/>
      <c r="BH626" s="225"/>
      <c r="BI626" s="225"/>
      <c r="BJ626" s="225"/>
      <c r="BK626" s="225"/>
      <c r="BL626" s="225"/>
      <c r="BM626" s="225"/>
      <c r="BN626" s="225"/>
      <c r="BO626" s="225"/>
      <c r="BP626" s="225"/>
      <c r="BQ626" s="225"/>
      <c r="BR626" s="225"/>
      <c r="BS626" s="225"/>
      <c r="BT626" s="226"/>
      <c r="BU626" s="225"/>
      <c r="BV626" s="225"/>
      <c r="BW626" s="225"/>
      <c r="BX626" s="225"/>
      <c r="BY626" s="225"/>
      <c r="BZ626" s="225"/>
    </row>
    <row r="627">
      <c r="A627" s="225"/>
      <c r="B627" s="225"/>
      <c r="C627" s="225"/>
      <c r="D627" s="226"/>
      <c r="E627" s="225"/>
      <c r="F627" s="225"/>
      <c r="G627" s="225"/>
      <c r="H627" s="225"/>
      <c r="I627" s="225"/>
      <c r="J627" s="225"/>
      <c r="K627" s="244"/>
      <c r="L627" s="225"/>
      <c r="M627" s="225"/>
      <c r="N627" s="225"/>
      <c r="O627" s="225"/>
      <c r="P627" s="225"/>
      <c r="Q627" s="227"/>
      <c r="R627" s="234"/>
      <c r="S627" s="225"/>
      <c r="T627" s="225"/>
      <c r="U627" s="225"/>
      <c r="V627" s="225"/>
      <c r="W627" s="225"/>
      <c r="X627" s="225"/>
      <c r="Y627" s="229"/>
      <c r="Z627" s="257"/>
      <c r="AA627" s="225"/>
      <c r="AB627" s="257"/>
      <c r="AC627" s="257"/>
      <c r="AD627" s="349"/>
      <c r="AE627" s="259"/>
      <c r="AF627" s="347"/>
      <c r="AG627" s="232"/>
      <c r="AH627" s="305"/>
      <c r="AI627" s="234"/>
      <c r="AJ627" s="267"/>
      <c r="AK627" s="259"/>
      <c r="AL627" s="232"/>
      <c r="AM627" s="225"/>
      <c r="AN627" s="225"/>
      <c r="AO627" s="254"/>
      <c r="AP627" s="225"/>
      <c r="AQ627" s="257"/>
      <c r="AR627" s="254"/>
      <c r="AS627" s="225"/>
      <c r="AT627" s="257"/>
      <c r="AU627" s="225"/>
      <c r="AV627" s="225"/>
      <c r="AW627" s="267"/>
      <c r="AX627" s="226"/>
      <c r="AY627" s="225"/>
      <c r="AZ627" s="225"/>
      <c r="BA627" s="226"/>
      <c r="BB627" s="225"/>
      <c r="BC627" s="225"/>
      <c r="BD627" s="225"/>
      <c r="BE627" s="225"/>
      <c r="BF627" s="225"/>
      <c r="BG627" s="225"/>
      <c r="BH627" s="225"/>
      <c r="BI627" s="225"/>
      <c r="BJ627" s="225"/>
      <c r="BK627" s="225"/>
      <c r="BL627" s="225"/>
      <c r="BM627" s="225"/>
      <c r="BN627" s="225"/>
      <c r="BO627" s="225"/>
      <c r="BP627" s="225"/>
      <c r="BQ627" s="225"/>
      <c r="BR627" s="225"/>
      <c r="BS627" s="225"/>
      <c r="BT627" s="226"/>
      <c r="BU627" s="225"/>
      <c r="BV627" s="225"/>
      <c r="BW627" s="225"/>
      <c r="BX627" s="225"/>
      <c r="BY627" s="225"/>
      <c r="BZ627" s="225"/>
    </row>
    <row r="628">
      <c r="A628" s="225"/>
      <c r="B628" s="225"/>
      <c r="C628" s="225"/>
      <c r="D628" s="226"/>
      <c r="E628" s="225"/>
      <c r="F628" s="225"/>
      <c r="G628" s="225"/>
      <c r="H628" s="225"/>
      <c r="I628" s="225"/>
      <c r="J628" s="225"/>
      <c r="K628" s="244"/>
      <c r="L628" s="225"/>
      <c r="M628" s="225"/>
      <c r="N628" s="225"/>
      <c r="O628" s="225"/>
      <c r="P628" s="225"/>
      <c r="Q628" s="227"/>
      <c r="R628" s="234"/>
      <c r="S628" s="225"/>
      <c r="T628" s="225"/>
      <c r="U628" s="225"/>
      <c r="V628" s="225"/>
      <c r="W628" s="225"/>
      <c r="X628" s="225"/>
      <c r="Y628" s="229"/>
      <c r="Z628" s="257"/>
      <c r="AA628" s="225"/>
      <c r="AB628" s="257"/>
      <c r="AC628" s="257"/>
      <c r="AD628" s="349"/>
      <c r="AE628" s="259"/>
      <c r="AF628" s="347"/>
      <c r="AG628" s="232"/>
      <c r="AH628" s="305"/>
      <c r="AI628" s="234"/>
      <c r="AJ628" s="267"/>
      <c r="AK628" s="259"/>
      <c r="AL628" s="232"/>
      <c r="AM628" s="225"/>
      <c r="AN628" s="225"/>
      <c r="AO628" s="254"/>
      <c r="AP628" s="225"/>
      <c r="AQ628" s="257"/>
      <c r="AR628" s="254"/>
      <c r="AS628" s="225"/>
      <c r="AT628" s="257"/>
      <c r="AU628" s="225"/>
      <c r="AV628" s="225"/>
      <c r="AW628" s="267"/>
      <c r="AX628" s="226"/>
      <c r="AY628" s="225"/>
      <c r="AZ628" s="225"/>
      <c r="BA628" s="226"/>
      <c r="BB628" s="225"/>
      <c r="BC628" s="225"/>
      <c r="BD628" s="225"/>
      <c r="BE628" s="225"/>
      <c r="BF628" s="225"/>
      <c r="BG628" s="225"/>
      <c r="BH628" s="225"/>
      <c r="BI628" s="225"/>
      <c r="BJ628" s="225"/>
      <c r="BK628" s="225"/>
      <c r="BL628" s="225"/>
      <c r="BM628" s="225"/>
      <c r="BN628" s="225"/>
      <c r="BO628" s="225"/>
      <c r="BP628" s="225"/>
      <c r="BQ628" s="225"/>
      <c r="BR628" s="225"/>
      <c r="BS628" s="225"/>
      <c r="BT628" s="226"/>
      <c r="BU628" s="225"/>
      <c r="BV628" s="225"/>
      <c r="BW628" s="225"/>
      <c r="BX628" s="225"/>
      <c r="BY628" s="225"/>
      <c r="BZ628" s="225"/>
    </row>
    <row r="629">
      <c r="A629" s="225"/>
      <c r="B629" s="225"/>
      <c r="C629" s="225"/>
      <c r="D629" s="226"/>
      <c r="E629" s="225"/>
      <c r="F629" s="225"/>
      <c r="G629" s="225"/>
      <c r="H629" s="225"/>
      <c r="I629" s="225"/>
      <c r="J629" s="225"/>
      <c r="K629" s="244"/>
      <c r="L629" s="225"/>
      <c r="M629" s="225"/>
      <c r="N629" s="225"/>
      <c r="O629" s="225"/>
      <c r="P629" s="225"/>
      <c r="Q629" s="227"/>
      <c r="R629" s="234"/>
      <c r="S629" s="225"/>
      <c r="T629" s="225"/>
      <c r="U629" s="225"/>
      <c r="V629" s="225"/>
      <c r="W629" s="225"/>
      <c r="X629" s="225"/>
      <c r="Y629" s="229"/>
      <c r="Z629" s="257"/>
      <c r="AA629" s="225"/>
      <c r="AB629" s="257"/>
      <c r="AC629" s="257"/>
      <c r="AD629" s="349"/>
      <c r="AE629" s="259"/>
      <c r="AF629" s="347"/>
      <c r="AG629" s="232"/>
      <c r="AH629" s="267"/>
      <c r="AI629" s="234"/>
      <c r="AJ629" s="267"/>
      <c r="AK629" s="259"/>
      <c r="AL629" s="232"/>
      <c r="AM629" s="225"/>
      <c r="AN629" s="225"/>
      <c r="AO629" s="254"/>
      <c r="AP629" s="225"/>
      <c r="AQ629" s="257"/>
      <c r="AR629" s="232"/>
      <c r="AS629" s="225"/>
      <c r="AT629" s="257"/>
      <c r="AU629" s="225"/>
      <c r="AV629" s="225"/>
      <c r="AW629" s="257"/>
      <c r="AX629" s="226"/>
      <c r="AY629" s="225"/>
      <c r="AZ629" s="225"/>
      <c r="BA629" s="226"/>
      <c r="BB629" s="225"/>
      <c r="BC629" s="225"/>
      <c r="BD629" s="225"/>
      <c r="BE629" s="225"/>
      <c r="BF629" s="225"/>
      <c r="BG629" s="225"/>
      <c r="BH629" s="225"/>
      <c r="BI629" s="225"/>
      <c r="BJ629" s="225"/>
      <c r="BK629" s="225"/>
      <c r="BL629" s="225"/>
      <c r="BM629" s="225"/>
      <c r="BN629" s="225"/>
      <c r="BO629" s="225"/>
      <c r="BP629" s="225"/>
      <c r="BQ629" s="225"/>
      <c r="BR629" s="225"/>
      <c r="BS629" s="225"/>
      <c r="BT629" s="226"/>
      <c r="BU629" s="225"/>
      <c r="BV629" s="225"/>
      <c r="BW629" s="225"/>
      <c r="BX629" s="225"/>
      <c r="BY629" s="225"/>
      <c r="BZ629" s="225"/>
    </row>
    <row r="630">
      <c r="A630" s="225"/>
      <c r="B630" s="225"/>
      <c r="C630" s="225"/>
      <c r="D630" s="226"/>
      <c r="E630" s="225"/>
      <c r="F630" s="225"/>
      <c r="G630" s="225"/>
      <c r="H630" s="225"/>
      <c r="I630" s="225"/>
      <c r="J630" s="225"/>
      <c r="K630" s="244"/>
      <c r="L630" s="225"/>
      <c r="M630" s="225"/>
      <c r="N630" s="225"/>
      <c r="O630" s="225"/>
      <c r="P630" s="225"/>
      <c r="Q630" s="227"/>
      <c r="R630" s="234"/>
      <c r="S630" s="225"/>
      <c r="T630" s="225"/>
      <c r="U630" s="225"/>
      <c r="V630" s="225"/>
      <c r="W630" s="225"/>
      <c r="X630" s="225"/>
      <c r="Y630" s="229"/>
      <c r="Z630" s="257"/>
      <c r="AA630" s="225"/>
      <c r="AB630" s="257"/>
      <c r="AC630" s="257"/>
      <c r="AD630" s="349"/>
      <c r="AE630" s="259"/>
      <c r="AF630" s="347"/>
      <c r="AG630" s="232"/>
      <c r="AH630" s="291"/>
      <c r="AI630" s="234"/>
      <c r="AJ630" s="267"/>
      <c r="AK630" s="259"/>
      <c r="AL630" s="232"/>
      <c r="AM630" s="225"/>
      <c r="AN630" s="225"/>
      <c r="AO630" s="254"/>
      <c r="AP630" s="225"/>
      <c r="AQ630" s="257"/>
      <c r="AR630" s="254"/>
      <c r="AS630" s="225"/>
      <c r="AT630" s="257"/>
      <c r="AU630" s="225"/>
      <c r="AV630" s="225"/>
      <c r="AW630" s="267"/>
      <c r="AX630" s="226"/>
      <c r="AY630" s="225"/>
      <c r="AZ630" s="225"/>
      <c r="BA630" s="226"/>
      <c r="BB630" s="225"/>
      <c r="BC630" s="225"/>
      <c r="BD630" s="225"/>
      <c r="BE630" s="225"/>
      <c r="BF630" s="225"/>
      <c r="BG630" s="225"/>
      <c r="BH630" s="225"/>
      <c r="BI630" s="225"/>
      <c r="BJ630" s="225"/>
      <c r="BK630" s="225"/>
      <c r="BL630" s="225"/>
      <c r="BM630" s="225"/>
      <c r="BN630" s="225"/>
      <c r="BO630" s="225"/>
      <c r="BP630" s="225"/>
      <c r="BQ630" s="225"/>
      <c r="BR630" s="225"/>
      <c r="BS630" s="225"/>
      <c r="BT630" s="226"/>
      <c r="BU630" s="225"/>
      <c r="BV630" s="225"/>
      <c r="BW630" s="225"/>
      <c r="BX630" s="225"/>
      <c r="BY630" s="225"/>
      <c r="BZ630" s="225"/>
    </row>
    <row r="631">
      <c r="A631" s="225"/>
      <c r="B631" s="225"/>
      <c r="C631" s="225"/>
      <c r="D631" s="226"/>
      <c r="E631" s="225"/>
      <c r="F631" s="225"/>
      <c r="G631" s="225"/>
      <c r="H631" s="225"/>
      <c r="I631" s="225"/>
      <c r="J631" s="225"/>
      <c r="K631" s="244"/>
      <c r="L631" s="225"/>
      <c r="M631" s="225"/>
      <c r="N631" s="225"/>
      <c r="O631" s="225"/>
      <c r="P631" s="225"/>
      <c r="Q631" s="227"/>
      <c r="R631" s="234"/>
      <c r="S631" s="225"/>
      <c r="T631" s="225"/>
      <c r="U631" s="225"/>
      <c r="V631" s="225"/>
      <c r="W631" s="225"/>
      <c r="X631" s="225"/>
      <c r="Y631" s="229"/>
      <c r="Z631" s="257"/>
      <c r="AA631" s="225"/>
      <c r="AB631" s="257"/>
      <c r="AC631" s="257"/>
      <c r="AD631" s="349"/>
      <c r="AE631" s="259"/>
      <c r="AF631" s="347"/>
      <c r="AG631" s="232"/>
      <c r="AH631" s="271"/>
      <c r="AI631" s="234"/>
      <c r="AJ631" s="267"/>
      <c r="AK631" s="259"/>
      <c r="AL631" s="232"/>
      <c r="AM631" s="225"/>
      <c r="AN631" s="225"/>
      <c r="AO631" s="254"/>
      <c r="AP631" s="225"/>
      <c r="AQ631" s="257"/>
      <c r="AR631" s="254"/>
      <c r="AS631" s="225"/>
      <c r="AT631" s="257"/>
      <c r="AU631" s="225"/>
      <c r="AV631" s="225"/>
      <c r="AW631" s="267"/>
      <c r="AX631" s="226"/>
      <c r="AY631" s="225"/>
      <c r="AZ631" s="225"/>
      <c r="BA631" s="226"/>
      <c r="BB631" s="225"/>
      <c r="BC631" s="225"/>
      <c r="BD631" s="225"/>
      <c r="BE631" s="225"/>
      <c r="BF631" s="225"/>
      <c r="BG631" s="225"/>
      <c r="BH631" s="225"/>
      <c r="BI631" s="225"/>
      <c r="BJ631" s="225"/>
      <c r="BK631" s="225"/>
      <c r="BL631" s="225"/>
      <c r="BM631" s="225"/>
      <c r="BN631" s="225"/>
      <c r="BO631" s="225"/>
      <c r="BP631" s="225"/>
      <c r="BQ631" s="225"/>
      <c r="BR631" s="225"/>
      <c r="BS631" s="225"/>
      <c r="BT631" s="226"/>
      <c r="BU631" s="225"/>
      <c r="BV631" s="225"/>
      <c r="BW631" s="225"/>
      <c r="BX631" s="225"/>
      <c r="BY631" s="225"/>
      <c r="BZ631" s="225"/>
    </row>
    <row r="632">
      <c r="A632" s="225"/>
      <c r="B632" s="225"/>
      <c r="C632" s="225"/>
      <c r="D632" s="226"/>
      <c r="E632" s="225"/>
      <c r="F632" s="225"/>
      <c r="G632" s="225"/>
      <c r="H632" s="225"/>
      <c r="I632" s="225"/>
      <c r="J632" s="225"/>
      <c r="K632" s="244"/>
      <c r="L632" s="225"/>
      <c r="M632" s="225"/>
      <c r="N632" s="225"/>
      <c r="O632" s="284"/>
      <c r="P632" s="225"/>
      <c r="Q632" s="227"/>
      <c r="R632" s="234"/>
      <c r="S632" s="225"/>
      <c r="T632" s="225"/>
      <c r="U632" s="225"/>
      <c r="V632" s="225"/>
      <c r="W632" s="225"/>
      <c r="X632" s="225"/>
      <c r="Y632" s="229"/>
      <c r="Z632" s="257"/>
      <c r="AA632" s="284"/>
      <c r="AB632" s="257"/>
      <c r="AC632" s="257"/>
      <c r="AD632" s="349"/>
      <c r="AE632" s="259"/>
      <c r="AF632" s="347"/>
      <c r="AG632" s="232"/>
      <c r="AH632" s="271"/>
      <c r="AI632" s="234"/>
      <c r="AJ632" s="267"/>
      <c r="AK632" s="259"/>
      <c r="AL632" s="226"/>
      <c r="AM632" s="225"/>
      <c r="AN632" s="225"/>
      <c r="AO632" s="254"/>
      <c r="AP632" s="225"/>
      <c r="AQ632" s="225"/>
      <c r="AR632" s="254"/>
      <c r="AS632" s="225"/>
      <c r="AT632" s="257"/>
      <c r="AU632" s="225"/>
      <c r="AV632" s="225"/>
      <c r="AW632" s="267"/>
      <c r="AX632" s="226"/>
      <c r="AY632" s="225"/>
      <c r="AZ632" s="225"/>
      <c r="BA632" s="226"/>
      <c r="BB632" s="225"/>
      <c r="BC632" s="225"/>
      <c r="BD632" s="225"/>
      <c r="BE632" s="225"/>
      <c r="BF632" s="225"/>
      <c r="BG632" s="225"/>
      <c r="BH632" s="225"/>
      <c r="BI632" s="225"/>
      <c r="BJ632" s="225"/>
      <c r="BK632" s="225"/>
      <c r="BL632" s="225"/>
      <c r="BM632" s="225"/>
      <c r="BN632" s="225"/>
      <c r="BO632" s="225"/>
      <c r="BP632" s="225"/>
      <c r="BQ632" s="225"/>
      <c r="BR632" s="225"/>
      <c r="BS632" s="225"/>
      <c r="BT632" s="226"/>
      <c r="BU632" s="225"/>
      <c r="BV632" s="225"/>
      <c r="BW632" s="225"/>
      <c r="BX632" s="225"/>
      <c r="BY632" s="225"/>
      <c r="BZ632" s="225"/>
    </row>
    <row r="633">
      <c r="A633" s="225"/>
      <c r="B633" s="225"/>
      <c r="C633" s="225"/>
      <c r="D633" s="226"/>
      <c r="E633" s="225"/>
      <c r="F633" s="225"/>
      <c r="G633" s="225"/>
      <c r="H633" s="225"/>
      <c r="I633" s="225"/>
      <c r="J633" s="225"/>
      <c r="K633" s="244"/>
      <c r="L633" s="225"/>
      <c r="M633" s="225"/>
      <c r="N633" s="225"/>
      <c r="O633" s="225"/>
      <c r="P633" s="225"/>
      <c r="Q633" s="227"/>
      <c r="R633" s="234"/>
      <c r="S633" s="225"/>
      <c r="T633" s="225"/>
      <c r="U633" s="225"/>
      <c r="V633" s="225"/>
      <c r="W633" s="225"/>
      <c r="X633" s="225"/>
      <c r="Y633" s="229"/>
      <c r="Z633" s="257"/>
      <c r="AA633" s="225"/>
      <c r="AB633" s="257"/>
      <c r="AC633" s="257"/>
      <c r="AD633" s="349"/>
      <c r="AE633" s="259"/>
      <c r="AF633" s="347"/>
      <c r="AG633" s="232"/>
      <c r="AH633" s="287"/>
      <c r="AI633" s="234"/>
      <c r="AJ633" s="267"/>
      <c r="AK633" s="259"/>
      <c r="AL633" s="226"/>
      <c r="AM633" s="225"/>
      <c r="AN633" s="225"/>
      <c r="AO633" s="254"/>
      <c r="AP633" s="225"/>
      <c r="AQ633" s="225"/>
      <c r="AR633" s="254"/>
      <c r="AS633" s="225"/>
      <c r="AT633" s="257"/>
      <c r="AU633" s="225"/>
      <c r="AV633" s="225"/>
      <c r="AW633" s="267"/>
      <c r="AX633" s="226"/>
      <c r="AY633" s="225"/>
      <c r="AZ633" s="225"/>
      <c r="BA633" s="226"/>
      <c r="BB633" s="225"/>
      <c r="BC633" s="225"/>
      <c r="BD633" s="225"/>
      <c r="BE633" s="225"/>
      <c r="BF633" s="225"/>
      <c r="BG633" s="225"/>
      <c r="BH633" s="225"/>
      <c r="BI633" s="225"/>
      <c r="BJ633" s="225"/>
      <c r="BK633" s="225"/>
      <c r="BL633" s="225"/>
      <c r="BM633" s="225"/>
      <c r="BN633" s="225"/>
      <c r="BO633" s="225"/>
      <c r="BP633" s="225"/>
      <c r="BQ633" s="225"/>
      <c r="BR633" s="225"/>
      <c r="BS633" s="225"/>
      <c r="BT633" s="226"/>
      <c r="BU633" s="225"/>
      <c r="BV633" s="225"/>
      <c r="BW633" s="225"/>
      <c r="BX633" s="225"/>
      <c r="BY633" s="225"/>
      <c r="BZ633" s="225"/>
    </row>
    <row r="634">
      <c r="A634" s="225"/>
      <c r="B634" s="225"/>
      <c r="C634" s="225"/>
      <c r="D634" s="226"/>
      <c r="E634" s="225"/>
      <c r="F634" s="225"/>
      <c r="G634" s="225"/>
      <c r="H634" s="225"/>
      <c r="I634" s="225"/>
      <c r="J634" s="225"/>
      <c r="K634" s="244"/>
      <c r="L634" s="225"/>
      <c r="M634" s="225"/>
      <c r="N634" s="225"/>
      <c r="O634" s="225"/>
      <c r="P634" s="225"/>
      <c r="Q634" s="227"/>
      <c r="R634" s="234"/>
      <c r="S634" s="225"/>
      <c r="T634" s="225"/>
      <c r="U634" s="225"/>
      <c r="V634" s="225"/>
      <c r="W634" s="225"/>
      <c r="X634" s="225"/>
      <c r="Y634" s="229"/>
      <c r="Z634" s="257"/>
      <c r="AA634" s="225"/>
      <c r="AB634" s="257"/>
      <c r="AC634" s="257"/>
      <c r="AD634" s="349"/>
      <c r="AE634" s="259"/>
      <c r="AF634" s="347"/>
      <c r="AG634" s="232"/>
      <c r="AH634" s="337"/>
      <c r="AI634" s="234"/>
      <c r="AJ634" s="267"/>
      <c r="AK634" s="259"/>
      <c r="AL634" s="226"/>
      <c r="AM634" s="225"/>
      <c r="AN634" s="225"/>
      <c r="AO634" s="254"/>
      <c r="AP634" s="225"/>
      <c r="AQ634" s="225"/>
      <c r="AR634" s="254"/>
      <c r="AS634" s="225"/>
      <c r="AT634" s="257"/>
      <c r="AU634" s="225"/>
      <c r="AV634" s="225"/>
      <c r="AW634" s="267"/>
      <c r="AX634" s="226"/>
      <c r="AY634" s="225"/>
      <c r="AZ634" s="225"/>
      <c r="BA634" s="226"/>
      <c r="BB634" s="225"/>
      <c r="BC634" s="225"/>
      <c r="BD634" s="225"/>
      <c r="BE634" s="225"/>
      <c r="BF634" s="225"/>
      <c r="BG634" s="225"/>
      <c r="BH634" s="225"/>
      <c r="BI634" s="225"/>
      <c r="BJ634" s="225"/>
      <c r="BK634" s="225"/>
      <c r="BL634" s="225"/>
      <c r="BM634" s="225"/>
      <c r="BN634" s="225"/>
      <c r="BO634" s="225"/>
      <c r="BP634" s="225"/>
      <c r="BQ634" s="225"/>
      <c r="BR634" s="225"/>
      <c r="BS634" s="225"/>
      <c r="BT634" s="226"/>
      <c r="BU634" s="225"/>
      <c r="BV634" s="225"/>
      <c r="BW634" s="225"/>
      <c r="BX634" s="225"/>
      <c r="BY634" s="225"/>
      <c r="BZ634" s="225"/>
    </row>
    <row r="635">
      <c r="A635" s="225"/>
      <c r="B635" s="225"/>
      <c r="C635" s="225"/>
      <c r="D635" s="226"/>
      <c r="E635" s="225"/>
      <c r="F635" s="225"/>
      <c r="G635" s="225"/>
      <c r="H635" s="225"/>
      <c r="I635" s="225"/>
      <c r="J635" s="225"/>
      <c r="K635" s="244"/>
      <c r="L635" s="225"/>
      <c r="M635" s="225"/>
      <c r="N635" s="225"/>
      <c r="O635" s="225"/>
      <c r="P635" s="225"/>
      <c r="Q635" s="227"/>
      <c r="R635" s="234"/>
      <c r="S635" s="225"/>
      <c r="T635" s="225"/>
      <c r="U635" s="225"/>
      <c r="V635" s="225"/>
      <c r="W635" s="225"/>
      <c r="X635" s="225"/>
      <c r="Y635" s="229"/>
      <c r="Z635" s="257"/>
      <c r="AA635" s="225"/>
      <c r="AB635" s="257"/>
      <c r="AC635" s="257"/>
      <c r="AD635" s="349"/>
      <c r="AE635" s="259"/>
      <c r="AF635" s="347"/>
      <c r="AG635" s="232"/>
      <c r="AH635" s="257"/>
      <c r="AI635" s="234"/>
      <c r="AJ635" s="267"/>
      <c r="AK635" s="259"/>
      <c r="AL635" s="226"/>
      <c r="AM635" s="225"/>
      <c r="AN635" s="225"/>
      <c r="AO635" s="254"/>
      <c r="AP635" s="225"/>
      <c r="AQ635" s="225"/>
      <c r="AR635" s="226"/>
      <c r="AS635" s="225"/>
      <c r="AT635" s="257"/>
      <c r="AU635" s="225"/>
      <c r="AV635" s="225"/>
      <c r="AW635" s="225"/>
      <c r="AX635" s="226"/>
      <c r="AY635" s="225"/>
      <c r="AZ635" s="225"/>
      <c r="BA635" s="226"/>
      <c r="BB635" s="225"/>
      <c r="BC635" s="225"/>
      <c r="BD635" s="225"/>
      <c r="BE635" s="225"/>
      <c r="BF635" s="225"/>
      <c r="BG635" s="225"/>
      <c r="BH635" s="225"/>
      <c r="BI635" s="225"/>
      <c r="BJ635" s="225"/>
      <c r="BK635" s="225"/>
      <c r="BL635" s="225"/>
      <c r="BM635" s="225"/>
      <c r="BN635" s="225"/>
      <c r="BO635" s="225"/>
      <c r="BP635" s="225"/>
      <c r="BQ635" s="225"/>
      <c r="BR635" s="225"/>
      <c r="BS635" s="225"/>
      <c r="BT635" s="226"/>
      <c r="BU635" s="225"/>
      <c r="BV635" s="225"/>
      <c r="BW635" s="225"/>
      <c r="BX635" s="225"/>
      <c r="BY635" s="225"/>
      <c r="BZ635" s="225"/>
    </row>
    <row r="636">
      <c r="A636" s="225"/>
      <c r="B636" s="225"/>
      <c r="C636" s="225"/>
      <c r="D636" s="226"/>
      <c r="E636" s="225"/>
      <c r="F636" s="225"/>
      <c r="G636" s="225"/>
      <c r="H636" s="225"/>
      <c r="I636" s="225"/>
      <c r="J636" s="225"/>
      <c r="K636" s="244"/>
      <c r="L636" s="225"/>
      <c r="M636" s="225"/>
      <c r="N636" s="225"/>
      <c r="O636" s="225"/>
      <c r="P636" s="225"/>
      <c r="Q636" s="227"/>
      <c r="R636" s="234"/>
      <c r="S636" s="225"/>
      <c r="T636" s="225"/>
      <c r="U636" s="225"/>
      <c r="V636" s="225"/>
      <c r="W636" s="225"/>
      <c r="X636" s="225"/>
      <c r="Y636" s="229"/>
      <c r="Z636" s="257"/>
      <c r="AA636" s="225"/>
      <c r="AB636" s="257"/>
      <c r="AC636" s="257"/>
      <c r="AD636" s="349"/>
      <c r="AE636" s="259"/>
      <c r="AF636" s="347"/>
      <c r="AG636" s="232"/>
      <c r="AH636" s="266"/>
      <c r="AI636" s="234"/>
      <c r="AJ636" s="267"/>
      <c r="AK636" s="259"/>
      <c r="AL636" s="226"/>
      <c r="AM636" s="225"/>
      <c r="AN636" s="225"/>
      <c r="AO636" s="254"/>
      <c r="AP636" s="225"/>
      <c r="AQ636" s="225"/>
      <c r="AR636" s="330"/>
      <c r="AS636" s="225"/>
      <c r="AT636" s="257"/>
      <c r="AU636" s="225"/>
      <c r="AV636" s="225"/>
      <c r="AW636" s="305"/>
      <c r="AX636" s="226"/>
      <c r="AY636" s="225"/>
      <c r="AZ636" s="225"/>
      <c r="BA636" s="226"/>
      <c r="BB636" s="225"/>
      <c r="BC636" s="225"/>
      <c r="BD636" s="225"/>
      <c r="BE636" s="225"/>
      <c r="BF636" s="225"/>
      <c r="BG636" s="225"/>
      <c r="BH636" s="225"/>
      <c r="BI636" s="225"/>
      <c r="BJ636" s="225"/>
      <c r="BK636" s="225"/>
      <c r="BL636" s="225"/>
      <c r="BM636" s="225"/>
      <c r="BN636" s="225"/>
      <c r="BO636" s="225"/>
      <c r="BP636" s="225"/>
      <c r="BQ636" s="225"/>
      <c r="BR636" s="225"/>
      <c r="BS636" s="225"/>
      <c r="BT636" s="226"/>
      <c r="BU636" s="225"/>
      <c r="BV636" s="225"/>
      <c r="BW636" s="225"/>
      <c r="BX636" s="225"/>
      <c r="BY636" s="225"/>
      <c r="BZ636" s="225"/>
    </row>
    <row r="637">
      <c r="A637" s="225"/>
      <c r="B637" s="225"/>
      <c r="C637" s="225"/>
      <c r="D637" s="226"/>
      <c r="E637" s="225"/>
      <c r="F637" s="225"/>
      <c r="G637" s="225"/>
      <c r="H637" s="225"/>
      <c r="I637" s="225"/>
      <c r="J637" s="225"/>
      <c r="K637" s="244"/>
      <c r="L637" s="225"/>
      <c r="M637" s="225"/>
      <c r="N637" s="225"/>
      <c r="O637" s="225"/>
      <c r="P637" s="225"/>
      <c r="Q637" s="227"/>
      <c r="R637" s="234"/>
      <c r="S637" s="225"/>
      <c r="T637" s="225"/>
      <c r="U637" s="225"/>
      <c r="V637" s="225"/>
      <c r="W637" s="225"/>
      <c r="X637" s="225"/>
      <c r="Y637" s="229"/>
      <c r="Z637" s="257"/>
      <c r="AA637" s="225"/>
      <c r="AB637" s="257"/>
      <c r="AC637" s="257"/>
      <c r="AD637" s="349"/>
      <c r="AE637" s="259"/>
      <c r="AF637" s="347"/>
      <c r="AG637" s="232"/>
      <c r="AH637" s="267"/>
      <c r="AI637" s="234"/>
      <c r="AJ637" s="267"/>
      <c r="AK637" s="259"/>
      <c r="AL637" s="226"/>
      <c r="AM637" s="225"/>
      <c r="AN637" s="225"/>
      <c r="AO637" s="254"/>
      <c r="AP637" s="225"/>
      <c r="AQ637" s="225"/>
      <c r="AR637" s="254"/>
      <c r="AS637" s="225"/>
      <c r="AT637" s="257"/>
      <c r="AU637" s="225"/>
      <c r="AV637" s="225"/>
      <c r="AW637" s="267"/>
      <c r="AX637" s="226"/>
      <c r="AY637" s="225"/>
      <c r="AZ637" s="225"/>
      <c r="BA637" s="226"/>
      <c r="BB637" s="225"/>
      <c r="BC637" s="225"/>
      <c r="BD637" s="225"/>
      <c r="BE637" s="225"/>
      <c r="BF637" s="225"/>
      <c r="BG637" s="225"/>
      <c r="BH637" s="225"/>
      <c r="BI637" s="225"/>
      <c r="BJ637" s="225"/>
      <c r="BK637" s="225"/>
      <c r="BL637" s="225"/>
      <c r="BM637" s="225"/>
      <c r="BN637" s="225"/>
      <c r="BO637" s="225"/>
      <c r="BP637" s="225"/>
      <c r="BQ637" s="225"/>
      <c r="BR637" s="225"/>
      <c r="BS637" s="225"/>
      <c r="BT637" s="226"/>
      <c r="BU637" s="225"/>
      <c r="BV637" s="225"/>
      <c r="BW637" s="225"/>
      <c r="BX637" s="225"/>
      <c r="BY637" s="225"/>
      <c r="BZ637" s="225"/>
    </row>
    <row r="638">
      <c r="A638" s="225"/>
      <c r="B638" s="225"/>
      <c r="C638" s="225"/>
      <c r="D638" s="226"/>
      <c r="E638" s="225"/>
      <c r="F638" s="225"/>
      <c r="G638" s="225"/>
      <c r="H638" s="225"/>
      <c r="I638" s="225"/>
      <c r="J638" s="225"/>
      <c r="K638" s="244"/>
      <c r="L638" s="225"/>
      <c r="M638" s="225"/>
      <c r="N638" s="225"/>
      <c r="O638" s="225"/>
      <c r="P638" s="225"/>
      <c r="Q638" s="227"/>
      <c r="R638" s="234"/>
      <c r="S638" s="225"/>
      <c r="T638" s="225"/>
      <c r="U638" s="225"/>
      <c r="V638" s="225"/>
      <c r="W638" s="225"/>
      <c r="X638" s="225"/>
      <c r="Y638" s="229"/>
      <c r="Z638" s="257"/>
      <c r="AA638" s="225"/>
      <c r="AB638" s="257"/>
      <c r="AC638" s="257"/>
      <c r="AD638" s="226"/>
      <c r="AE638" s="259"/>
      <c r="AF638" s="347"/>
      <c r="AG638" s="232"/>
      <c r="AH638" s="257"/>
      <c r="AI638" s="225"/>
      <c r="AJ638" s="267"/>
      <c r="AK638" s="259"/>
      <c r="AL638" s="226"/>
      <c r="AM638" s="225"/>
      <c r="AN638" s="225"/>
      <c r="AO638" s="254"/>
      <c r="AP638" s="225"/>
      <c r="AQ638" s="225"/>
      <c r="AR638" s="330"/>
      <c r="AS638" s="225"/>
      <c r="AT638" s="225"/>
      <c r="AU638" s="225"/>
      <c r="AV638" s="225"/>
      <c r="AW638" s="305"/>
      <c r="AX638" s="226"/>
      <c r="AY638" s="225"/>
      <c r="AZ638" s="225"/>
      <c r="BA638" s="226"/>
      <c r="BB638" s="225"/>
      <c r="BC638" s="225"/>
      <c r="BD638" s="225"/>
      <c r="BE638" s="225"/>
      <c r="BF638" s="225"/>
      <c r="BG638" s="225"/>
      <c r="BH638" s="225"/>
      <c r="BI638" s="225"/>
      <c r="BJ638" s="225"/>
      <c r="BK638" s="225"/>
      <c r="BL638" s="225"/>
      <c r="BM638" s="225"/>
      <c r="BN638" s="225"/>
      <c r="BO638" s="225"/>
      <c r="BP638" s="225"/>
      <c r="BQ638" s="225"/>
      <c r="BR638" s="225"/>
      <c r="BS638" s="225"/>
      <c r="BT638" s="226"/>
      <c r="BU638" s="225"/>
      <c r="BV638" s="225"/>
      <c r="BW638" s="225"/>
      <c r="BX638" s="225"/>
      <c r="BY638" s="225"/>
      <c r="BZ638" s="225"/>
    </row>
    <row r="639">
      <c r="A639" s="225"/>
      <c r="B639" s="225"/>
      <c r="C639" s="225"/>
      <c r="D639" s="226"/>
      <c r="E639" s="225"/>
      <c r="F639" s="225"/>
      <c r="G639" s="225"/>
      <c r="H639" s="225"/>
      <c r="I639" s="225"/>
      <c r="J639" s="225"/>
      <c r="K639" s="244"/>
      <c r="L639" s="225"/>
      <c r="M639" s="225"/>
      <c r="N639" s="225"/>
      <c r="O639" s="225"/>
      <c r="P639" s="225"/>
      <c r="Q639" s="227"/>
      <c r="R639" s="234"/>
      <c r="S639" s="225"/>
      <c r="T639" s="225"/>
      <c r="U639" s="225"/>
      <c r="V639" s="225"/>
      <c r="W639" s="225"/>
      <c r="X639" s="225"/>
      <c r="Y639" s="229"/>
      <c r="Z639" s="257"/>
      <c r="AA639" s="225"/>
      <c r="AB639" s="257"/>
      <c r="AC639" s="257"/>
      <c r="AD639" s="226"/>
      <c r="AE639" s="259"/>
      <c r="AF639" s="347"/>
      <c r="AG639" s="232"/>
      <c r="AH639" s="257"/>
      <c r="AI639" s="225"/>
      <c r="AJ639" s="267"/>
      <c r="AK639" s="259"/>
      <c r="AL639" s="226"/>
      <c r="AM639" s="225"/>
      <c r="AN639" s="225"/>
      <c r="AO639" s="254"/>
      <c r="AP639" s="225"/>
      <c r="AQ639" s="225"/>
      <c r="AR639" s="226"/>
      <c r="AS639" s="225"/>
      <c r="AT639" s="225"/>
      <c r="AU639" s="225"/>
      <c r="AV639" s="225"/>
      <c r="AW639" s="225"/>
      <c r="AX639" s="226"/>
      <c r="AY639" s="225"/>
      <c r="AZ639" s="225"/>
      <c r="BA639" s="226"/>
      <c r="BB639" s="225"/>
      <c r="BC639" s="225"/>
      <c r="BD639" s="225"/>
      <c r="BE639" s="225"/>
      <c r="BF639" s="225"/>
      <c r="BG639" s="225"/>
      <c r="BH639" s="225"/>
      <c r="BI639" s="225"/>
      <c r="BJ639" s="225"/>
      <c r="BK639" s="225"/>
      <c r="BL639" s="225"/>
      <c r="BM639" s="225"/>
      <c r="BN639" s="225"/>
      <c r="BO639" s="225"/>
      <c r="BP639" s="225"/>
      <c r="BQ639" s="225"/>
      <c r="BR639" s="225"/>
      <c r="BS639" s="225"/>
      <c r="BT639" s="226"/>
      <c r="BU639" s="225"/>
      <c r="BV639" s="225"/>
      <c r="BW639" s="225"/>
      <c r="BX639" s="225"/>
      <c r="BY639" s="225"/>
      <c r="BZ639" s="225"/>
    </row>
    <row r="640">
      <c r="A640" s="225"/>
      <c r="B640" s="225"/>
      <c r="C640" s="225"/>
      <c r="D640" s="226"/>
      <c r="E640" s="225"/>
      <c r="F640" s="225"/>
      <c r="G640" s="225"/>
      <c r="H640" s="225"/>
      <c r="I640" s="225"/>
      <c r="J640" s="225"/>
      <c r="K640" s="244"/>
      <c r="L640" s="225"/>
      <c r="M640" s="225"/>
      <c r="N640" s="225"/>
      <c r="O640" s="225"/>
      <c r="P640" s="225"/>
      <c r="Q640" s="227"/>
      <c r="R640" s="234"/>
      <c r="S640" s="225"/>
      <c r="T640" s="225"/>
      <c r="U640" s="225"/>
      <c r="V640" s="225"/>
      <c r="W640" s="225"/>
      <c r="X640" s="225"/>
      <c r="Y640" s="229"/>
      <c r="Z640" s="257"/>
      <c r="AA640" s="225"/>
      <c r="AB640" s="257"/>
      <c r="AC640" s="257"/>
      <c r="AD640" s="226"/>
      <c r="AE640" s="259"/>
      <c r="AF640" s="347"/>
      <c r="AG640" s="232"/>
      <c r="AH640" s="257"/>
      <c r="AI640" s="225"/>
      <c r="AJ640" s="267"/>
      <c r="AK640" s="259"/>
      <c r="AL640" s="226"/>
      <c r="AM640" s="225"/>
      <c r="AN640" s="225"/>
      <c r="AO640" s="254"/>
      <c r="AP640" s="225"/>
      <c r="AQ640" s="225"/>
      <c r="AR640" s="254"/>
      <c r="AS640" s="225"/>
      <c r="AT640" s="225"/>
      <c r="AU640" s="225"/>
      <c r="AV640" s="225"/>
      <c r="AW640" s="267"/>
      <c r="AX640" s="226"/>
      <c r="AY640" s="225"/>
      <c r="AZ640" s="225"/>
      <c r="BA640" s="226"/>
      <c r="BB640" s="225"/>
      <c r="BC640" s="225"/>
      <c r="BD640" s="225"/>
      <c r="BE640" s="225"/>
      <c r="BF640" s="225"/>
      <c r="BG640" s="225"/>
      <c r="BH640" s="225"/>
      <c r="BI640" s="225"/>
      <c r="BJ640" s="225"/>
      <c r="BK640" s="225"/>
      <c r="BL640" s="225"/>
      <c r="BM640" s="225"/>
      <c r="BN640" s="225"/>
      <c r="BO640" s="225"/>
      <c r="BP640" s="225"/>
      <c r="BQ640" s="225"/>
      <c r="BR640" s="225"/>
      <c r="BS640" s="225"/>
      <c r="BT640" s="226"/>
      <c r="BU640" s="225"/>
      <c r="BV640" s="225"/>
      <c r="BW640" s="225"/>
      <c r="BX640" s="225"/>
      <c r="BY640" s="225"/>
      <c r="BZ640" s="225"/>
    </row>
    <row r="641">
      <c r="A641" s="225"/>
      <c r="B641" s="225"/>
      <c r="C641" s="225"/>
      <c r="D641" s="226"/>
      <c r="E641" s="225"/>
      <c r="F641" s="225"/>
      <c r="G641" s="225"/>
      <c r="H641" s="225"/>
      <c r="I641" s="225"/>
      <c r="J641" s="225"/>
      <c r="K641" s="244"/>
      <c r="L641" s="225"/>
      <c r="M641" s="225"/>
      <c r="N641" s="225"/>
      <c r="O641" s="225"/>
      <c r="P641" s="225"/>
      <c r="Q641" s="227"/>
      <c r="R641" s="234"/>
      <c r="S641" s="225"/>
      <c r="T641" s="225"/>
      <c r="U641" s="225"/>
      <c r="V641" s="225"/>
      <c r="W641" s="225"/>
      <c r="X641" s="225"/>
      <c r="Y641" s="229"/>
      <c r="Z641" s="257"/>
      <c r="AA641" s="225"/>
      <c r="AB641" s="257"/>
      <c r="AC641" s="257"/>
      <c r="AD641" s="226"/>
      <c r="AE641" s="259"/>
      <c r="AF641" s="347"/>
      <c r="AG641" s="232"/>
      <c r="AH641" s="257"/>
      <c r="AI641" s="225"/>
      <c r="AJ641" s="267"/>
      <c r="AK641" s="259"/>
      <c r="AL641" s="226"/>
      <c r="AM641" s="225"/>
      <c r="AN641" s="225"/>
      <c r="AO641" s="254"/>
      <c r="AP641" s="225"/>
      <c r="AQ641" s="225"/>
      <c r="AR641" s="254"/>
      <c r="AS641" s="225"/>
      <c r="AT641" s="225"/>
      <c r="AU641" s="225"/>
      <c r="AV641" s="225"/>
      <c r="AW641" s="267"/>
      <c r="AX641" s="226"/>
      <c r="AY641" s="225"/>
      <c r="AZ641" s="225"/>
      <c r="BA641" s="226"/>
      <c r="BB641" s="225"/>
      <c r="BC641" s="225"/>
      <c r="BD641" s="225"/>
      <c r="BE641" s="225"/>
      <c r="BF641" s="225"/>
      <c r="BG641" s="225"/>
      <c r="BH641" s="225"/>
      <c r="BI641" s="225"/>
      <c r="BJ641" s="225"/>
      <c r="BK641" s="225"/>
      <c r="BL641" s="225"/>
      <c r="BM641" s="225"/>
      <c r="BN641" s="225"/>
      <c r="BO641" s="225"/>
      <c r="BP641" s="225"/>
      <c r="BQ641" s="225"/>
      <c r="BR641" s="225"/>
      <c r="BS641" s="225"/>
      <c r="BT641" s="226"/>
      <c r="BU641" s="225"/>
      <c r="BV641" s="225"/>
      <c r="BW641" s="225"/>
      <c r="BX641" s="225"/>
      <c r="BY641" s="225"/>
      <c r="BZ641" s="225"/>
    </row>
    <row r="642">
      <c r="A642" s="225"/>
      <c r="B642" s="225"/>
      <c r="C642" s="225"/>
      <c r="D642" s="226"/>
      <c r="E642" s="225"/>
      <c r="F642" s="225"/>
      <c r="G642" s="225"/>
      <c r="H642" s="225"/>
      <c r="I642" s="225"/>
      <c r="J642" s="225"/>
      <c r="K642" s="244"/>
      <c r="L642" s="225"/>
      <c r="M642" s="225"/>
      <c r="N642" s="225"/>
      <c r="O642" s="225"/>
      <c r="P642" s="225"/>
      <c r="Q642" s="227"/>
      <c r="R642" s="234"/>
      <c r="S642" s="225"/>
      <c r="T642" s="225"/>
      <c r="U642" s="225"/>
      <c r="V642" s="225"/>
      <c r="W642" s="225"/>
      <c r="X642" s="225"/>
      <c r="Y642" s="229"/>
      <c r="Z642" s="257"/>
      <c r="AA642" s="225"/>
      <c r="AB642" s="257"/>
      <c r="AC642" s="257"/>
      <c r="AD642" s="226"/>
      <c r="AE642" s="259"/>
      <c r="AF642" s="347"/>
      <c r="AG642" s="232"/>
      <c r="AH642" s="257"/>
      <c r="AI642" s="225"/>
      <c r="AJ642" s="267"/>
      <c r="AK642" s="259"/>
      <c r="AL642" s="226"/>
      <c r="AM642" s="225"/>
      <c r="AN642" s="225"/>
      <c r="AO642" s="254"/>
      <c r="AP642" s="225"/>
      <c r="AQ642" s="225"/>
      <c r="AR642" s="254"/>
      <c r="AS642" s="225"/>
      <c r="AT642" s="225"/>
      <c r="AU642" s="225"/>
      <c r="AV642" s="225"/>
      <c r="AW642" s="267"/>
      <c r="AX642" s="226"/>
      <c r="AY642" s="225"/>
      <c r="AZ642" s="225"/>
      <c r="BA642" s="226"/>
      <c r="BB642" s="225"/>
      <c r="BC642" s="225"/>
      <c r="BD642" s="225"/>
      <c r="BE642" s="225"/>
      <c r="BF642" s="225"/>
      <c r="BG642" s="225"/>
      <c r="BH642" s="225"/>
      <c r="BI642" s="225"/>
      <c r="BJ642" s="225"/>
      <c r="BK642" s="225"/>
      <c r="BL642" s="225"/>
      <c r="BM642" s="225"/>
      <c r="BN642" s="225"/>
      <c r="BO642" s="225"/>
      <c r="BP642" s="225"/>
      <c r="BQ642" s="225"/>
      <c r="BR642" s="225"/>
      <c r="BS642" s="225"/>
      <c r="BT642" s="226"/>
      <c r="BU642" s="225"/>
      <c r="BV642" s="225"/>
      <c r="BW642" s="225"/>
      <c r="BX642" s="225"/>
      <c r="BY642" s="225"/>
      <c r="BZ642" s="225"/>
    </row>
    <row r="643">
      <c r="A643" s="225"/>
      <c r="B643" s="225"/>
      <c r="C643" s="225"/>
      <c r="D643" s="226"/>
      <c r="E643" s="225"/>
      <c r="F643" s="225"/>
      <c r="G643" s="225"/>
      <c r="H643" s="225"/>
      <c r="I643" s="225"/>
      <c r="J643" s="225"/>
      <c r="K643" s="244"/>
      <c r="L643" s="225"/>
      <c r="M643" s="225"/>
      <c r="N643" s="225"/>
      <c r="O643" s="225"/>
      <c r="P643" s="225"/>
      <c r="Q643" s="227"/>
      <c r="R643" s="234"/>
      <c r="S643" s="225"/>
      <c r="T643" s="225"/>
      <c r="U643" s="225"/>
      <c r="V643" s="225"/>
      <c r="W643" s="225"/>
      <c r="X643" s="225"/>
      <c r="Y643" s="229"/>
      <c r="Z643" s="257"/>
      <c r="AA643" s="225"/>
      <c r="AB643" s="257"/>
      <c r="AC643" s="257"/>
      <c r="AD643" s="226"/>
      <c r="AE643" s="259"/>
      <c r="AF643" s="347"/>
      <c r="AG643" s="232"/>
      <c r="AH643" s="257"/>
      <c r="AI643" s="225"/>
      <c r="AJ643" s="267"/>
      <c r="AK643" s="259"/>
      <c r="AL643" s="226"/>
      <c r="AM643" s="225"/>
      <c r="AN643" s="225"/>
      <c r="AO643" s="254"/>
      <c r="AP643" s="225"/>
      <c r="AQ643" s="225"/>
      <c r="AR643" s="254"/>
      <c r="AS643" s="225"/>
      <c r="AT643" s="225"/>
      <c r="AU643" s="225"/>
      <c r="AV643" s="225"/>
      <c r="AW643" s="267"/>
      <c r="AX643" s="226"/>
      <c r="AY643" s="225"/>
      <c r="AZ643" s="225"/>
      <c r="BA643" s="226"/>
      <c r="BB643" s="225"/>
      <c r="BC643" s="225"/>
      <c r="BD643" s="225"/>
      <c r="BE643" s="225"/>
      <c r="BF643" s="225"/>
      <c r="BG643" s="225"/>
      <c r="BH643" s="225"/>
      <c r="BI643" s="225"/>
      <c r="BJ643" s="225"/>
      <c r="BK643" s="225"/>
      <c r="BL643" s="225"/>
      <c r="BM643" s="225"/>
      <c r="BN643" s="225"/>
      <c r="BO643" s="225"/>
      <c r="BP643" s="225"/>
      <c r="BQ643" s="225"/>
      <c r="BR643" s="225"/>
      <c r="BS643" s="225"/>
      <c r="BT643" s="226"/>
      <c r="BU643" s="225"/>
      <c r="BV643" s="225"/>
      <c r="BW643" s="225"/>
      <c r="BX643" s="225"/>
      <c r="BY643" s="225"/>
      <c r="BZ643" s="225"/>
    </row>
    <row r="644">
      <c r="A644" s="225"/>
      <c r="B644" s="225"/>
      <c r="C644" s="225"/>
      <c r="D644" s="226"/>
      <c r="E644" s="225"/>
      <c r="F644" s="225"/>
      <c r="G644" s="225"/>
      <c r="H644" s="225"/>
      <c r="I644" s="225"/>
      <c r="J644" s="225"/>
      <c r="K644" s="244"/>
      <c r="L644" s="225"/>
      <c r="M644" s="225"/>
      <c r="N644" s="225"/>
      <c r="O644" s="225"/>
      <c r="P644" s="225"/>
      <c r="Q644" s="227"/>
      <c r="R644" s="234"/>
      <c r="S644" s="225"/>
      <c r="T644" s="225"/>
      <c r="U644" s="225"/>
      <c r="V644" s="225"/>
      <c r="W644" s="225"/>
      <c r="X644" s="225"/>
      <c r="Y644" s="229"/>
      <c r="Z644" s="257"/>
      <c r="AA644" s="225"/>
      <c r="AB644" s="257"/>
      <c r="AC644" s="257"/>
      <c r="AD644" s="226"/>
      <c r="AE644" s="259"/>
      <c r="AF644" s="347"/>
      <c r="AG644" s="232"/>
      <c r="AH644" s="257"/>
      <c r="AI644" s="225"/>
      <c r="AJ644" s="267"/>
      <c r="AK644" s="259"/>
      <c r="AL644" s="226"/>
      <c r="AM644" s="225"/>
      <c r="AN644" s="225"/>
      <c r="AO644" s="254"/>
      <c r="AP644" s="225"/>
      <c r="AQ644" s="225"/>
      <c r="AR644" s="254"/>
      <c r="AS644" s="225"/>
      <c r="AT644" s="225"/>
      <c r="AU644" s="225"/>
      <c r="AV644" s="225"/>
      <c r="AW644" s="267"/>
      <c r="AX644" s="226"/>
      <c r="AY644" s="225"/>
      <c r="AZ644" s="225"/>
      <c r="BA644" s="226"/>
      <c r="BB644" s="225"/>
      <c r="BC644" s="225"/>
      <c r="BD644" s="225"/>
      <c r="BE644" s="225"/>
      <c r="BF644" s="225"/>
      <c r="BG644" s="225"/>
      <c r="BH644" s="225"/>
      <c r="BI644" s="225"/>
      <c r="BJ644" s="225"/>
      <c r="BK644" s="225"/>
      <c r="BL644" s="225"/>
      <c r="BM644" s="225"/>
      <c r="BN644" s="225"/>
      <c r="BO644" s="225"/>
      <c r="BP644" s="225"/>
      <c r="BQ644" s="225"/>
      <c r="BR644" s="225"/>
      <c r="BS644" s="225"/>
      <c r="BT644" s="226"/>
      <c r="BU644" s="225"/>
      <c r="BV644" s="225"/>
      <c r="BW644" s="225"/>
      <c r="BX644" s="225"/>
      <c r="BY644" s="225"/>
      <c r="BZ644" s="225"/>
    </row>
    <row r="645">
      <c r="A645" s="225"/>
      <c r="B645" s="225"/>
      <c r="C645" s="225"/>
      <c r="D645" s="226"/>
      <c r="E645" s="225"/>
      <c r="F645" s="225"/>
      <c r="G645" s="225"/>
      <c r="H645" s="225"/>
      <c r="I645" s="225"/>
      <c r="J645" s="225"/>
      <c r="K645" s="244"/>
      <c r="L645" s="225"/>
      <c r="M645" s="225"/>
      <c r="N645" s="225"/>
      <c r="O645" s="225"/>
      <c r="P645" s="225"/>
      <c r="Q645" s="227"/>
      <c r="R645" s="234"/>
      <c r="S645" s="225"/>
      <c r="T645" s="225"/>
      <c r="U645" s="225"/>
      <c r="V645" s="225"/>
      <c r="W645" s="225"/>
      <c r="X645" s="225"/>
      <c r="Y645" s="229"/>
      <c r="Z645" s="257"/>
      <c r="AA645" s="225"/>
      <c r="AB645" s="257"/>
      <c r="AC645" s="257"/>
      <c r="AD645" s="226"/>
      <c r="AE645" s="259"/>
      <c r="AF645" s="347"/>
      <c r="AG645" s="232"/>
      <c r="AH645" s="257"/>
      <c r="AI645" s="225"/>
      <c r="AJ645" s="267"/>
      <c r="AK645" s="259"/>
      <c r="AL645" s="226"/>
      <c r="AM645" s="225"/>
      <c r="AN645" s="225"/>
      <c r="AO645" s="254"/>
      <c r="AP645" s="225"/>
      <c r="AQ645" s="225"/>
      <c r="AR645" s="254"/>
      <c r="AS645" s="225"/>
      <c r="AT645" s="225"/>
      <c r="AU645" s="225"/>
      <c r="AV645" s="225"/>
      <c r="AW645" s="267"/>
      <c r="AX645" s="226"/>
      <c r="AY645" s="225"/>
      <c r="AZ645" s="225"/>
      <c r="BA645" s="226"/>
      <c r="BB645" s="225"/>
      <c r="BC645" s="225"/>
      <c r="BD645" s="225"/>
      <c r="BE645" s="225"/>
      <c r="BF645" s="225"/>
      <c r="BG645" s="225"/>
      <c r="BH645" s="225"/>
      <c r="BI645" s="225"/>
      <c r="BJ645" s="225"/>
      <c r="BK645" s="225"/>
      <c r="BL645" s="225"/>
      <c r="BM645" s="225"/>
      <c r="BN645" s="225"/>
      <c r="BO645" s="225"/>
      <c r="BP645" s="225"/>
      <c r="BQ645" s="225"/>
      <c r="BR645" s="225"/>
      <c r="BS645" s="225"/>
      <c r="BT645" s="226"/>
      <c r="BU645" s="225"/>
      <c r="BV645" s="225"/>
      <c r="BW645" s="225"/>
      <c r="BX645" s="225"/>
      <c r="BY645" s="225"/>
      <c r="BZ645" s="225"/>
    </row>
    <row r="646">
      <c r="A646" s="225"/>
      <c r="B646" s="225"/>
      <c r="C646" s="225"/>
      <c r="D646" s="226"/>
      <c r="E646" s="225"/>
      <c r="F646" s="225"/>
      <c r="G646" s="225"/>
      <c r="H646" s="225"/>
      <c r="I646" s="225"/>
      <c r="J646" s="225"/>
      <c r="K646" s="244"/>
      <c r="L646" s="225"/>
      <c r="M646" s="225"/>
      <c r="N646" s="225"/>
      <c r="O646" s="225"/>
      <c r="P646" s="225"/>
      <c r="Q646" s="227"/>
      <c r="R646" s="234"/>
      <c r="S646" s="225"/>
      <c r="T646" s="225"/>
      <c r="U646" s="225"/>
      <c r="V646" s="225"/>
      <c r="W646" s="225"/>
      <c r="X646" s="225"/>
      <c r="Y646" s="229"/>
      <c r="Z646" s="257"/>
      <c r="AA646" s="225"/>
      <c r="AB646" s="257"/>
      <c r="AC646" s="257"/>
      <c r="AD646" s="226"/>
      <c r="AE646" s="259"/>
      <c r="AF646" s="347"/>
      <c r="AG646" s="232"/>
      <c r="AH646" s="257"/>
      <c r="AI646" s="225"/>
      <c r="AJ646" s="267"/>
      <c r="AK646" s="259"/>
      <c r="AL646" s="226"/>
      <c r="AM646" s="225"/>
      <c r="AN646" s="225"/>
      <c r="AO646" s="254"/>
      <c r="AP646" s="225"/>
      <c r="AQ646" s="225"/>
      <c r="AR646" s="254"/>
      <c r="AS646" s="225"/>
      <c r="AT646" s="225"/>
      <c r="AU646" s="225"/>
      <c r="AV646" s="225"/>
      <c r="AW646" s="267"/>
      <c r="AX646" s="226"/>
      <c r="AY646" s="225"/>
      <c r="AZ646" s="225"/>
      <c r="BA646" s="226"/>
      <c r="BB646" s="225"/>
      <c r="BC646" s="225"/>
      <c r="BD646" s="225"/>
      <c r="BE646" s="225"/>
      <c r="BF646" s="225"/>
      <c r="BG646" s="225"/>
      <c r="BH646" s="225"/>
      <c r="BI646" s="225"/>
      <c r="BJ646" s="225"/>
      <c r="BK646" s="225"/>
      <c r="BL646" s="225"/>
      <c r="BM646" s="225"/>
      <c r="BN646" s="225"/>
      <c r="BO646" s="225"/>
      <c r="BP646" s="225"/>
      <c r="BQ646" s="225"/>
      <c r="BR646" s="225"/>
      <c r="BS646" s="225"/>
      <c r="BT646" s="226"/>
      <c r="BU646" s="225"/>
      <c r="BV646" s="225"/>
      <c r="BW646" s="225"/>
      <c r="BX646" s="225"/>
      <c r="BY646" s="225"/>
      <c r="BZ646" s="225"/>
    </row>
    <row r="647">
      <c r="A647" s="225"/>
      <c r="B647" s="225"/>
      <c r="C647" s="225"/>
      <c r="D647" s="226"/>
      <c r="E647" s="225"/>
      <c r="F647" s="225"/>
      <c r="G647" s="225"/>
      <c r="H647" s="225"/>
      <c r="I647" s="225"/>
      <c r="J647" s="225"/>
      <c r="K647" s="244"/>
      <c r="L647" s="225"/>
      <c r="M647" s="225"/>
      <c r="N647" s="225"/>
      <c r="O647" s="225"/>
      <c r="P647" s="225"/>
      <c r="Q647" s="227"/>
      <c r="R647" s="234"/>
      <c r="S647" s="225"/>
      <c r="T647" s="225"/>
      <c r="U647" s="225"/>
      <c r="V647" s="225"/>
      <c r="W647" s="225"/>
      <c r="X647" s="225"/>
      <c r="Y647" s="229"/>
      <c r="Z647" s="257"/>
      <c r="AA647" s="225"/>
      <c r="AB647" s="257"/>
      <c r="AC647" s="257"/>
      <c r="AD647" s="226"/>
      <c r="AE647" s="259"/>
      <c r="AF647" s="347"/>
      <c r="AG647" s="232"/>
      <c r="AH647" s="257"/>
      <c r="AI647" s="225"/>
      <c r="AJ647" s="267"/>
      <c r="AK647" s="259"/>
      <c r="AL647" s="226"/>
      <c r="AM647" s="225"/>
      <c r="AN647" s="225"/>
      <c r="AO647" s="254"/>
      <c r="AP647" s="225"/>
      <c r="AQ647" s="225"/>
      <c r="AR647" s="254"/>
      <c r="AS647" s="225"/>
      <c r="AT647" s="225"/>
      <c r="AU647" s="225"/>
      <c r="AV647" s="225"/>
      <c r="AW647" s="267"/>
      <c r="AX647" s="226"/>
      <c r="AY647" s="225"/>
      <c r="AZ647" s="225"/>
      <c r="BA647" s="226"/>
      <c r="BB647" s="225"/>
      <c r="BC647" s="225"/>
      <c r="BD647" s="225"/>
      <c r="BE647" s="225"/>
      <c r="BF647" s="225"/>
      <c r="BG647" s="225"/>
      <c r="BH647" s="225"/>
      <c r="BI647" s="225"/>
      <c r="BJ647" s="225"/>
      <c r="BK647" s="225"/>
      <c r="BL647" s="225"/>
      <c r="BM647" s="225"/>
      <c r="BN647" s="225"/>
      <c r="BO647" s="225"/>
      <c r="BP647" s="225"/>
      <c r="BQ647" s="225"/>
      <c r="BR647" s="225"/>
      <c r="BS647" s="225"/>
      <c r="BT647" s="226"/>
      <c r="BU647" s="225"/>
      <c r="BV647" s="225"/>
      <c r="BW647" s="225"/>
      <c r="BX647" s="225"/>
      <c r="BY647" s="225"/>
      <c r="BZ647" s="225"/>
    </row>
    <row r="648">
      <c r="A648" s="225"/>
      <c r="B648" s="225"/>
      <c r="C648" s="225"/>
      <c r="D648" s="226"/>
      <c r="E648" s="225"/>
      <c r="F648" s="225"/>
      <c r="G648" s="225"/>
      <c r="H648" s="225"/>
      <c r="I648" s="225"/>
      <c r="J648" s="225"/>
      <c r="K648" s="244"/>
      <c r="L648" s="225"/>
      <c r="M648" s="225"/>
      <c r="N648" s="225"/>
      <c r="O648" s="225"/>
      <c r="P648" s="225"/>
      <c r="Q648" s="227"/>
      <c r="R648" s="234"/>
      <c r="S648" s="225"/>
      <c r="T648" s="225"/>
      <c r="U648" s="225"/>
      <c r="V648" s="225"/>
      <c r="W648" s="225"/>
      <c r="X648" s="225"/>
      <c r="Y648" s="229"/>
      <c r="Z648" s="257"/>
      <c r="AA648" s="225"/>
      <c r="AB648" s="257"/>
      <c r="AC648" s="257"/>
      <c r="AD648" s="226"/>
      <c r="AE648" s="259"/>
      <c r="AF648" s="347"/>
      <c r="AG648" s="232"/>
      <c r="AH648" s="257"/>
      <c r="AI648" s="225"/>
      <c r="AJ648" s="267"/>
      <c r="AK648" s="259"/>
      <c r="AL648" s="226"/>
      <c r="AM648" s="225"/>
      <c r="AN648" s="225"/>
      <c r="AO648" s="254"/>
      <c r="AP648" s="225"/>
      <c r="AQ648" s="225"/>
      <c r="AR648" s="254"/>
      <c r="AS648" s="225"/>
      <c r="AT648" s="225"/>
      <c r="AU648" s="225"/>
      <c r="AV648" s="225"/>
      <c r="AW648" s="267"/>
      <c r="AX648" s="226"/>
      <c r="AY648" s="225"/>
      <c r="AZ648" s="225"/>
      <c r="BA648" s="226"/>
      <c r="BB648" s="225"/>
      <c r="BC648" s="225"/>
      <c r="BD648" s="225"/>
      <c r="BE648" s="225"/>
      <c r="BF648" s="225"/>
      <c r="BG648" s="225"/>
      <c r="BH648" s="225"/>
      <c r="BI648" s="225"/>
      <c r="BJ648" s="225"/>
      <c r="BK648" s="225"/>
      <c r="BL648" s="225"/>
      <c r="BM648" s="225"/>
      <c r="BN648" s="225"/>
      <c r="BO648" s="225"/>
      <c r="BP648" s="225"/>
      <c r="BQ648" s="225"/>
      <c r="BR648" s="225"/>
      <c r="BS648" s="225"/>
      <c r="BT648" s="226"/>
      <c r="BU648" s="225"/>
      <c r="BV648" s="225"/>
      <c r="BW648" s="225"/>
      <c r="BX648" s="225"/>
      <c r="BY648" s="225"/>
      <c r="BZ648" s="225"/>
    </row>
    <row r="649">
      <c r="A649" s="225"/>
      <c r="B649" s="225"/>
      <c r="C649" s="225"/>
      <c r="D649" s="226"/>
      <c r="E649" s="225"/>
      <c r="F649" s="225"/>
      <c r="G649" s="225"/>
      <c r="H649" s="225"/>
      <c r="I649" s="225"/>
      <c r="J649" s="225"/>
      <c r="K649" s="244"/>
      <c r="L649" s="225"/>
      <c r="M649" s="225"/>
      <c r="N649" s="225"/>
      <c r="O649" s="225"/>
      <c r="P649" s="225"/>
      <c r="Q649" s="227"/>
      <c r="R649" s="234"/>
      <c r="S649" s="225"/>
      <c r="T649" s="225"/>
      <c r="U649" s="225"/>
      <c r="V649" s="225"/>
      <c r="W649" s="225"/>
      <c r="X649" s="225"/>
      <c r="Y649" s="229"/>
      <c r="Z649" s="257"/>
      <c r="AA649" s="225"/>
      <c r="AB649" s="257"/>
      <c r="AC649" s="257"/>
      <c r="AD649" s="226"/>
      <c r="AE649" s="259"/>
      <c r="AF649" s="347"/>
      <c r="AG649" s="232"/>
      <c r="AH649" s="257"/>
      <c r="AI649" s="225"/>
      <c r="AJ649" s="267"/>
      <c r="AK649" s="259"/>
      <c r="AL649" s="226"/>
      <c r="AM649" s="225"/>
      <c r="AN649" s="225"/>
      <c r="AO649" s="254"/>
      <c r="AP649" s="225"/>
      <c r="AQ649" s="225"/>
      <c r="AR649" s="254"/>
      <c r="AS649" s="225"/>
      <c r="AT649" s="225"/>
      <c r="AU649" s="225"/>
      <c r="AV649" s="225"/>
      <c r="AW649" s="267"/>
      <c r="AX649" s="226"/>
      <c r="AY649" s="225"/>
      <c r="AZ649" s="225"/>
      <c r="BA649" s="226"/>
      <c r="BB649" s="225"/>
      <c r="BC649" s="225"/>
      <c r="BD649" s="225"/>
      <c r="BE649" s="225"/>
      <c r="BF649" s="225"/>
      <c r="BG649" s="225"/>
      <c r="BH649" s="225"/>
      <c r="BI649" s="225"/>
      <c r="BJ649" s="225"/>
      <c r="BK649" s="225"/>
      <c r="BL649" s="225"/>
      <c r="BM649" s="225"/>
      <c r="BN649" s="225"/>
      <c r="BO649" s="225"/>
      <c r="BP649" s="225"/>
      <c r="BQ649" s="225"/>
      <c r="BR649" s="225"/>
      <c r="BS649" s="225"/>
      <c r="BT649" s="226"/>
      <c r="BU649" s="225"/>
      <c r="BV649" s="225"/>
      <c r="BW649" s="225"/>
      <c r="BX649" s="225"/>
      <c r="BY649" s="225"/>
      <c r="BZ649" s="225"/>
    </row>
    <row r="650">
      <c r="A650" s="225"/>
      <c r="B650" s="225"/>
      <c r="C650" s="225"/>
      <c r="D650" s="226"/>
      <c r="E650" s="225"/>
      <c r="F650" s="225"/>
      <c r="G650" s="225"/>
      <c r="H650" s="225"/>
      <c r="I650" s="225"/>
      <c r="J650" s="225"/>
      <c r="K650" s="244"/>
      <c r="L650" s="225"/>
      <c r="M650" s="225"/>
      <c r="N650" s="225"/>
      <c r="O650" s="225"/>
      <c r="P650" s="225"/>
      <c r="Q650" s="227"/>
      <c r="R650" s="234"/>
      <c r="S650" s="225"/>
      <c r="T650" s="225"/>
      <c r="U650" s="225"/>
      <c r="V650" s="225"/>
      <c r="W650" s="225"/>
      <c r="X650" s="225"/>
      <c r="Y650" s="229"/>
      <c r="Z650" s="257"/>
      <c r="AA650" s="225"/>
      <c r="AB650" s="257"/>
      <c r="AC650" s="257"/>
      <c r="AD650" s="226"/>
      <c r="AE650" s="259"/>
      <c r="AF650" s="347"/>
      <c r="AG650" s="232"/>
      <c r="AH650" s="257"/>
      <c r="AI650" s="225"/>
      <c r="AJ650" s="267"/>
      <c r="AK650" s="259"/>
      <c r="AL650" s="226"/>
      <c r="AM650" s="225"/>
      <c r="AN650" s="225"/>
      <c r="AO650" s="254"/>
      <c r="AP650" s="225"/>
      <c r="AQ650" s="225"/>
      <c r="AR650" s="232"/>
      <c r="AS650" s="225"/>
      <c r="AT650" s="225"/>
      <c r="AU650" s="225"/>
      <c r="AV650" s="225"/>
      <c r="AW650" s="257"/>
      <c r="AX650" s="226"/>
      <c r="AY650" s="225"/>
      <c r="AZ650" s="225"/>
      <c r="BA650" s="226"/>
      <c r="BB650" s="225"/>
      <c r="BC650" s="225"/>
      <c r="BD650" s="225"/>
      <c r="BE650" s="225"/>
      <c r="BF650" s="225"/>
      <c r="BG650" s="225"/>
      <c r="BH650" s="225"/>
      <c r="BI650" s="225"/>
      <c r="BJ650" s="225"/>
      <c r="BK650" s="225"/>
      <c r="BL650" s="225"/>
      <c r="BM650" s="225"/>
      <c r="BN650" s="225"/>
      <c r="BO650" s="225"/>
      <c r="BP650" s="225"/>
      <c r="BQ650" s="225"/>
      <c r="BR650" s="225"/>
      <c r="BS650" s="225"/>
      <c r="BT650" s="226"/>
      <c r="BU650" s="225"/>
      <c r="BV650" s="225"/>
      <c r="BW650" s="225"/>
      <c r="BX650" s="225"/>
      <c r="BY650" s="225"/>
      <c r="BZ650" s="225"/>
    </row>
    <row r="651">
      <c r="A651" s="225"/>
      <c r="B651" s="225"/>
      <c r="C651" s="225"/>
      <c r="D651" s="226"/>
      <c r="E651" s="225"/>
      <c r="F651" s="225"/>
      <c r="G651" s="225"/>
      <c r="H651" s="225"/>
      <c r="I651" s="225"/>
      <c r="J651" s="225"/>
      <c r="K651" s="244"/>
      <c r="L651" s="225"/>
      <c r="M651" s="225"/>
      <c r="N651" s="225"/>
      <c r="O651" s="225"/>
      <c r="P651" s="225"/>
      <c r="Q651" s="227"/>
      <c r="R651" s="234"/>
      <c r="S651" s="225"/>
      <c r="T651" s="225"/>
      <c r="U651" s="225"/>
      <c r="V651" s="225"/>
      <c r="W651" s="225"/>
      <c r="X651" s="225"/>
      <c r="Y651" s="229"/>
      <c r="Z651" s="257"/>
      <c r="AA651" s="225"/>
      <c r="AB651" s="257"/>
      <c r="AC651" s="257"/>
      <c r="AD651" s="226"/>
      <c r="AE651" s="259"/>
      <c r="AF651" s="347"/>
      <c r="AG651" s="232"/>
      <c r="AH651" s="257"/>
      <c r="AI651" s="225"/>
      <c r="AJ651" s="267"/>
      <c r="AK651" s="259"/>
      <c r="AL651" s="226"/>
      <c r="AM651" s="225"/>
      <c r="AN651" s="225"/>
      <c r="AO651" s="254"/>
      <c r="AP651" s="225"/>
      <c r="AQ651" s="225"/>
      <c r="AR651" s="232"/>
      <c r="AS651" s="225"/>
      <c r="AT651" s="225"/>
      <c r="AU651" s="225"/>
      <c r="AV651" s="225"/>
      <c r="AW651" s="257"/>
      <c r="AX651" s="226"/>
      <c r="AY651" s="225"/>
      <c r="AZ651" s="225"/>
      <c r="BA651" s="226"/>
      <c r="BB651" s="225"/>
      <c r="BC651" s="225"/>
      <c r="BD651" s="225"/>
      <c r="BE651" s="225"/>
      <c r="BF651" s="225"/>
      <c r="BG651" s="225"/>
      <c r="BH651" s="225"/>
      <c r="BI651" s="225"/>
      <c r="BJ651" s="225"/>
      <c r="BK651" s="225"/>
      <c r="BL651" s="225"/>
      <c r="BM651" s="225"/>
      <c r="BN651" s="225"/>
      <c r="BO651" s="225"/>
      <c r="BP651" s="225"/>
      <c r="BQ651" s="225"/>
      <c r="BR651" s="225"/>
      <c r="BS651" s="225"/>
      <c r="BT651" s="226"/>
      <c r="BU651" s="225"/>
      <c r="BV651" s="225"/>
      <c r="BW651" s="225"/>
      <c r="BX651" s="225"/>
      <c r="BY651" s="225"/>
      <c r="BZ651" s="225"/>
    </row>
    <row r="652">
      <c r="A652" s="225"/>
      <c r="B652" s="225"/>
      <c r="C652" s="225"/>
      <c r="D652" s="226"/>
      <c r="E652" s="225"/>
      <c r="F652" s="225"/>
      <c r="G652" s="225"/>
      <c r="H652" s="225"/>
      <c r="I652" s="225"/>
      <c r="J652" s="225"/>
      <c r="K652" s="244"/>
      <c r="L652" s="225"/>
      <c r="M652" s="225"/>
      <c r="N652" s="225"/>
      <c r="O652" s="225"/>
      <c r="P652" s="225"/>
      <c r="Q652" s="227"/>
      <c r="R652" s="234"/>
      <c r="S652" s="225"/>
      <c r="T652" s="225"/>
      <c r="U652" s="225"/>
      <c r="V652" s="225"/>
      <c r="W652" s="225"/>
      <c r="X652" s="225"/>
      <c r="Y652" s="229"/>
      <c r="Z652" s="257"/>
      <c r="AA652" s="225"/>
      <c r="AB652" s="257"/>
      <c r="AC652" s="257"/>
      <c r="AD652" s="226"/>
      <c r="AE652" s="259"/>
      <c r="AF652" s="347"/>
      <c r="AG652" s="232"/>
      <c r="AH652" s="257"/>
      <c r="AI652" s="225"/>
      <c r="AJ652" s="267"/>
      <c r="AK652" s="259"/>
      <c r="AL652" s="226"/>
      <c r="AM652" s="225"/>
      <c r="AN652" s="225"/>
      <c r="AO652" s="254"/>
      <c r="AP652" s="225"/>
      <c r="AQ652" s="225"/>
      <c r="AR652" s="226"/>
      <c r="AS652" s="225"/>
      <c r="AT652" s="225"/>
      <c r="AU652" s="225"/>
      <c r="AV652" s="225"/>
      <c r="AW652" s="225"/>
      <c r="AX652" s="226"/>
      <c r="AY652" s="225"/>
      <c r="AZ652" s="225"/>
      <c r="BA652" s="226"/>
      <c r="BB652" s="225"/>
      <c r="BC652" s="225"/>
      <c r="BD652" s="225"/>
      <c r="BE652" s="225"/>
      <c r="BF652" s="225"/>
      <c r="BG652" s="225"/>
      <c r="BH652" s="225"/>
      <c r="BI652" s="225"/>
      <c r="BJ652" s="225"/>
      <c r="BK652" s="225"/>
      <c r="BL652" s="225"/>
      <c r="BM652" s="225"/>
      <c r="BN652" s="225"/>
      <c r="BO652" s="225"/>
      <c r="BP652" s="225"/>
      <c r="BQ652" s="225"/>
      <c r="BR652" s="225"/>
      <c r="BS652" s="225"/>
      <c r="BT652" s="226"/>
      <c r="BU652" s="225"/>
      <c r="BV652" s="225"/>
      <c r="BW652" s="225"/>
      <c r="BX652" s="225"/>
      <c r="BY652" s="225"/>
      <c r="BZ652" s="225"/>
    </row>
    <row r="653">
      <c r="A653" s="225"/>
      <c r="B653" s="225"/>
      <c r="C653" s="225"/>
      <c r="D653" s="226"/>
      <c r="E653" s="225"/>
      <c r="F653" s="225"/>
      <c r="G653" s="225"/>
      <c r="H653" s="225"/>
      <c r="I653" s="225"/>
      <c r="J653" s="225"/>
      <c r="K653" s="244"/>
      <c r="L653" s="225"/>
      <c r="M653" s="225"/>
      <c r="N653" s="225"/>
      <c r="O653" s="225"/>
      <c r="P653" s="225"/>
      <c r="Q653" s="227"/>
      <c r="R653" s="234"/>
      <c r="S653" s="225"/>
      <c r="T653" s="225"/>
      <c r="U653" s="225"/>
      <c r="V653" s="225"/>
      <c r="W653" s="225"/>
      <c r="X653" s="225"/>
      <c r="Y653" s="229"/>
      <c r="Z653" s="257"/>
      <c r="AA653" s="225"/>
      <c r="AB653" s="257"/>
      <c r="AC653" s="257"/>
      <c r="AD653" s="226"/>
      <c r="AE653" s="259"/>
      <c r="AF653" s="347"/>
      <c r="AG653" s="232"/>
      <c r="AH653" s="257"/>
      <c r="AI653" s="225"/>
      <c r="AJ653" s="267"/>
      <c r="AK653" s="259"/>
      <c r="AL653" s="226"/>
      <c r="AM653" s="225"/>
      <c r="AN653" s="225"/>
      <c r="AO653" s="254"/>
      <c r="AP653" s="225"/>
      <c r="AQ653" s="225"/>
      <c r="AR653" s="226"/>
      <c r="AS653" s="225"/>
      <c r="AT653" s="225"/>
      <c r="AU653" s="225"/>
      <c r="AV653" s="225"/>
      <c r="AW653" s="225"/>
      <c r="AX653" s="226"/>
      <c r="AY653" s="225"/>
      <c r="AZ653" s="225"/>
      <c r="BA653" s="226"/>
      <c r="BB653" s="225"/>
      <c r="BC653" s="225"/>
      <c r="BD653" s="225"/>
      <c r="BE653" s="225"/>
      <c r="BF653" s="225"/>
      <c r="BG653" s="225"/>
      <c r="BH653" s="225"/>
      <c r="BI653" s="225"/>
      <c r="BJ653" s="225"/>
      <c r="BK653" s="225"/>
      <c r="BL653" s="225"/>
      <c r="BM653" s="225"/>
      <c r="BN653" s="225"/>
      <c r="BO653" s="225"/>
      <c r="BP653" s="225"/>
      <c r="BQ653" s="225"/>
      <c r="BR653" s="225"/>
      <c r="BS653" s="225"/>
      <c r="BT653" s="226"/>
      <c r="BU653" s="225"/>
      <c r="BV653" s="225"/>
      <c r="BW653" s="225"/>
      <c r="BX653" s="225"/>
      <c r="BY653" s="225"/>
      <c r="BZ653" s="225"/>
    </row>
    <row r="654">
      <c r="A654" s="225"/>
      <c r="B654" s="225"/>
      <c r="C654" s="225"/>
      <c r="D654" s="226"/>
      <c r="E654" s="225"/>
      <c r="F654" s="225"/>
      <c r="G654" s="225"/>
      <c r="H654" s="225"/>
      <c r="I654" s="225"/>
      <c r="J654" s="225"/>
      <c r="K654" s="244"/>
      <c r="L654" s="225"/>
      <c r="M654" s="225"/>
      <c r="N654" s="225"/>
      <c r="O654" s="225"/>
      <c r="P654" s="225"/>
      <c r="Q654" s="227"/>
      <c r="R654" s="234"/>
      <c r="S654" s="225"/>
      <c r="T654" s="225"/>
      <c r="U654" s="225"/>
      <c r="V654" s="225"/>
      <c r="W654" s="225"/>
      <c r="X654" s="225"/>
      <c r="Y654" s="229"/>
      <c r="Z654" s="257"/>
      <c r="AA654" s="225"/>
      <c r="AB654" s="257"/>
      <c r="AC654" s="257"/>
      <c r="AD654" s="226"/>
      <c r="AE654" s="259"/>
      <c r="AF654" s="347"/>
      <c r="AG654" s="232"/>
      <c r="AH654" s="257"/>
      <c r="AI654" s="225"/>
      <c r="AJ654" s="267"/>
      <c r="AK654" s="259"/>
      <c r="AL654" s="226"/>
      <c r="AM654" s="225"/>
      <c r="AN654" s="225"/>
      <c r="AO654" s="254"/>
      <c r="AP654" s="225"/>
      <c r="AQ654" s="225"/>
      <c r="AR654" s="226"/>
      <c r="AS654" s="225"/>
      <c r="AT654" s="225"/>
      <c r="AU654" s="225"/>
      <c r="AV654" s="225"/>
      <c r="AW654" s="225"/>
      <c r="AX654" s="226"/>
      <c r="AY654" s="225"/>
      <c r="AZ654" s="225"/>
      <c r="BA654" s="226"/>
      <c r="BB654" s="225"/>
      <c r="BC654" s="225"/>
      <c r="BD654" s="225"/>
      <c r="BE654" s="225"/>
      <c r="BF654" s="225"/>
      <c r="BG654" s="225"/>
      <c r="BH654" s="225"/>
      <c r="BI654" s="225"/>
      <c r="BJ654" s="225"/>
      <c r="BK654" s="225"/>
      <c r="BL654" s="225"/>
      <c r="BM654" s="225"/>
      <c r="BN654" s="225"/>
      <c r="BO654" s="225"/>
      <c r="BP654" s="225"/>
      <c r="BQ654" s="225"/>
      <c r="BR654" s="225"/>
      <c r="BS654" s="225"/>
      <c r="BT654" s="226"/>
      <c r="BU654" s="225"/>
      <c r="BV654" s="225"/>
      <c r="BW654" s="225"/>
      <c r="BX654" s="225"/>
      <c r="BY654" s="225"/>
      <c r="BZ654" s="225"/>
    </row>
    <row r="655">
      <c r="A655" s="225"/>
      <c r="B655" s="225"/>
      <c r="C655" s="225"/>
      <c r="D655" s="226"/>
      <c r="E655" s="225"/>
      <c r="F655" s="225"/>
      <c r="G655" s="225"/>
      <c r="H655" s="225"/>
      <c r="I655" s="225"/>
      <c r="J655" s="225"/>
      <c r="K655" s="244"/>
      <c r="L655" s="225"/>
      <c r="M655" s="225"/>
      <c r="N655" s="225"/>
      <c r="O655" s="225"/>
      <c r="P655" s="225"/>
      <c r="Q655" s="227"/>
      <c r="R655" s="234"/>
      <c r="S655" s="225"/>
      <c r="T655" s="225"/>
      <c r="U655" s="225"/>
      <c r="V655" s="225"/>
      <c r="W655" s="225"/>
      <c r="X655" s="225"/>
      <c r="Y655" s="229"/>
      <c r="Z655" s="257"/>
      <c r="AA655" s="225"/>
      <c r="AB655" s="257"/>
      <c r="AC655" s="257"/>
      <c r="AD655" s="226"/>
      <c r="AE655" s="259"/>
      <c r="AF655" s="347"/>
      <c r="AG655" s="232"/>
      <c r="AH655" s="257"/>
      <c r="AI655" s="225"/>
      <c r="AJ655" s="267"/>
      <c r="AK655" s="259"/>
      <c r="AL655" s="226"/>
      <c r="AM655" s="225"/>
      <c r="AN655" s="225"/>
      <c r="AO655" s="254"/>
      <c r="AP655" s="225"/>
      <c r="AQ655" s="225"/>
      <c r="AR655" s="226"/>
      <c r="AS655" s="225"/>
      <c r="AT655" s="225"/>
      <c r="AU655" s="225"/>
      <c r="AV655" s="225"/>
      <c r="AW655" s="225"/>
      <c r="AX655" s="226"/>
      <c r="AY655" s="225"/>
      <c r="AZ655" s="225"/>
      <c r="BA655" s="226"/>
      <c r="BB655" s="225"/>
      <c r="BC655" s="225"/>
      <c r="BD655" s="225"/>
      <c r="BE655" s="225"/>
      <c r="BF655" s="225"/>
      <c r="BG655" s="225"/>
      <c r="BH655" s="225"/>
      <c r="BI655" s="225"/>
      <c r="BJ655" s="225"/>
      <c r="BK655" s="225"/>
      <c r="BL655" s="225"/>
      <c r="BM655" s="225"/>
      <c r="BN655" s="225"/>
      <c r="BO655" s="225"/>
      <c r="BP655" s="225"/>
      <c r="BQ655" s="225"/>
      <c r="BR655" s="225"/>
      <c r="BS655" s="225"/>
      <c r="BT655" s="226"/>
      <c r="BU655" s="225"/>
      <c r="BV655" s="225"/>
      <c r="BW655" s="225"/>
      <c r="BX655" s="225"/>
      <c r="BY655" s="225"/>
      <c r="BZ655" s="225"/>
    </row>
    <row r="656">
      <c r="A656" s="225"/>
      <c r="B656" s="225"/>
      <c r="C656" s="225"/>
      <c r="D656" s="226"/>
      <c r="E656" s="225"/>
      <c r="F656" s="225"/>
      <c r="G656" s="225"/>
      <c r="H656" s="225"/>
      <c r="I656" s="225"/>
      <c r="J656" s="225"/>
      <c r="K656" s="244"/>
      <c r="L656" s="225"/>
      <c r="M656" s="225"/>
      <c r="N656" s="225"/>
      <c r="O656" s="225"/>
      <c r="P656" s="225"/>
      <c r="Q656" s="227"/>
      <c r="R656" s="234"/>
      <c r="S656" s="225"/>
      <c r="T656" s="225"/>
      <c r="U656" s="225"/>
      <c r="V656" s="225"/>
      <c r="W656" s="225"/>
      <c r="X656" s="225"/>
      <c r="Y656" s="229"/>
      <c r="Z656" s="257"/>
      <c r="AA656" s="225"/>
      <c r="AB656" s="257"/>
      <c r="AC656" s="257"/>
      <c r="AD656" s="226"/>
      <c r="AE656" s="259"/>
      <c r="AF656" s="347"/>
      <c r="AG656" s="232"/>
      <c r="AH656" s="257"/>
      <c r="AI656" s="225"/>
      <c r="AJ656" s="267"/>
      <c r="AK656" s="259"/>
      <c r="AL656" s="226"/>
      <c r="AM656" s="225"/>
      <c r="AN656" s="225"/>
      <c r="AO656" s="254"/>
      <c r="AP656" s="225"/>
      <c r="AQ656" s="225"/>
      <c r="AR656" s="226"/>
      <c r="AS656" s="225"/>
      <c r="AT656" s="225"/>
      <c r="AU656" s="225"/>
      <c r="AV656" s="225"/>
      <c r="AW656" s="225"/>
      <c r="AX656" s="226"/>
      <c r="AY656" s="225"/>
      <c r="AZ656" s="225"/>
      <c r="BA656" s="226"/>
      <c r="BB656" s="225"/>
      <c r="BC656" s="225"/>
      <c r="BD656" s="225"/>
      <c r="BE656" s="225"/>
      <c r="BF656" s="225"/>
      <c r="BG656" s="225"/>
      <c r="BH656" s="225"/>
      <c r="BI656" s="225"/>
      <c r="BJ656" s="225"/>
      <c r="BK656" s="225"/>
      <c r="BL656" s="225"/>
      <c r="BM656" s="225"/>
      <c r="BN656" s="225"/>
      <c r="BO656" s="225"/>
      <c r="BP656" s="225"/>
      <c r="BQ656" s="225"/>
      <c r="BR656" s="225"/>
      <c r="BS656" s="225"/>
      <c r="BT656" s="226"/>
      <c r="BU656" s="225"/>
      <c r="BV656" s="225"/>
      <c r="BW656" s="225"/>
      <c r="BX656" s="225"/>
      <c r="BY656" s="225"/>
      <c r="BZ656" s="225"/>
    </row>
    <row r="657">
      <c r="A657" s="225"/>
      <c r="B657" s="225"/>
      <c r="C657" s="225"/>
      <c r="D657" s="226"/>
      <c r="E657" s="225"/>
      <c r="F657" s="225"/>
      <c r="G657" s="225"/>
      <c r="H657" s="225"/>
      <c r="I657" s="225"/>
      <c r="J657" s="225"/>
      <c r="K657" s="244"/>
      <c r="L657" s="225"/>
      <c r="M657" s="225"/>
      <c r="N657" s="225"/>
      <c r="O657" s="225"/>
      <c r="P657" s="225"/>
      <c r="Q657" s="227"/>
      <c r="R657" s="234"/>
      <c r="S657" s="225"/>
      <c r="T657" s="225"/>
      <c r="U657" s="225"/>
      <c r="V657" s="225"/>
      <c r="W657" s="225"/>
      <c r="X657" s="225"/>
      <c r="Y657" s="229"/>
      <c r="Z657" s="257"/>
      <c r="AA657" s="225"/>
      <c r="AB657" s="257"/>
      <c r="AC657" s="257"/>
      <c r="AD657" s="226"/>
      <c r="AE657" s="259"/>
      <c r="AF657" s="347"/>
      <c r="AG657" s="232"/>
      <c r="AH657" s="257"/>
      <c r="AI657" s="225"/>
      <c r="AJ657" s="267"/>
      <c r="AK657" s="259"/>
      <c r="AL657" s="226"/>
      <c r="AM657" s="225"/>
      <c r="AN657" s="225"/>
      <c r="AO657" s="254"/>
      <c r="AP657" s="225"/>
      <c r="AQ657" s="225"/>
      <c r="AR657" s="226"/>
      <c r="AS657" s="225"/>
      <c r="AT657" s="225"/>
      <c r="AU657" s="225"/>
      <c r="AV657" s="225"/>
      <c r="AW657" s="225"/>
      <c r="AX657" s="226"/>
      <c r="AY657" s="225"/>
      <c r="AZ657" s="225"/>
      <c r="BA657" s="226"/>
      <c r="BB657" s="225"/>
      <c r="BC657" s="225"/>
      <c r="BD657" s="225"/>
      <c r="BE657" s="225"/>
      <c r="BF657" s="225"/>
      <c r="BG657" s="225"/>
      <c r="BH657" s="225"/>
      <c r="BI657" s="225"/>
      <c r="BJ657" s="225"/>
      <c r="BK657" s="225"/>
      <c r="BL657" s="225"/>
      <c r="BM657" s="225"/>
      <c r="BN657" s="225"/>
      <c r="BO657" s="225"/>
      <c r="BP657" s="225"/>
      <c r="BQ657" s="225"/>
      <c r="BR657" s="225"/>
      <c r="BS657" s="225"/>
      <c r="BT657" s="226"/>
      <c r="BU657" s="225"/>
      <c r="BV657" s="225"/>
      <c r="BW657" s="225"/>
      <c r="BX657" s="225"/>
      <c r="BY657" s="225"/>
      <c r="BZ657" s="225"/>
    </row>
    <row r="658">
      <c r="A658" s="225"/>
      <c r="B658" s="225"/>
      <c r="C658" s="225"/>
      <c r="D658" s="226"/>
      <c r="E658" s="225"/>
      <c r="F658" s="225"/>
      <c r="G658" s="225"/>
      <c r="H658" s="225"/>
      <c r="I658" s="225"/>
      <c r="J658" s="225"/>
      <c r="K658" s="244"/>
      <c r="L658" s="225"/>
      <c r="M658" s="225"/>
      <c r="N658" s="225"/>
      <c r="O658" s="225"/>
      <c r="P658" s="225"/>
      <c r="Q658" s="227"/>
      <c r="R658" s="234"/>
      <c r="S658" s="225"/>
      <c r="T658" s="225"/>
      <c r="U658" s="225"/>
      <c r="V658" s="225"/>
      <c r="W658" s="225"/>
      <c r="X658" s="225"/>
      <c r="Y658" s="229"/>
      <c r="Z658" s="257"/>
      <c r="AA658" s="225"/>
      <c r="AB658" s="257"/>
      <c r="AC658" s="257"/>
      <c r="AD658" s="226"/>
      <c r="AE658" s="259"/>
      <c r="AF658" s="347"/>
      <c r="AG658" s="232"/>
      <c r="AH658" s="257"/>
      <c r="AI658" s="225"/>
      <c r="AJ658" s="267"/>
      <c r="AK658" s="259"/>
      <c r="AL658" s="226"/>
      <c r="AM658" s="225"/>
      <c r="AN658" s="225"/>
      <c r="AO658" s="254"/>
      <c r="AP658" s="225"/>
      <c r="AQ658" s="225"/>
      <c r="AR658" s="226"/>
      <c r="AS658" s="225"/>
      <c r="AT658" s="225"/>
      <c r="AU658" s="225"/>
      <c r="AV658" s="225"/>
      <c r="AW658" s="225"/>
      <c r="AX658" s="226"/>
      <c r="AY658" s="225"/>
      <c r="AZ658" s="225"/>
      <c r="BA658" s="226"/>
      <c r="BB658" s="225"/>
      <c r="BC658" s="225"/>
      <c r="BD658" s="225"/>
      <c r="BE658" s="225"/>
      <c r="BF658" s="225"/>
      <c r="BG658" s="225"/>
      <c r="BH658" s="225"/>
      <c r="BI658" s="225"/>
      <c r="BJ658" s="225"/>
      <c r="BK658" s="225"/>
      <c r="BL658" s="225"/>
      <c r="BM658" s="225"/>
      <c r="BN658" s="225"/>
      <c r="BO658" s="225"/>
      <c r="BP658" s="225"/>
      <c r="BQ658" s="225"/>
      <c r="BR658" s="225"/>
      <c r="BS658" s="225"/>
      <c r="BT658" s="226"/>
      <c r="BU658" s="225"/>
      <c r="BV658" s="225"/>
      <c r="BW658" s="225"/>
      <c r="BX658" s="225"/>
      <c r="BY658" s="225"/>
      <c r="BZ658" s="225"/>
    </row>
    <row r="659">
      <c r="A659" s="225"/>
      <c r="B659" s="225"/>
      <c r="C659" s="225"/>
      <c r="D659" s="226"/>
      <c r="E659" s="225"/>
      <c r="F659" s="225"/>
      <c r="G659" s="225"/>
      <c r="H659" s="225"/>
      <c r="I659" s="225"/>
      <c r="J659" s="225"/>
      <c r="K659" s="244"/>
      <c r="L659" s="225"/>
      <c r="M659" s="225"/>
      <c r="N659" s="225"/>
      <c r="O659" s="225"/>
      <c r="P659" s="225"/>
      <c r="Q659" s="227"/>
      <c r="R659" s="234"/>
      <c r="S659" s="225"/>
      <c r="T659" s="225"/>
      <c r="U659" s="225"/>
      <c r="V659" s="225"/>
      <c r="W659" s="225"/>
      <c r="X659" s="225"/>
      <c r="Y659" s="229"/>
      <c r="Z659" s="257"/>
      <c r="AA659" s="225"/>
      <c r="AB659" s="257"/>
      <c r="AC659" s="257"/>
      <c r="AD659" s="226"/>
      <c r="AE659" s="259"/>
      <c r="AF659" s="347"/>
      <c r="AG659" s="232"/>
      <c r="AH659" s="257"/>
      <c r="AI659" s="225"/>
      <c r="AJ659" s="267"/>
      <c r="AK659" s="259"/>
      <c r="AL659" s="226"/>
      <c r="AM659" s="225"/>
      <c r="AN659" s="225"/>
      <c r="AO659" s="254"/>
      <c r="AP659" s="225"/>
      <c r="AQ659" s="225"/>
      <c r="AR659" s="226"/>
      <c r="AS659" s="225"/>
      <c r="AT659" s="225"/>
      <c r="AU659" s="225"/>
      <c r="AV659" s="225"/>
      <c r="AW659" s="225"/>
      <c r="AX659" s="226"/>
      <c r="AY659" s="225"/>
      <c r="AZ659" s="225"/>
      <c r="BA659" s="226"/>
      <c r="BB659" s="225"/>
      <c r="BC659" s="225"/>
      <c r="BD659" s="225"/>
      <c r="BE659" s="225"/>
      <c r="BF659" s="225"/>
      <c r="BG659" s="225"/>
      <c r="BH659" s="225"/>
      <c r="BI659" s="225"/>
      <c r="BJ659" s="225"/>
      <c r="BK659" s="225"/>
      <c r="BL659" s="225"/>
      <c r="BM659" s="225"/>
      <c r="BN659" s="225"/>
      <c r="BO659" s="225"/>
      <c r="BP659" s="225"/>
      <c r="BQ659" s="225"/>
      <c r="BR659" s="225"/>
      <c r="BS659" s="225"/>
      <c r="BT659" s="226"/>
      <c r="BU659" s="225"/>
      <c r="BV659" s="225"/>
      <c r="BW659" s="225"/>
      <c r="BX659" s="225"/>
      <c r="BY659" s="225"/>
      <c r="BZ659" s="225"/>
    </row>
    <row r="660">
      <c r="A660" s="225"/>
      <c r="B660" s="225"/>
      <c r="C660" s="225"/>
      <c r="D660" s="226"/>
      <c r="E660" s="225"/>
      <c r="F660" s="225"/>
      <c r="G660" s="225"/>
      <c r="H660" s="225"/>
      <c r="I660" s="225"/>
      <c r="J660" s="225"/>
      <c r="K660" s="244"/>
      <c r="L660" s="225"/>
      <c r="M660" s="225"/>
      <c r="N660" s="225"/>
      <c r="O660" s="225"/>
      <c r="P660" s="225"/>
      <c r="Q660" s="227"/>
      <c r="R660" s="234"/>
      <c r="S660" s="225"/>
      <c r="T660" s="225"/>
      <c r="U660" s="225"/>
      <c r="V660" s="225"/>
      <c r="W660" s="225"/>
      <c r="X660" s="225"/>
      <c r="Y660" s="229"/>
      <c r="Z660" s="257"/>
      <c r="AA660" s="225"/>
      <c r="AB660" s="257"/>
      <c r="AC660" s="257"/>
      <c r="AD660" s="226"/>
      <c r="AE660" s="259"/>
      <c r="AF660" s="347"/>
      <c r="AG660" s="232"/>
      <c r="AH660" s="257"/>
      <c r="AI660" s="225"/>
      <c r="AJ660" s="267"/>
      <c r="AK660" s="259"/>
      <c r="AL660" s="226"/>
      <c r="AM660" s="225"/>
      <c r="AN660" s="225"/>
      <c r="AO660" s="254"/>
      <c r="AP660" s="225"/>
      <c r="AQ660" s="225"/>
      <c r="AR660" s="226"/>
      <c r="AS660" s="225"/>
      <c r="AT660" s="225"/>
      <c r="AU660" s="225"/>
      <c r="AV660" s="225"/>
      <c r="AW660" s="225"/>
      <c r="AX660" s="226"/>
      <c r="AY660" s="225"/>
      <c r="AZ660" s="225"/>
      <c r="BA660" s="226"/>
      <c r="BB660" s="225"/>
      <c r="BC660" s="225"/>
      <c r="BD660" s="225"/>
      <c r="BE660" s="225"/>
      <c r="BF660" s="225"/>
      <c r="BG660" s="225"/>
      <c r="BH660" s="225"/>
      <c r="BI660" s="225"/>
      <c r="BJ660" s="225"/>
      <c r="BK660" s="225"/>
      <c r="BL660" s="225"/>
      <c r="BM660" s="225"/>
      <c r="BN660" s="225"/>
      <c r="BO660" s="225"/>
      <c r="BP660" s="225"/>
      <c r="BQ660" s="225"/>
      <c r="BR660" s="225"/>
      <c r="BS660" s="225"/>
      <c r="BT660" s="226"/>
      <c r="BU660" s="225"/>
      <c r="BV660" s="225"/>
      <c r="BW660" s="225"/>
      <c r="BX660" s="225"/>
      <c r="BY660" s="225"/>
      <c r="BZ660" s="225"/>
    </row>
    <row r="661">
      <c r="A661" s="225"/>
      <c r="B661" s="225"/>
      <c r="C661" s="225"/>
      <c r="D661" s="226"/>
      <c r="E661" s="225"/>
      <c r="F661" s="225"/>
      <c r="G661" s="225"/>
      <c r="H661" s="225"/>
      <c r="I661" s="225"/>
      <c r="J661" s="225"/>
      <c r="K661" s="244"/>
      <c r="L661" s="225"/>
      <c r="M661" s="225"/>
      <c r="N661" s="225"/>
      <c r="O661" s="225"/>
      <c r="P661" s="225"/>
      <c r="Q661" s="227"/>
      <c r="R661" s="234"/>
      <c r="S661" s="225"/>
      <c r="T661" s="225"/>
      <c r="U661" s="225"/>
      <c r="V661" s="225"/>
      <c r="W661" s="225"/>
      <c r="X661" s="225"/>
      <c r="Y661" s="229"/>
      <c r="Z661" s="257"/>
      <c r="AA661" s="225"/>
      <c r="AB661" s="257"/>
      <c r="AC661" s="257"/>
      <c r="AD661" s="226"/>
      <c r="AE661" s="259"/>
      <c r="AF661" s="347"/>
      <c r="AG661" s="232"/>
      <c r="AH661" s="257"/>
      <c r="AI661" s="225"/>
      <c r="AJ661" s="267"/>
      <c r="AK661" s="259"/>
      <c r="AL661" s="226"/>
      <c r="AM661" s="225"/>
      <c r="AN661" s="225"/>
      <c r="AO661" s="254"/>
      <c r="AP661" s="225"/>
      <c r="AQ661" s="225"/>
      <c r="AR661" s="226"/>
      <c r="AS661" s="225"/>
      <c r="AT661" s="225"/>
      <c r="AU661" s="225"/>
      <c r="AV661" s="225"/>
      <c r="AW661" s="225"/>
      <c r="AX661" s="226"/>
      <c r="AY661" s="225"/>
      <c r="AZ661" s="225"/>
      <c r="BA661" s="226"/>
      <c r="BB661" s="225"/>
      <c r="BC661" s="225"/>
      <c r="BD661" s="225"/>
      <c r="BE661" s="225"/>
      <c r="BF661" s="225"/>
      <c r="BG661" s="225"/>
      <c r="BH661" s="225"/>
      <c r="BI661" s="225"/>
      <c r="BJ661" s="225"/>
      <c r="BK661" s="225"/>
      <c r="BL661" s="225"/>
      <c r="BM661" s="225"/>
      <c r="BN661" s="225"/>
      <c r="BO661" s="225"/>
      <c r="BP661" s="225"/>
      <c r="BQ661" s="225"/>
      <c r="BR661" s="225"/>
      <c r="BS661" s="225"/>
      <c r="BT661" s="226"/>
      <c r="BU661" s="225"/>
      <c r="BV661" s="225"/>
      <c r="BW661" s="225"/>
      <c r="BX661" s="225"/>
      <c r="BY661" s="225"/>
      <c r="BZ661" s="225"/>
    </row>
    <row r="662">
      <c r="A662" s="225"/>
      <c r="B662" s="225"/>
      <c r="C662" s="225"/>
      <c r="D662" s="226"/>
      <c r="E662" s="225"/>
      <c r="F662" s="225"/>
      <c r="G662" s="225"/>
      <c r="H662" s="225"/>
      <c r="I662" s="225"/>
      <c r="J662" s="225"/>
      <c r="K662" s="244"/>
      <c r="L662" s="225"/>
      <c r="M662" s="225"/>
      <c r="N662" s="225"/>
      <c r="O662" s="225"/>
      <c r="P662" s="225"/>
      <c r="Q662" s="227"/>
      <c r="R662" s="234"/>
      <c r="S662" s="225"/>
      <c r="T662" s="225"/>
      <c r="U662" s="225"/>
      <c r="V662" s="225"/>
      <c r="W662" s="225"/>
      <c r="X662" s="225"/>
      <c r="Y662" s="229"/>
      <c r="Z662" s="257"/>
      <c r="AA662" s="225"/>
      <c r="AB662" s="257"/>
      <c r="AC662" s="257"/>
      <c r="AD662" s="226"/>
      <c r="AE662" s="259"/>
      <c r="AF662" s="347"/>
      <c r="AG662" s="232"/>
      <c r="AH662" s="257"/>
      <c r="AI662" s="225"/>
      <c r="AJ662" s="267"/>
      <c r="AK662" s="259"/>
      <c r="AL662" s="226"/>
      <c r="AM662" s="225"/>
      <c r="AN662" s="225"/>
      <c r="AO662" s="254"/>
      <c r="AP662" s="225"/>
      <c r="AQ662" s="225"/>
      <c r="AR662" s="226"/>
      <c r="AS662" s="225"/>
      <c r="AT662" s="225"/>
      <c r="AU662" s="225"/>
      <c r="AV662" s="225"/>
      <c r="AW662" s="225"/>
      <c r="AX662" s="226"/>
      <c r="AY662" s="225"/>
      <c r="AZ662" s="225"/>
      <c r="BA662" s="226"/>
      <c r="BB662" s="225"/>
      <c r="BC662" s="225"/>
      <c r="BD662" s="225"/>
      <c r="BE662" s="225"/>
      <c r="BF662" s="225"/>
      <c r="BG662" s="225"/>
      <c r="BH662" s="225"/>
      <c r="BI662" s="225"/>
      <c r="BJ662" s="225"/>
      <c r="BK662" s="225"/>
      <c r="BL662" s="225"/>
      <c r="BM662" s="225"/>
      <c r="BN662" s="225"/>
      <c r="BO662" s="225"/>
      <c r="BP662" s="225"/>
      <c r="BQ662" s="225"/>
      <c r="BR662" s="225"/>
      <c r="BS662" s="225"/>
      <c r="BT662" s="226"/>
      <c r="BU662" s="225"/>
      <c r="BV662" s="225"/>
      <c r="BW662" s="225"/>
      <c r="BX662" s="225"/>
      <c r="BY662" s="225"/>
      <c r="BZ662" s="225"/>
    </row>
    <row r="663">
      <c r="A663" s="225"/>
      <c r="B663" s="225"/>
      <c r="C663" s="225"/>
      <c r="D663" s="226"/>
      <c r="E663" s="225"/>
      <c r="F663" s="225"/>
      <c r="G663" s="225"/>
      <c r="H663" s="225"/>
      <c r="I663" s="225"/>
      <c r="J663" s="225"/>
      <c r="K663" s="244"/>
      <c r="L663" s="225"/>
      <c r="M663" s="225"/>
      <c r="N663" s="225"/>
      <c r="O663" s="225"/>
      <c r="P663" s="225"/>
      <c r="Q663" s="227"/>
      <c r="R663" s="234"/>
      <c r="S663" s="225"/>
      <c r="T663" s="225"/>
      <c r="U663" s="225"/>
      <c r="V663" s="225"/>
      <c r="W663" s="225"/>
      <c r="X663" s="225"/>
      <c r="Y663" s="229"/>
      <c r="Z663" s="257"/>
      <c r="AA663" s="225"/>
      <c r="AB663" s="257"/>
      <c r="AC663" s="257"/>
      <c r="AD663" s="226"/>
      <c r="AE663" s="259"/>
      <c r="AF663" s="347"/>
      <c r="AG663" s="232"/>
      <c r="AH663" s="257"/>
      <c r="AI663" s="225"/>
      <c r="AJ663" s="267"/>
      <c r="AK663" s="259"/>
      <c r="AL663" s="226"/>
      <c r="AM663" s="225"/>
      <c r="AN663" s="225"/>
      <c r="AO663" s="254"/>
      <c r="AP663" s="225"/>
      <c r="AQ663" s="225"/>
      <c r="AR663" s="226"/>
      <c r="AS663" s="225"/>
      <c r="AT663" s="225"/>
      <c r="AU663" s="225"/>
      <c r="AV663" s="225"/>
      <c r="AW663" s="225"/>
      <c r="AX663" s="226"/>
      <c r="AY663" s="225"/>
      <c r="AZ663" s="225"/>
      <c r="BA663" s="226"/>
      <c r="BB663" s="225"/>
      <c r="BC663" s="225"/>
      <c r="BD663" s="225"/>
      <c r="BE663" s="225"/>
      <c r="BF663" s="225"/>
      <c r="BG663" s="225"/>
      <c r="BH663" s="225"/>
      <c r="BI663" s="225"/>
      <c r="BJ663" s="225"/>
      <c r="BK663" s="225"/>
      <c r="BL663" s="225"/>
      <c r="BM663" s="225"/>
      <c r="BN663" s="225"/>
      <c r="BO663" s="225"/>
      <c r="BP663" s="225"/>
      <c r="BQ663" s="225"/>
      <c r="BR663" s="225"/>
      <c r="BS663" s="225"/>
      <c r="BT663" s="226"/>
      <c r="BU663" s="225"/>
      <c r="BV663" s="225"/>
      <c r="BW663" s="225"/>
      <c r="BX663" s="225"/>
      <c r="BY663" s="225"/>
      <c r="BZ663" s="225"/>
    </row>
    <row r="664">
      <c r="A664" s="225"/>
      <c r="B664" s="225"/>
      <c r="C664" s="225"/>
      <c r="D664" s="226"/>
      <c r="E664" s="225"/>
      <c r="F664" s="225"/>
      <c r="G664" s="225"/>
      <c r="H664" s="225"/>
      <c r="I664" s="225"/>
      <c r="J664" s="225"/>
      <c r="K664" s="244"/>
      <c r="L664" s="225"/>
      <c r="M664" s="225"/>
      <c r="N664" s="225"/>
      <c r="O664" s="225"/>
      <c r="P664" s="225"/>
      <c r="Q664" s="227"/>
      <c r="R664" s="234"/>
      <c r="S664" s="225"/>
      <c r="T664" s="225"/>
      <c r="U664" s="225"/>
      <c r="V664" s="225"/>
      <c r="W664" s="225"/>
      <c r="X664" s="225"/>
      <c r="Y664" s="229"/>
      <c r="Z664" s="257"/>
      <c r="AA664" s="225"/>
      <c r="AB664" s="257"/>
      <c r="AC664" s="257"/>
      <c r="AD664" s="226"/>
      <c r="AE664" s="259"/>
      <c r="AF664" s="347"/>
      <c r="AG664" s="232"/>
      <c r="AH664" s="257"/>
      <c r="AI664" s="225"/>
      <c r="AJ664" s="267"/>
      <c r="AK664" s="259"/>
      <c r="AL664" s="226"/>
      <c r="AM664" s="225"/>
      <c r="AN664" s="225"/>
      <c r="AO664" s="254"/>
      <c r="AP664" s="225"/>
      <c r="AQ664" s="225"/>
      <c r="AR664" s="226"/>
      <c r="AS664" s="225"/>
      <c r="AT664" s="225"/>
      <c r="AU664" s="225"/>
      <c r="AV664" s="225"/>
      <c r="AW664" s="225"/>
      <c r="AX664" s="226"/>
      <c r="AY664" s="225"/>
      <c r="AZ664" s="225"/>
      <c r="BA664" s="226"/>
      <c r="BB664" s="225"/>
      <c r="BC664" s="225"/>
      <c r="BD664" s="225"/>
      <c r="BE664" s="225"/>
      <c r="BF664" s="225"/>
      <c r="BG664" s="225"/>
      <c r="BH664" s="225"/>
      <c r="BI664" s="225"/>
      <c r="BJ664" s="225"/>
      <c r="BK664" s="225"/>
      <c r="BL664" s="225"/>
      <c r="BM664" s="225"/>
      <c r="BN664" s="225"/>
      <c r="BO664" s="225"/>
      <c r="BP664" s="225"/>
      <c r="BQ664" s="225"/>
      <c r="BR664" s="225"/>
      <c r="BS664" s="225"/>
      <c r="BT664" s="226"/>
      <c r="BU664" s="225"/>
      <c r="BV664" s="225"/>
      <c r="BW664" s="225"/>
      <c r="BX664" s="225"/>
      <c r="BY664" s="225"/>
      <c r="BZ664" s="225"/>
    </row>
    <row r="665">
      <c r="A665" s="225"/>
      <c r="B665" s="225"/>
      <c r="C665" s="225"/>
      <c r="D665" s="226"/>
      <c r="E665" s="225"/>
      <c r="F665" s="225"/>
      <c r="G665" s="225"/>
      <c r="H665" s="225"/>
      <c r="I665" s="225"/>
      <c r="J665" s="225"/>
      <c r="K665" s="244"/>
      <c r="L665" s="225"/>
      <c r="M665" s="225"/>
      <c r="N665" s="225"/>
      <c r="O665" s="225"/>
      <c r="P665" s="225"/>
      <c r="Q665" s="227"/>
      <c r="R665" s="234"/>
      <c r="S665" s="225"/>
      <c r="T665" s="225"/>
      <c r="U665" s="225"/>
      <c r="V665" s="225"/>
      <c r="W665" s="225"/>
      <c r="X665" s="225"/>
      <c r="Y665" s="229"/>
      <c r="Z665" s="257"/>
      <c r="AA665" s="225"/>
      <c r="AB665" s="257"/>
      <c r="AC665" s="257"/>
      <c r="AD665" s="226"/>
      <c r="AE665" s="259"/>
      <c r="AF665" s="347"/>
      <c r="AG665" s="232"/>
      <c r="AH665" s="257"/>
      <c r="AI665" s="225"/>
      <c r="AJ665" s="267"/>
      <c r="AK665" s="259"/>
      <c r="AL665" s="226"/>
      <c r="AM665" s="225"/>
      <c r="AN665" s="225"/>
      <c r="AO665" s="254"/>
      <c r="AP665" s="225"/>
      <c r="AQ665" s="225"/>
      <c r="AR665" s="226"/>
      <c r="AS665" s="225"/>
      <c r="AT665" s="225"/>
      <c r="AU665" s="225"/>
      <c r="AV665" s="225"/>
      <c r="AW665" s="225"/>
      <c r="AX665" s="226"/>
      <c r="AY665" s="225"/>
      <c r="AZ665" s="225"/>
      <c r="BA665" s="226"/>
      <c r="BB665" s="225"/>
      <c r="BC665" s="225"/>
      <c r="BD665" s="225"/>
      <c r="BE665" s="225"/>
      <c r="BF665" s="225"/>
      <c r="BG665" s="225"/>
      <c r="BH665" s="225"/>
      <c r="BI665" s="225"/>
      <c r="BJ665" s="225"/>
      <c r="BK665" s="225"/>
      <c r="BL665" s="225"/>
      <c r="BM665" s="225"/>
      <c r="BN665" s="225"/>
      <c r="BO665" s="225"/>
      <c r="BP665" s="225"/>
      <c r="BQ665" s="225"/>
      <c r="BR665" s="225"/>
      <c r="BS665" s="225"/>
      <c r="BT665" s="226"/>
      <c r="BU665" s="225"/>
      <c r="BV665" s="225"/>
      <c r="BW665" s="225"/>
      <c r="BX665" s="225"/>
      <c r="BY665" s="225"/>
      <c r="BZ665" s="225"/>
    </row>
    <row r="666">
      <c r="A666" s="225"/>
      <c r="B666" s="225"/>
      <c r="C666" s="225"/>
      <c r="D666" s="226"/>
      <c r="E666" s="225"/>
      <c r="F666" s="225"/>
      <c r="G666" s="225"/>
      <c r="H666" s="225"/>
      <c r="I666" s="225"/>
      <c r="J666" s="225"/>
      <c r="K666" s="244"/>
      <c r="L666" s="225"/>
      <c r="M666" s="225"/>
      <c r="N666" s="225"/>
      <c r="O666" s="225"/>
      <c r="P666" s="225"/>
      <c r="Q666" s="227"/>
      <c r="R666" s="234"/>
      <c r="S666" s="225"/>
      <c r="T666" s="225"/>
      <c r="U666" s="225"/>
      <c r="V666" s="225"/>
      <c r="W666" s="225"/>
      <c r="X666" s="225"/>
      <c r="Y666" s="229"/>
      <c r="Z666" s="257"/>
      <c r="AA666" s="225"/>
      <c r="AB666" s="257"/>
      <c r="AC666" s="257"/>
      <c r="AD666" s="226"/>
      <c r="AE666" s="259"/>
      <c r="AF666" s="347"/>
      <c r="AG666" s="232"/>
      <c r="AH666" s="257"/>
      <c r="AI666" s="225"/>
      <c r="AJ666" s="267"/>
      <c r="AK666" s="259"/>
      <c r="AL666" s="226"/>
      <c r="AM666" s="225"/>
      <c r="AN666" s="225"/>
      <c r="AO666" s="254"/>
      <c r="AP666" s="225"/>
      <c r="AQ666" s="225"/>
      <c r="AR666" s="226"/>
      <c r="AS666" s="225"/>
      <c r="AT666" s="225"/>
      <c r="AU666" s="225"/>
      <c r="AV666" s="225"/>
      <c r="AW666" s="225"/>
      <c r="AX666" s="226"/>
      <c r="AY666" s="225"/>
      <c r="AZ666" s="225"/>
      <c r="BA666" s="226"/>
      <c r="BB666" s="225"/>
      <c r="BC666" s="225"/>
      <c r="BD666" s="225"/>
      <c r="BE666" s="225"/>
      <c r="BF666" s="225"/>
      <c r="BG666" s="225"/>
      <c r="BH666" s="225"/>
      <c r="BI666" s="225"/>
      <c r="BJ666" s="225"/>
      <c r="BK666" s="225"/>
      <c r="BL666" s="225"/>
      <c r="BM666" s="225"/>
      <c r="BN666" s="225"/>
      <c r="BO666" s="225"/>
      <c r="BP666" s="225"/>
      <c r="BQ666" s="225"/>
      <c r="BR666" s="225"/>
      <c r="BS666" s="225"/>
      <c r="BT666" s="226"/>
      <c r="BU666" s="225"/>
      <c r="BV666" s="225"/>
      <c r="BW666" s="225"/>
      <c r="BX666" s="225"/>
      <c r="BY666" s="225"/>
      <c r="BZ666" s="225"/>
    </row>
    <row r="667">
      <c r="A667" s="225"/>
      <c r="B667" s="225"/>
      <c r="C667" s="225"/>
      <c r="D667" s="226"/>
      <c r="E667" s="225"/>
      <c r="F667" s="225"/>
      <c r="G667" s="225"/>
      <c r="H667" s="225"/>
      <c r="I667" s="225"/>
      <c r="J667" s="225"/>
      <c r="K667" s="244"/>
      <c r="L667" s="225"/>
      <c r="M667" s="225"/>
      <c r="N667" s="225"/>
      <c r="O667" s="225"/>
      <c r="P667" s="225"/>
      <c r="Q667" s="227"/>
      <c r="R667" s="234"/>
      <c r="S667" s="225"/>
      <c r="T667" s="225"/>
      <c r="U667" s="225"/>
      <c r="V667" s="225"/>
      <c r="W667" s="225"/>
      <c r="X667" s="225"/>
      <c r="Y667" s="229"/>
      <c r="Z667" s="257"/>
      <c r="AA667" s="225"/>
      <c r="AB667" s="257"/>
      <c r="AC667" s="257"/>
      <c r="AD667" s="226"/>
      <c r="AE667" s="259"/>
      <c r="AF667" s="347"/>
      <c r="AG667" s="232"/>
      <c r="AH667" s="257"/>
      <c r="AI667" s="225"/>
      <c r="AJ667" s="267"/>
      <c r="AK667" s="259"/>
      <c r="AL667" s="226"/>
      <c r="AM667" s="225"/>
      <c r="AN667" s="225"/>
      <c r="AO667" s="254"/>
      <c r="AP667" s="225"/>
      <c r="AQ667" s="225"/>
      <c r="AR667" s="226"/>
      <c r="AS667" s="225"/>
      <c r="AT667" s="225"/>
      <c r="AU667" s="225"/>
      <c r="AV667" s="225"/>
      <c r="AW667" s="225"/>
      <c r="AX667" s="226"/>
      <c r="AY667" s="225"/>
      <c r="AZ667" s="225"/>
      <c r="BA667" s="226"/>
      <c r="BB667" s="225"/>
      <c r="BC667" s="225"/>
      <c r="BD667" s="225"/>
      <c r="BE667" s="225"/>
      <c r="BF667" s="225"/>
      <c r="BG667" s="225"/>
      <c r="BH667" s="225"/>
      <c r="BI667" s="225"/>
      <c r="BJ667" s="225"/>
      <c r="BK667" s="225"/>
      <c r="BL667" s="225"/>
      <c r="BM667" s="225"/>
      <c r="BN667" s="225"/>
      <c r="BO667" s="225"/>
      <c r="BP667" s="225"/>
      <c r="BQ667" s="225"/>
      <c r="BR667" s="225"/>
      <c r="BS667" s="225"/>
      <c r="BT667" s="226"/>
      <c r="BU667" s="225"/>
      <c r="BV667" s="225"/>
      <c r="BW667" s="225"/>
      <c r="BX667" s="225"/>
      <c r="BY667" s="225"/>
      <c r="BZ667" s="225"/>
    </row>
    <row r="668">
      <c r="A668" s="225"/>
      <c r="B668" s="225"/>
      <c r="C668" s="225"/>
      <c r="D668" s="226"/>
      <c r="E668" s="225"/>
      <c r="F668" s="225"/>
      <c r="G668" s="225"/>
      <c r="H668" s="225"/>
      <c r="I668" s="225"/>
      <c r="J668" s="225"/>
      <c r="K668" s="244"/>
      <c r="L668" s="225"/>
      <c r="M668" s="225"/>
      <c r="N668" s="225"/>
      <c r="O668" s="225"/>
      <c r="P668" s="225"/>
      <c r="Q668" s="227"/>
      <c r="R668" s="234"/>
      <c r="S668" s="225"/>
      <c r="T668" s="225"/>
      <c r="U668" s="225"/>
      <c r="V668" s="225"/>
      <c r="W668" s="225"/>
      <c r="X668" s="225"/>
      <c r="Y668" s="229"/>
      <c r="Z668" s="257"/>
      <c r="AA668" s="225"/>
      <c r="AB668" s="257"/>
      <c r="AC668" s="257"/>
      <c r="AD668" s="226"/>
      <c r="AE668" s="259"/>
      <c r="AF668" s="347"/>
      <c r="AG668" s="232"/>
      <c r="AH668" s="257"/>
      <c r="AI668" s="225"/>
      <c r="AJ668" s="267"/>
      <c r="AK668" s="259"/>
      <c r="AL668" s="226"/>
      <c r="AM668" s="225"/>
      <c r="AN668" s="225"/>
      <c r="AO668" s="254"/>
      <c r="AP668" s="225"/>
      <c r="AQ668" s="225"/>
      <c r="AR668" s="226"/>
      <c r="AS668" s="225"/>
      <c r="AT668" s="225"/>
      <c r="AU668" s="225"/>
      <c r="AV668" s="225"/>
      <c r="AW668" s="225"/>
      <c r="AX668" s="226"/>
      <c r="AY668" s="225"/>
      <c r="AZ668" s="225"/>
      <c r="BA668" s="226"/>
      <c r="BB668" s="225"/>
      <c r="BC668" s="225"/>
      <c r="BD668" s="225"/>
      <c r="BE668" s="225"/>
      <c r="BF668" s="225"/>
      <c r="BG668" s="225"/>
      <c r="BH668" s="225"/>
      <c r="BI668" s="225"/>
      <c r="BJ668" s="225"/>
      <c r="BK668" s="225"/>
      <c r="BL668" s="225"/>
      <c r="BM668" s="225"/>
      <c r="BN668" s="225"/>
      <c r="BO668" s="225"/>
      <c r="BP668" s="225"/>
      <c r="BQ668" s="225"/>
      <c r="BR668" s="225"/>
      <c r="BS668" s="225"/>
      <c r="BT668" s="226"/>
      <c r="BU668" s="225"/>
      <c r="BV668" s="225"/>
      <c r="BW668" s="225"/>
      <c r="BX668" s="225"/>
      <c r="BY668" s="225"/>
      <c r="BZ668" s="225"/>
    </row>
    <row r="669">
      <c r="A669" s="225"/>
      <c r="B669" s="225"/>
      <c r="C669" s="225"/>
      <c r="D669" s="226"/>
      <c r="E669" s="225"/>
      <c r="F669" s="225"/>
      <c r="G669" s="225"/>
      <c r="H669" s="225"/>
      <c r="I669" s="225"/>
      <c r="J669" s="225"/>
      <c r="K669" s="244"/>
      <c r="L669" s="225"/>
      <c r="M669" s="225"/>
      <c r="N669" s="225"/>
      <c r="O669" s="225"/>
      <c r="P669" s="225"/>
      <c r="Q669" s="227"/>
      <c r="R669" s="234"/>
      <c r="S669" s="225"/>
      <c r="T669" s="225"/>
      <c r="U669" s="225"/>
      <c r="V669" s="225"/>
      <c r="W669" s="225"/>
      <c r="X669" s="225"/>
      <c r="Y669" s="229"/>
      <c r="Z669" s="257"/>
      <c r="AA669" s="225"/>
      <c r="AB669" s="257"/>
      <c r="AC669" s="257"/>
      <c r="AD669" s="226"/>
      <c r="AE669" s="259"/>
      <c r="AF669" s="347"/>
      <c r="AG669" s="232"/>
      <c r="AH669" s="257"/>
      <c r="AI669" s="225"/>
      <c r="AJ669" s="267"/>
      <c r="AK669" s="259"/>
      <c r="AL669" s="226"/>
      <c r="AM669" s="225"/>
      <c r="AN669" s="225"/>
      <c r="AO669" s="254"/>
      <c r="AP669" s="225"/>
      <c r="AQ669" s="225"/>
      <c r="AR669" s="226"/>
      <c r="AS669" s="225"/>
      <c r="AT669" s="225"/>
      <c r="AU669" s="225"/>
      <c r="AV669" s="225"/>
      <c r="AW669" s="225"/>
      <c r="AX669" s="226"/>
      <c r="AY669" s="225"/>
      <c r="AZ669" s="225"/>
      <c r="BA669" s="226"/>
      <c r="BB669" s="225"/>
      <c r="BC669" s="225"/>
      <c r="BD669" s="225"/>
      <c r="BE669" s="225"/>
      <c r="BF669" s="225"/>
      <c r="BG669" s="225"/>
      <c r="BH669" s="225"/>
      <c r="BI669" s="225"/>
      <c r="BJ669" s="225"/>
      <c r="BK669" s="225"/>
      <c r="BL669" s="225"/>
      <c r="BM669" s="225"/>
      <c r="BN669" s="225"/>
      <c r="BO669" s="225"/>
      <c r="BP669" s="225"/>
      <c r="BQ669" s="225"/>
      <c r="BR669" s="225"/>
      <c r="BS669" s="225"/>
      <c r="BT669" s="226"/>
      <c r="BU669" s="225"/>
      <c r="BV669" s="225"/>
      <c r="BW669" s="225"/>
      <c r="BX669" s="225"/>
      <c r="BY669" s="225"/>
      <c r="BZ669" s="225"/>
    </row>
    <row r="670">
      <c r="A670" s="225"/>
      <c r="B670" s="225"/>
      <c r="C670" s="225"/>
      <c r="D670" s="226"/>
      <c r="E670" s="225"/>
      <c r="F670" s="225"/>
      <c r="G670" s="225"/>
      <c r="H670" s="225"/>
      <c r="I670" s="225"/>
      <c r="J670" s="225"/>
      <c r="K670" s="244"/>
      <c r="L670" s="225"/>
      <c r="M670" s="225"/>
      <c r="N670" s="225"/>
      <c r="O670" s="225"/>
      <c r="P670" s="225"/>
      <c r="Q670" s="227"/>
      <c r="R670" s="234"/>
      <c r="S670" s="225"/>
      <c r="T670" s="225"/>
      <c r="U670" s="225"/>
      <c r="V670" s="225"/>
      <c r="W670" s="225"/>
      <c r="X670" s="225"/>
      <c r="Y670" s="229"/>
      <c r="Z670" s="257"/>
      <c r="AA670" s="225"/>
      <c r="AB670" s="257"/>
      <c r="AC670" s="257"/>
      <c r="AD670" s="226"/>
      <c r="AE670" s="259"/>
      <c r="AF670" s="347"/>
      <c r="AG670" s="232"/>
      <c r="AH670" s="257"/>
      <c r="AI670" s="225"/>
      <c r="AJ670" s="267"/>
      <c r="AK670" s="259"/>
      <c r="AL670" s="226"/>
      <c r="AM670" s="225"/>
      <c r="AN670" s="225"/>
      <c r="AO670" s="254"/>
      <c r="AP670" s="225"/>
      <c r="AQ670" s="225"/>
      <c r="AR670" s="226"/>
      <c r="AS670" s="225"/>
      <c r="AT670" s="225"/>
      <c r="AU670" s="225"/>
      <c r="AV670" s="225"/>
      <c r="AW670" s="225"/>
      <c r="AX670" s="226"/>
      <c r="AY670" s="225"/>
      <c r="AZ670" s="225"/>
      <c r="BA670" s="226"/>
      <c r="BB670" s="225"/>
      <c r="BC670" s="225"/>
      <c r="BD670" s="225"/>
      <c r="BE670" s="225"/>
      <c r="BF670" s="225"/>
      <c r="BG670" s="225"/>
      <c r="BH670" s="225"/>
      <c r="BI670" s="225"/>
      <c r="BJ670" s="225"/>
      <c r="BK670" s="225"/>
      <c r="BL670" s="225"/>
      <c r="BM670" s="225"/>
      <c r="BN670" s="225"/>
      <c r="BO670" s="225"/>
      <c r="BP670" s="225"/>
      <c r="BQ670" s="225"/>
      <c r="BR670" s="225"/>
      <c r="BS670" s="225"/>
      <c r="BT670" s="226"/>
      <c r="BU670" s="225"/>
      <c r="BV670" s="225"/>
      <c r="BW670" s="225"/>
      <c r="BX670" s="225"/>
      <c r="BY670" s="225"/>
      <c r="BZ670" s="225"/>
    </row>
    <row r="671">
      <c r="A671" s="225"/>
      <c r="B671" s="225"/>
      <c r="C671" s="225"/>
      <c r="D671" s="226"/>
      <c r="E671" s="225"/>
      <c r="F671" s="225"/>
      <c r="G671" s="225"/>
      <c r="H671" s="225"/>
      <c r="I671" s="225"/>
      <c r="J671" s="225"/>
      <c r="K671" s="244"/>
      <c r="L671" s="225"/>
      <c r="M671" s="225"/>
      <c r="N671" s="225"/>
      <c r="O671" s="225"/>
      <c r="P671" s="225"/>
      <c r="Q671" s="227"/>
      <c r="R671" s="234"/>
      <c r="S671" s="225"/>
      <c r="T671" s="225"/>
      <c r="U671" s="225"/>
      <c r="V671" s="225"/>
      <c r="W671" s="225"/>
      <c r="X671" s="225"/>
      <c r="Y671" s="229"/>
      <c r="Z671" s="257"/>
      <c r="AA671" s="225"/>
      <c r="AB671" s="257"/>
      <c r="AC671" s="257"/>
      <c r="AD671" s="226"/>
      <c r="AE671" s="259"/>
      <c r="AF671" s="347"/>
      <c r="AG671" s="232"/>
      <c r="AH671" s="257"/>
      <c r="AI671" s="225"/>
      <c r="AJ671" s="267"/>
      <c r="AK671" s="259"/>
      <c r="AL671" s="226"/>
      <c r="AM671" s="225"/>
      <c r="AN671" s="225"/>
      <c r="AO671" s="254"/>
      <c r="AP671" s="225"/>
      <c r="AQ671" s="225"/>
      <c r="AR671" s="226"/>
      <c r="AS671" s="225"/>
      <c r="AT671" s="225"/>
      <c r="AU671" s="225"/>
      <c r="AV671" s="225"/>
      <c r="AW671" s="225"/>
      <c r="AX671" s="226"/>
      <c r="AY671" s="225"/>
      <c r="AZ671" s="225"/>
      <c r="BA671" s="226"/>
      <c r="BB671" s="225"/>
      <c r="BC671" s="225"/>
      <c r="BD671" s="225"/>
      <c r="BE671" s="225"/>
      <c r="BF671" s="225"/>
      <c r="BG671" s="225"/>
      <c r="BH671" s="225"/>
      <c r="BI671" s="225"/>
      <c r="BJ671" s="225"/>
      <c r="BK671" s="225"/>
      <c r="BL671" s="225"/>
      <c r="BM671" s="225"/>
      <c r="BN671" s="225"/>
      <c r="BO671" s="225"/>
      <c r="BP671" s="225"/>
      <c r="BQ671" s="225"/>
      <c r="BR671" s="225"/>
      <c r="BS671" s="225"/>
      <c r="BT671" s="226"/>
      <c r="BU671" s="225"/>
      <c r="BV671" s="225"/>
      <c r="BW671" s="225"/>
      <c r="BX671" s="225"/>
      <c r="BY671" s="225"/>
      <c r="BZ671" s="225"/>
    </row>
    <row r="672">
      <c r="A672" s="225"/>
      <c r="B672" s="225"/>
      <c r="C672" s="225"/>
      <c r="D672" s="226"/>
      <c r="E672" s="225"/>
      <c r="F672" s="225"/>
      <c r="G672" s="225"/>
      <c r="H672" s="225"/>
      <c r="I672" s="225"/>
      <c r="J672" s="225"/>
      <c r="K672" s="244"/>
      <c r="L672" s="225"/>
      <c r="M672" s="225"/>
      <c r="N672" s="225"/>
      <c r="O672" s="225"/>
      <c r="P672" s="225"/>
      <c r="Q672" s="227"/>
      <c r="R672" s="234"/>
      <c r="S672" s="225"/>
      <c r="T672" s="225"/>
      <c r="U672" s="225"/>
      <c r="V672" s="225"/>
      <c r="W672" s="225"/>
      <c r="X672" s="225"/>
      <c r="Y672" s="229"/>
      <c r="Z672" s="257"/>
      <c r="AA672" s="225"/>
      <c r="AB672" s="257"/>
      <c r="AC672" s="257"/>
      <c r="AD672" s="226"/>
      <c r="AE672" s="259"/>
      <c r="AF672" s="347"/>
      <c r="AG672" s="232"/>
      <c r="AH672" s="257"/>
      <c r="AI672" s="225"/>
      <c r="AJ672" s="267"/>
      <c r="AK672" s="259"/>
      <c r="AL672" s="226"/>
      <c r="AM672" s="225"/>
      <c r="AN672" s="225"/>
      <c r="AO672" s="254"/>
      <c r="AP672" s="225"/>
      <c r="AQ672" s="225"/>
      <c r="AR672" s="226"/>
      <c r="AS672" s="225"/>
      <c r="AT672" s="225"/>
      <c r="AU672" s="225"/>
      <c r="AV672" s="225"/>
      <c r="AW672" s="225"/>
      <c r="AX672" s="226"/>
      <c r="AY672" s="225"/>
      <c r="AZ672" s="225"/>
      <c r="BA672" s="226"/>
      <c r="BB672" s="225"/>
      <c r="BC672" s="225"/>
      <c r="BD672" s="225"/>
      <c r="BE672" s="225"/>
      <c r="BF672" s="225"/>
      <c r="BG672" s="225"/>
      <c r="BH672" s="225"/>
      <c r="BI672" s="225"/>
      <c r="BJ672" s="225"/>
      <c r="BK672" s="225"/>
      <c r="BL672" s="225"/>
      <c r="BM672" s="225"/>
      <c r="BN672" s="225"/>
      <c r="BO672" s="225"/>
      <c r="BP672" s="225"/>
      <c r="BQ672" s="225"/>
      <c r="BR672" s="225"/>
      <c r="BS672" s="225"/>
      <c r="BT672" s="226"/>
      <c r="BU672" s="225"/>
      <c r="BV672" s="225"/>
      <c r="BW672" s="225"/>
      <c r="BX672" s="225"/>
      <c r="BY672" s="225"/>
      <c r="BZ672" s="225"/>
    </row>
    <row r="673">
      <c r="A673" s="225"/>
      <c r="B673" s="225"/>
      <c r="C673" s="225"/>
      <c r="D673" s="226"/>
      <c r="E673" s="225"/>
      <c r="F673" s="225"/>
      <c r="G673" s="225"/>
      <c r="H673" s="225"/>
      <c r="I673" s="225"/>
      <c r="J673" s="225"/>
      <c r="K673" s="244"/>
      <c r="L673" s="225"/>
      <c r="M673" s="225"/>
      <c r="N673" s="225"/>
      <c r="O673" s="225"/>
      <c r="P673" s="225"/>
      <c r="Q673" s="227"/>
      <c r="R673" s="234"/>
      <c r="S673" s="225"/>
      <c r="T673" s="225"/>
      <c r="U673" s="225"/>
      <c r="V673" s="225"/>
      <c r="W673" s="225"/>
      <c r="X673" s="225"/>
      <c r="Y673" s="229"/>
      <c r="Z673" s="257"/>
      <c r="AA673" s="225"/>
      <c r="AB673" s="257"/>
      <c r="AC673" s="257"/>
      <c r="AD673" s="226"/>
      <c r="AE673" s="259"/>
      <c r="AF673" s="347"/>
      <c r="AG673" s="232"/>
      <c r="AH673" s="257"/>
      <c r="AI673" s="225"/>
      <c r="AJ673" s="267"/>
      <c r="AK673" s="259"/>
      <c r="AL673" s="226"/>
      <c r="AM673" s="225"/>
      <c r="AN673" s="225"/>
      <c r="AO673" s="254"/>
      <c r="AP673" s="225"/>
      <c r="AQ673" s="225"/>
      <c r="AR673" s="226"/>
      <c r="AS673" s="225"/>
      <c r="AT673" s="225"/>
      <c r="AU673" s="225"/>
      <c r="AV673" s="225"/>
      <c r="AW673" s="225"/>
      <c r="AX673" s="226"/>
      <c r="AY673" s="225"/>
      <c r="AZ673" s="225"/>
      <c r="BA673" s="226"/>
      <c r="BB673" s="225"/>
      <c r="BC673" s="225"/>
      <c r="BD673" s="225"/>
      <c r="BE673" s="225"/>
      <c r="BF673" s="225"/>
      <c r="BG673" s="225"/>
      <c r="BH673" s="225"/>
      <c r="BI673" s="225"/>
      <c r="BJ673" s="225"/>
      <c r="BK673" s="225"/>
      <c r="BL673" s="225"/>
      <c r="BM673" s="225"/>
      <c r="BN673" s="225"/>
      <c r="BO673" s="225"/>
      <c r="BP673" s="225"/>
      <c r="BQ673" s="225"/>
      <c r="BR673" s="225"/>
      <c r="BS673" s="225"/>
      <c r="BT673" s="226"/>
      <c r="BU673" s="225"/>
      <c r="BV673" s="225"/>
      <c r="BW673" s="225"/>
      <c r="BX673" s="225"/>
      <c r="BY673" s="225"/>
      <c r="BZ673" s="225"/>
    </row>
    <row r="674">
      <c r="A674" s="225"/>
      <c r="B674" s="225"/>
      <c r="C674" s="225"/>
      <c r="D674" s="226"/>
      <c r="E674" s="225"/>
      <c r="F674" s="225"/>
      <c r="G674" s="225"/>
      <c r="H674" s="225"/>
      <c r="I674" s="225"/>
      <c r="J674" s="225"/>
      <c r="K674" s="244"/>
      <c r="L674" s="225"/>
      <c r="M674" s="225"/>
      <c r="N674" s="225"/>
      <c r="O674" s="225"/>
      <c r="P674" s="225"/>
      <c r="Q674" s="227"/>
      <c r="R674" s="234"/>
      <c r="S674" s="225"/>
      <c r="T674" s="225"/>
      <c r="U674" s="225"/>
      <c r="V674" s="225"/>
      <c r="W674" s="225"/>
      <c r="X674" s="225"/>
      <c r="Y674" s="229"/>
      <c r="Z674" s="257"/>
      <c r="AA674" s="225"/>
      <c r="AB674" s="257"/>
      <c r="AC674" s="257"/>
      <c r="AD674" s="226"/>
      <c r="AE674" s="259"/>
      <c r="AF674" s="347"/>
      <c r="AG674" s="232"/>
      <c r="AH674" s="257"/>
      <c r="AI674" s="225"/>
      <c r="AJ674" s="267"/>
      <c r="AK674" s="259"/>
      <c r="AL674" s="226"/>
      <c r="AM674" s="225"/>
      <c r="AN674" s="225"/>
      <c r="AO674" s="254"/>
      <c r="AP674" s="225"/>
      <c r="AQ674" s="225"/>
      <c r="AR674" s="226"/>
      <c r="AS674" s="225"/>
      <c r="AT674" s="225"/>
      <c r="AU674" s="225"/>
      <c r="AV674" s="225"/>
      <c r="AW674" s="225"/>
      <c r="AX674" s="226"/>
      <c r="AY674" s="225"/>
      <c r="AZ674" s="225"/>
      <c r="BA674" s="226"/>
      <c r="BB674" s="225"/>
      <c r="BC674" s="225"/>
      <c r="BD674" s="225"/>
      <c r="BE674" s="225"/>
      <c r="BF674" s="225"/>
      <c r="BG674" s="225"/>
      <c r="BH674" s="225"/>
      <c r="BI674" s="225"/>
      <c r="BJ674" s="225"/>
      <c r="BK674" s="225"/>
      <c r="BL674" s="225"/>
      <c r="BM674" s="225"/>
      <c r="BN674" s="225"/>
      <c r="BO674" s="225"/>
      <c r="BP674" s="225"/>
      <c r="BQ674" s="225"/>
      <c r="BR674" s="225"/>
      <c r="BS674" s="225"/>
      <c r="BT674" s="226"/>
      <c r="BU674" s="225"/>
      <c r="BV674" s="225"/>
      <c r="BW674" s="225"/>
      <c r="BX674" s="225"/>
      <c r="BY674" s="225"/>
      <c r="BZ674" s="225"/>
    </row>
    <row r="675">
      <c r="A675" s="225"/>
      <c r="B675" s="225"/>
      <c r="C675" s="225"/>
      <c r="D675" s="226"/>
      <c r="E675" s="225"/>
      <c r="F675" s="225"/>
      <c r="G675" s="225"/>
      <c r="H675" s="225"/>
      <c r="I675" s="225"/>
      <c r="J675" s="225"/>
      <c r="K675" s="244"/>
      <c r="L675" s="225"/>
      <c r="M675" s="225"/>
      <c r="N675" s="225"/>
      <c r="O675" s="225"/>
      <c r="P675" s="225"/>
      <c r="Q675" s="227"/>
      <c r="R675" s="234"/>
      <c r="S675" s="225"/>
      <c r="T675" s="225"/>
      <c r="U675" s="225"/>
      <c r="V675" s="225"/>
      <c r="W675" s="225"/>
      <c r="X675" s="225"/>
      <c r="Y675" s="229"/>
      <c r="Z675" s="257"/>
      <c r="AA675" s="225"/>
      <c r="AB675" s="257"/>
      <c r="AC675" s="257"/>
      <c r="AD675" s="226"/>
      <c r="AE675" s="259"/>
      <c r="AF675" s="347"/>
      <c r="AG675" s="232"/>
      <c r="AH675" s="257"/>
      <c r="AI675" s="225"/>
      <c r="AJ675" s="267"/>
      <c r="AK675" s="259"/>
      <c r="AL675" s="226"/>
      <c r="AM675" s="225"/>
      <c r="AN675" s="225"/>
      <c r="AO675" s="254"/>
      <c r="AP675" s="225"/>
      <c r="AQ675" s="225"/>
      <c r="AR675" s="226"/>
      <c r="AS675" s="225"/>
      <c r="AT675" s="225"/>
      <c r="AU675" s="225"/>
      <c r="AV675" s="225"/>
      <c r="AW675" s="225"/>
      <c r="AX675" s="226"/>
      <c r="AY675" s="225"/>
      <c r="AZ675" s="225"/>
      <c r="BA675" s="226"/>
      <c r="BB675" s="225"/>
      <c r="BC675" s="225"/>
      <c r="BD675" s="225"/>
      <c r="BE675" s="225"/>
      <c r="BF675" s="225"/>
      <c r="BG675" s="225"/>
      <c r="BH675" s="225"/>
      <c r="BI675" s="225"/>
      <c r="BJ675" s="225"/>
      <c r="BK675" s="225"/>
      <c r="BL675" s="225"/>
      <c r="BM675" s="225"/>
      <c r="BN675" s="225"/>
      <c r="BO675" s="225"/>
      <c r="BP675" s="225"/>
      <c r="BQ675" s="225"/>
      <c r="BR675" s="225"/>
      <c r="BS675" s="225"/>
      <c r="BT675" s="226"/>
      <c r="BU675" s="225"/>
      <c r="BV675" s="225"/>
      <c r="BW675" s="225"/>
      <c r="BX675" s="225"/>
      <c r="BY675" s="225"/>
      <c r="BZ675" s="225"/>
    </row>
    <row r="676">
      <c r="A676" s="225"/>
      <c r="B676" s="225"/>
      <c r="C676" s="225"/>
      <c r="D676" s="226"/>
      <c r="E676" s="225"/>
      <c r="F676" s="225"/>
      <c r="G676" s="225"/>
      <c r="H676" s="225"/>
      <c r="I676" s="225"/>
      <c r="J676" s="225"/>
      <c r="K676" s="244"/>
      <c r="L676" s="225"/>
      <c r="M676" s="225"/>
      <c r="N676" s="225"/>
      <c r="O676" s="225"/>
      <c r="P676" s="225"/>
      <c r="Q676" s="227"/>
      <c r="R676" s="234"/>
      <c r="S676" s="225"/>
      <c r="T676" s="225"/>
      <c r="U676" s="225"/>
      <c r="V676" s="225"/>
      <c r="W676" s="225"/>
      <c r="X676" s="225"/>
      <c r="Y676" s="229"/>
      <c r="Z676" s="257"/>
      <c r="AA676" s="225"/>
      <c r="AB676" s="257"/>
      <c r="AC676" s="257"/>
      <c r="AD676" s="226"/>
      <c r="AE676" s="259"/>
      <c r="AF676" s="347"/>
      <c r="AG676" s="232"/>
      <c r="AH676" s="257"/>
      <c r="AI676" s="225"/>
      <c r="AJ676" s="267"/>
      <c r="AK676" s="259"/>
      <c r="AL676" s="226"/>
      <c r="AM676" s="225"/>
      <c r="AN676" s="225"/>
      <c r="AO676" s="254"/>
      <c r="AP676" s="225"/>
      <c r="AQ676" s="225"/>
      <c r="AR676" s="226"/>
      <c r="AS676" s="225"/>
      <c r="AT676" s="225"/>
      <c r="AU676" s="225"/>
      <c r="AV676" s="225"/>
      <c r="AW676" s="225"/>
      <c r="AX676" s="226"/>
      <c r="AY676" s="225"/>
      <c r="AZ676" s="225"/>
      <c r="BA676" s="226"/>
      <c r="BB676" s="225"/>
      <c r="BC676" s="225"/>
      <c r="BD676" s="225"/>
      <c r="BE676" s="225"/>
      <c r="BF676" s="225"/>
      <c r="BG676" s="225"/>
      <c r="BH676" s="225"/>
      <c r="BI676" s="225"/>
      <c r="BJ676" s="225"/>
      <c r="BK676" s="225"/>
      <c r="BL676" s="225"/>
      <c r="BM676" s="225"/>
      <c r="BN676" s="225"/>
      <c r="BO676" s="225"/>
      <c r="BP676" s="225"/>
      <c r="BQ676" s="225"/>
      <c r="BR676" s="225"/>
      <c r="BS676" s="225"/>
      <c r="BT676" s="226"/>
      <c r="BU676" s="225"/>
      <c r="BV676" s="225"/>
      <c r="BW676" s="225"/>
      <c r="BX676" s="225"/>
      <c r="BY676" s="225"/>
      <c r="BZ676" s="225"/>
    </row>
    <row r="677">
      <c r="A677" s="225"/>
      <c r="B677" s="225"/>
      <c r="C677" s="225"/>
      <c r="D677" s="226"/>
      <c r="E677" s="225"/>
      <c r="F677" s="225"/>
      <c r="G677" s="225"/>
      <c r="H677" s="225"/>
      <c r="I677" s="225"/>
      <c r="J677" s="225"/>
      <c r="K677" s="244"/>
      <c r="L677" s="225"/>
      <c r="M677" s="225"/>
      <c r="N677" s="225"/>
      <c r="O677" s="225"/>
      <c r="P677" s="225"/>
      <c r="Q677" s="227"/>
      <c r="R677" s="234"/>
      <c r="S677" s="225"/>
      <c r="T677" s="225"/>
      <c r="U677" s="225"/>
      <c r="V677" s="225"/>
      <c r="W677" s="225"/>
      <c r="X677" s="225"/>
      <c r="Y677" s="229"/>
      <c r="Z677" s="257"/>
      <c r="AA677" s="225"/>
      <c r="AB677" s="257"/>
      <c r="AC677" s="257"/>
      <c r="AD677" s="226"/>
      <c r="AE677" s="259"/>
      <c r="AF677" s="347"/>
      <c r="AG677" s="232"/>
      <c r="AH677" s="257"/>
      <c r="AI677" s="225"/>
      <c r="AJ677" s="267"/>
      <c r="AK677" s="259"/>
      <c r="AL677" s="226"/>
      <c r="AM677" s="225"/>
      <c r="AN677" s="225"/>
      <c r="AO677" s="254"/>
      <c r="AP677" s="225"/>
      <c r="AQ677" s="225"/>
      <c r="AR677" s="226"/>
      <c r="AS677" s="225"/>
      <c r="AT677" s="225"/>
      <c r="AU677" s="225"/>
      <c r="AV677" s="225"/>
      <c r="AW677" s="225"/>
      <c r="AX677" s="226"/>
      <c r="AY677" s="225"/>
      <c r="AZ677" s="225"/>
      <c r="BA677" s="226"/>
      <c r="BB677" s="225"/>
      <c r="BC677" s="225"/>
      <c r="BD677" s="225"/>
      <c r="BE677" s="225"/>
      <c r="BF677" s="225"/>
      <c r="BG677" s="225"/>
      <c r="BH677" s="225"/>
      <c r="BI677" s="225"/>
      <c r="BJ677" s="225"/>
      <c r="BK677" s="225"/>
      <c r="BL677" s="225"/>
      <c r="BM677" s="225"/>
      <c r="BN677" s="225"/>
      <c r="BO677" s="225"/>
      <c r="BP677" s="225"/>
      <c r="BQ677" s="225"/>
      <c r="BR677" s="225"/>
      <c r="BS677" s="225"/>
      <c r="BT677" s="226"/>
      <c r="BU677" s="225"/>
      <c r="BV677" s="225"/>
      <c r="BW677" s="225"/>
      <c r="BX677" s="225"/>
      <c r="BY677" s="225"/>
      <c r="BZ677" s="225"/>
    </row>
    <row r="678">
      <c r="A678" s="225"/>
      <c r="B678" s="225"/>
      <c r="C678" s="225"/>
      <c r="D678" s="226"/>
      <c r="E678" s="225"/>
      <c r="F678" s="225"/>
      <c r="G678" s="225"/>
      <c r="H678" s="225"/>
      <c r="I678" s="225"/>
      <c r="J678" s="225"/>
      <c r="K678" s="244"/>
      <c r="L678" s="225"/>
      <c r="M678" s="225"/>
      <c r="N678" s="225"/>
      <c r="O678" s="225"/>
      <c r="P678" s="225"/>
      <c r="Q678" s="227"/>
      <c r="R678" s="234"/>
      <c r="S678" s="225"/>
      <c r="T678" s="225"/>
      <c r="U678" s="225"/>
      <c r="V678" s="225"/>
      <c r="W678" s="225"/>
      <c r="X678" s="225"/>
      <c r="Y678" s="229"/>
      <c r="Z678" s="257"/>
      <c r="AA678" s="225"/>
      <c r="AB678" s="257"/>
      <c r="AC678" s="257"/>
      <c r="AD678" s="226"/>
      <c r="AE678" s="259"/>
      <c r="AF678" s="347"/>
      <c r="AG678" s="232"/>
      <c r="AH678" s="257"/>
      <c r="AI678" s="225"/>
      <c r="AJ678" s="267"/>
      <c r="AK678" s="259"/>
      <c r="AL678" s="226"/>
      <c r="AM678" s="225"/>
      <c r="AN678" s="225"/>
      <c r="AO678" s="254"/>
      <c r="AP678" s="225"/>
      <c r="AQ678" s="225"/>
      <c r="AR678" s="226"/>
      <c r="AS678" s="225"/>
      <c r="AT678" s="225"/>
      <c r="AU678" s="225"/>
      <c r="AV678" s="225"/>
      <c r="AW678" s="225"/>
      <c r="AX678" s="226"/>
      <c r="AY678" s="225"/>
      <c r="AZ678" s="225"/>
      <c r="BA678" s="226"/>
      <c r="BB678" s="225"/>
      <c r="BC678" s="225"/>
      <c r="BD678" s="225"/>
      <c r="BE678" s="225"/>
      <c r="BF678" s="225"/>
      <c r="BG678" s="225"/>
      <c r="BH678" s="225"/>
      <c r="BI678" s="225"/>
      <c r="BJ678" s="225"/>
      <c r="BK678" s="225"/>
      <c r="BL678" s="225"/>
      <c r="BM678" s="225"/>
      <c r="BN678" s="225"/>
      <c r="BO678" s="225"/>
      <c r="BP678" s="225"/>
      <c r="BQ678" s="225"/>
      <c r="BR678" s="225"/>
      <c r="BS678" s="225"/>
      <c r="BT678" s="226"/>
      <c r="BU678" s="225"/>
      <c r="BV678" s="225"/>
      <c r="BW678" s="225"/>
      <c r="BX678" s="225"/>
      <c r="BY678" s="225"/>
      <c r="BZ678" s="225"/>
    </row>
    <row r="679">
      <c r="A679" s="225"/>
      <c r="B679" s="225"/>
      <c r="C679" s="225"/>
      <c r="D679" s="226"/>
      <c r="E679" s="225"/>
      <c r="F679" s="225"/>
      <c r="G679" s="225"/>
      <c r="H679" s="225"/>
      <c r="I679" s="225"/>
      <c r="J679" s="225"/>
      <c r="K679" s="244"/>
      <c r="L679" s="225"/>
      <c r="M679" s="225"/>
      <c r="N679" s="225"/>
      <c r="O679" s="225"/>
      <c r="P679" s="225"/>
      <c r="Q679" s="227"/>
      <c r="R679" s="234"/>
      <c r="S679" s="225"/>
      <c r="T679" s="225"/>
      <c r="U679" s="225"/>
      <c r="V679" s="225"/>
      <c r="W679" s="225"/>
      <c r="X679" s="225"/>
      <c r="Y679" s="229"/>
      <c r="Z679" s="257"/>
      <c r="AA679" s="225"/>
      <c r="AB679" s="257"/>
      <c r="AC679" s="257"/>
      <c r="AD679" s="226"/>
      <c r="AE679" s="259"/>
      <c r="AF679" s="347"/>
      <c r="AG679" s="232"/>
      <c r="AH679" s="257"/>
      <c r="AI679" s="225"/>
      <c r="AJ679" s="267"/>
      <c r="AK679" s="259"/>
      <c r="AL679" s="226"/>
      <c r="AM679" s="225"/>
      <c r="AN679" s="225"/>
      <c r="AO679" s="254"/>
      <c r="AP679" s="225"/>
      <c r="AQ679" s="225"/>
      <c r="AR679" s="226"/>
      <c r="AS679" s="225"/>
      <c r="AT679" s="225"/>
      <c r="AU679" s="225"/>
      <c r="AV679" s="225"/>
      <c r="AW679" s="225"/>
      <c r="AX679" s="226"/>
      <c r="AY679" s="225"/>
      <c r="AZ679" s="225"/>
      <c r="BA679" s="226"/>
      <c r="BB679" s="225"/>
      <c r="BC679" s="225"/>
      <c r="BD679" s="225"/>
      <c r="BE679" s="225"/>
      <c r="BF679" s="225"/>
      <c r="BG679" s="225"/>
      <c r="BH679" s="225"/>
      <c r="BI679" s="225"/>
      <c r="BJ679" s="225"/>
      <c r="BK679" s="225"/>
      <c r="BL679" s="225"/>
      <c r="BM679" s="225"/>
      <c r="BN679" s="225"/>
      <c r="BO679" s="225"/>
      <c r="BP679" s="225"/>
      <c r="BQ679" s="225"/>
      <c r="BR679" s="225"/>
      <c r="BS679" s="225"/>
      <c r="BT679" s="226"/>
      <c r="BU679" s="225"/>
      <c r="BV679" s="225"/>
      <c r="BW679" s="225"/>
      <c r="BX679" s="225"/>
      <c r="BY679" s="225"/>
      <c r="BZ679" s="225"/>
    </row>
    <row r="680">
      <c r="A680" s="225"/>
      <c r="B680" s="225"/>
      <c r="C680" s="225"/>
      <c r="D680" s="226"/>
      <c r="E680" s="225"/>
      <c r="F680" s="225"/>
      <c r="G680" s="225"/>
      <c r="H680" s="225"/>
      <c r="I680" s="225"/>
      <c r="J680" s="225"/>
      <c r="K680" s="244"/>
      <c r="L680" s="225"/>
      <c r="M680" s="225"/>
      <c r="N680" s="225"/>
      <c r="O680" s="225"/>
      <c r="P680" s="225"/>
      <c r="Q680" s="227"/>
      <c r="R680" s="234"/>
      <c r="S680" s="225"/>
      <c r="T680" s="225"/>
      <c r="U680" s="225"/>
      <c r="V680" s="225"/>
      <c r="W680" s="225"/>
      <c r="X680" s="225"/>
      <c r="Y680" s="229"/>
      <c r="Z680" s="257"/>
      <c r="AA680" s="225"/>
      <c r="AB680" s="257"/>
      <c r="AC680" s="257"/>
      <c r="AD680" s="226"/>
      <c r="AE680" s="259"/>
      <c r="AF680" s="347"/>
      <c r="AG680" s="232"/>
      <c r="AH680" s="257"/>
      <c r="AI680" s="225"/>
      <c r="AJ680" s="267"/>
      <c r="AK680" s="259"/>
      <c r="AL680" s="226"/>
      <c r="AM680" s="225"/>
      <c r="AN680" s="225"/>
      <c r="AO680" s="254"/>
      <c r="AP680" s="225"/>
      <c r="AQ680" s="225"/>
      <c r="AR680" s="226"/>
      <c r="AS680" s="225"/>
      <c r="AT680" s="225"/>
      <c r="AU680" s="225"/>
      <c r="AV680" s="225"/>
      <c r="AW680" s="225"/>
      <c r="AX680" s="226"/>
      <c r="AY680" s="225"/>
      <c r="AZ680" s="225"/>
      <c r="BA680" s="226"/>
      <c r="BB680" s="225"/>
      <c r="BC680" s="225"/>
      <c r="BD680" s="225"/>
      <c r="BE680" s="225"/>
      <c r="BF680" s="225"/>
      <c r="BG680" s="225"/>
      <c r="BH680" s="225"/>
      <c r="BI680" s="225"/>
      <c r="BJ680" s="225"/>
      <c r="BK680" s="225"/>
      <c r="BL680" s="225"/>
      <c r="BM680" s="225"/>
      <c r="BN680" s="225"/>
      <c r="BO680" s="225"/>
      <c r="BP680" s="225"/>
      <c r="BQ680" s="225"/>
      <c r="BR680" s="225"/>
      <c r="BS680" s="225"/>
      <c r="BT680" s="226"/>
      <c r="BU680" s="225"/>
      <c r="BV680" s="225"/>
      <c r="BW680" s="225"/>
      <c r="BX680" s="225"/>
      <c r="BY680" s="225"/>
      <c r="BZ680" s="225"/>
    </row>
    <row r="681">
      <c r="A681" s="225"/>
      <c r="B681" s="225"/>
      <c r="C681" s="225"/>
      <c r="D681" s="226"/>
      <c r="E681" s="225"/>
      <c r="F681" s="225"/>
      <c r="G681" s="225"/>
      <c r="H681" s="225"/>
      <c r="I681" s="225"/>
      <c r="J681" s="225"/>
      <c r="K681" s="244"/>
      <c r="L681" s="225"/>
      <c r="M681" s="225"/>
      <c r="N681" s="225"/>
      <c r="O681" s="225"/>
      <c r="P681" s="225"/>
      <c r="Q681" s="227"/>
      <c r="R681" s="234"/>
      <c r="S681" s="225"/>
      <c r="T681" s="225"/>
      <c r="U681" s="225"/>
      <c r="V681" s="225"/>
      <c r="W681" s="225"/>
      <c r="X681" s="225"/>
      <c r="Y681" s="229"/>
      <c r="Z681" s="257"/>
      <c r="AA681" s="225"/>
      <c r="AB681" s="257"/>
      <c r="AC681" s="257"/>
      <c r="AD681" s="226"/>
      <c r="AE681" s="259"/>
      <c r="AF681" s="347"/>
      <c r="AG681" s="232"/>
      <c r="AH681" s="257"/>
      <c r="AI681" s="225"/>
      <c r="AJ681" s="267"/>
      <c r="AK681" s="259"/>
      <c r="AL681" s="226"/>
      <c r="AM681" s="225"/>
      <c r="AN681" s="225"/>
      <c r="AO681" s="254"/>
      <c r="AP681" s="225"/>
      <c r="AQ681" s="225"/>
      <c r="AR681" s="226"/>
      <c r="AS681" s="225"/>
      <c r="AT681" s="225"/>
      <c r="AU681" s="225"/>
      <c r="AV681" s="225"/>
      <c r="AW681" s="225"/>
      <c r="AX681" s="226"/>
      <c r="AY681" s="225"/>
      <c r="AZ681" s="225"/>
      <c r="BA681" s="226"/>
      <c r="BB681" s="225"/>
      <c r="BC681" s="225"/>
      <c r="BD681" s="225"/>
      <c r="BE681" s="225"/>
      <c r="BF681" s="225"/>
      <c r="BG681" s="225"/>
      <c r="BH681" s="225"/>
      <c r="BI681" s="225"/>
      <c r="BJ681" s="225"/>
      <c r="BK681" s="225"/>
      <c r="BL681" s="225"/>
      <c r="BM681" s="225"/>
      <c r="BN681" s="225"/>
      <c r="BO681" s="225"/>
      <c r="BP681" s="225"/>
      <c r="BQ681" s="225"/>
      <c r="BR681" s="225"/>
      <c r="BS681" s="225"/>
      <c r="BT681" s="226"/>
      <c r="BU681" s="225"/>
      <c r="BV681" s="225"/>
      <c r="BW681" s="225"/>
      <c r="BX681" s="225"/>
      <c r="BY681" s="225"/>
      <c r="BZ681" s="225"/>
    </row>
    <row r="682">
      <c r="A682" s="225"/>
      <c r="B682" s="225"/>
      <c r="C682" s="225"/>
      <c r="D682" s="226"/>
      <c r="E682" s="225"/>
      <c r="F682" s="225"/>
      <c r="G682" s="225"/>
      <c r="H682" s="225"/>
      <c r="I682" s="225"/>
      <c r="J682" s="225"/>
      <c r="K682" s="244"/>
      <c r="L682" s="225"/>
      <c r="M682" s="225"/>
      <c r="N682" s="225"/>
      <c r="O682" s="225"/>
      <c r="P682" s="225"/>
      <c r="Q682" s="227"/>
      <c r="R682" s="234"/>
      <c r="S682" s="225"/>
      <c r="T682" s="225"/>
      <c r="U682" s="225"/>
      <c r="V682" s="225"/>
      <c r="W682" s="225"/>
      <c r="X682" s="225"/>
      <c r="Y682" s="229"/>
      <c r="Z682" s="257"/>
      <c r="AA682" s="225"/>
      <c r="AB682" s="257"/>
      <c r="AC682" s="257"/>
      <c r="AD682" s="226"/>
      <c r="AE682" s="259"/>
      <c r="AF682" s="347"/>
      <c r="AG682" s="232"/>
      <c r="AH682" s="257"/>
      <c r="AI682" s="225"/>
      <c r="AJ682" s="267"/>
      <c r="AK682" s="259"/>
      <c r="AL682" s="226"/>
      <c r="AM682" s="225"/>
      <c r="AN682" s="225"/>
      <c r="AO682" s="254"/>
      <c r="AP682" s="225"/>
      <c r="AQ682" s="225"/>
      <c r="AR682" s="226"/>
      <c r="AS682" s="225"/>
      <c r="AT682" s="225"/>
      <c r="AU682" s="225"/>
      <c r="AV682" s="225"/>
      <c r="AW682" s="225"/>
      <c r="AX682" s="226"/>
      <c r="AY682" s="225"/>
      <c r="AZ682" s="225"/>
      <c r="BA682" s="226"/>
      <c r="BB682" s="225"/>
      <c r="BC682" s="225"/>
      <c r="BD682" s="225"/>
      <c r="BE682" s="225"/>
      <c r="BF682" s="225"/>
      <c r="BG682" s="225"/>
      <c r="BH682" s="225"/>
      <c r="BI682" s="225"/>
      <c r="BJ682" s="225"/>
      <c r="BK682" s="225"/>
      <c r="BL682" s="225"/>
      <c r="BM682" s="225"/>
      <c r="BN682" s="225"/>
      <c r="BO682" s="225"/>
      <c r="BP682" s="225"/>
      <c r="BQ682" s="225"/>
      <c r="BR682" s="225"/>
      <c r="BS682" s="225"/>
      <c r="BT682" s="226"/>
      <c r="BU682" s="225"/>
      <c r="BV682" s="225"/>
      <c r="BW682" s="225"/>
      <c r="BX682" s="225"/>
      <c r="BY682" s="225"/>
      <c r="BZ682" s="225"/>
    </row>
    <row r="683">
      <c r="A683" s="225"/>
      <c r="B683" s="225"/>
      <c r="C683" s="225"/>
      <c r="D683" s="226"/>
      <c r="E683" s="225"/>
      <c r="F683" s="225"/>
      <c r="G683" s="225"/>
      <c r="H683" s="225"/>
      <c r="I683" s="225"/>
      <c r="J683" s="225"/>
      <c r="K683" s="244"/>
      <c r="L683" s="225"/>
      <c r="M683" s="225"/>
      <c r="N683" s="225"/>
      <c r="O683" s="225"/>
      <c r="P683" s="225"/>
      <c r="Q683" s="227"/>
      <c r="R683" s="234"/>
      <c r="S683" s="225"/>
      <c r="T683" s="225"/>
      <c r="U683" s="225"/>
      <c r="V683" s="225"/>
      <c r="W683" s="225"/>
      <c r="X683" s="225"/>
      <c r="Y683" s="229"/>
      <c r="Z683" s="257"/>
      <c r="AA683" s="225"/>
      <c r="AB683" s="257"/>
      <c r="AC683" s="257"/>
      <c r="AD683" s="226"/>
      <c r="AE683" s="259"/>
      <c r="AF683" s="347"/>
      <c r="AG683" s="232"/>
      <c r="AH683" s="257"/>
      <c r="AI683" s="225"/>
      <c r="AJ683" s="267"/>
      <c r="AK683" s="259"/>
      <c r="AL683" s="226"/>
      <c r="AM683" s="225"/>
      <c r="AN683" s="225"/>
      <c r="AO683" s="254"/>
      <c r="AP683" s="225"/>
      <c r="AQ683" s="225"/>
      <c r="AR683" s="226"/>
      <c r="AS683" s="225"/>
      <c r="AT683" s="225"/>
      <c r="AU683" s="225"/>
      <c r="AV683" s="225"/>
      <c r="AW683" s="225"/>
      <c r="AX683" s="226"/>
      <c r="AY683" s="225"/>
      <c r="AZ683" s="225"/>
      <c r="BA683" s="226"/>
      <c r="BB683" s="225"/>
      <c r="BC683" s="225"/>
      <c r="BD683" s="225"/>
      <c r="BE683" s="225"/>
      <c r="BF683" s="225"/>
      <c r="BG683" s="225"/>
      <c r="BH683" s="225"/>
      <c r="BI683" s="225"/>
      <c r="BJ683" s="225"/>
      <c r="BK683" s="225"/>
      <c r="BL683" s="225"/>
      <c r="BM683" s="225"/>
      <c r="BN683" s="225"/>
      <c r="BO683" s="225"/>
      <c r="BP683" s="225"/>
      <c r="BQ683" s="225"/>
      <c r="BR683" s="225"/>
      <c r="BS683" s="225"/>
      <c r="BT683" s="226"/>
      <c r="BU683" s="225"/>
      <c r="BV683" s="225"/>
      <c r="BW683" s="225"/>
      <c r="BX683" s="225"/>
      <c r="BY683" s="225"/>
      <c r="BZ683" s="225"/>
    </row>
    <row r="684">
      <c r="A684" s="225"/>
      <c r="B684" s="225"/>
      <c r="C684" s="225"/>
      <c r="D684" s="226"/>
      <c r="E684" s="225"/>
      <c r="F684" s="225"/>
      <c r="G684" s="225"/>
      <c r="H684" s="225"/>
      <c r="I684" s="225"/>
      <c r="J684" s="225"/>
      <c r="K684" s="244"/>
      <c r="L684" s="225"/>
      <c r="M684" s="225"/>
      <c r="N684" s="225"/>
      <c r="O684" s="225"/>
      <c r="P684" s="225"/>
      <c r="Q684" s="227"/>
      <c r="R684" s="234"/>
      <c r="S684" s="225"/>
      <c r="T684" s="225"/>
      <c r="U684" s="225"/>
      <c r="V684" s="225"/>
      <c r="W684" s="225"/>
      <c r="X684" s="225"/>
      <c r="Y684" s="229"/>
      <c r="Z684" s="257"/>
      <c r="AA684" s="225"/>
      <c r="AB684" s="257"/>
      <c r="AC684" s="257"/>
      <c r="AD684" s="226"/>
      <c r="AE684" s="259"/>
      <c r="AF684" s="347"/>
      <c r="AG684" s="232"/>
      <c r="AH684" s="257"/>
      <c r="AI684" s="225"/>
      <c r="AJ684" s="267"/>
      <c r="AK684" s="259"/>
      <c r="AL684" s="226"/>
      <c r="AM684" s="225"/>
      <c r="AN684" s="225"/>
      <c r="AO684" s="254"/>
      <c r="AP684" s="225"/>
      <c r="AQ684" s="225"/>
      <c r="AR684" s="226"/>
      <c r="AS684" s="225"/>
      <c r="AT684" s="225"/>
      <c r="AU684" s="225"/>
      <c r="AV684" s="225"/>
      <c r="AW684" s="225"/>
      <c r="AX684" s="226"/>
      <c r="AY684" s="225"/>
      <c r="AZ684" s="225"/>
      <c r="BA684" s="226"/>
      <c r="BB684" s="225"/>
      <c r="BC684" s="225"/>
      <c r="BD684" s="225"/>
      <c r="BE684" s="225"/>
      <c r="BF684" s="225"/>
      <c r="BG684" s="225"/>
      <c r="BH684" s="225"/>
      <c r="BI684" s="225"/>
      <c r="BJ684" s="225"/>
      <c r="BK684" s="225"/>
      <c r="BL684" s="225"/>
      <c r="BM684" s="225"/>
      <c r="BN684" s="225"/>
      <c r="BO684" s="225"/>
      <c r="BP684" s="225"/>
      <c r="BQ684" s="225"/>
      <c r="BR684" s="225"/>
      <c r="BS684" s="225"/>
      <c r="BT684" s="226"/>
      <c r="BU684" s="225"/>
      <c r="BV684" s="225"/>
      <c r="BW684" s="225"/>
      <c r="BX684" s="225"/>
      <c r="BY684" s="225"/>
      <c r="BZ684" s="225"/>
    </row>
    <row r="685">
      <c r="A685" s="225"/>
      <c r="B685" s="225"/>
      <c r="C685" s="225"/>
      <c r="D685" s="226"/>
      <c r="E685" s="225"/>
      <c r="F685" s="225"/>
      <c r="G685" s="225"/>
      <c r="H685" s="225"/>
      <c r="I685" s="225"/>
      <c r="J685" s="225"/>
      <c r="K685" s="244"/>
      <c r="L685" s="225"/>
      <c r="M685" s="225"/>
      <c r="N685" s="225"/>
      <c r="O685" s="225"/>
      <c r="P685" s="225"/>
      <c r="Q685" s="227"/>
      <c r="R685" s="234"/>
      <c r="S685" s="225"/>
      <c r="T685" s="225"/>
      <c r="U685" s="225"/>
      <c r="V685" s="225"/>
      <c r="W685" s="225"/>
      <c r="X685" s="225"/>
      <c r="Y685" s="229"/>
      <c r="Z685" s="257"/>
      <c r="AA685" s="225"/>
      <c r="AB685" s="257"/>
      <c r="AC685" s="257"/>
      <c r="AD685" s="226"/>
      <c r="AE685" s="259"/>
      <c r="AF685" s="347"/>
      <c r="AG685" s="232"/>
      <c r="AH685" s="257"/>
      <c r="AI685" s="225"/>
      <c r="AJ685" s="267"/>
      <c r="AK685" s="259"/>
      <c r="AL685" s="226"/>
      <c r="AM685" s="225"/>
      <c r="AN685" s="225"/>
      <c r="AO685" s="254"/>
      <c r="AP685" s="225"/>
      <c r="AQ685" s="225"/>
      <c r="AR685" s="226"/>
      <c r="AS685" s="225"/>
      <c r="AT685" s="225"/>
      <c r="AU685" s="225"/>
      <c r="AV685" s="225"/>
      <c r="AW685" s="225"/>
      <c r="AX685" s="226"/>
      <c r="AY685" s="225"/>
      <c r="AZ685" s="225"/>
      <c r="BA685" s="226"/>
      <c r="BB685" s="225"/>
      <c r="BC685" s="225"/>
      <c r="BD685" s="225"/>
      <c r="BE685" s="225"/>
      <c r="BF685" s="225"/>
      <c r="BG685" s="225"/>
      <c r="BH685" s="225"/>
      <c r="BI685" s="225"/>
      <c r="BJ685" s="225"/>
      <c r="BK685" s="225"/>
      <c r="BL685" s="225"/>
      <c r="BM685" s="225"/>
      <c r="BN685" s="225"/>
      <c r="BO685" s="225"/>
      <c r="BP685" s="225"/>
      <c r="BQ685" s="225"/>
      <c r="BR685" s="225"/>
      <c r="BS685" s="225"/>
      <c r="BT685" s="226"/>
      <c r="BU685" s="225"/>
      <c r="BV685" s="225"/>
      <c r="BW685" s="225"/>
      <c r="BX685" s="225"/>
      <c r="BY685" s="225"/>
      <c r="BZ685" s="225"/>
    </row>
    <row r="686">
      <c r="A686" s="225"/>
      <c r="B686" s="225"/>
      <c r="C686" s="225"/>
      <c r="D686" s="226"/>
      <c r="E686" s="225"/>
      <c r="F686" s="225"/>
      <c r="G686" s="225"/>
      <c r="H686" s="225"/>
      <c r="I686" s="225"/>
      <c r="J686" s="225"/>
      <c r="K686" s="244"/>
      <c r="L686" s="225"/>
      <c r="M686" s="225"/>
      <c r="N686" s="225"/>
      <c r="O686" s="225"/>
      <c r="P686" s="225"/>
      <c r="Q686" s="227"/>
      <c r="R686" s="234"/>
      <c r="S686" s="225"/>
      <c r="T686" s="225"/>
      <c r="U686" s="225"/>
      <c r="V686" s="225"/>
      <c r="W686" s="225"/>
      <c r="X686" s="225"/>
      <c r="Y686" s="229"/>
      <c r="Z686" s="257"/>
      <c r="AA686" s="225"/>
      <c r="AB686" s="257"/>
      <c r="AC686" s="257"/>
      <c r="AD686" s="226"/>
      <c r="AE686" s="259"/>
      <c r="AF686" s="347"/>
      <c r="AG686" s="232"/>
      <c r="AH686" s="257"/>
      <c r="AI686" s="225"/>
      <c r="AJ686" s="267"/>
      <c r="AK686" s="259"/>
      <c r="AL686" s="226"/>
      <c r="AM686" s="225"/>
      <c r="AN686" s="225"/>
      <c r="AO686" s="254"/>
      <c r="AP686" s="225"/>
      <c r="AQ686" s="225"/>
      <c r="AR686" s="226"/>
      <c r="AS686" s="225"/>
      <c r="AT686" s="225"/>
      <c r="AU686" s="225"/>
      <c r="AV686" s="225"/>
      <c r="AW686" s="225"/>
      <c r="AX686" s="226"/>
      <c r="AY686" s="225"/>
      <c r="AZ686" s="225"/>
      <c r="BA686" s="226"/>
      <c r="BB686" s="225"/>
      <c r="BC686" s="225"/>
      <c r="BD686" s="225"/>
      <c r="BE686" s="225"/>
      <c r="BF686" s="225"/>
      <c r="BG686" s="225"/>
      <c r="BH686" s="225"/>
      <c r="BI686" s="225"/>
      <c r="BJ686" s="225"/>
      <c r="BK686" s="225"/>
      <c r="BL686" s="225"/>
      <c r="BM686" s="225"/>
      <c r="BN686" s="225"/>
      <c r="BO686" s="225"/>
      <c r="BP686" s="225"/>
      <c r="BQ686" s="225"/>
      <c r="BR686" s="225"/>
      <c r="BS686" s="225"/>
      <c r="BT686" s="226"/>
      <c r="BU686" s="225"/>
      <c r="BV686" s="225"/>
      <c r="BW686" s="225"/>
      <c r="BX686" s="225"/>
      <c r="BY686" s="225"/>
      <c r="BZ686" s="225"/>
    </row>
    <row r="687">
      <c r="A687" s="225"/>
      <c r="B687" s="225"/>
      <c r="C687" s="225"/>
      <c r="D687" s="226"/>
      <c r="E687" s="225"/>
      <c r="F687" s="225"/>
      <c r="G687" s="225"/>
      <c r="H687" s="225"/>
      <c r="I687" s="225"/>
      <c r="J687" s="225"/>
      <c r="K687" s="244"/>
      <c r="L687" s="225"/>
      <c r="M687" s="225"/>
      <c r="N687" s="225"/>
      <c r="O687" s="225"/>
      <c r="P687" s="225"/>
      <c r="Q687" s="227"/>
      <c r="R687" s="234"/>
      <c r="S687" s="225"/>
      <c r="T687" s="225"/>
      <c r="U687" s="225"/>
      <c r="V687" s="225"/>
      <c r="W687" s="225"/>
      <c r="X687" s="225"/>
      <c r="Y687" s="229"/>
      <c r="Z687" s="257"/>
      <c r="AA687" s="225"/>
      <c r="AB687" s="257"/>
      <c r="AC687" s="257"/>
      <c r="AD687" s="226"/>
      <c r="AE687" s="259"/>
      <c r="AF687" s="347"/>
      <c r="AG687" s="232"/>
      <c r="AH687" s="257"/>
      <c r="AI687" s="225"/>
      <c r="AJ687" s="267"/>
      <c r="AK687" s="259"/>
      <c r="AL687" s="226"/>
      <c r="AM687" s="225"/>
      <c r="AN687" s="225"/>
      <c r="AO687" s="254"/>
      <c r="AP687" s="225"/>
      <c r="AQ687" s="225"/>
      <c r="AR687" s="226"/>
      <c r="AS687" s="225"/>
      <c r="AT687" s="225"/>
      <c r="AU687" s="225"/>
      <c r="AV687" s="225"/>
      <c r="AW687" s="225"/>
      <c r="AX687" s="226"/>
      <c r="AY687" s="225"/>
      <c r="AZ687" s="225"/>
      <c r="BA687" s="226"/>
      <c r="BB687" s="225"/>
      <c r="BC687" s="225"/>
      <c r="BD687" s="225"/>
      <c r="BE687" s="225"/>
      <c r="BF687" s="225"/>
      <c r="BG687" s="225"/>
      <c r="BH687" s="225"/>
      <c r="BI687" s="225"/>
      <c r="BJ687" s="225"/>
      <c r="BK687" s="225"/>
      <c r="BL687" s="225"/>
      <c r="BM687" s="225"/>
      <c r="BN687" s="225"/>
      <c r="BO687" s="225"/>
      <c r="BP687" s="225"/>
      <c r="BQ687" s="225"/>
      <c r="BR687" s="225"/>
      <c r="BS687" s="225"/>
      <c r="BT687" s="226"/>
      <c r="BU687" s="225"/>
      <c r="BV687" s="225"/>
      <c r="BW687" s="225"/>
      <c r="BX687" s="225"/>
      <c r="BY687" s="225"/>
      <c r="BZ687" s="225"/>
    </row>
    <row r="688">
      <c r="A688" s="225"/>
      <c r="B688" s="225"/>
      <c r="C688" s="225"/>
      <c r="D688" s="226"/>
      <c r="E688" s="225"/>
      <c r="F688" s="225"/>
      <c r="G688" s="225"/>
      <c r="H688" s="225"/>
      <c r="I688" s="225"/>
      <c r="J688" s="225"/>
      <c r="K688" s="244"/>
      <c r="L688" s="225"/>
      <c r="M688" s="225"/>
      <c r="N688" s="225"/>
      <c r="O688" s="225"/>
      <c r="P688" s="225"/>
      <c r="Q688" s="227"/>
      <c r="R688" s="234"/>
      <c r="S688" s="225"/>
      <c r="T688" s="225"/>
      <c r="U688" s="225"/>
      <c r="V688" s="225"/>
      <c r="W688" s="225"/>
      <c r="X688" s="225"/>
      <c r="Y688" s="229"/>
      <c r="Z688" s="257"/>
      <c r="AA688" s="225"/>
      <c r="AB688" s="257"/>
      <c r="AC688" s="257"/>
      <c r="AD688" s="226"/>
      <c r="AE688" s="259"/>
      <c r="AF688" s="347"/>
      <c r="AG688" s="232"/>
      <c r="AH688" s="257"/>
      <c r="AI688" s="225"/>
      <c r="AJ688" s="267"/>
      <c r="AK688" s="259"/>
      <c r="AL688" s="226"/>
      <c r="AM688" s="225"/>
      <c r="AN688" s="225"/>
      <c r="AO688" s="254"/>
      <c r="AP688" s="225"/>
      <c r="AQ688" s="225"/>
      <c r="AR688" s="226"/>
      <c r="AS688" s="225"/>
      <c r="AT688" s="225"/>
      <c r="AU688" s="225"/>
      <c r="AV688" s="225"/>
      <c r="AW688" s="225"/>
      <c r="AX688" s="226"/>
      <c r="AY688" s="225"/>
      <c r="AZ688" s="225"/>
      <c r="BA688" s="226"/>
      <c r="BB688" s="225"/>
      <c r="BC688" s="225"/>
      <c r="BD688" s="225"/>
      <c r="BE688" s="225"/>
      <c r="BF688" s="225"/>
      <c r="BG688" s="225"/>
      <c r="BH688" s="225"/>
      <c r="BI688" s="225"/>
      <c r="BJ688" s="225"/>
      <c r="BK688" s="225"/>
      <c r="BL688" s="225"/>
      <c r="BM688" s="225"/>
      <c r="BN688" s="225"/>
      <c r="BO688" s="225"/>
      <c r="BP688" s="225"/>
      <c r="BQ688" s="225"/>
      <c r="BR688" s="225"/>
      <c r="BS688" s="225"/>
      <c r="BT688" s="226"/>
      <c r="BU688" s="225"/>
      <c r="BV688" s="225"/>
      <c r="BW688" s="225"/>
      <c r="BX688" s="225"/>
      <c r="BY688" s="225"/>
      <c r="BZ688" s="225"/>
    </row>
    <row r="689">
      <c r="A689" s="225"/>
      <c r="B689" s="225"/>
      <c r="C689" s="225"/>
      <c r="D689" s="226"/>
      <c r="E689" s="225"/>
      <c r="F689" s="225"/>
      <c r="G689" s="225"/>
      <c r="H689" s="225"/>
      <c r="I689" s="225"/>
      <c r="J689" s="225"/>
      <c r="K689" s="244"/>
      <c r="L689" s="225"/>
      <c r="M689" s="225"/>
      <c r="N689" s="225"/>
      <c r="O689" s="225"/>
      <c r="P689" s="225"/>
      <c r="Q689" s="227"/>
      <c r="R689" s="234"/>
      <c r="S689" s="225"/>
      <c r="T689" s="225"/>
      <c r="U689" s="225"/>
      <c r="V689" s="225"/>
      <c r="W689" s="225"/>
      <c r="X689" s="225"/>
      <c r="Y689" s="229"/>
      <c r="Z689" s="257"/>
      <c r="AA689" s="225"/>
      <c r="AB689" s="257"/>
      <c r="AC689" s="257"/>
      <c r="AD689" s="226"/>
      <c r="AE689" s="259"/>
      <c r="AF689" s="347"/>
      <c r="AG689" s="232"/>
      <c r="AH689" s="257"/>
      <c r="AI689" s="225"/>
      <c r="AJ689" s="267"/>
      <c r="AK689" s="259"/>
      <c r="AL689" s="226"/>
      <c r="AM689" s="225"/>
      <c r="AN689" s="225"/>
      <c r="AO689" s="254"/>
      <c r="AP689" s="225"/>
      <c r="AQ689" s="225"/>
      <c r="AR689" s="226"/>
      <c r="AS689" s="225"/>
      <c r="AT689" s="225"/>
      <c r="AU689" s="225"/>
      <c r="AV689" s="225"/>
      <c r="AW689" s="225"/>
      <c r="AX689" s="226"/>
      <c r="AY689" s="225"/>
      <c r="AZ689" s="225"/>
      <c r="BA689" s="226"/>
      <c r="BB689" s="225"/>
      <c r="BC689" s="225"/>
      <c r="BD689" s="225"/>
      <c r="BE689" s="225"/>
      <c r="BF689" s="225"/>
      <c r="BG689" s="225"/>
      <c r="BH689" s="225"/>
      <c r="BI689" s="225"/>
      <c r="BJ689" s="225"/>
      <c r="BK689" s="225"/>
      <c r="BL689" s="225"/>
      <c r="BM689" s="225"/>
      <c r="BN689" s="225"/>
      <c r="BO689" s="225"/>
      <c r="BP689" s="225"/>
      <c r="BQ689" s="225"/>
      <c r="BR689" s="225"/>
      <c r="BS689" s="225"/>
      <c r="BT689" s="226"/>
      <c r="BU689" s="225"/>
      <c r="BV689" s="225"/>
      <c r="BW689" s="225"/>
      <c r="BX689" s="225"/>
      <c r="BY689" s="225"/>
      <c r="BZ689" s="225"/>
    </row>
    <row r="690">
      <c r="A690" s="225"/>
      <c r="B690" s="225"/>
      <c r="C690" s="225"/>
      <c r="D690" s="226"/>
      <c r="E690" s="225"/>
      <c r="F690" s="225"/>
      <c r="G690" s="225"/>
      <c r="H690" s="225"/>
      <c r="I690" s="225"/>
      <c r="J690" s="225"/>
      <c r="K690" s="244"/>
      <c r="L690" s="225"/>
      <c r="M690" s="225"/>
      <c r="N690" s="225"/>
      <c r="O690" s="225"/>
      <c r="P690" s="225"/>
      <c r="Q690" s="227"/>
      <c r="R690" s="234"/>
      <c r="S690" s="225"/>
      <c r="T690" s="225"/>
      <c r="U690" s="225"/>
      <c r="V690" s="225"/>
      <c r="W690" s="225"/>
      <c r="X690" s="225"/>
      <c r="Y690" s="229"/>
      <c r="Z690" s="257"/>
      <c r="AA690" s="225"/>
      <c r="AB690" s="257"/>
      <c r="AC690" s="257"/>
      <c r="AD690" s="226"/>
      <c r="AE690" s="259"/>
      <c r="AF690" s="347"/>
      <c r="AG690" s="232"/>
      <c r="AH690" s="257"/>
      <c r="AI690" s="225"/>
      <c r="AJ690" s="267"/>
      <c r="AK690" s="259"/>
      <c r="AL690" s="226"/>
      <c r="AM690" s="225"/>
      <c r="AN690" s="225"/>
      <c r="AO690" s="254"/>
      <c r="AP690" s="225"/>
      <c r="AQ690" s="225"/>
      <c r="AR690" s="226"/>
      <c r="AS690" s="225"/>
      <c r="AT690" s="225"/>
      <c r="AU690" s="225"/>
      <c r="AV690" s="225"/>
      <c r="AW690" s="225"/>
      <c r="AX690" s="226"/>
      <c r="AY690" s="225"/>
      <c r="AZ690" s="225"/>
      <c r="BA690" s="226"/>
      <c r="BB690" s="225"/>
      <c r="BC690" s="225"/>
      <c r="BD690" s="225"/>
      <c r="BE690" s="225"/>
      <c r="BF690" s="225"/>
      <c r="BG690" s="225"/>
      <c r="BH690" s="225"/>
      <c r="BI690" s="225"/>
      <c r="BJ690" s="225"/>
      <c r="BK690" s="225"/>
      <c r="BL690" s="225"/>
      <c r="BM690" s="225"/>
      <c r="BN690" s="225"/>
      <c r="BO690" s="225"/>
      <c r="BP690" s="225"/>
      <c r="BQ690" s="225"/>
      <c r="BR690" s="225"/>
      <c r="BS690" s="225"/>
      <c r="BT690" s="226"/>
      <c r="BU690" s="225"/>
      <c r="BV690" s="225"/>
      <c r="BW690" s="225"/>
      <c r="BX690" s="225"/>
      <c r="BY690" s="225"/>
      <c r="BZ690" s="225"/>
    </row>
    <row r="691">
      <c r="A691" s="225"/>
      <c r="B691" s="225"/>
      <c r="C691" s="225"/>
      <c r="D691" s="226"/>
      <c r="E691" s="225"/>
      <c r="F691" s="225"/>
      <c r="G691" s="225"/>
      <c r="H691" s="225"/>
      <c r="I691" s="225"/>
      <c r="J691" s="225"/>
      <c r="K691" s="244"/>
      <c r="L691" s="225"/>
      <c r="M691" s="225"/>
      <c r="N691" s="225"/>
      <c r="O691" s="225"/>
      <c r="P691" s="225"/>
      <c r="Q691" s="227"/>
      <c r="R691" s="234"/>
      <c r="S691" s="225"/>
      <c r="T691" s="225"/>
      <c r="U691" s="225"/>
      <c r="V691" s="225"/>
      <c r="W691" s="225"/>
      <c r="X691" s="225"/>
      <c r="Y691" s="229"/>
      <c r="Z691" s="257"/>
      <c r="AA691" s="225"/>
      <c r="AB691" s="257"/>
      <c r="AC691" s="257"/>
      <c r="AD691" s="226"/>
      <c r="AE691" s="259"/>
      <c r="AF691" s="347"/>
      <c r="AG691" s="232"/>
      <c r="AH691" s="257"/>
      <c r="AI691" s="225"/>
      <c r="AJ691" s="267"/>
      <c r="AK691" s="259"/>
      <c r="AL691" s="226"/>
      <c r="AM691" s="225"/>
      <c r="AN691" s="225"/>
      <c r="AO691" s="254"/>
      <c r="AP691" s="225"/>
      <c r="AQ691" s="225"/>
      <c r="AR691" s="226"/>
      <c r="AS691" s="225"/>
      <c r="AT691" s="225"/>
      <c r="AU691" s="225"/>
      <c r="AV691" s="225"/>
      <c r="AW691" s="225"/>
      <c r="AX691" s="226"/>
      <c r="AY691" s="225"/>
      <c r="AZ691" s="225"/>
      <c r="BA691" s="226"/>
      <c r="BB691" s="225"/>
      <c r="BC691" s="225"/>
      <c r="BD691" s="225"/>
      <c r="BE691" s="225"/>
      <c r="BF691" s="225"/>
      <c r="BG691" s="225"/>
      <c r="BH691" s="225"/>
      <c r="BI691" s="225"/>
      <c r="BJ691" s="225"/>
      <c r="BK691" s="225"/>
      <c r="BL691" s="225"/>
      <c r="BM691" s="225"/>
      <c r="BN691" s="225"/>
      <c r="BO691" s="225"/>
      <c r="BP691" s="225"/>
      <c r="BQ691" s="225"/>
      <c r="BR691" s="225"/>
      <c r="BS691" s="225"/>
      <c r="BT691" s="226"/>
      <c r="BU691" s="225"/>
      <c r="BV691" s="225"/>
      <c r="BW691" s="225"/>
      <c r="BX691" s="225"/>
      <c r="BY691" s="225"/>
      <c r="BZ691" s="225"/>
    </row>
    <row r="692">
      <c r="A692" s="284"/>
      <c r="B692" s="225"/>
      <c r="C692" s="225"/>
      <c r="D692" s="226"/>
      <c r="E692" s="225"/>
      <c r="F692" s="225"/>
      <c r="G692" s="225"/>
      <c r="H692" s="225"/>
      <c r="I692" s="225"/>
      <c r="J692" s="225"/>
      <c r="K692" s="244"/>
      <c r="L692" s="225"/>
      <c r="M692" s="225"/>
      <c r="N692" s="225"/>
      <c r="O692" s="225"/>
      <c r="P692" s="225"/>
      <c r="Q692" s="227"/>
      <c r="R692" s="234"/>
      <c r="S692" s="225"/>
      <c r="T692" s="225"/>
      <c r="U692" s="225"/>
      <c r="V692" s="225"/>
      <c r="W692" s="225"/>
      <c r="X692" s="225"/>
      <c r="Y692" s="229"/>
      <c r="Z692" s="257"/>
      <c r="AA692" s="225"/>
      <c r="AB692" s="257"/>
      <c r="AC692" s="257"/>
      <c r="AD692" s="226"/>
      <c r="AE692" s="259"/>
      <c r="AF692" s="347"/>
      <c r="AG692" s="232"/>
      <c r="AH692" s="257"/>
      <c r="AI692" s="225"/>
      <c r="AJ692" s="267"/>
      <c r="AK692" s="259"/>
      <c r="AL692" s="226"/>
      <c r="AM692" s="225"/>
      <c r="AN692" s="225"/>
      <c r="AO692" s="254"/>
      <c r="AP692" s="225"/>
      <c r="AQ692" s="225"/>
      <c r="AR692" s="226"/>
      <c r="AS692" s="225"/>
      <c r="AT692" s="225"/>
      <c r="AU692" s="225"/>
      <c r="AV692" s="225"/>
      <c r="AW692" s="225"/>
      <c r="AX692" s="226"/>
      <c r="AY692" s="225"/>
      <c r="AZ692" s="225"/>
      <c r="BA692" s="226"/>
      <c r="BB692" s="225"/>
      <c r="BC692" s="225"/>
      <c r="BD692" s="225"/>
      <c r="BE692" s="225"/>
      <c r="BF692" s="225"/>
      <c r="BG692" s="225"/>
      <c r="BH692" s="225"/>
      <c r="BI692" s="225"/>
      <c r="BJ692" s="225"/>
      <c r="BK692" s="225"/>
      <c r="BL692" s="225"/>
      <c r="BM692" s="225"/>
      <c r="BN692" s="225"/>
      <c r="BO692" s="225"/>
      <c r="BP692" s="225"/>
      <c r="BQ692" s="225"/>
      <c r="BR692" s="225"/>
      <c r="BS692" s="225"/>
      <c r="BT692" s="226"/>
      <c r="BU692" s="225"/>
      <c r="BV692" s="225"/>
      <c r="BW692" s="225"/>
      <c r="BX692" s="225"/>
      <c r="BY692" s="225"/>
      <c r="BZ692" s="225"/>
    </row>
    <row r="693">
      <c r="A693" s="225"/>
      <c r="B693" s="225"/>
      <c r="C693" s="225"/>
      <c r="D693" s="226"/>
      <c r="E693" s="225"/>
      <c r="F693" s="225"/>
      <c r="G693" s="225"/>
      <c r="H693" s="225"/>
      <c r="I693" s="225"/>
      <c r="J693" s="225"/>
      <c r="K693" s="244"/>
      <c r="L693" s="225"/>
      <c r="M693" s="225"/>
      <c r="N693" s="225"/>
      <c r="O693" s="225"/>
      <c r="P693" s="225"/>
      <c r="Q693" s="227"/>
      <c r="R693" s="234"/>
      <c r="S693" s="225"/>
      <c r="T693" s="225"/>
      <c r="U693" s="225"/>
      <c r="V693" s="225"/>
      <c r="W693" s="225"/>
      <c r="X693" s="225"/>
      <c r="Y693" s="229"/>
      <c r="Z693" s="257"/>
      <c r="AA693" s="225"/>
      <c r="AB693" s="257"/>
      <c r="AC693" s="257"/>
      <c r="AD693" s="226"/>
      <c r="AE693" s="259"/>
      <c r="AF693" s="347"/>
      <c r="AG693" s="232"/>
      <c r="AH693" s="257"/>
      <c r="AI693" s="225"/>
      <c r="AJ693" s="267"/>
      <c r="AK693" s="259"/>
      <c r="AL693" s="226"/>
      <c r="AM693" s="225"/>
      <c r="AN693" s="225"/>
      <c r="AO693" s="254"/>
      <c r="AP693" s="225"/>
      <c r="AQ693" s="225"/>
      <c r="AR693" s="226"/>
      <c r="AS693" s="225"/>
      <c r="AT693" s="225"/>
      <c r="AU693" s="225"/>
      <c r="AV693" s="225"/>
      <c r="AW693" s="225"/>
      <c r="AX693" s="226"/>
      <c r="AY693" s="225"/>
      <c r="AZ693" s="225"/>
      <c r="BA693" s="226"/>
      <c r="BB693" s="225"/>
      <c r="BC693" s="225"/>
      <c r="BD693" s="225"/>
      <c r="BE693" s="225"/>
      <c r="BF693" s="225"/>
      <c r="BG693" s="225"/>
      <c r="BH693" s="225"/>
      <c r="BI693" s="225"/>
      <c r="BJ693" s="225"/>
      <c r="BK693" s="225"/>
      <c r="BL693" s="225"/>
      <c r="BM693" s="225"/>
      <c r="BN693" s="225"/>
      <c r="BO693" s="225"/>
      <c r="BP693" s="225"/>
      <c r="BQ693" s="225"/>
      <c r="BR693" s="225"/>
      <c r="BS693" s="225"/>
      <c r="BT693" s="226"/>
      <c r="BU693" s="225"/>
      <c r="BV693" s="225"/>
      <c r="BW693" s="225"/>
      <c r="BX693" s="225"/>
      <c r="BY693" s="225"/>
      <c r="BZ693" s="225"/>
    </row>
    <row r="694">
      <c r="A694" s="225"/>
      <c r="B694" s="225"/>
      <c r="C694" s="225"/>
      <c r="D694" s="226"/>
      <c r="E694" s="225"/>
      <c r="F694" s="225"/>
      <c r="G694" s="225"/>
      <c r="H694" s="225"/>
      <c r="I694" s="225"/>
      <c r="J694" s="225"/>
      <c r="K694" s="244"/>
      <c r="L694" s="225"/>
      <c r="M694" s="225"/>
      <c r="N694" s="225"/>
      <c r="O694" s="225"/>
      <c r="P694" s="225"/>
      <c r="Q694" s="227"/>
      <c r="R694" s="234"/>
      <c r="S694" s="225"/>
      <c r="T694" s="225"/>
      <c r="U694" s="225"/>
      <c r="V694" s="225"/>
      <c r="W694" s="225"/>
      <c r="X694" s="225"/>
      <c r="Y694" s="229"/>
      <c r="Z694" s="257"/>
      <c r="AA694" s="225"/>
      <c r="AB694" s="257"/>
      <c r="AC694" s="257"/>
      <c r="AD694" s="226"/>
      <c r="AE694" s="259"/>
      <c r="AF694" s="347"/>
      <c r="AG694" s="232"/>
      <c r="AH694" s="257"/>
      <c r="AI694" s="225"/>
      <c r="AJ694" s="267"/>
      <c r="AK694" s="259"/>
      <c r="AL694" s="226"/>
      <c r="AM694" s="225"/>
      <c r="AN694" s="225"/>
      <c r="AO694" s="254"/>
      <c r="AP694" s="225"/>
      <c r="AQ694" s="225"/>
      <c r="AR694" s="226"/>
      <c r="AS694" s="225"/>
      <c r="AT694" s="225"/>
      <c r="AU694" s="225"/>
      <c r="AV694" s="225"/>
      <c r="AW694" s="225"/>
      <c r="AX694" s="226"/>
      <c r="AY694" s="225"/>
      <c r="AZ694" s="225"/>
      <c r="BA694" s="226"/>
      <c r="BB694" s="225"/>
      <c r="BC694" s="225"/>
      <c r="BD694" s="225"/>
      <c r="BE694" s="225"/>
      <c r="BF694" s="225"/>
      <c r="BG694" s="225"/>
      <c r="BH694" s="225"/>
      <c r="BI694" s="225"/>
      <c r="BJ694" s="225"/>
      <c r="BK694" s="225"/>
      <c r="BL694" s="225"/>
      <c r="BM694" s="225"/>
      <c r="BN694" s="225"/>
      <c r="BO694" s="225"/>
      <c r="BP694" s="225"/>
      <c r="BQ694" s="225"/>
      <c r="BR694" s="225"/>
      <c r="BS694" s="225"/>
      <c r="BT694" s="226"/>
      <c r="BU694" s="225"/>
      <c r="BV694" s="225"/>
      <c r="BW694" s="225"/>
      <c r="BX694" s="225"/>
      <c r="BY694" s="225"/>
      <c r="BZ694" s="225"/>
    </row>
    <row r="695">
      <c r="A695" s="225"/>
      <c r="B695" s="225"/>
      <c r="C695" s="225"/>
      <c r="D695" s="226"/>
      <c r="E695" s="225"/>
      <c r="F695" s="225"/>
      <c r="G695" s="225"/>
      <c r="H695" s="225"/>
      <c r="I695" s="225"/>
      <c r="J695" s="225"/>
      <c r="K695" s="244"/>
      <c r="L695" s="225"/>
      <c r="M695" s="225"/>
      <c r="N695" s="225"/>
      <c r="O695" s="225"/>
      <c r="P695" s="225"/>
      <c r="Q695" s="227"/>
      <c r="R695" s="234"/>
      <c r="S695" s="225"/>
      <c r="T695" s="225"/>
      <c r="U695" s="225"/>
      <c r="V695" s="225"/>
      <c r="W695" s="225"/>
      <c r="X695" s="225"/>
      <c r="Y695" s="229"/>
      <c r="Z695" s="257"/>
      <c r="AA695" s="225"/>
      <c r="AB695" s="257"/>
      <c r="AC695" s="257"/>
      <c r="AD695" s="226"/>
      <c r="AE695" s="259"/>
      <c r="AF695" s="347"/>
      <c r="AG695" s="232"/>
      <c r="AH695" s="257"/>
      <c r="AI695" s="225"/>
      <c r="AJ695" s="267"/>
      <c r="AK695" s="259"/>
      <c r="AL695" s="226"/>
      <c r="AM695" s="225"/>
      <c r="AN695" s="225"/>
      <c r="AO695" s="254"/>
      <c r="AP695" s="225"/>
      <c r="AQ695" s="225"/>
      <c r="AR695" s="226"/>
      <c r="AS695" s="225"/>
      <c r="AT695" s="225"/>
      <c r="AU695" s="225"/>
      <c r="AV695" s="225"/>
      <c r="AW695" s="225"/>
      <c r="AX695" s="226"/>
      <c r="AY695" s="225"/>
      <c r="AZ695" s="225"/>
      <c r="BA695" s="226"/>
      <c r="BB695" s="225"/>
      <c r="BC695" s="225"/>
      <c r="BD695" s="225"/>
      <c r="BE695" s="225"/>
      <c r="BF695" s="225"/>
      <c r="BG695" s="225"/>
      <c r="BH695" s="225"/>
      <c r="BI695" s="225"/>
      <c r="BJ695" s="225"/>
      <c r="BK695" s="225"/>
      <c r="BL695" s="225"/>
      <c r="BM695" s="225"/>
      <c r="BN695" s="225"/>
      <c r="BO695" s="225"/>
      <c r="BP695" s="225"/>
      <c r="BQ695" s="225"/>
      <c r="BR695" s="225"/>
      <c r="BS695" s="225"/>
      <c r="BT695" s="226"/>
      <c r="BU695" s="225"/>
      <c r="BV695" s="225"/>
      <c r="BW695" s="225"/>
      <c r="BX695" s="225"/>
      <c r="BY695" s="225"/>
      <c r="BZ695" s="225"/>
    </row>
    <row r="696">
      <c r="A696" s="225"/>
      <c r="B696" s="225"/>
      <c r="C696" s="225"/>
      <c r="D696" s="226"/>
      <c r="E696" s="225"/>
      <c r="F696" s="225"/>
      <c r="G696" s="225"/>
      <c r="H696" s="225"/>
      <c r="I696" s="225"/>
      <c r="J696" s="225"/>
      <c r="K696" s="244"/>
      <c r="L696" s="225"/>
      <c r="M696" s="225"/>
      <c r="N696" s="225"/>
      <c r="O696" s="225"/>
      <c r="P696" s="225"/>
      <c r="Q696" s="227"/>
      <c r="R696" s="234"/>
      <c r="S696" s="225"/>
      <c r="T696" s="225"/>
      <c r="U696" s="225"/>
      <c r="V696" s="225"/>
      <c r="W696" s="225"/>
      <c r="X696" s="225"/>
      <c r="Y696" s="229"/>
      <c r="Z696" s="257"/>
      <c r="AA696" s="225"/>
      <c r="AB696" s="257"/>
      <c r="AC696" s="257"/>
      <c r="AD696" s="226"/>
      <c r="AE696" s="259"/>
      <c r="AF696" s="347"/>
      <c r="AG696" s="232"/>
      <c r="AH696" s="257"/>
      <c r="AI696" s="225"/>
      <c r="AJ696" s="267"/>
      <c r="AK696" s="259"/>
      <c r="AL696" s="226"/>
      <c r="AM696" s="225"/>
      <c r="AN696" s="225"/>
      <c r="AO696" s="254"/>
      <c r="AP696" s="225"/>
      <c r="AQ696" s="225"/>
      <c r="AR696" s="226"/>
      <c r="AS696" s="225"/>
      <c r="AT696" s="225"/>
      <c r="AU696" s="225"/>
      <c r="AV696" s="225"/>
      <c r="AW696" s="225"/>
      <c r="AX696" s="226"/>
      <c r="AY696" s="225"/>
      <c r="AZ696" s="225"/>
      <c r="BA696" s="226"/>
      <c r="BB696" s="225"/>
      <c r="BC696" s="225"/>
      <c r="BD696" s="225"/>
      <c r="BE696" s="225"/>
      <c r="BF696" s="225"/>
      <c r="BG696" s="225"/>
      <c r="BH696" s="225"/>
      <c r="BI696" s="225"/>
      <c r="BJ696" s="225"/>
      <c r="BK696" s="225"/>
      <c r="BL696" s="225"/>
      <c r="BM696" s="225"/>
      <c r="BN696" s="225"/>
      <c r="BO696" s="225"/>
      <c r="BP696" s="225"/>
      <c r="BQ696" s="225"/>
      <c r="BR696" s="225"/>
      <c r="BS696" s="225"/>
      <c r="BT696" s="226"/>
      <c r="BU696" s="225"/>
      <c r="BV696" s="225"/>
      <c r="BW696" s="225"/>
      <c r="BX696" s="225"/>
      <c r="BY696" s="225"/>
      <c r="BZ696" s="225"/>
    </row>
    <row r="697">
      <c r="A697" s="225"/>
      <c r="B697" s="225"/>
      <c r="C697" s="225"/>
      <c r="D697" s="226"/>
      <c r="E697" s="225"/>
      <c r="F697" s="225"/>
      <c r="G697" s="225"/>
      <c r="H697" s="225"/>
      <c r="I697" s="225"/>
      <c r="J697" s="225"/>
      <c r="K697" s="244"/>
      <c r="L697" s="225"/>
      <c r="M697" s="225"/>
      <c r="N697" s="225"/>
      <c r="O697" s="225"/>
      <c r="P697" s="225"/>
      <c r="Q697" s="227"/>
      <c r="R697" s="234"/>
      <c r="S697" s="225"/>
      <c r="T697" s="225"/>
      <c r="U697" s="225"/>
      <c r="V697" s="225"/>
      <c r="W697" s="225"/>
      <c r="X697" s="225"/>
      <c r="Y697" s="229"/>
      <c r="Z697" s="257"/>
      <c r="AA697" s="225"/>
      <c r="AB697" s="257"/>
      <c r="AC697" s="257"/>
      <c r="AD697" s="226"/>
      <c r="AE697" s="259"/>
      <c r="AF697" s="347"/>
      <c r="AG697" s="232"/>
      <c r="AH697" s="257"/>
      <c r="AI697" s="225"/>
      <c r="AJ697" s="267"/>
      <c r="AK697" s="259"/>
      <c r="AL697" s="226"/>
      <c r="AM697" s="225"/>
      <c r="AN697" s="225"/>
      <c r="AO697" s="254"/>
      <c r="AP697" s="225"/>
      <c r="AQ697" s="225"/>
      <c r="AR697" s="226"/>
      <c r="AS697" s="225"/>
      <c r="AT697" s="225"/>
      <c r="AU697" s="225"/>
      <c r="AV697" s="225"/>
      <c r="AW697" s="225"/>
      <c r="AX697" s="226"/>
      <c r="AY697" s="225"/>
      <c r="AZ697" s="225"/>
      <c r="BA697" s="226"/>
      <c r="BB697" s="225"/>
      <c r="BC697" s="225"/>
      <c r="BD697" s="225"/>
      <c r="BE697" s="225"/>
      <c r="BF697" s="225"/>
      <c r="BG697" s="225"/>
      <c r="BH697" s="225"/>
      <c r="BI697" s="225"/>
      <c r="BJ697" s="225"/>
      <c r="BK697" s="225"/>
      <c r="BL697" s="225"/>
      <c r="BM697" s="225"/>
      <c r="BN697" s="225"/>
      <c r="BO697" s="225"/>
      <c r="BP697" s="225"/>
      <c r="BQ697" s="225"/>
      <c r="BR697" s="225"/>
      <c r="BS697" s="225"/>
      <c r="BT697" s="226"/>
      <c r="BU697" s="225"/>
      <c r="BV697" s="225"/>
      <c r="BW697" s="225"/>
      <c r="BX697" s="225"/>
      <c r="BY697" s="225"/>
      <c r="BZ697" s="225"/>
    </row>
    <row r="698">
      <c r="A698" s="225"/>
      <c r="B698" s="225"/>
      <c r="C698" s="225"/>
      <c r="D698" s="226"/>
      <c r="E698" s="225"/>
      <c r="F698" s="225"/>
      <c r="G698" s="225"/>
      <c r="H698" s="225"/>
      <c r="I698" s="225"/>
      <c r="J698" s="225"/>
      <c r="K698" s="244"/>
      <c r="L698" s="225"/>
      <c r="M698" s="225"/>
      <c r="N698" s="225"/>
      <c r="O698" s="225"/>
      <c r="P698" s="225"/>
      <c r="Q698" s="227"/>
      <c r="R698" s="234"/>
      <c r="S698" s="225"/>
      <c r="T698" s="225"/>
      <c r="U698" s="225"/>
      <c r="V698" s="225"/>
      <c r="W698" s="225"/>
      <c r="X698" s="225"/>
      <c r="Y698" s="229"/>
      <c r="Z698" s="257"/>
      <c r="AA698" s="225"/>
      <c r="AB698" s="257"/>
      <c r="AC698" s="257"/>
      <c r="AD698" s="226"/>
      <c r="AE698" s="259"/>
      <c r="AF698" s="347"/>
      <c r="AG698" s="232"/>
      <c r="AH698" s="257"/>
      <c r="AI698" s="225"/>
      <c r="AJ698" s="267"/>
      <c r="AK698" s="259"/>
      <c r="AL698" s="226"/>
      <c r="AM698" s="225"/>
      <c r="AN698" s="225"/>
      <c r="AO698" s="254"/>
      <c r="AP698" s="225"/>
      <c r="AQ698" s="225"/>
      <c r="AR698" s="226"/>
      <c r="AS698" s="225"/>
      <c r="AT698" s="225"/>
      <c r="AU698" s="225"/>
      <c r="AV698" s="225"/>
      <c r="AW698" s="225"/>
      <c r="AX698" s="226"/>
      <c r="AY698" s="225"/>
      <c r="AZ698" s="225"/>
      <c r="BA698" s="226"/>
      <c r="BB698" s="225"/>
      <c r="BC698" s="225"/>
      <c r="BD698" s="225"/>
      <c r="BE698" s="225"/>
      <c r="BF698" s="225"/>
      <c r="BG698" s="225"/>
      <c r="BH698" s="225"/>
      <c r="BI698" s="225"/>
      <c r="BJ698" s="225"/>
      <c r="BK698" s="225"/>
      <c r="BL698" s="225"/>
      <c r="BM698" s="225"/>
      <c r="BN698" s="225"/>
      <c r="BO698" s="225"/>
      <c r="BP698" s="225"/>
      <c r="BQ698" s="225"/>
      <c r="BR698" s="225"/>
      <c r="BS698" s="225"/>
      <c r="BT698" s="226"/>
      <c r="BU698" s="225"/>
      <c r="BV698" s="225"/>
      <c r="BW698" s="225"/>
      <c r="BX698" s="225"/>
      <c r="BY698" s="225"/>
      <c r="BZ698" s="225"/>
    </row>
    <row r="699">
      <c r="A699" s="225"/>
      <c r="B699" s="225"/>
      <c r="C699" s="225"/>
      <c r="D699" s="226"/>
      <c r="E699" s="225"/>
      <c r="F699" s="225"/>
      <c r="G699" s="225"/>
      <c r="H699" s="225"/>
      <c r="I699" s="225"/>
      <c r="J699" s="225"/>
      <c r="K699" s="244"/>
      <c r="L699" s="225"/>
      <c r="M699" s="225"/>
      <c r="N699" s="225"/>
      <c r="O699" s="225"/>
      <c r="P699" s="225"/>
      <c r="Q699" s="227"/>
      <c r="R699" s="234"/>
      <c r="S699" s="225"/>
      <c r="T699" s="225"/>
      <c r="U699" s="225"/>
      <c r="V699" s="225"/>
      <c r="W699" s="225"/>
      <c r="X699" s="225"/>
      <c r="Y699" s="229"/>
      <c r="Z699" s="257"/>
      <c r="AA699" s="225"/>
      <c r="AB699" s="257"/>
      <c r="AC699" s="257"/>
      <c r="AD699" s="226"/>
      <c r="AE699" s="259"/>
      <c r="AF699" s="347"/>
      <c r="AG699" s="232"/>
      <c r="AH699" s="257"/>
      <c r="AI699" s="225"/>
      <c r="AJ699" s="267"/>
      <c r="AK699" s="259"/>
      <c r="AL699" s="226"/>
      <c r="AM699" s="225"/>
      <c r="AN699" s="225"/>
      <c r="AO699" s="254"/>
      <c r="AP699" s="225"/>
      <c r="AQ699" s="225"/>
      <c r="AR699" s="226"/>
      <c r="AS699" s="225"/>
      <c r="AT699" s="225"/>
      <c r="AU699" s="225"/>
      <c r="AV699" s="225"/>
      <c r="AW699" s="225"/>
      <c r="AX699" s="226"/>
      <c r="AY699" s="225"/>
      <c r="AZ699" s="225"/>
      <c r="BA699" s="226"/>
      <c r="BB699" s="225"/>
      <c r="BC699" s="225"/>
      <c r="BD699" s="225"/>
      <c r="BE699" s="225"/>
      <c r="BF699" s="225"/>
      <c r="BG699" s="225"/>
      <c r="BH699" s="225"/>
      <c r="BI699" s="225"/>
      <c r="BJ699" s="225"/>
      <c r="BK699" s="225"/>
      <c r="BL699" s="225"/>
      <c r="BM699" s="225"/>
      <c r="BN699" s="225"/>
      <c r="BO699" s="225"/>
      <c r="BP699" s="225"/>
      <c r="BQ699" s="225"/>
      <c r="BR699" s="225"/>
      <c r="BS699" s="225"/>
      <c r="BT699" s="226"/>
      <c r="BU699" s="225"/>
      <c r="BV699" s="225"/>
      <c r="BW699" s="225"/>
      <c r="BX699" s="225"/>
      <c r="BY699" s="225"/>
      <c r="BZ699" s="225"/>
    </row>
    <row r="700">
      <c r="A700" s="225"/>
      <c r="B700" s="225"/>
      <c r="C700" s="225"/>
      <c r="D700" s="226"/>
      <c r="E700" s="225"/>
      <c r="F700" s="225"/>
      <c r="G700" s="225"/>
      <c r="H700" s="225"/>
      <c r="I700" s="225"/>
      <c r="J700" s="225"/>
      <c r="K700" s="244"/>
      <c r="L700" s="225"/>
      <c r="M700" s="225"/>
      <c r="N700" s="225"/>
      <c r="O700" s="225"/>
      <c r="P700" s="225"/>
      <c r="Q700" s="227"/>
      <c r="R700" s="234"/>
      <c r="S700" s="225"/>
      <c r="T700" s="225"/>
      <c r="U700" s="225"/>
      <c r="V700" s="225"/>
      <c r="W700" s="225"/>
      <c r="X700" s="225"/>
      <c r="Y700" s="229"/>
      <c r="Z700" s="257"/>
      <c r="AA700" s="225"/>
      <c r="AB700" s="257"/>
      <c r="AC700" s="257"/>
      <c r="AD700" s="226"/>
      <c r="AE700" s="259"/>
      <c r="AF700" s="347"/>
      <c r="AG700" s="232"/>
      <c r="AH700" s="257"/>
      <c r="AI700" s="225"/>
      <c r="AJ700" s="267"/>
      <c r="AK700" s="259"/>
      <c r="AL700" s="226"/>
      <c r="AM700" s="225"/>
      <c r="AN700" s="225"/>
      <c r="AO700" s="254"/>
      <c r="AP700" s="225"/>
      <c r="AQ700" s="225"/>
      <c r="AR700" s="226"/>
      <c r="AS700" s="225"/>
      <c r="AT700" s="225"/>
      <c r="AU700" s="225"/>
      <c r="AV700" s="225"/>
      <c r="AW700" s="225"/>
      <c r="AX700" s="226"/>
      <c r="AY700" s="225"/>
      <c r="AZ700" s="225"/>
      <c r="BA700" s="226"/>
      <c r="BB700" s="225"/>
      <c r="BC700" s="225"/>
      <c r="BD700" s="225"/>
      <c r="BE700" s="225"/>
      <c r="BF700" s="225"/>
      <c r="BG700" s="225"/>
      <c r="BH700" s="225"/>
      <c r="BI700" s="225"/>
      <c r="BJ700" s="225"/>
      <c r="BK700" s="225"/>
      <c r="BL700" s="225"/>
      <c r="BM700" s="225"/>
      <c r="BN700" s="225"/>
      <c r="BO700" s="225"/>
      <c r="BP700" s="225"/>
      <c r="BQ700" s="225"/>
      <c r="BR700" s="225"/>
      <c r="BS700" s="225"/>
      <c r="BT700" s="226"/>
      <c r="BU700" s="225"/>
      <c r="BV700" s="225"/>
      <c r="BW700" s="225"/>
      <c r="BX700" s="225"/>
      <c r="BY700" s="225"/>
      <c r="BZ700" s="225"/>
    </row>
    <row r="701">
      <c r="A701" s="225"/>
      <c r="B701" s="225"/>
      <c r="C701" s="225"/>
      <c r="D701" s="226"/>
      <c r="E701" s="225"/>
      <c r="F701" s="225"/>
      <c r="G701" s="225"/>
      <c r="H701" s="225"/>
      <c r="I701" s="225"/>
      <c r="J701" s="225"/>
      <c r="K701" s="244"/>
      <c r="L701" s="225"/>
      <c r="M701" s="225"/>
      <c r="N701" s="225"/>
      <c r="O701" s="225"/>
      <c r="P701" s="225"/>
      <c r="Q701" s="227"/>
      <c r="R701" s="234"/>
      <c r="S701" s="225"/>
      <c r="T701" s="225"/>
      <c r="U701" s="225"/>
      <c r="V701" s="225"/>
      <c r="W701" s="225"/>
      <c r="X701" s="225"/>
      <c r="Y701" s="229"/>
      <c r="Z701" s="257"/>
      <c r="AA701" s="225"/>
      <c r="AB701" s="257"/>
      <c r="AC701" s="257"/>
      <c r="AD701" s="226"/>
      <c r="AE701" s="259"/>
      <c r="AF701" s="347"/>
      <c r="AG701" s="232"/>
      <c r="AH701" s="257"/>
      <c r="AI701" s="225"/>
      <c r="AJ701" s="267"/>
      <c r="AK701" s="259"/>
      <c r="AL701" s="226"/>
      <c r="AM701" s="225"/>
      <c r="AN701" s="225"/>
      <c r="AO701" s="254"/>
      <c r="AP701" s="225"/>
      <c r="AQ701" s="225"/>
      <c r="AR701" s="226"/>
      <c r="AS701" s="225"/>
      <c r="AT701" s="225"/>
      <c r="AU701" s="225"/>
      <c r="AV701" s="225"/>
      <c r="AW701" s="225"/>
      <c r="AX701" s="226"/>
      <c r="AY701" s="225"/>
      <c r="AZ701" s="225"/>
      <c r="BA701" s="226"/>
      <c r="BB701" s="225"/>
      <c r="BC701" s="225"/>
      <c r="BD701" s="225"/>
      <c r="BE701" s="225"/>
      <c r="BF701" s="225"/>
      <c r="BG701" s="225"/>
      <c r="BH701" s="225"/>
      <c r="BI701" s="225"/>
      <c r="BJ701" s="225"/>
      <c r="BK701" s="225"/>
      <c r="BL701" s="225"/>
      <c r="BM701" s="225"/>
      <c r="BN701" s="225"/>
      <c r="BO701" s="225"/>
      <c r="BP701" s="225"/>
      <c r="BQ701" s="225"/>
      <c r="BR701" s="225"/>
      <c r="BS701" s="225"/>
      <c r="BT701" s="226"/>
      <c r="BU701" s="225"/>
      <c r="BV701" s="225"/>
      <c r="BW701" s="225"/>
      <c r="BX701" s="225"/>
      <c r="BY701" s="225"/>
      <c r="BZ701" s="225"/>
    </row>
    <row r="702">
      <c r="A702" s="225"/>
      <c r="B702" s="225"/>
      <c r="C702" s="225"/>
      <c r="D702" s="226"/>
      <c r="E702" s="225"/>
      <c r="F702" s="225"/>
      <c r="G702" s="225"/>
      <c r="H702" s="225"/>
      <c r="I702" s="225"/>
      <c r="J702" s="225"/>
      <c r="K702" s="244"/>
      <c r="L702" s="225"/>
      <c r="M702" s="225"/>
      <c r="N702" s="225"/>
      <c r="O702" s="225"/>
      <c r="P702" s="225"/>
      <c r="Q702" s="227"/>
      <c r="R702" s="234"/>
      <c r="S702" s="225"/>
      <c r="T702" s="225"/>
      <c r="U702" s="225"/>
      <c r="V702" s="225"/>
      <c r="W702" s="225"/>
      <c r="X702" s="225"/>
      <c r="Y702" s="229"/>
      <c r="Z702" s="257"/>
      <c r="AA702" s="225"/>
      <c r="AB702" s="257"/>
      <c r="AC702" s="257"/>
      <c r="AD702" s="226"/>
      <c r="AE702" s="259"/>
      <c r="AF702" s="347"/>
      <c r="AG702" s="232"/>
      <c r="AH702" s="257"/>
      <c r="AI702" s="225"/>
      <c r="AJ702" s="267"/>
      <c r="AK702" s="259"/>
      <c r="AL702" s="226"/>
      <c r="AM702" s="225"/>
      <c r="AN702" s="225"/>
      <c r="AO702" s="254"/>
      <c r="AP702" s="225"/>
      <c r="AQ702" s="225"/>
      <c r="AR702" s="226"/>
      <c r="AS702" s="225"/>
      <c r="AT702" s="225"/>
      <c r="AU702" s="225"/>
      <c r="AV702" s="225"/>
      <c r="AW702" s="225"/>
      <c r="AX702" s="226"/>
      <c r="AY702" s="225"/>
      <c r="AZ702" s="225"/>
      <c r="BA702" s="226"/>
      <c r="BB702" s="225"/>
      <c r="BC702" s="225"/>
      <c r="BD702" s="225"/>
      <c r="BE702" s="225"/>
      <c r="BF702" s="225"/>
      <c r="BG702" s="225"/>
      <c r="BH702" s="225"/>
      <c r="BI702" s="225"/>
      <c r="BJ702" s="225"/>
      <c r="BK702" s="225"/>
      <c r="BL702" s="225"/>
      <c r="BM702" s="225"/>
      <c r="BN702" s="225"/>
      <c r="BO702" s="225"/>
      <c r="BP702" s="225"/>
      <c r="BQ702" s="225"/>
      <c r="BR702" s="225"/>
      <c r="BS702" s="225"/>
      <c r="BT702" s="226"/>
      <c r="BU702" s="225"/>
      <c r="BV702" s="225"/>
      <c r="BW702" s="225"/>
      <c r="BX702" s="225"/>
      <c r="BY702" s="225"/>
      <c r="BZ702" s="225"/>
    </row>
    <row r="703">
      <c r="A703" s="225"/>
      <c r="B703" s="225"/>
      <c r="C703" s="225"/>
      <c r="D703" s="226"/>
      <c r="E703" s="225"/>
      <c r="F703" s="225"/>
      <c r="G703" s="225"/>
      <c r="H703" s="225"/>
      <c r="I703" s="225"/>
      <c r="J703" s="225"/>
      <c r="K703" s="244"/>
      <c r="L703" s="225"/>
      <c r="M703" s="225"/>
      <c r="N703" s="225"/>
      <c r="O703" s="225"/>
      <c r="P703" s="225"/>
      <c r="Q703" s="227"/>
      <c r="R703" s="234"/>
      <c r="S703" s="225"/>
      <c r="T703" s="225"/>
      <c r="U703" s="225"/>
      <c r="V703" s="225"/>
      <c r="W703" s="225"/>
      <c r="X703" s="225"/>
      <c r="Y703" s="229"/>
      <c r="Z703" s="257"/>
      <c r="AA703" s="225"/>
      <c r="AB703" s="257"/>
      <c r="AC703" s="257"/>
      <c r="AD703" s="226"/>
      <c r="AE703" s="259"/>
      <c r="AF703" s="347"/>
      <c r="AG703" s="232"/>
      <c r="AH703" s="257"/>
      <c r="AI703" s="225"/>
      <c r="AJ703" s="267"/>
      <c r="AK703" s="259"/>
      <c r="AL703" s="226"/>
      <c r="AM703" s="225"/>
      <c r="AN703" s="225"/>
      <c r="AO703" s="254"/>
      <c r="AP703" s="225"/>
      <c r="AQ703" s="225"/>
      <c r="AR703" s="226"/>
      <c r="AS703" s="225"/>
      <c r="AT703" s="225"/>
      <c r="AU703" s="225"/>
      <c r="AV703" s="225"/>
      <c r="AW703" s="225"/>
      <c r="AX703" s="226"/>
      <c r="AY703" s="225"/>
      <c r="AZ703" s="225"/>
      <c r="BA703" s="226"/>
      <c r="BB703" s="225"/>
      <c r="BC703" s="225"/>
      <c r="BD703" s="225"/>
      <c r="BE703" s="225"/>
      <c r="BF703" s="225"/>
      <c r="BG703" s="225"/>
      <c r="BH703" s="225"/>
      <c r="BI703" s="225"/>
      <c r="BJ703" s="225"/>
      <c r="BK703" s="225"/>
      <c r="BL703" s="225"/>
      <c r="BM703" s="225"/>
      <c r="BN703" s="225"/>
      <c r="BO703" s="225"/>
      <c r="BP703" s="225"/>
      <c r="BQ703" s="225"/>
      <c r="BR703" s="225"/>
      <c r="BS703" s="225"/>
      <c r="BT703" s="226"/>
      <c r="BU703" s="225"/>
      <c r="BV703" s="225"/>
      <c r="BW703" s="225"/>
      <c r="BX703" s="225"/>
      <c r="BY703" s="225"/>
      <c r="BZ703" s="225"/>
    </row>
    <row r="704">
      <c r="A704" s="225"/>
      <c r="B704" s="225"/>
      <c r="C704" s="225"/>
      <c r="D704" s="226"/>
      <c r="E704" s="225"/>
      <c r="F704" s="225"/>
      <c r="G704" s="225"/>
      <c r="H704" s="225"/>
      <c r="I704" s="225"/>
      <c r="J704" s="225"/>
      <c r="K704" s="244"/>
      <c r="L704" s="225"/>
      <c r="M704" s="225"/>
      <c r="N704" s="225"/>
      <c r="O704" s="225"/>
      <c r="P704" s="225"/>
      <c r="Q704" s="227"/>
      <c r="R704" s="234"/>
      <c r="S704" s="225"/>
      <c r="T704" s="225"/>
      <c r="U704" s="225"/>
      <c r="V704" s="225"/>
      <c r="W704" s="225"/>
      <c r="X704" s="225"/>
      <c r="Y704" s="229"/>
      <c r="Z704" s="257"/>
      <c r="AA704" s="225"/>
      <c r="AB704" s="257"/>
      <c r="AC704" s="257"/>
      <c r="AD704" s="226"/>
      <c r="AE704" s="259"/>
      <c r="AF704" s="347"/>
      <c r="AG704" s="232"/>
      <c r="AH704" s="257"/>
      <c r="AI704" s="225"/>
      <c r="AJ704" s="267"/>
      <c r="AK704" s="259"/>
      <c r="AL704" s="226"/>
      <c r="AM704" s="225"/>
      <c r="AN704" s="225"/>
      <c r="AO704" s="254"/>
      <c r="AP704" s="225"/>
      <c r="AQ704" s="225"/>
      <c r="AR704" s="226"/>
      <c r="AS704" s="225"/>
      <c r="AT704" s="225"/>
      <c r="AU704" s="225"/>
      <c r="AV704" s="225"/>
      <c r="AW704" s="225"/>
      <c r="AX704" s="226"/>
      <c r="AY704" s="225"/>
      <c r="AZ704" s="225"/>
      <c r="BA704" s="226"/>
      <c r="BB704" s="225"/>
      <c r="BC704" s="225"/>
      <c r="BD704" s="225"/>
      <c r="BE704" s="225"/>
      <c r="BF704" s="225"/>
      <c r="BG704" s="225"/>
      <c r="BH704" s="225"/>
      <c r="BI704" s="225"/>
      <c r="BJ704" s="225"/>
      <c r="BK704" s="225"/>
      <c r="BL704" s="225"/>
      <c r="BM704" s="225"/>
      <c r="BN704" s="225"/>
      <c r="BO704" s="225"/>
      <c r="BP704" s="225"/>
      <c r="BQ704" s="225"/>
      <c r="BR704" s="225"/>
      <c r="BS704" s="225"/>
      <c r="BT704" s="226"/>
      <c r="BU704" s="225"/>
      <c r="BV704" s="225"/>
      <c r="BW704" s="225"/>
      <c r="BX704" s="225"/>
      <c r="BY704" s="225"/>
      <c r="BZ704" s="225"/>
    </row>
    <row r="705">
      <c r="A705" s="225"/>
      <c r="B705" s="225"/>
      <c r="C705" s="225"/>
      <c r="D705" s="226"/>
      <c r="E705" s="225"/>
      <c r="F705" s="225"/>
      <c r="G705" s="225"/>
      <c r="H705" s="225"/>
      <c r="I705" s="225"/>
      <c r="J705" s="225"/>
      <c r="K705" s="244"/>
      <c r="L705" s="225"/>
      <c r="M705" s="225"/>
      <c r="N705" s="225"/>
      <c r="O705" s="225"/>
      <c r="P705" s="225"/>
      <c r="Q705" s="227"/>
      <c r="R705" s="234"/>
      <c r="S705" s="225"/>
      <c r="T705" s="225"/>
      <c r="U705" s="225"/>
      <c r="V705" s="225"/>
      <c r="W705" s="225"/>
      <c r="X705" s="225"/>
      <c r="Y705" s="229"/>
      <c r="Z705" s="257"/>
      <c r="AA705" s="225"/>
      <c r="AB705" s="257"/>
      <c r="AC705" s="257"/>
      <c r="AD705" s="226"/>
      <c r="AE705" s="259"/>
      <c r="AF705" s="347"/>
      <c r="AG705" s="232"/>
      <c r="AH705" s="257"/>
      <c r="AI705" s="225"/>
      <c r="AJ705" s="267"/>
      <c r="AK705" s="259"/>
      <c r="AL705" s="226"/>
      <c r="AM705" s="225"/>
      <c r="AN705" s="225"/>
      <c r="AO705" s="254"/>
      <c r="AP705" s="225"/>
      <c r="AQ705" s="225"/>
      <c r="AR705" s="226"/>
      <c r="AS705" s="225"/>
      <c r="AT705" s="225"/>
      <c r="AU705" s="225"/>
      <c r="AV705" s="225"/>
      <c r="AW705" s="225"/>
      <c r="AX705" s="226"/>
      <c r="AY705" s="225"/>
      <c r="AZ705" s="225"/>
      <c r="BA705" s="226"/>
      <c r="BB705" s="225"/>
      <c r="BC705" s="225"/>
      <c r="BD705" s="225"/>
      <c r="BE705" s="225"/>
      <c r="BF705" s="225"/>
      <c r="BG705" s="225"/>
      <c r="BH705" s="225"/>
      <c r="BI705" s="225"/>
      <c r="BJ705" s="225"/>
      <c r="BK705" s="225"/>
      <c r="BL705" s="225"/>
      <c r="BM705" s="225"/>
      <c r="BN705" s="225"/>
      <c r="BO705" s="225"/>
      <c r="BP705" s="225"/>
      <c r="BQ705" s="225"/>
      <c r="BR705" s="225"/>
      <c r="BS705" s="225"/>
      <c r="BT705" s="226"/>
      <c r="BU705" s="225"/>
      <c r="BV705" s="225"/>
      <c r="BW705" s="225"/>
      <c r="BX705" s="225"/>
      <c r="BY705" s="225"/>
      <c r="BZ705" s="225"/>
    </row>
    <row r="706">
      <c r="A706" s="225"/>
      <c r="B706" s="225"/>
      <c r="C706" s="225"/>
      <c r="D706" s="226"/>
      <c r="E706" s="225"/>
      <c r="F706" s="225"/>
      <c r="G706" s="225"/>
      <c r="H706" s="225"/>
      <c r="I706" s="225"/>
      <c r="J706" s="225"/>
      <c r="K706" s="244"/>
      <c r="L706" s="225"/>
      <c r="M706" s="225"/>
      <c r="N706" s="225"/>
      <c r="O706" s="225"/>
      <c r="P706" s="225"/>
      <c r="Q706" s="227"/>
      <c r="R706" s="234"/>
      <c r="S706" s="225"/>
      <c r="T706" s="225"/>
      <c r="U706" s="225"/>
      <c r="V706" s="225"/>
      <c r="W706" s="225"/>
      <c r="X706" s="225"/>
      <c r="Y706" s="229"/>
      <c r="Z706" s="257"/>
      <c r="AA706" s="225"/>
      <c r="AB706" s="257"/>
      <c r="AC706" s="257"/>
      <c r="AD706" s="226"/>
      <c r="AE706" s="259"/>
      <c r="AF706" s="347"/>
      <c r="AG706" s="232"/>
      <c r="AH706" s="257"/>
      <c r="AI706" s="225"/>
      <c r="AJ706" s="267"/>
      <c r="AK706" s="259"/>
      <c r="AL706" s="226"/>
      <c r="AM706" s="225"/>
      <c r="AN706" s="225"/>
      <c r="AO706" s="254"/>
      <c r="AP706" s="225"/>
      <c r="AQ706" s="225"/>
      <c r="AR706" s="226"/>
      <c r="AS706" s="225"/>
      <c r="AT706" s="225"/>
      <c r="AU706" s="225"/>
      <c r="AV706" s="225"/>
      <c r="AW706" s="225"/>
      <c r="AX706" s="226"/>
      <c r="AY706" s="225"/>
      <c r="AZ706" s="225"/>
      <c r="BA706" s="226"/>
      <c r="BB706" s="225"/>
      <c r="BC706" s="225"/>
      <c r="BD706" s="225"/>
      <c r="BE706" s="225"/>
      <c r="BF706" s="225"/>
      <c r="BG706" s="225"/>
      <c r="BH706" s="225"/>
      <c r="BI706" s="225"/>
      <c r="BJ706" s="225"/>
      <c r="BK706" s="225"/>
      <c r="BL706" s="225"/>
      <c r="BM706" s="225"/>
      <c r="BN706" s="225"/>
      <c r="BO706" s="225"/>
      <c r="BP706" s="225"/>
      <c r="BQ706" s="225"/>
      <c r="BR706" s="225"/>
      <c r="BS706" s="225"/>
      <c r="BT706" s="226"/>
      <c r="BU706" s="225"/>
      <c r="BV706" s="225"/>
      <c r="BW706" s="225"/>
      <c r="BX706" s="225"/>
      <c r="BY706" s="225"/>
      <c r="BZ706" s="225"/>
    </row>
    <row r="707">
      <c r="A707" s="225"/>
      <c r="B707" s="225"/>
      <c r="C707" s="225"/>
      <c r="D707" s="226"/>
      <c r="E707" s="225"/>
      <c r="F707" s="225"/>
      <c r="G707" s="225"/>
      <c r="H707" s="225"/>
      <c r="I707" s="225"/>
      <c r="J707" s="225"/>
      <c r="K707" s="244"/>
      <c r="L707" s="225"/>
      <c r="M707" s="225"/>
      <c r="N707" s="225"/>
      <c r="O707" s="225"/>
      <c r="P707" s="225"/>
      <c r="Q707" s="227"/>
      <c r="R707" s="234"/>
      <c r="S707" s="225"/>
      <c r="T707" s="225"/>
      <c r="U707" s="225"/>
      <c r="V707" s="225"/>
      <c r="W707" s="225"/>
      <c r="X707" s="225"/>
      <c r="Y707" s="229"/>
      <c r="Z707" s="257"/>
      <c r="AA707" s="225"/>
      <c r="AB707" s="257"/>
      <c r="AC707" s="257"/>
      <c r="AD707" s="226"/>
      <c r="AE707" s="259"/>
      <c r="AF707" s="347"/>
      <c r="AG707" s="232"/>
      <c r="AH707" s="257"/>
      <c r="AI707" s="225"/>
      <c r="AJ707" s="267"/>
      <c r="AK707" s="259"/>
      <c r="AL707" s="226"/>
      <c r="AM707" s="225"/>
      <c r="AN707" s="225"/>
      <c r="AO707" s="254"/>
      <c r="AP707" s="225"/>
      <c r="AQ707" s="225"/>
      <c r="AR707" s="226"/>
      <c r="AS707" s="225"/>
      <c r="AT707" s="225"/>
      <c r="AU707" s="225"/>
      <c r="AV707" s="225"/>
      <c r="AW707" s="225"/>
      <c r="AX707" s="226"/>
      <c r="AY707" s="225"/>
      <c r="AZ707" s="225"/>
      <c r="BA707" s="226"/>
      <c r="BB707" s="225"/>
      <c r="BC707" s="225"/>
      <c r="BD707" s="225"/>
      <c r="BE707" s="225"/>
      <c r="BF707" s="225"/>
      <c r="BG707" s="225"/>
      <c r="BH707" s="225"/>
      <c r="BI707" s="225"/>
      <c r="BJ707" s="225"/>
      <c r="BK707" s="225"/>
      <c r="BL707" s="225"/>
      <c r="BM707" s="225"/>
      <c r="BN707" s="225"/>
      <c r="BO707" s="225"/>
      <c r="BP707" s="225"/>
      <c r="BQ707" s="225"/>
      <c r="BR707" s="225"/>
      <c r="BS707" s="225"/>
      <c r="BT707" s="226"/>
      <c r="BU707" s="225"/>
      <c r="BV707" s="225"/>
      <c r="BW707" s="225"/>
      <c r="BX707" s="225"/>
      <c r="BY707" s="225"/>
      <c r="BZ707" s="225"/>
    </row>
    <row r="708">
      <c r="A708" s="225"/>
      <c r="B708" s="225"/>
      <c r="C708" s="225"/>
      <c r="D708" s="226"/>
      <c r="E708" s="225"/>
      <c r="F708" s="225"/>
      <c r="G708" s="225"/>
      <c r="H708" s="225"/>
      <c r="I708" s="225"/>
      <c r="J708" s="225"/>
      <c r="K708" s="244"/>
      <c r="L708" s="225"/>
      <c r="M708" s="225"/>
      <c r="N708" s="225"/>
      <c r="O708" s="225"/>
      <c r="P708" s="225"/>
      <c r="Q708" s="227"/>
      <c r="R708" s="234"/>
      <c r="S708" s="225"/>
      <c r="T708" s="225"/>
      <c r="U708" s="225"/>
      <c r="V708" s="225"/>
      <c r="W708" s="225"/>
      <c r="X708" s="225"/>
      <c r="Y708" s="229"/>
      <c r="Z708" s="257"/>
      <c r="AA708" s="225"/>
      <c r="AB708" s="257"/>
      <c r="AC708" s="257"/>
      <c r="AD708" s="226"/>
      <c r="AE708" s="259"/>
      <c r="AF708" s="347"/>
      <c r="AG708" s="232"/>
      <c r="AH708" s="257"/>
      <c r="AI708" s="225"/>
      <c r="AJ708" s="267"/>
      <c r="AK708" s="259"/>
      <c r="AL708" s="226"/>
      <c r="AM708" s="225"/>
      <c r="AN708" s="225"/>
      <c r="AO708" s="254"/>
      <c r="AP708" s="225"/>
      <c r="AQ708" s="225"/>
      <c r="AR708" s="226"/>
      <c r="AS708" s="225"/>
      <c r="AT708" s="225"/>
      <c r="AU708" s="225"/>
      <c r="AV708" s="225"/>
      <c r="AW708" s="225"/>
      <c r="AX708" s="226"/>
      <c r="AY708" s="225"/>
      <c r="AZ708" s="225"/>
      <c r="BA708" s="226"/>
      <c r="BB708" s="225"/>
      <c r="BC708" s="225"/>
      <c r="BD708" s="225"/>
      <c r="BE708" s="225"/>
      <c r="BF708" s="225"/>
      <c r="BG708" s="225"/>
      <c r="BH708" s="225"/>
      <c r="BI708" s="225"/>
      <c r="BJ708" s="225"/>
      <c r="BK708" s="225"/>
      <c r="BL708" s="225"/>
      <c r="BM708" s="225"/>
      <c r="BN708" s="225"/>
      <c r="BO708" s="225"/>
      <c r="BP708" s="225"/>
      <c r="BQ708" s="225"/>
      <c r="BR708" s="225"/>
      <c r="BS708" s="225"/>
      <c r="BT708" s="226"/>
      <c r="BU708" s="225"/>
      <c r="BV708" s="225"/>
      <c r="BW708" s="225"/>
      <c r="BX708" s="225"/>
      <c r="BY708" s="225"/>
      <c r="BZ708" s="225"/>
    </row>
    <row r="709">
      <c r="A709" s="225"/>
      <c r="B709" s="225"/>
      <c r="C709" s="225"/>
      <c r="D709" s="226"/>
      <c r="E709" s="225"/>
      <c r="F709" s="225"/>
      <c r="G709" s="225"/>
      <c r="H709" s="225"/>
      <c r="I709" s="225"/>
      <c r="J709" s="225"/>
      <c r="K709" s="244"/>
      <c r="L709" s="225"/>
      <c r="M709" s="225"/>
      <c r="N709" s="225"/>
      <c r="O709" s="225"/>
      <c r="P709" s="225"/>
      <c r="Q709" s="227"/>
      <c r="R709" s="234"/>
      <c r="S709" s="225"/>
      <c r="T709" s="225"/>
      <c r="U709" s="225"/>
      <c r="V709" s="225"/>
      <c r="W709" s="225"/>
      <c r="X709" s="225"/>
      <c r="Y709" s="229"/>
      <c r="Z709" s="257"/>
      <c r="AA709" s="225"/>
      <c r="AB709" s="257"/>
      <c r="AC709" s="257"/>
      <c r="AD709" s="226"/>
      <c r="AE709" s="259"/>
      <c r="AF709" s="347"/>
      <c r="AG709" s="232"/>
      <c r="AH709" s="257"/>
      <c r="AI709" s="225"/>
      <c r="AJ709" s="267"/>
      <c r="AK709" s="259"/>
      <c r="AL709" s="226"/>
      <c r="AM709" s="225"/>
      <c r="AN709" s="225"/>
      <c r="AO709" s="254"/>
      <c r="AP709" s="225"/>
      <c r="AQ709" s="225"/>
      <c r="AR709" s="226"/>
      <c r="AS709" s="225"/>
      <c r="AT709" s="225"/>
      <c r="AU709" s="225"/>
      <c r="AV709" s="225"/>
      <c r="AW709" s="225"/>
      <c r="AX709" s="226"/>
      <c r="AY709" s="225"/>
      <c r="AZ709" s="225"/>
      <c r="BA709" s="226"/>
      <c r="BB709" s="225"/>
      <c r="BC709" s="225"/>
      <c r="BD709" s="225"/>
      <c r="BE709" s="225"/>
      <c r="BF709" s="225"/>
      <c r="BG709" s="225"/>
      <c r="BH709" s="225"/>
      <c r="BI709" s="225"/>
      <c r="BJ709" s="225"/>
      <c r="BK709" s="225"/>
      <c r="BL709" s="225"/>
      <c r="BM709" s="225"/>
      <c r="BN709" s="225"/>
      <c r="BO709" s="225"/>
      <c r="BP709" s="225"/>
      <c r="BQ709" s="225"/>
      <c r="BR709" s="225"/>
      <c r="BS709" s="225"/>
      <c r="BT709" s="226"/>
      <c r="BU709" s="225"/>
      <c r="BV709" s="225"/>
      <c r="BW709" s="225"/>
      <c r="BX709" s="225"/>
      <c r="BY709" s="225"/>
      <c r="BZ709" s="225"/>
    </row>
    <row r="710">
      <c r="A710" s="225"/>
      <c r="B710" s="225"/>
      <c r="C710" s="225"/>
      <c r="D710" s="226"/>
      <c r="E710" s="225"/>
      <c r="F710" s="225"/>
      <c r="G710" s="225"/>
      <c r="H710" s="225"/>
      <c r="I710" s="225"/>
      <c r="J710" s="225"/>
      <c r="K710" s="244"/>
      <c r="L710" s="225"/>
      <c r="M710" s="225"/>
      <c r="N710" s="225"/>
      <c r="O710" s="225"/>
      <c r="P710" s="225"/>
      <c r="Q710" s="227"/>
      <c r="R710" s="234"/>
      <c r="S710" s="225"/>
      <c r="T710" s="225"/>
      <c r="U710" s="225"/>
      <c r="V710" s="225"/>
      <c r="W710" s="225"/>
      <c r="X710" s="225"/>
      <c r="Y710" s="229"/>
      <c r="Z710" s="257"/>
      <c r="AA710" s="225"/>
      <c r="AB710" s="257"/>
      <c r="AC710" s="257"/>
      <c r="AD710" s="226"/>
      <c r="AE710" s="259"/>
      <c r="AF710" s="347"/>
      <c r="AG710" s="232"/>
      <c r="AH710" s="257"/>
      <c r="AI710" s="225"/>
      <c r="AJ710" s="267"/>
      <c r="AK710" s="259"/>
      <c r="AL710" s="226"/>
      <c r="AM710" s="225"/>
      <c r="AN710" s="225"/>
      <c r="AO710" s="254"/>
      <c r="AP710" s="225"/>
      <c r="AQ710" s="225"/>
      <c r="AR710" s="226"/>
      <c r="AS710" s="225"/>
      <c r="AT710" s="225"/>
      <c r="AU710" s="225"/>
      <c r="AV710" s="225"/>
      <c r="AW710" s="225"/>
      <c r="AX710" s="226"/>
      <c r="AY710" s="225"/>
      <c r="AZ710" s="225"/>
      <c r="BA710" s="226"/>
      <c r="BB710" s="225"/>
      <c r="BC710" s="225"/>
      <c r="BD710" s="225"/>
      <c r="BE710" s="225"/>
      <c r="BF710" s="225"/>
      <c r="BG710" s="225"/>
      <c r="BH710" s="225"/>
      <c r="BI710" s="225"/>
      <c r="BJ710" s="225"/>
      <c r="BK710" s="225"/>
      <c r="BL710" s="225"/>
      <c r="BM710" s="225"/>
      <c r="BN710" s="225"/>
      <c r="BO710" s="225"/>
      <c r="BP710" s="225"/>
      <c r="BQ710" s="225"/>
      <c r="BR710" s="225"/>
      <c r="BS710" s="225"/>
      <c r="BT710" s="226"/>
      <c r="BU710" s="225"/>
      <c r="BV710" s="225"/>
      <c r="BW710" s="225"/>
      <c r="BX710" s="225"/>
      <c r="BY710" s="225"/>
      <c r="BZ710" s="225"/>
    </row>
    <row r="711">
      <c r="A711" s="225"/>
      <c r="B711" s="225"/>
      <c r="C711" s="225"/>
      <c r="D711" s="226"/>
      <c r="E711" s="225"/>
      <c r="F711" s="225"/>
      <c r="G711" s="225"/>
      <c r="H711" s="225"/>
      <c r="I711" s="225"/>
      <c r="J711" s="225"/>
      <c r="K711" s="244"/>
      <c r="L711" s="225"/>
      <c r="M711" s="225"/>
      <c r="N711" s="225"/>
      <c r="O711" s="225"/>
      <c r="P711" s="225"/>
      <c r="Q711" s="227"/>
      <c r="R711" s="234"/>
      <c r="S711" s="225"/>
      <c r="T711" s="225"/>
      <c r="U711" s="225"/>
      <c r="V711" s="225"/>
      <c r="W711" s="225"/>
      <c r="X711" s="225"/>
      <c r="Y711" s="229"/>
      <c r="Z711" s="257"/>
      <c r="AA711" s="225"/>
      <c r="AB711" s="257"/>
      <c r="AC711" s="257"/>
      <c r="AD711" s="226"/>
      <c r="AE711" s="259"/>
      <c r="AF711" s="347"/>
      <c r="AG711" s="232"/>
      <c r="AH711" s="257"/>
      <c r="AI711" s="225"/>
      <c r="AJ711" s="267"/>
      <c r="AK711" s="259"/>
      <c r="AL711" s="226"/>
      <c r="AM711" s="225"/>
      <c r="AN711" s="225"/>
      <c r="AO711" s="254"/>
      <c r="AP711" s="225"/>
      <c r="AQ711" s="225"/>
      <c r="AR711" s="226"/>
      <c r="AS711" s="225"/>
      <c r="AT711" s="225"/>
      <c r="AU711" s="225"/>
      <c r="AV711" s="225"/>
      <c r="AW711" s="225"/>
      <c r="AX711" s="226"/>
      <c r="AY711" s="225"/>
      <c r="AZ711" s="225"/>
      <c r="BA711" s="226"/>
      <c r="BB711" s="225"/>
      <c r="BC711" s="225"/>
      <c r="BD711" s="225"/>
      <c r="BE711" s="225"/>
      <c r="BF711" s="225"/>
      <c r="BG711" s="225"/>
      <c r="BH711" s="225"/>
      <c r="BI711" s="225"/>
      <c r="BJ711" s="225"/>
      <c r="BK711" s="225"/>
      <c r="BL711" s="225"/>
      <c r="BM711" s="225"/>
      <c r="BN711" s="225"/>
      <c r="BO711" s="225"/>
      <c r="BP711" s="225"/>
      <c r="BQ711" s="225"/>
      <c r="BR711" s="225"/>
      <c r="BS711" s="225"/>
      <c r="BT711" s="226"/>
      <c r="BU711" s="225"/>
      <c r="BV711" s="225"/>
      <c r="BW711" s="225"/>
      <c r="BX711" s="225"/>
      <c r="BY711" s="225"/>
      <c r="BZ711" s="225"/>
    </row>
    <row r="712">
      <c r="A712" s="225"/>
      <c r="B712" s="225"/>
      <c r="C712" s="225"/>
      <c r="D712" s="226"/>
      <c r="E712" s="225"/>
      <c r="F712" s="225"/>
      <c r="G712" s="225"/>
      <c r="H712" s="225"/>
      <c r="I712" s="225"/>
      <c r="J712" s="225"/>
      <c r="K712" s="244"/>
      <c r="L712" s="225"/>
      <c r="M712" s="225"/>
      <c r="N712" s="225"/>
      <c r="O712" s="225"/>
      <c r="P712" s="225"/>
      <c r="Q712" s="227"/>
      <c r="R712" s="234"/>
      <c r="S712" s="225"/>
      <c r="T712" s="225"/>
      <c r="U712" s="225"/>
      <c r="V712" s="225"/>
      <c r="W712" s="225"/>
      <c r="X712" s="225"/>
      <c r="Y712" s="229"/>
      <c r="Z712" s="257"/>
      <c r="AA712" s="225"/>
      <c r="AB712" s="257"/>
      <c r="AC712" s="257"/>
      <c r="AD712" s="226"/>
      <c r="AE712" s="259"/>
      <c r="AF712" s="347"/>
      <c r="AG712" s="232"/>
      <c r="AH712" s="257"/>
      <c r="AI712" s="225"/>
      <c r="AJ712" s="267"/>
      <c r="AK712" s="259"/>
      <c r="AL712" s="226"/>
      <c r="AM712" s="225"/>
      <c r="AN712" s="225"/>
      <c r="AO712" s="254"/>
      <c r="AP712" s="225"/>
      <c r="AQ712" s="225"/>
      <c r="AR712" s="226"/>
      <c r="AS712" s="225"/>
      <c r="AT712" s="225"/>
      <c r="AU712" s="225"/>
      <c r="AV712" s="225"/>
      <c r="AW712" s="225"/>
      <c r="AX712" s="226"/>
      <c r="AY712" s="225"/>
      <c r="AZ712" s="225"/>
      <c r="BA712" s="226"/>
      <c r="BB712" s="225"/>
      <c r="BC712" s="225"/>
      <c r="BD712" s="225"/>
      <c r="BE712" s="225"/>
      <c r="BF712" s="225"/>
      <c r="BG712" s="225"/>
      <c r="BH712" s="225"/>
      <c r="BI712" s="225"/>
      <c r="BJ712" s="225"/>
      <c r="BK712" s="225"/>
      <c r="BL712" s="225"/>
      <c r="BM712" s="225"/>
      <c r="BN712" s="225"/>
      <c r="BO712" s="225"/>
      <c r="BP712" s="225"/>
      <c r="BQ712" s="225"/>
      <c r="BR712" s="225"/>
      <c r="BS712" s="225"/>
      <c r="BT712" s="226"/>
      <c r="BU712" s="225"/>
      <c r="BV712" s="225"/>
      <c r="BW712" s="225"/>
      <c r="BX712" s="225"/>
      <c r="BY712" s="225"/>
      <c r="BZ712" s="225"/>
    </row>
    <row r="713">
      <c r="A713" s="225"/>
      <c r="B713" s="225"/>
      <c r="C713" s="225"/>
      <c r="D713" s="226"/>
      <c r="E713" s="225"/>
      <c r="F713" s="225"/>
      <c r="G713" s="225"/>
      <c r="H713" s="225"/>
      <c r="I713" s="225"/>
      <c r="J713" s="225"/>
      <c r="K713" s="244"/>
      <c r="L713" s="225"/>
      <c r="M713" s="225"/>
      <c r="N713" s="225"/>
      <c r="O713" s="225"/>
      <c r="P713" s="225"/>
      <c r="Q713" s="227"/>
      <c r="R713" s="234"/>
      <c r="S713" s="225"/>
      <c r="T713" s="225"/>
      <c r="U713" s="225"/>
      <c r="V713" s="225"/>
      <c r="W713" s="225"/>
      <c r="X713" s="225"/>
      <c r="Y713" s="229"/>
      <c r="Z713" s="257"/>
      <c r="AA713" s="225"/>
      <c r="AB713" s="257"/>
      <c r="AC713" s="257"/>
      <c r="AD713" s="226"/>
      <c r="AE713" s="259"/>
      <c r="AF713" s="347"/>
      <c r="AG713" s="232"/>
      <c r="AH713" s="257"/>
      <c r="AI713" s="225"/>
      <c r="AJ713" s="267"/>
      <c r="AK713" s="259"/>
      <c r="AL713" s="226"/>
      <c r="AM713" s="225"/>
      <c r="AN713" s="225"/>
      <c r="AO713" s="254"/>
      <c r="AP713" s="225"/>
      <c r="AQ713" s="225"/>
      <c r="AR713" s="226"/>
      <c r="AS713" s="225"/>
      <c r="AT713" s="225"/>
      <c r="AU713" s="225"/>
      <c r="AV713" s="225"/>
      <c r="AW713" s="225"/>
      <c r="AX713" s="226"/>
      <c r="AY713" s="225"/>
      <c r="AZ713" s="225"/>
      <c r="BA713" s="226"/>
      <c r="BB713" s="225"/>
      <c r="BC713" s="225"/>
      <c r="BD713" s="225"/>
      <c r="BE713" s="225"/>
      <c r="BF713" s="225"/>
      <c r="BG713" s="225"/>
      <c r="BH713" s="225"/>
      <c r="BI713" s="225"/>
      <c r="BJ713" s="225"/>
      <c r="BK713" s="225"/>
      <c r="BL713" s="225"/>
      <c r="BM713" s="225"/>
      <c r="BN713" s="225"/>
      <c r="BO713" s="225"/>
      <c r="BP713" s="225"/>
      <c r="BQ713" s="225"/>
      <c r="BR713" s="225"/>
      <c r="BS713" s="225"/>
      <c r="BT713" s="226"/>
      <c r="BU713" s="225"/>
      <c r="BV713" s="225"/>
      <c r="BW713" s="225"/>
      <c r="BX713" s="225"/>
      <c r="BY713" s="225"/>
      <c r="BZ713" s="225"/>
    </row>
    <row r="714">
      <c r="A714" s="225"/>
      <c r="B714" s="225"/>
      <c r="C714" s="225"/>
      <c r="D714" s="226"/>
      <c r="E714" s="225"/>
      <c r="F714" s="225"/>
      <c r="G714" s="225"/>
      <c r="H714" s="225"/>
      <c r="I714" s="225"/>
      <c r="J714" s="225"/>
      <c r="K714" s="244"/>
      <c r="L714" s="225"/>
      <c r="M714" s="225"/>
      <c r="N714" s="225"/>
      <c r="O714" s="225"/>
      <c r="P714" s="225"/>
      <c r="Q714" s="227"/>
      <c r="R714" s="234"/>
      <c r="S714" s="225"/>
      <c r="T714" s="225"/>
      <c r="U714" s="225"/>
      <c r="V714" s="225"/>
      <c r="W714" s="225"/>
      <c r="X714" s="225"/>
      <c r="Y714" s="229"/>
      <c r="Z714" s="257"/>
      <c r="AA714" s="225"/>
      <c r="AB714" s="257"/>
      <c r="AC714" s="257"/>
      <c r="AD714" s="226"/>
      <c r="AE714" s="259"/>
      <c r="AF714" s="347"/>
      <c r="AG714" s="232"/>
      <c r="AH714" s="257"/>
      <c r="AI714" s="225"/>
      <c r="AJ714" s="267"/>
      <c r="AK714" s="259"/>
      <c r="AL714" s="226"/>
      <c r="AM714" s="225"/>
      <c r="AN714" s="225"/>
      <c r="AO714" s="254"/>
      <c r="AP714" s="225"/>
      <c r="AQ714" s="225"/>
      <c r="AR714" s="226"/>
      <c r="AS714" s="225"/>
      <c r="AT714" s="225"/>
      <c r="AU714" s="225"/>
      <c r="AV714" s="225"/>
      <c r="AW714" s="225"/>
      <c r="AX714" s="226"/>
      <c r="AY714" s="225"/>
      <c r="AZ714" s="225"/>
      <c r="BA714" s="226"/>
      <c r="BB714" s="225"/>
      <c r="BC714" s="225"/>
      <c r="BD714" s="225"/>
      <c r="BE714" s="225"/>
      <c r="BF714" s="225"/>
      <c r="BG714" s="225"/>
      <c r="BH714" s="225"/>
      <c r="BI714" s="225"/>
      <c r="BJ714" s="225"/>
      <c r="BK714" s="225"/>
      <c r="BL714" s="225"/>
      <c r="BM714" s="225"/>
      <c r="BN714" s="225"/>
      <c r="BO714" s="225"/>
      <c r="BP714" s="225"/>
      <c r="BQ714" s="225"/>
      <c r="BR714" s="225"/>
      <c r="BS714" s="225"/>
      <c r="BT714" s="226"/>
      <c r="BU714" s="225"/>
      <c r="BV714" s="225"/>
      <c r="BW714" s="225"/>
      <c r="BX714" s="225"/>
      <c r="BY714" s="225"/>
      <c r="BZ714" s="225"/>
    </row>
    <row r="715">
      <c r="A715" s="225"/>
      <c r="B715" s="225"/>
      <c r="C715" s="225"/>
      <c r="D715" s="226"/>
      <c r="E715" s="225"/>
      <c r="F715" s="225"/>
      <c r="G715" s="225"/>
      <c r="H715" s="225"/>
      <c r="I715" s="225"/>
      <c r="J715" s="225"/>
      <c r="K715" s="244"/>
      <c r="L715" s="225"/>
      <c r="M715" s="225"/>
      <c r="N715" s="225"/>
      <c r="O715" s="225"/>
      <c r="P715" s="225"/>
      <c r="Q715" s="227"/>
      <c r="R715" s="234"/>
      <c r="S715" s="225"/>
      <c r="T715" s="225"/>
      <c r="U715" s="225"/>
      <c r="V715" s="225"/>
      <c r="W715" s="225"/>
      <c r="X715" s="225"/>
      <c r="Y715" s="229"/>
      <c r="Z715" s="257"/>
      <c r="AA715" s="225"/>
      <c r="AB715" s="257"/>
      <c r="AC715" s="257"/>
      <c r="AD715" s="226"/>
      <c r="AE715" s="259"/>
      <c r="AF715" s="347"/>
      <c r="AG715" s="232"/>
      <c r="AH715" s="257"/>
      <c r="AI715" s="225"/>
      <c r="AJ715" s="267"/>
      <c r="AK715" s="259"/>
      <c r="AL715" s="226"/>
      <c r="AM715" s="225"/>
      <c r="AN715" s="225"/>
      <c r="AO715" s="254"/>
      <c r="AP715" s="225"/>
      <c r="AQ715" s="225"/>
      <c r="AR715" s="226"/>
      <c r="AS715" s="225"/>
      <c r="AT715" s="225"/>
      <c r="AU715" s="225"/>
      <c r="AV715" s="225"/>
      <c r="AW715" s="225"/>
      <c r="AX715" s="226"/>
      <c r="AY715" s="225"/>
      <c r="AZ715" s="225"/>
      <c r="BA715" s="226"/>
      <c r="BB715" s="225"/>
      <c r="BC715" s="225"/>
      <c r="BD715" s="225"/>
      <c r="BE715" s="225"/>
      <c r="BF715" s="225"/>
      <c r="BG715" s="225"/>
      <c r="BH715" s="225"/>
      <c r="BI715" s="225"/>
      <c r="BJ715" s="225"/>
      <c r="BK715" s="225"/>
      <c r="BL715" s="225"/>
      <c r="BM715" s="225"/>
      <c r="BN715" s="225"/>
      <c r="BO715" s="225"/>
      <c r="BP715" s="225"/>
      <c r="BQ715" s="225"/>
      <c r="BR715" s="225"/>
      <c r="BS715" s="225"/>
      <c r="BT715" s="226"/>
      <c r="BU715" s="225"/>
      <c r="BV715" s="225"/>
      <c r="BW715" s="225"/>
      <c r="BX715" s="225"/>
      <c r="BY715" s="225"/>
      <c r="BZ715" s="225"/>
    </row>
    <row r="716">
      <c r="A716" s="225"/>
      <c r="B716" s="225"/>
      <c r="C716" s="225"/>
      <c r="D716" s="226"/>
      <c r="E716" s="225"/>
      <c r="F716" s="225"/>
      <c r="G716" s="225"/>
      <c r="H716" s="225"/>
      <c r="I716" s="225"/>
      <c r="J716" s="225"/>
      <c r="K716" s="244"/>
      <c r="L716" s="225"/>
      <c r="M716" s="225"/>
      <c r="N716" s="225"/>
      <c r="O716" s="225"/>
      <c r="P716" s="225"/>
      <c r="Q716" s="227"/>
      <c r="R716" s="234"/>
      <c r="S716" s="225"/>
      <c r="T716" s="225"/>
      <c r="U716" s="225"/>
      <c r="V716" s="225"/>
      <c r="W716" s="225"/>
      <c r="X716" s="225"/>
      <c r="Y716" s="229"/>
      <c r="Z716" s="257"/>
      <c r="AA716" s="225"/>
      <c r="AB716" s="257"/>
      <c r="AC716" s="257"/>
      <c r="AD716" s="226"/>
      <c r="AE716" s="259"/>
      <c r="AF716" s="347"/>
      <c r="AG716" s="232"/>
      <c r="AH716" s="257"/>
      <c r="AI716" s="225"/>
      <c r="AJ716" s="267"/>
      <c r="AK716" s="259"/>
      <c r="AL716" s="226"/>
      <c r="AM716" s="225"/>
      <c r="AN716" s="225"/>
      <c r="AO716" s="254"/>
      <c r="AP716" s="225"/>
      <c r="AQ716" s="225"/>
      <c r="AR716" s="226"/>
      <c r="AS716" s="225"/>
      <c r="AT716" s="225"/>
      <c r="AU716" s="225"/>
      <c r="AV716" s="225"/>
      <c r="AW716" s="225"/>
      <c r="AX716" s="226"/>
      <c r="AY716" s="225"/>
      <c r="AZ716" s="225"/>
      <c r="BA716" s="226"/>
      <c r="BB716" s="225"/>
      <c r="BC716" s="225"/>
      <c r="BD716" s="225"/>
      <c r="BE716" s="225"/>
      <c r="BF716" s="225"/>
      <c r="BG716" s="225"/>
      <c r="BH716" s="225"/>
      <c r="BI716" s="225"/>
      <c r="BJ716" s="225"/>
      <c r="BK716" s="225"/>
      <c r="BL716" s="225"/>
      <c r="BM716" s="225"/>
      <c r="BN716" s="225"/>
      <c r="BO716" s="225"/>
      <c r="BP716" s="225"/>
      <c r="BQ716" s="225"/>
      <c r="BR716" s="225"/>
      <c r="BS716" s="225"/>
      <c r="BT716" s="226"/>
      <c r="BU716" s="225"/>
      <c r="BV716" s="225"/>
      <c r="BW716" s="225"/>
      <c r="BX716" s="225"/>
      <c r="BY716" s="225"/>
      <c r="BZ716" s="225"/>
    </row>
    <row r="717">
      <c r="A717" s="225"/>
      <c r="B717" s="225"/>
      <c r="C717" s="225"/>
      <c r="D717" s="226"/>
      <c r="E717" s="225"/>
      <c r="F717" s="225"/>
      <c r="G717" s="225"/>
      <c r="H717" s="225"/>
      <c r="I717" s="225"/>
      <c r="J717" s="225"/>
      <c r="K717" s="244"/>
      <c r="L717" s="225"/>
      <c r="M717" s="225"/>
      <c r="N717" s="225"/>
      <c r="O717" s="225"/>
      <c r="P717" s="225"/>
      <c r="Q717" s="227"/>
      <c r="R717" s="234"/>
      <c r="S717" s="225"/>
      <c r="T717" s="225"/>
      <c r="U717" s="225"/>
      <c r="V717" s="225"/>
      <c r="W717" s="225"/>
      <c r="X717" s="225"/>
      <c r="Y717" s="229"/>
      <c r="Z717" s="257"/>
      <c r="AA717" s="225"/>
      <c r="AB717" s="257"/>
      <c r="AC717" s="257"/>
      <c r="AD717" s="226"/>
      <c r="AE717" s="259"/>
      <c r="AF717" s="347"/>
      <c r="AG717" s="232"/>
      <c r="AH717" s="257"/>
      <c r="AI717" s="225"/>
      <c r="AJ717" s="267"/>
      <c r="AK717" s="259"/>
      <c r="AL717" s="226"/>
      <c r="AM717" s="225"/>
      <c r="AN717" s="225"/>
      <c r="AO717" s="254"/>
      <c r="AP717" s="225"/>
      <c r="AQ717" s="225"/>
      <c r="AR717" s="226"/>
      <c r="AS717" s="225"/>
      <c r="AT717" s="225"/>
      <c r="AU717" s="225"/>
      <c r="AV717" s="225"/>
      <c r="AW717" s="225"/>
      <c r="AX717" s="226"/>
      <c r="AY717" s="225"/>
      <c r="AZ717" s="225"/>
      <c r="BA717" s="226"/>
      <c r="BB717" s="225"/>
      <c r="BC717" s="225"/>
      <c r="BD717" s="225"/>
      <c r="BE717" s="225"/>
      <c r="BF717" s="225"/>
      <c r="BG717" s="225"/>
      <c r="BH717" s="225"/>
      <c r="BI717" s="225"/>
      <c r="BJ717" s="225"/>
      <c r="BK717" s="225"/>
      <c r="BL717" s="225"/>
      <c r="BM717" s="225"/>
      <c r="BN717" s="225"/>
      <c r="BO717" s="225"/>
      <c r="BP717" s="225"/>
      <c r="BQ717" s="225"/>
      <c r="BR717" s="225"/>
      <c r="BS717" s="225"/>
      <c r="BT717" s="226"/>
      <c r="BU717" s="225"/>
      <c r="BV717" s="225"/>
      <c r="BW717" s="225"/>
      <c r="BX717" s="225"/>
      <c r="BY717" s="225"/>
      <c r="BZ717" s="225"/>
    </row>
    <row r="718">
      <c r="A718" s="225"/>
      <c r="B718" s="225"/>
      <c r="C718" s="225"/>
      <c r="D718" s="226"/>
      <c r="E718" s="225"/>
      <c r="F718" s="225"/>
      <c r="G718" s="225"/>
      <c r="H718" s="225"/>
      <c r="I718" s="225"/>
      <c r="J718" s="225"/>
      <c r="K718" s="244"/>
      <c r="L718" s="225"/>
      <c r="M718" s="225"/>
      <c r="N718" s="225"/>
      <c r="O718" s="225"/>
      <c r="P718" s="225"/>
      <c r="Q718" s="227"/>
      <c r="R718" s="234"/>
      <c r="S718" s="225"/>
      <c r="T718" s="225"/>
      <c r="U718" s="225"/>
      <c r="V718" s="225"/>
      <c r="W718" s="225"/>
      <c r="X718" s="225"/>
      <c r="Y718" s="229"/>
      <c r="Z718" s="257"/>
      <c r="AA718" s="225"/>
      <c r="AB718" s="257"/>
      <c r="AC718" s="257"/>
      <c r="AD718" s="226"/>
      <c r="AE718" s="259"/>
      <c r="AF718" s="347"/>
      <c r="AG718" s="232"/>
      <c r="AH718" s="257"/>
      <c r="AI718" s="225"/>
      <c r="AJ718" s="267"/>
      <c r="AK718" s="259"/>
      <c r="AL718" s="226"/>
      <c r="AM718" s="225"/>
      <c r="AN718" s="225"/>
      <c r="AO718" s="254"/>
      <c r="AP718" s="225"/>
      <c r="AQ718" s="225"/>
      <c r="AR718" s="226"/>
      <c r="AS718" s="225"/>
      <c r="AT718" s="225"/>
      <c r="AU718" s="225"/>
      <c r="AV718" s="225"/>
      <c r="AW718" s="225"/>
      <c r="AX718" s="226"/>
      <c r="AY718" s="225"/>
      <c r="AZ718" s="225"/>
      <c r="BA718" s="226"/>
      <c r="BB718" s="225"/>
      <c r="BC718" s="225"/>
      <c r="BD718" s="225"/>
      <c r="BE718" s="225"/>
      <c r="BF718" s="225"/>
      <c r="BG718" s="225"/>
      <c r="BH718" s="225"/>
      <c r="BI718" s="225"/>
      <c r="BJ718" s="225"/>
      <c r="BK718" s="225"/>
      <c r="BL718" s="225"/>
      <c r="BM718" s="225"/>
      <c r="BN718" s="225"/>
      <c r="BO718" s="225"/>
      <c r="BP718" s="225"/>
      <c r="BQ718" s="225"/>
      <c r="BR718" s="225"/>
      <c r="BS718" s="225"/>
      <c r="BT718" s="226"/>
      <c r="BU718" s="225"/>
      <c r="BV718" s="225"/>
      <c r="BW718" s="225"/>
      <c r="BX718" s="225"/>
      <c r="BY718" s="225"/>
      <c r="BZ718" s="225"/>
    </row>
    <row r="719">
      <c r="A719" s="225"/>
      <c r="B719" s="225"/>
      <c r="C719" s="225"/>
      <c r="D719" s="226"/>
      <c r="E719" s="225"/>
      <c r="F719" s="225"/>
      <c r="G719" s="225"/>
      <c r="H719" s="225"/>
      <c r="I719" s="225"/>
      <c r="J719" s="225"/>
      <c r="K719" s="244"/>
      <c r="L719" s="225"/>
      <c r="M719" s="225"/>
      <c r="N719" s="225"/>
      <c r="O719" s="225"/>
      <c r="P719" s="225"/>
      <c r="Q719" s="227"/>
      <c r="R719" s="234"/>
      <c r="S719" s="225"/>
      <c r="T719" s="225"/>
      <c r="U719" s="225"/>
      <c r="V719" s="225"/>
      <c r="W719" s="225"/>
      <c r="X719" s="225"/>
      <c r="Y719" s="229"/>
      <c r="Z719" s="257"/>
      <c r="AA719" s="225"/>
      <c r="AB719" s="257"/>
      <c r="AC719" s="257"/>
      <c r="AD719" s="226"/>
      <c r="AE719" s="259"/>
      <c r="AF719" s="347"/>
      <c r="AG719" s="232"/>
      <c r="AH719" s="257"/>
      <c r="AI719" s="225"/>
      <c r="AJ719" s="267"/>
      <c r="AK719" s="259"/>
      <c r="AL719" s="226"/>
      <c r="AM719" s="225"/>
      <c r="AN719" s="225"/>
      <c r="AO719" s="254"/>
      <c r="AP719" s="225"/>
      <c r="AQ719" s="225"/>
      <c r="AR719" s="226"/>
      <c r="AS719" s="225"/>
      <c r="AT719" s="225"/>
      <c r="AU719" s="225"/>
      <c r="AV719" s="225"/>
      <c r="AW719" s="225"/>
      <c r="AX719" s="226"/>
      <c r="AY719" s="225"/>
      <c r="AZ719" s="225"/>
      <c r="BA719" s="226"/>
      <c r="BB719" s="225"/>
      <c r="BC719" s="225"/>
      <c r="BD719" s="225"/>
      <c r="BE719" s="225"/>
      <c r="BF719" s="225"/>
      <c r="BG719" s="225"/>
      <c r="BH719" s="225"/>
      <c r="BI719" s="225"/>
      <c r="BJ719" s="225"/>
      <c r="BK719" s="225"/>
      <c r="BL719" s="225"/>
      <c r="BM719" s="225"/>
      <c r="BN719" s="225"/>
      <c r="BO719" s="225"/>
      <c r="BP719" s="225"/>
      <c r="BQ719" s="225"/>
      <c r="BR719" s="225"/>
      <c r="BS719" s="225"/>
      <c r="BT719" s="226"/>
      <c r="BU719" s="225"/>
      <c r="BV719" s="225"/>
      <c r="BW719" s="225"/>
      <c r="BX719" s="225"/>
      <c r="BY719" s="225"/>
      <c r="BZ719" s="225"/>
    </row>
    <row r="720">
      <c r="A720" s="225"/>
      <c r="B720" s="225"/>
      <c r="C720" s="225"/>
      <c r="D720" s="226"/>
      <c r="E720" s="225"/>
      <c r="F720" s="225"/>
      <c r="G720" s="225"/>
      <c r="H720" s="225"/>
      <c r="I720" s="225"/>
      <c r="J720" s="225"/>
      <c r="K720" s="244"/>
      <c r="L720" s="225"/>
      <c r="M720" s="225"/>
      <c r="N720" s="225"/>
      <c r="O720" s="225"/>
      <c r="P720" s="225"/>
      <c r="Q720" s="227"/>
      <c r="R720" s="234"/>
      <c r="S720" s="225"/>
      <c r="T720" s="225"/>
      <c r="U720" s="225"/>
      <c r="V720" s="225"/>
      <c r="W720" s="225"/>
      <c r="X720" s="225"/>
      <c r="Y720" s="229"/>
      <c r="Z720" s="257"/>
      <c r="AA720" s="225"/>
      <c r="AB720" s="257"/>
      <c r="AC720" s="257"/>
      <c r="AD720" s="226"/>
      <c r="AE720" s="259"/>
      <c r="AF720" s="347"/>
      <c r="AG720" s="232"/>
      <c r="AH720" s="257"/>
      <c r="AI720" s="225"/>
      <c r="AJ720" s="267"/>
      <c r="AK720" s="259"/>
      <c r="AL720" s="226"/>
      <c r="AM720" s="225"/>
      <c r="AN720" s="225"/>
      <c r="AO720" s="254"/>
      <c r="AP720" s="225"/>
      <c r="AQ720" s="225"/>
      <c r="AR720" s="226"/>
      <c r="AS720" s="225"/>
      <c r="AT720" s="225"/>
      <c r="AU720" s="225"/>
      <c r="AV720" s="225"/>
      <c r="AW720" s="225"/>
      <c r="AX720" s="226"/>
      <c r="AY720" s="225"/>
      <c r="AZ720" s="225"/>
      <c r="BA720" s="226"/>
      <c r="BB720" s="225"/>
      <c r="BC720" s="225"/>
      <c r="BD720" s="225"/>
      <c r="BE720" s="225"/>
      <c r="BF720" s="225"/>
      <c r="BG720" s="225"/>
      <c r="BH720" s="225"/>
      <c r="BI720" s="225"/>
      <c r="BJ720" s="225"/>
      <c r="BK720" s="225"/>
      <c r="BL720" s="225"/>
      <c r="BM720" s="225"/>
      <c r="BN720" s="225"/>
      <c r="BO720" s="225"/>
      <c r="BP720" s="225"/>
      <c r="BQ720" s="225"/>
      <c r="BR720" s="225"/>
      <c r="BS720" s="225"/>
      <c r="BT720" s="226"/>
      <c r="BU720" s="225"/>
      <c r="BV720" s="225"/>
      <c r="BW720" s="225"/>
      <c r="BX720" s="225"/>
      <c r="BY720" s="225"/>
      <c r="BZ720" s="225"/>
    </row>
    <row r="721">
      <c r="A721" s="225"/>
      <c r="B721" s="225"/>
      <c r="C721" s="225"/>
      <c r="D721" s="226"/>
      <c r="E721" s="225"/>
      <c r="F721" s="225"/>
      <c r="G721" s="225"/>
      <c r="H721" s="225"/>
      <c r="I721" s="225"/>
      <c r="J721" s="225"/>
      <c r="K721" s="244"/>
      <c r="L721" s="225"/>
      <c r="M721" s="225"/>
      <c r="N721" s="225"/>
      <c r="O721" s="225"/>
      <c r="P721" s="225"/>
      <c r="Q721" s="227"/>
      <c r="R721" s="234"/>
      <c r="S721" s="225"/>
      <c r="T721" s="225"/>
      <c r="U721" s="225"/>
      <c r="V721" s="225"/>
      <c r="W721" s="225"/>
      <c r="X721" s="225"/>
      <c r="Y721" s="229"/>
      <c r="Z721" s="257"/>
      <c r="AA721" s="225"/>
      <c r="AB721" s="257"/>
      <c r="AC721" s="257"/>
      <c r="AD721" s="226"/>
      <c r="AE721" s="259"/>
      <c r="AF721" s="347"/>
      <c r="AG721" s="232"/>
      <c r="AH721" s="257"/>
      <c r="AI721" s="225"/>
      <c r="AJ721" s="267"/>
      <c r="AK721" s="259"/>
      <c r="AL721" s="226"/>
      <c r="AM721" s="225"/>
      <c r="AN721" s="225"/>
      <c r="AO721" s="254"/>
      <c r="AP721" s="225"/>
      <c r="AQ721" s="225"/>
      <c r="AR721" s="226"/>
      <c r="AS721" s="225"/>
      <c r="AT721" s="225"/>
      <c r="AU721" s="225"/>
      <c r="AV721" s="225"/>
      <c r="AW721" s="225"/>
      <c r="AX721" s="226"/>
      <c r="AY721" s="225"/>
      <c r="AZ721" s="225"/>
      <c r="BA721" s="226"/>
      <c r="BB721" s="225"/>
      <c r="BC721" s="225"/>
      <c r="BD721" s="225"/>
      <c r="BE721" s="225"/>
      <c r="BF721" s="225"/>
      <c r="BG721" s="225"/>
      <c r="BH721" s="225"/>
      <c r="BI721" s="225"/>
      <c r="BJ721" s="225"/>
      <c r="BK721" s="225"/>
      <c r="BL721" s="225"/>
      <c r="BM721" s="225"/>
      <c r="BN721" s="225"/>
      <c r="BO721" s="225"/>
      <c r="BP721" s="225"/>
      <c r="BQ721" s="225"/>
      <c r="BR721" s="225"/>
      <c r="BS721" s="225"/>
      <c r="BT721" s="226"/>
      <c r="BU721" s="225"/>
      <c r="BV721" s="225"/>
      <c r="BW721" s="225"/>
      <c r="BX721" s="225"/>
      <c r="BY721" s="225"/>
      <c r="BZ721" s="225"/>
    </row>
    <row r="722">
      <c r="A722" s="225"/>
      <c r="B722" s="225"/>
      <c r="C722" s="225"/>
      <c r="D722" s="226"/>
      <c r="E722" s="225"/>
      <c r="F722" s="225"/>
      <c r="G722" s="225"/>
      <c r="H722" s="225"/>
      <c r="I722" s="225"/>
      <c r="J722" s="225"/>
      <c r="K722" s="244"/>
      <c r="L722" s="225"/>
      <c r="M722" s="225"/>
      <c r="N722" s="225"/>
      <c r="O722" s="225"/>
      <c r="P722" s="225"/>
      <c r="Q722" s="227"/>
      <c r="R722" s="234"/>
      <c r="S722" s="225"/>
      <c r="T722" s="225"/>
      <c r="U722" s="225"/>
      <c r="V722" s="225"/>
      <c r="W722" s="225"/>
      <c r="X722" s="225"/>
      <c r="Y722" s="229"/>
      <c r="Z722" s="257"/>
      <c r="AA722" s="225"/>
      <c r="AB722" s="257"/>
      <c r="AC722" s="257"/>
      <c r="AD722" s="226"/>
      <c r="AE722" s="259"/>
      <c r="AF722" s="347"/>
      <c r="AG722" s="232"/>
      <c r="AH722" s="257"/>
      <c r="AI722" s="225"/>
      <c r="AJ722" s="267"/>
      <c r="AK722" s="259"/>
      <c r="AL722" s="226"/>
      <c r="AM722" s="225"/>
      <c r="AN722" s="225"/>
      <c r="AO722" s="254"/>
      <c r="AP722" s="225"/>
      <c r="AQ722" s="225"/>
      <c r="AR722" s="226"/>
      <c r="AS722" s="225"/>
      <c r="AT722" s="225"/>
      <c r="AU722" s="225"/>
      <c r="AV722" s="225"/>
      <c r="AW722" s="225"/>
      <c r="AX722" s="226"/>
      <c r="AY722" s="225"/>
      <c r="AZ722" s="225"/>
      <c r="BA722" s="226"/>
      <c r="BB722" s="225"/>
      <c r="BC722" s="225"/>
      <c r="BD722" s="225"/>
      <c r="BE722" s="225"/>
      <c r="BF722" s="225"/>
      <c r="BG722" s="225"/>
      <c r="BH722" s="225"/>
      <c r="BI722" s="225"/>
      <c r="BJ722" s="225"/>
      <c r="BK722" s="225"/>
      <c r="BL722" s="225"/>
      <c r="BM722" s="225"/>
      <c r="BN722" s="225"/>
      <c r="BO722" s="225"/>
      <c r="BP722" s="225"/>
      <c r="BQ722" s="225"/>
      <c r="BR722" s="225"/>
      <c r="BS722" s="225"/>
      <c r="BT722" s="226"/>
      <c r="BU722" s="225"/>
      <c r="BV722" s="225"/>
      <c r="BW722" s="225"/>
      <c r="BX722" s="225"/>
      <c r="BY722" s="225"/>
      <c r="BZ722" s="225"/>
    </row>
    <row r="723">
      <c r="A723" s="225"/>
      <c r="B723" s="225"/>
      <c r="C723" s="225"/>
      <c r="D723" s="226"/>
      <c r="E723" s="225"/>
      <c r="F723" s="225"/>
      <c r="G723" s="225"/>
      <c r="H723" s="225"/>
      <c r="I723" s="225"/>
      <c r="J723" s="225"/>
      <c r="K723" s="244"/>
      <c r="L723" s="225"/>
      <c r="M723" s="225"/>
      <c r="N723" s="225"/>
      <c r="O723" s="225"/>
      <c r="P723" s="225"/>
      <c r="Q723" s="227"/>
      <c r="R723" s="234"/>
      <c r="S723" s="225"/>
      <c r="T723" s="225"/>
      <c r="U723" s="225"/>
      <c r="V723" s="225"/>
      <c r="W723" s="225"/>
      <c r="X723" s="225"/>
      <c r="Y723" s="229"/>
      <c r="Z723" s="257"/>
      <c r="AA723" s="225"/>
      <c r="AB723" s="257"/>
      <c r="AC723" s="257"/>
      <c r="AD723" s="226"/>
      <c r="AE723" s="259"/>
      <c r="AF723" s="347"/>
      <c r="AG723" s="232"/>
      <c r="AH723" s="257"/>
      <c r="AI723" s="225"/>
      <c r="AJ723" s="267"/>
      <c r="AK723" s="259"/>
      <c r="AL723" s="226"/>
      <c r="AM723" s="225"/>
      <c r="AN723" s="225"/>
      <c r="AO723" s="254"/>
      <c r="AP723" s="225"/>
      <c r="AQ723" s="225"/>
      <c r="AR723" s="226"/>
      <c r="AS723" s="225"/>
      <c r="AT723" s="225"/>
      <c r="AU723" s="225"/>
      <c r="AV723" s="225"/>
      <c r="AW723" s="225"/>
      <c r="AX723" s="226"/>
      <c r="AY723" s="225"/>
      <c r="AZ723" s="225"/>
      <c r="BA723" s="226"/>
      <c r="BB723" s="225"/>
      <c r="BC723" s="225"/>
      <c r="BD723" s="225"/>
      <c r="BE723" s="225"/>
      <c r="BF723" s="225"/>
      <c r="BG723" s="225"/>
      <c r="BH723" s="225"/>
      <c r="BI723" s="225"/>
      <c r="BJ723" s="225"/>
      <c r="BK723" s="225"/>
      <c r="BL723" s="225"/>
      <c r="BM723" s="225"/>
      <c r="BN723" s="225"/>
      <c r="BO723" s="225"/>
      <c r="BP723" s="225"/>
      <c r="BQ723" s="225"/>
      <c r="BR723" s="225"/>
      <c r="BS723" s="225"/>
      <c r="BT723" s="226"/>
      <c r="BU723" s="225"/>
      <c r="BV723" s="225"/>
      <c r="BW723" s="225"/>
      <c r="BX723" s="225"/>
      <c r="BY723" s="225"/>
      <c r="BZ723" s="225"/>
    </row>
    <row r="724">
      <c r="A724" s="225"/>
      <c r="B724" s="225"/>
      <c r="C724" s="225"/>
      <c r="D724" s="226"/>
      <c r="E724" s="225"/>
      <c r="F724" s="225"/>
      <c r="G724" s="225"/>
      <c r="H724" s="225"/>
      <c r="I724" s="225"/>
      <c r="J724" s="225"/>
      <c r="K724" s="244"/>
      <c r="L724" s="225"/>
      <c r="M724" s="225"/>
      <c r="N724" s="225"/>
      <c r="O724" s="225"/>
      <c r="P724" s="225"/>
      <c r="Q724" s="227"/>
      <c r="R724" s="234"/>
      <c r="S724" s="225"/>
      <c r="T724" s="225"/>
      <c r="U724" s="225"/>
      <c r="V724" s="225"/>
      <c r="W724" s="225"/>
      <c r="X724" s="225"/>
      <c r="Y724" s="229"/>
      <c r="Z724" s="257"/>
      <c r="AA724" s="225"/>
      <c r="AB724" s="257"/>
      <c r="AC724" s="257"/>
      <c r="AD724" s="226"/>
      <c r="AE724" s="259"/>
      <c r="AF724" s="347"/>
      <c r="AG724" s="232"/>
      <c r="AH724" s="257"/>
      <c r="AI724" s="225"/>
      <c r="AJ724" s="267"/>
      <c r="AK724" s="259"/>
      <c r="AL724" s="226"/>
      <c r="AM724" s="225"/>
      <c r="AN724" s="225"/>
      <c r="AO724" s="254"/>
      <c r="AP724" s="225"/>
      <c r="AQ724" s="225"/>
      <c r="AR724" s="226"/>
      <c r="AS724" s="225"/>
      <c r="AT724" s="225"/>
      <c r="AU724" s="225"/>
      <c r="AV724" s="225"/>
      <c r="AW724" s="225"/>
      <c r="AX724" s="226"/>
      <c r="AY724" s="225"/>
      <c r="AZ724" s="225"/>
      <c r="BA724" s="226"/>
      <c r="BB724" s="225"/>
      <c r="BC724" s="225"/>
      <c r="BD724" s="225"/>
      <c r="BE724" s="225"/>
      <c r="BF724" s="225"/>
      <c r="BG724" s="225"/>
      <c r="BH724" s="225"/>
      <c r="BI724" s="225"/>
      <c r="BJ724" s="225"/>
      <c r="BK724" s="225"/>
      <c r="BL724" s="225"/>
      <c r="BM724" s="225"/>
      <c r="BN724" s="225"/>
      <c r="BO724" s="225"/>
      <c r="BP724" s="225"/>
      <c r="BQ724" s="225"/>
      <c r="BR724" s="225"/>
      <c r="BS724" s="225"/>
      <c r="BT724" s="226"/>
      <c r="BU724" s="225"/>
      <c r="BV724" s="225"/>
      <c r="BW724" s="225"/>
      <c r="BX724" s="225"/>
      <c r="BY724" s="225"/>
      <c r="BZ724" s="225"/>
    </row>
    <row r="725">
      <c r="A725" s="225"/>
      <c r="B725" s="225"/>
      <c r="C725" s="225"/>
      <c r="D725" s="226"/>
      <c r="E725" s="225"/>
      <c r="F725" s="225"/>
      <c r="G725" s="225"/>
      <c r="H725" s="225"/>
      <c r="I725" s="225"/>
      <c r="J725" s="225"/>
      <c r="K725" s="244"/>
      <c r="L725" s="225"/>
      <c r="M725" s="225"/>
      <c r="N725" s="225"/>
      <c r="O725" s="225"/>
      <c r="P725" s="225"/>
      <c r="Q725" s="227"/>
      <c r="R725" s="234"/>
      <c r="S725" s="225"/>
      <c r="T725" s="225"/>
      <c r="U725" s="225"/>
      <c r="V725" s="225"/>
      <c r="W725" s="225"/>
      <c r="X725" s="225"/>
      <c r="Y725" s="229"/>
      <c r="Z725" s="257"/>
      <c r="AA725" s="225"/>
      <c r="AB725" s="257"/>
      <c r="AC725" s="257"/>
      <c r="AD725" s="226"/>
      <c r="AE725" s="259"/>
      <c r="AF725" s="347"/>
      <c r="AG725" s="232"/>
      <c r="AH725" s="257"/>
      <c r="AI725" s="225"/>
      <c r="AJ725" s="267"/>
      <c r="AK725" s="259"/>
      <c r="AL725" s="226"/>
      <c r="AM725" s="225"/>
      <c r="AN725" s="225"/>
      <c r="AO725" s="254"/>
      <c r="AP725" s="225"/>
      <c r="AQ725" s="225"/>
      <c r="AR725" s="226"/>
      <c r="AS725" s="225"/>
      <c r="AT725" s="225"/>
      <c r="AU725" s="225"/>
      <c r="AV725" s="225"/>
      <c r="AW725" s="225"/>
      <c r="AX725" s="226"/>
      <c r="AY725" s="225"/>
      <c r="AZ725" s="225"/>
      <c r="BA725" s="226"/>
      <c r="BB725" s="225"/>
      <c r="BC725" s="225"/>
      <c r="BD725" s="225"/>
      <c r="BE725" s="225"/>
      <c r="BF725" s="225"/>
      <c r="BG725" s="225"/>
      <c r="BH725" s="225"/>
      <c r="BI725" s="225"/>
      <c r="BJ725" s="225"/>
      <c r="BK725" s="225"/>
      <c r="BL725" s="225"/>
      <c r="BM725" s="225"/>
      <c r="BN725" s="225"/>
      <c r="BO725" s="225"/>
      <c r="BP725" s="225"/>
      <c r="BQ725" s="225"/>
      <c r="BR725" s="225"/>
      <c r="BS725" s="225"/>
      <c r="BT725" s="226"/>
      <c r="BU725" s="225"/>
      <c r="BV725" s="225"/>
      <c r="BW725" s="225"/>
      <c r="BX725" s="225"/>
      <c r="BY725" s="225"/>
      <c r="BZ725" s="225"/>
    </row>
    <row r="726">
      <c r="A726" s="225"/>
      <c r="B726" s="225"/>
      <c r="C726" s="225"/>
      <c r="D726" s="226"/>
      <c r="E726" s="225"/>
      <c r="F726" s="225"/>
      <c r="G726" s="225"/>
      <c r="H726" s="225"/>
      <c r="I726" s="225"/>
      <c r="J726" s="225"/>
      <c r="K726" s="244"/>
      <c r="L726" s="225"/>
      <c r="M726" s="225"/>
      <c r="N726" s="225"/>
      <c r="O726" s="225"/>
      <c r="P726" s="225"/>
      <c r="Q726" s="227"/>
      <c r="R726" s="234"/>
      <c r="S726" s="225"/>
      <c r="T726" s="225"/>
      <c r="U726" s="225"/>
      <c r="V726" s="225"/>
      <c r="W726" s="225"/>
      <c r="X726" s="225"/>
      <c r="Y726" s="229"/>
      <c r="Z726" s="257"/>
      <c r="AA726" s="225"/>
      <c r="AB726" s="257"/>
      <c r="AC726" s="257"/>
      <c r="AD726" s="226"/>
      <c r="AE726" s="259"/>
      <c r="AF726" s="347"/>
      <c r="AG726" s="232"/>
      <c r="AH726" s="257"/>
      <c r="AI726" s="225"/>
      <c r="AJ726" s="267"/>
      <c r="AK726" s="259"/>
      <c r="AL726" s="226"/>
      <c r="AM726" s="225"/>
      <c r="AN726" s="225"/>
      <c r="AO726" s="254"/>
      <c r="AP726" s="225"/>
      <c r="AQ726" s="225"/>
      <c r="AR726" s="226"/>
      <c r="AS726" s="225"/>
      <c r="AT726" s="225"/>
      <c r="AU726" s="225"/>
      <c r="AV726" s="225"/>
      <c r="AW726" s="225"/>
      <c r="AX726" s="226"/>
      <c r="AY726" s="225"/>
      <c r="AZ726" s="225"/>
      <c r="BA726" s="226"/>
      <c r="BB726" s="225"/>
      <c r="BC726" s="225"/>
      <c r="BD726" s="225"/>
      <c r="BE726" s="225"/>
      <c r="BF726" s="225"/>
      <c r="BG726" s="225"/>
      <c r="BH726" s="225"/>
      <c r="BI726" s="225"/>
      <c r="BJ726" s="225"/>
      <c r="BK726" s="225"/>
      <c r="BL726" s="225"/>
      <c r="BM726" s="225"/>
      <c r="BN726" s="225"/>
      <c r="BO726" s="225"/>
      <c r="BP726" s="225"/>
      <c r="BQ726" s="225"/>
      <c r="BR726" s="225"/>
      <c r="BS726" s="225"/>
      <c r="BT726" s="226"/>
      <c r="BU726" s="225"/>
      <c r="BV726" s="225"/>
      <c r="BW726" s="225"/>
      <c r="BX726" s="225"/>
      <c r="BY726" s="225"/>
      <c r="BZ726" s="225"/>
    </row>
    <row r="727">
      <c r="A727" s="225"/>
      <c r="B727" s="225"/>
      <c r="C727" s="225"/>
      <c r="D727" s="226"/>
      <c r="E727" s="225"/>
      <c r="F727" s="225"/>
      <c r="G727" s="225"/>
      <c r="H727" s="225"/>
      <c r="I727" s="225"/>
      <c r="J727" s="225"/>
      <c r="K727" s="244"/>
      <c r="L727" s="225"/>
      <c r="M727" s="225"/>
      <c r="N727" s="225"/>
      <c r="O727" s="225"/>
      <c r="P727" s="225"/>
      <c r="Q727" s="227"/>
      <c r="R727" s="234"/>
      <c r="S727" s="225"/>
      <c r="T727" s="225"/>
      <c r="U727" s="225"/>
      <c r="V727" s="225"/>
      <c r="W727" s="225"/>
      <c r="X727" s="225"/>
      <c r="Y727" s="229"/>
      <c r="Z727" s="257"/>
      <c r="AA727" s="225"/>
      <c r="AB727" s="257"/>
      <c r="AC727" s="257"/>
      <c r="AD727" s="226"/>
      <c r="AE727" s="259"/>
      <c r="AF727" s="347"/>
      <c r="AG727" s="232"/>
      <c r="AH727" s="257"/>
      <c r="AI727" s="225"/>
      <c r="AJ727" s="267"/>
      <c r="AK727" s="259"/>
      <c r="AL727" s="226"/>
      <c r="AM727" s="225"/>
      <c r="AN727" s="225"/>
      <c r="AO727" s="254"/>
      <c r="AP727" s="225"/>
      <c r="AQ727" s="225"/>
      <c r="AR727" s="226"/>
      <c r="AS727" s="225"/>
      <c r="AT727" s="225"/>
      <c r="AU727" s="225"/>
      <c r="AV727" s="225"/>
      <c r="AW727" s="225"/>
      <c r="AX727" s="226"/>
      <c r="AY727" s="225"/>
      <c r="AZ727" s="225"/>
      <c r="BA727" s="226"/>
      <c r="BB727" s="225"/>
      <c r="BC727" s="225"/>
      <c r="BD727" s="225"/>
      <c r="BE727" s="225"/>
      <c r="BF727" s="225"/>
      <c r="BG727" s="225"/>
      <c r="BH727" s="225"/>
      <c r="BI727" s="225"/>
      <c r="BJ727" s="225"/>
      <c r="BK727" s="225"/>
      <c r="BL727" s="225"/>
      <c r="BM727" s="225"/>
      <c r="BN727" s="225"/>
      <c r="BO727" s="225"/>
      <c r="BP727" s="225"/>
      <c r="BQ727" s="225"/>
      <c r="BR727" s="225"/>
      <c r="BS727" s="225"/>
      <c r="BT727" s="226"/>
      <c r="BU727" s="225"/>
      <c r="BV727" s="225"/>
      <c r="BW727" s="225"/>
      <c r="BX727" s="225"/>
      <c r="BY727" s="225"/>
      <c r="BZ727" s="225"/>
    </row>
    <row r="728">
      <c r="A728" s="225"/>
      <c r="B728" s="225"/>
      <c r="C728" s="225"/>
      <c r="D728" s="226"/>
      <c r="E728" s="225"/>
      <c r="F728" s="225"/>
      <c r="G728" s="225"/>
      <c r="H728" s="225"/>
      <c r="I728" s="225"/>
      <c r="J728" s="225"/>
      <c r="K728" s="244"/>
      <c r="L728" s="225"/>
      <c r="M728" s="225"/>
      <c r="N728" s="225"/>
      <c r="O728" s="225"/>
      <c r="P728" s="225"/>
      <c r="Q728" s="227"/>
      <c r="R728" s="234"/>
      <c r="S728" s="225"/>
      <c r="T728" s="225"/>
      <c r="U728" s="225"/>
      <c r="V728" s="225"/>
      <c r="W728" s="225"/>
      <c r="X728" s="225"/>
      <c r="Y728" s="229"/>
      <c r="Z728" s="257"/>
      <c r="AA728" s="225"/>
      <c r="AB728" s="257"/>
      <c r="AC728" s="257"/>
      <c r="AD728" s="226"/>
      <c r="AE728" s="259"/>
      <c r="AF728" s="347"/>
      <c r="AG728" s="232"/>
      <c r="AH728" s="257"/>
      <c r="AI728" s="225"/>
      <c r="AJ728" s="267"/>
      <c r="AK728" s="259"/>
      <c r="AL728" s="226"/>
      <c r="AM728" s="225"/>
      <c r="AN728" s="225"/>
      <c r="AO728" s="254"/>
      <c r="AP728" s="225"/>
      <c r="AQ728" s="225"/>
      <c r="AR728" s="226"/>
      <c r="AS728" s="225"/>
      <c r="AT728" s="225"/>
      <c r="AU728" s="225"/>
      <c r="AV728" s="225"/>
      <c r="AW728" s="225"/>
      <c r="AX728" s="226"/>
      <c r="AY728" s="225"/>
      <c r="AZ728" s="225"/>
      <c r="BA728" s="226"/>
      <c r="BB728" s="225"/>
      <c r="BC728" s="225"/>
      <c r="BD728" s="225"/>
      <c r="BE728" s="225"/>
      <c r="BF728" s="225"/>
      <c r="BG728" s="225"/>
      <c r="BH728" s="225"/>
      <c r="BI728" s="225"/>
      <c r="BJ728" s="225"/>
      <c r="BK728" s="225"/>
      <c r="BL728" s="225"/>
      <c r="BM728" s="225"/>
      <c r="BN728" s="225"/>
      <c r="BO728" s="225"/>
      <c r="BP728" s="225"/>
      <c r="BQ728" s="225"/>
      <c r="BR728" s="225"/>
      <c r="BS728" s="225"/>
      <c r="BT728" s="226"/>
      <c r="BU728" s="225"/>
      <c r="BV728" s="225"/>
      <c r="BW728" s="225"/>
      <c r="BX728" s="225"/>
      <c r="BY728" s="225"/>
      <c r="BZ728" s="225"/>
    </row>
    <row r="729">
      <c r="A729" s="225"/>
      <c r="B729" s="225"/>
      <c r="C729" s="225"/>
      <c r="D729" s="226"/>
      <c r="E729" s="225"/>
      <c r="F729" s="225"/>
      <c r="G729" s="225"/>
      <c r="H729" s="225"/>
      <c r="I729" s="225"/>
      <c r="J729" s="225"/>
      <c r="K729" s="244"/>
      <c r="L729" s="225"/>
      <c r="M729" s="225"/>
      <c r="N729" s="225"/>
      <c r="O729" s="225"/>
      <c r="P729" s="225"/>
      <c r="Q729" s="227"/>
      <c r="R729" s="234"/>
      <c r="S729" s="225"/>
      <c r="T729" s="225"/>
      <c r="U729" s="225"/>
      <c r="V729" s="225"/>
      <c r="W729" s="225"/>
      <c r="X729" s="225"/>
      <c r="Y729" s="229"/>
      <c r="Z729" s="257"/>
      <c r="AA729" s="225"/>
      <c r="AB729" s="257"/>
      <c r="AC729" s="257"/>
      <c r="AD729" s="226"/>
      <c r="AE729" s="259"/>
      <c r="AF729" s="347"/>
      <c r="AG729" s="232"/>
      <c r="AH729" s="257"/>
      <c r="AI729" s="225"/>
      <c r="AJ729" s="267"/>
      <c r="AK729" s="259"/>
      <c r="AL729" s="226"/>
      <c r="AM729" s="225"/>
      <c r="AN729" s="225"/>
      <c r="AO729" s="254"/>
      <c r="AP729" s="225"/>
      <c r="AQ729" s="225"/>
      <c r="AR729" s="226"/>
      <c r="AS729" s="225"/>
      <c r="AT729" s="225"/>
      <c r="AU729" s="225"/>
      <c r="AV729" s="225"/>
      <c r="AW729" s="225"/>
      <c r="AX729" s="226"/>
      <c r="AY729" s="225"/>
      <c r="AZ729" s="225"/>
      <c r="BA729" s="226"/>
      <c r="BB729" s="225"/>
      <c r="BC729" s="225"/>
      <c r="BD729" s="225"/>
      <c r="BE729" s="225"/>
      <c r="BF729" s="225"/>
      <c r="BG729" s="225"/>
      <c r="BH729" s="225"/>
      <c r="BI729" s="225"/>
      <c r="BJ729" s="225"/>
      <c r="BK729" s="225"/>
      <c r="BL729" s="225"/>
      <c r="BM729" s="225"/>
      <c r="BN729" s="225"/>
      <c r="BO729" s="225"/>
      <c r="BP729" s="225"/>
      <c r="BQ729" s="225"/>
      <c r="BR729" s="225"/>
      <c r="BS729" s="225"/>
      <c r="BT729" s="226"/>
      <c r="BU729" s="225"/>
      <c r="BV729" s="225"/>
      <c r="BW729" s="225"/>
      <c r="BX729" s="225"/>
      <c r="BY729" s="225"/>
      <c r="BZ729" s="225"/>
    </row>
    <row r="730">
      <c r="A730" s="225"/>
      <c r="B730" s="225"/>
      <c r="C730" s="225"/>
      <c r="D730" s="226"/>
      <c r="E730" s="225"/>
      <c r="F730" s="225"/>
      <c r="G730" s="225"/>
      <c r="H730" s="225"/>
      <c r="I730" s="225"/>
      <c r="J730" s="225"/>
      <c r="K730" s="244"/>
      <c r="L730" s="225"/>
      <c r="M730" s="225"/>
      <c r="N730" s="225"/>
      <c r="O730" s="225"/>
      <c r="P730" s="225"/>
      <c r="Q730" s="227"/>
      <c r="R730" s="234"/>
      <c r="S730" s="225"/>
      <c r="T730" s="225"/>
      <c r="U730" s="225"/>
      <c r="V730" s="225"/>
      <c r="W730" s="225"/>
      <c r="X730" s="225"/>
      <c r="Y730" s="229"/>
      <c r="Z730" s="257"/>
      <c r="AA730" s="225"/>
      <c r="AB730" s="257"/>
      <c r="AC730" s="257"/>
      <c r="AD730" s="226"/>
      <c r="AE730" s="259"/>
      <c r="AF730" s="347"/>
      <c r="AG730" s="232"/>
      <c r="AH730" s="257"/>
      <c r="AI730" s="225"/>
      <c r="AJ730" s="267"/>
      <c r="AK730" s="259"/>
      <c r="AL730" s="226"/>
      <c r="AM730" s="225"/>
      <c r="AN730" s="225"/>
      <c r="AO730" s="254"/>
      <c r="AP730" s="225"/>
      <c r="AQ730" s="225"/>
      <c r="AR730" s="226"/>
      <c r="AS730" s="225"/>
      <c r="AT730" s="225"/>
      <c r="AU730" s="225"/>
      <c r="AV730" s="225"/>
      <c r="AW730" s="225"/>
      <c r="AX730" s="226"/>
      <c r="AY730" s="225"/>
      <c r="AZ730" s="225"/>
      <c r="BA730" s="226"/>
      <c r="BB730" s="225"/>
      <c r="BC730" s="225"/>
      <c r="BD730" s="225"/>
      <c r="BE730" s="225"/>
      <c r="BF730" s="225"/>
      <c r="BG730" s="225"/>
      <c r="BH730" s="225"/>
      <c r="BI730" s="225"/>
      <c r="BJ730" s="225"/>
      <c r="BK730" s="225"/>
      <c r="BL730" s="225"/>
      <c r="BM730" s="225"/>
      <c r="BN730" s="225"/>
      <c r="BO730" s="225"/>
      <c r="BP730" s="225"/>
      <c r="BQ730" s="225"/>
      <c r="BR730" s="225"/>
      <c r="BS730" s="225"/>
      <c r="BT730" s="226"/>
      <c r="BU730" s="225"/>
      <c r="BV730" s="225"/>
      <c r="BW730" s="225"/>
      <c r="BX730" s="225"/>
      <c r="BY730" s="225"/>
      <c r="BZ730" s="225"/>
    </row>
    <row r="731">
      <c r="A731" s="225"/>
      <c r="B731" s="225"/>
      <c r="C731" s="225"/>
      <c r="D731" s="226"/>
      <c r="E731" s="225"/>
      <c r="F731" s="225"/>
      <c r="G731" s="225"/>
      <c r="H731" s="225"/>
      <c r="I731" s="225"/>
      <c r="J731" s="225"/>
      <c r="K731" s="244"/>
      <c r="L731" s="225"/>
      <c r="M731" s="225"/>
      <c r="N731" s="225"/>
      <c r="O731" s="225"/>
      <c r="P731" s="225"/>
      <c r="Q731" s="227"/>
      <c r="R731" s="234"/>
      <c r="S731" s="225"/>
      <c r="T731" s="225"/>
      <c r="U731" s="225"/>
      <c r="V731" s="225"/>
      <c r="W731" s="225"/>
      <c r="X731" s="225"/>
      <c r="Y731" s="229"/>
      <c r="Z731" s="257"/>
      <c r="AA731" s="225"/>
      <c r="AB731" s="257"/>
      <c r="AC731" s="257"/>
      <c r="AD731" s="226"/>
      <c r="AE731" s="259"/>
      <c r="AF731" s="347"/>
      <c r="AG731" s="232"/>
      <c r="AH731" s="257"/>
      <c r="AI731" s="225"/>
      <c r="AJ731" s="267"/>
      <c r="AK731" s="259"/>
      <c r="AL731" s="226"/>
      <c r="AM731" s="225"/>
      <c r="AN731" s="225"/>
      <c r="AO731" s="254"/>
      <c r="AP731" s="225"/>
      <c r="AQ731" s="225"/>
      <c r="AR731" s="226"/>
      <c r="AS731" s="225"/>
      <c r="AT731" s="225"/>
      <c r="AU731" s="225"/>
      <c r="AV731" s="225"/>
      <c r="AW731" s="225"/>
      <c r="AX731" s="226"/>
      <c r="AY731" s="225"/>
      <c r="AZ731" s="225"/>
      <c r="BA731" s="226"/>
      <c r="BB731" s="225"/>
      <c r="BC731" s="225"/>
      <c r="BD731" s="225"/>
      <c r="BE731" s="225"/>
      <c r="BF731" s="225"/>
      <c r="BG731" s="225"/>
      <c r="BH731" s="225"/>
      <c r="BI731" s="225"/>
      <c r="BJ731" s="225"/>
      <c r="BK731" s="225"/>
      <c r="BL731" s="225"/>
      <c r="BM731" s="225"/>
      <c r="BN731" s="225"/>
      <c r="BO731" s="225"/>
      <c r="BP731" s="225"/>
      <c r="BQ731" s="225"/>
      <c r="BR731" s="225"/>
      <c r="BS731" s="225"/>
      <c r="BT731" s="226"/>
      <c r="BU731" s="225"/>
      <c r="BV731" s="225"/>
      <c r="BW731" s="225"/>
      <c r="BX731" s="225"/>
      <c r="BY731" s="225"/>
      <c r="BZ731" s="225"/>
    </row>
    <row r="732">
      <c r="A732" s="225"/>
      <c r="B732" s="225"/>
      <c r="C732" s="225"/>
      <c r="D732" s="226"/>
      <c r="E732" s="225"/>
      <c r="F732" s="225"/>
      <c r="G732" s="225"/>
      <c r="H732" s="225"/>
      <c r="I732" s="225"/>
      <c r="J732" s="225"/>
      <c r="K732" s="244"/>
      <c r="L732" s="225"/>
      <c r="M732" s="225"/>
      <c r="N732" s="225"/>
      <c r="O732" s="225"/>
      <c r="P732" s="225"/>
      <c r="Q732" s="227"/>
      <c r="R732" s="234"/>
      <c r="S732" s="225"/>
      <c r="T732" s="225"/>
      <c r="U732" s="225"/>
      <c r="V732" s="225"/>
      <c r="W732" s="225"/>
      <c r="X732" s="225"/>
      <c r="Y732" s="229"/>
      <c r="Z732" s="257"/>
      <c r="AA732" s="225"/>
      <c r="AB732" s="257"/>
      <c r="AC732" s="257"/>
      <c r="AD732" s="226"/>
      <c r="AE732" s="259"/>
      <c r="AF732" s="347"/>
      <c r="AG732" s="232"/>
      <c r="AH732" s="257"/>
      <c r="AI732" s="225"/>
      <c r="AJ732" s="267"/>
      <c r="AK732" s="259"/>
      <c r="AL732" s="226"/>
      <c r="AM732" s="225"/>
      <c r="AN732" s="225"/>
      <c r="AO732" s="254"/>
      <c r="AP732" s="225"/>
      <c r="AQ732" s="225"/>
      <c r="AR732" s="226"/>
      <c r="AS732" s="225"/>
      <c r="AT732" s="225"/>
      <c r="AU732" s="225"/>
      <c r="AV732" s="225"/>
      <c r="AW732" s="225"/>
      <c r="AX732" s="226"/>
      <c r="AY732" s="225"/>
      <c r="AZ732" s="225"/>
      <c r="BA732" s="226"/>
      <c r="BB732" s="225"/>
      <c r="BC732" s="225"/>
      <c r="BD732" s="225"/>
      <c r="BE732" s="225"/>
      <c r="BF732" s="225"/>
      <c r="BG732" s="225"/>
      <c r="BH732" s="225"/>
      <c r="BI732" s="225"/>
      <c r="BJ732" s="225"/>
      <c r="BK732" s="225"/>
      <c r="BL732" s="225"/>
      <c r="BM732" s="225"/>
      <c r="BN732" s="225"/>
      <c r="BO732" s="225"/>
      <c r="BP732" s="225"/>
      <c r="BQ732" s="225"/>
      <c r="BR732" s="225"/>
      <c r="BS732" s="225"/>
      <c r="BT732" s="226"/>
      <c r="BU732" s="225"/>
      <c r="BV732" s="225"/>
      <c r="BW732" s="225"/>
      <c r="BX732" s="225"/>
      <c r="BY732" s="225"/>
      <c r="BZ732" s="225"/>
    </row>
    <row r="733">
      <c r="A733" s="225"/>
      <c r="B733" s="225"/>
      <c r="C733" s="225"/>
      <c r="D733" s="226"/>
      <c r="E733" s="225"/>
      <c r="F733" s="225"/>
      <c r="G733" s="225"/>
      <c r="H733" s="225"/>
      <c r="I733" s="225"/>
      <c r="J733" s="225"/>
      <c r="K733" s="244"/>
      <c r="L733" s="225"/>
      <c r="M733" s="225"/>
      <c r="N733" s="225"/>
      <c r="O733" s="225"/>
      <c r="P733" s="225"/>
      <c r="Q733" s="227"/>
      <c r="R733" s="234"/>
      <c r="S733" s="225"/>
      <c r="T733" s="225"/>
      <c r="U733" s="225"/>
      <c r="V733" s="225"/>
      <c r="W733" s="225"/>
      <c r="X733" s="225"/>
      <c r="Y733" s="229"/>
      <c r="Z733" s="257"/>
      <c r="AA733" s="225"/>
      <c r="AB733" s="257"/>
      <c r="AC733" s="257"/>
      <c r="AD733" s="226"/>
      <c r="AE733" s="259"/>
      <c r="AF733" s="347"/>
      <c r="AG733" s="232"/>
      <c r="AH733" s="257"/>
      <c r="AI733" s="225"/>
      <c r="AJ733" s="267"/>
      <c r="AK733" s="259"/>
      <c r="AL733" s="226"/>
      <c r="AM733" s="225"/>
      <c r="AN733" s="225"/>
      <c r="AO733" s="254"/>
      <c r="AP733" s="225"/>
      <c r="AQ733" s="225"/>
      <c r="AR733" s="226"/>
      <c r="AS733" s="225"/>
      <c r="AT733" s="225"/>
      <c r="AU733" s="225"/>
      <c r="AV733" s="225"/>
      <c r="AW733" s="225"/>
      <c r="AX733" s="226"/>
      <c r="AY733" s="225"/>
      <c r="AZ733" s="225"/>
      <c r="BA733" s="226"/>
      <c r="BB733" s="225"/>
      <c r="BC733" s="225"/>
      <c r="BD733" s="225"/>
      <c r="BE733" s="225"/>
      <c r="BF733" s="225"/>
      <c r="BG733" s="225"/>
      <c r="BH733" s="225"/>
      <c r="BI733" s="225"/>
      <c r="BJ733" s="225"/>
      <c r="BK733" s="225"/>
      <c r="BL733" s="225"/>
      <c r="BM733" s="225"/>
      <c r="BN733" s="225"/>
      <c r="BO733" s="225"/>
      <c r="BP733" s="225"/>
      <c r="BQ733" s="225"/>
      <c r="BR733" s="225"/>
      <c r="BS733" s="225"/>
      <c r="BT733" s="226"/>
      <c r="BU733" s="225"/>
      <c r="BV733" s="225"/>
      <c r="BW733" s="225"/>
      <c r="BX733" s="225"/>
      <c r="BY733" s="225"/>
      <c r="BZ733" s="225"/>
    </row>
    <row r="734">
      <c r="A734" s="225"/>
      <c r="B734" s="225"/>
      <c r="C734" s="225"/>
      <c r="D734" s="226"/>
      <c r="E734" s="225"/>
      <c r="F734" s="225"/>
      <c r="G734" s="225"/>
      <c r="H734" s="225"/>
      <c r="I734" s="225"/>
      <c r="J734" s="225"/>
      <c r="K734" s="244"/>
      <c r="L734" s="225"/>
      <c r="M734" s="225"/>
      <c r="N734" s="225"/>
      <c r="O734" s="225"/>
      <c r="P734" s="225"/>
      <c r="Q734" s="227"/>
      <c r="R734" s="234"/>
      <c r="S734" s="225"/>
      <c r="T734" s="225"/>
      <c r="U734" s="225"/>
      <c r="V734" s="225"/>
      <c r="W734" s="225"/>
      <c r="X734" s="225"/>
      <c r="Y734" s="229"/>
      <c r="Z734" s="257"/>
      <c r="AA734" s="225"/>
      <c r="AB734" s="257"/>
      <c r="AC734" s="257"/>
      <c r="AD734" s="226"/>
      <c r="AE734" s="259"/>
      <c r="AF734" s="347"/>
      <c r="AG734" s="232"/>
      <c r="AH734" s="257"/>
      <c r="AI734" s="225"/>
      <c r="AJ734" s="267"/>
      <c r="AK734" s="259"/>
      <c r="AL734" s="226"/>
      <c r="AM734" s="225"/>
      <c r="AN734" s="225"/>
      <c r="AO734" s="254"/>
      <c r="AP734" s="225"/>
      <c r="AQ734" s="225"/>
      <c r="AR734" s="226"/>
      <c r="AS734" s="225"/>
      <c r="AT734" s="225"/>
      <c r="AU734" s="225"/>
      <c r="AV734" s="225"/>
      <c r="AW734" s="225"/>
      <c r="AX734" s="226"/>
      <c r="AY734" s="225"/>
      <c r="AZ734" s="225"/>
      <c r="BA734" s="226"/>
      <c r="BB734" s="225"/>
      <c r="BC734" s="225"/>
      <c r="BD734" s="225"/>
      <c r="BE734" s="225"/>
      <c r="BF734" s="225"/>
      <c r="BG734" s="225"/>
      <c r="BH734" s="225"/>
      <c r="BI734" s="225"/>
      <c r="BJ734" s="225"/>
      <c r="BK734" s="225"/>
      <c r="BL734" s="225"/>
      <c r="BM734" s="225"/>
      <c r="BN734" s="225"/>
      <c r="BO734" s="225"/>
      <c r="BP734" s="225"/>
      <c r="BQ734" s="225"/>
      <c r="BR734" s="225"/>
      <c r="BS734" s="225"/>
      <c r="BT734" s="226"/>
      <c r="BU734" s="225"/>
      <c r="BV734" s="225"/>
      <c r="BW734" s="225"/>
      <c r="BX734" s="225"/>
      <c r="BY734" s="225"/>
      <c r="BZ734" s="225"/>
    </row>
    <row r="735">
      <c r="A735" s="225"/>
      <c r="B735" s="225"/>
      <c r="C735" s="225"/>
      <c r="D735" s="226"/>
      <c r="E735" s="225"/>
      <c r="F735" s="225"/>
      <c r="G735" s="225"/>
      <c r="H735" s="225"/>
      <c r="I735" s="225"/>
      <c r="J735" s="225"/>
      <c r="K735" s="244"/>
      <c r="L735" s="225"/>
      <c r="M735" s="225"/>
      <c r="N735" s="225"/>
      <c r="O735" s="225"/>
      <c r="P735" s="225"/>
      <c r="Q735" s="227"/>
      <c r="R735" s="234"/>
      <c r="S735" s="225"/>
      <c r="T735" s="225"/>
      <c r="U735" s="225"/>
      <c r="V735" s="225"/>
      <c r="W735" s="225"/>
      <c r="X735" s="225"/>
      <c r="Y735" s="229"/>
      <c r="Z735" s="257"/>
      <c r="AA735" s="225"/>
      <c r="AB735" s="257"/>
      <c r="AC735" s="257"/>
      <c r="AD735" s="226"/>
      <c r="AE735" s="259"/>
      <c r="AF735" s="347"/>
      <c r="AG735" s="232"/>
      <c r="AH735" s="257"/>
      <c r="AI735" s="225"/>
      <c r="AJ735" s="267"/>
      <c r="AK735" s="259"/>
      <c r="AL735" s="226"/>
      <c r="AM735" s="225"/>
      <c r="AN735" s="225"/>
      <c r="AO735" s="254"/>
      <c r="AP735" s="225"/>
      <c r="AQ735" s="225"/>
      <c r="AR735" s="226"/>
      <c r="AS735" s="225"/>
      <c r="AT735" s="225"/>
      <c r="AU735" s="225"/>
      <c r="AV735" s="225"/>
      <c r="AW735" s="225"/>
      <c r="AX735" s="226"/>
      <c r="AY735" s="225"/>
      <c r="AZ735" s="225"/>
      <c r="BA735" s="226"/>
      <c r="BB735" s="225"/>
      <c r="BC735" s="225"/>
      <c r="BD735" s="225"/>
      <c r="BE735" s="225"/>
      <c r="BF735" s="225"/>
      <c r="BG735" s="225"/>
      <c r="BH735" s="225"/>
      <c r="BI735" s="225"/>
      <c r="BJ735" s="225"/>
      <c r="BK735" s="225"/>
      <c r="BL735" s="225"/>
      <c r="BM735" s="225"/>
      <c r="BN735" s="225"/>
      <c r="BO735" s="225"/>
      <c r="BP735" s="225"/>
      <c r="BQ735" s="225"/>
      <c r="BR735" s="225"/>
      <c r="BS735" s="225"/>
      <c r="BT735" s="226"/>
      <c r="BU735" s="225"/>
      <c r="BV735" s="225"/>
      <c r="BW735" s="225"/>
      <c r="BX735" s="225"/>
      <c r="BY735" s="225"/>
      <c r="BZ735" s="225"/>
    </row>
    <row r="736">
      <c r="A736" s="225"/>
      <c r="B736" s="225"/>
      <c r="C736" s="225"/>
      <c r="D736" s="226"/>
      <c r="E736" s="225"/>
      <c r="F736" s="225"/>
      <c r="G736" s="225"/>
      <c r="H736" s="225"/>
      <c r="I736" s="225"/>
      <c r="J736" s="225"/>
      <c r="K736" s="244"/>
      <c r="L736" s="225"/>
      <c r="M736" s="225"/>
      <c r="N736" s="225"/>
      <c r="O736" s="225"/>
      <c r="P736" s="225"/>
      <c r="Q736" s="227"/>
      <c r="R736" s="234"/>
      <c r="S736" s="225"/>
      <c r="T736" s="225"/>
      <c r="U736" s="225"/>
      <c r="V736" s="225"/>
      <c r="W736" s="225"/>
      <c r="X736" s="225"/>
      <c r="Y736" s="229"/>
      <c r="Z736" s="257"/>
      <c r="AA736" s="225"/>
      <c r="AB736" s="257"/>
      <c r="AC736" s="257"/>
      <c r="AD736" s="226"/>
      <c r="AE736" s="259"/>
      <c r="AF736" s="347"/>
      <c r="AG736" s="232"/>
      <c r="AH736" s="257"/>
      <c r="AI736" s="225"/>
      <c r="AJ736" s="267"/>
      <c r="AK736" s="259"/>
      <c r="AL736" s="226"/>
      <c r="AM736" s="225"/>
      <c r="AN736" s="225"/>
      <c r="AO736" s="254"/>
      <c r="AP736" s="225"/>
      <c r="AQ736" s="225"/>
      <c r="AR736" s="226"/>
      <c r="AS736" s="225"/>
      <c r="AT736" s="225"/>
      <c r="AU736" s="225"/>
      <c r="AV736" s="225"/>
      <c r="AW736" s="225"/>
      <c r="AX736" s="226"/>
      <c r="AY736" s="225"/>
      <c r="AZ736" s="225"/>
      <c r="BA736" s="226"/>
      <c r="BB736" s="225"/>
      <c r="BC736" s="225"/>
      <c r="BD736" s="225"/>
      <c r="BE736" s="225"/>
      <c r="BF736" s="225"/>
      <c r="BG736" s="225"/>
      <c r="BH736" s="225"/>
      <c r="BI736" s="225"/>
      <c r="BJ736" s="225"/>
      <c r="BK736" s="225"/>
      <c r="BL736" s="225"/>
      <c r="BM736" s="225"/>
      <c r="BN736" s="225"/>
      <c r="BO736" s="225"/>
      <c r="BP736" s="225"/>
      <c r="BQ736" s="225"/>
      <c r="BR736" s="225"/>
      <c r="BS736" s="225"/>
      <c r="BT736" s="226"/>
      <c r="BU736" s="225"/>
      <c r="BV736" s="225"/>
      <c r="BW736" s="225"/>
      <c r="BX736" s="225"/>
      <c r="BY736" s="225"/>
      <c r="BZ736" s="225"/>
    </row>
    <row r="737">
      <c r="A737" s="225"/>
      <c r="B737" s="225"/>
      <c r="C737" s="225"/>
      <c r="D737" s="226"/>
      <c r="E737" s="225"/>
      <c r="F737" s="225"/>
      <c r="G737" s="225"/>
      <c r="H737" s="225"/>
      <c r="I737" s="225"/>
      <c r="J737" s="225"/>
      <c r="K737" s="244"/>
      <c r="L737" s="225"/>
      <c r="M737" s="225"/>
      <c r="N737" s="225"/>
      <c r="O737" s="225"/>
      <c r="P737" s="225"/>
      <c r="Q737" s="227"/>
      <c r="R737" s="234"/>
      <c r="S737" s="225"/>
      <c r="T737" s="225"/>
      <c r="U737" s="225"/>
      <c r="V737" s="225"/>
      <c r="W737" s="225"/>
      <c r="X737" s="225"/>
      <c r="Y737" s="229"/>
      <c r="Z737" s="257"/>
      <c r="AA737" s="225"/>
      <c r="AB737" s="257"/>
      <c r="AC737" s="257"/>
      <c r="AD737" s="226"/>
      <c r="AE737" s="259"/>
      <c r="AF737" s="347"/>
      <c r="AG737" s="232"/>
      <c r="AH737" s="257"/>
      <c r="AI737" s="225"/>
      <c r="AJ737" s="267"/>
      <c r="AK737" s="259"/>
      <c r="AL737" s="226"/>
      <c r="AM737" s="225"/>
      <c r="AN737" s="225"/>
      <c r="AO737" s="254"/>
      <c r="AP737" s="225"/>
      <c r="AQ737" s="225"/>
      <c r="AR737" s="226"/>
      <c r="AS737" s="225"/>
      <c r="AT737" s="225"/>
      <c r="AU737" s="225"/>
      <c r="AV737" s="225"/>
      <c r="AW737" s="225"/>
      <c r="AX737" s="226"/>
      <c r="AY737" s="225"/>
      <c r="AZ737" s="225"/>
      <c r="BA737" s="226"/>
      <c r="BB737" s="225"/>
      <c r="BC737" s="225"/>
      <c r="BD737" s="225"/>
      <c r="BE737" s="225"/>
      <c r="BF737" s="225"/>
      <c r="BG737" s="225"/>
      <c r="BH737" s="225"/>
      <c r="BI737" s="225"/>
      <c r="BJ737" s="225"/>
      <c r="BK737" s="225"/>
      <c r="BL737" s="225"/>
      <c r="BM737" s="225"/>
      <c r="BN737" s="225"/>
      <c r="BO737" s="225"/>
      <c r="BP737" s="225"/>
      <c r="BQ737" s="225"/>
      <c r="BR737" s="225"/>
      <c r="BS737" s="225"/>
      <c r="BT737" s="226"/>
      <c r="BU737" s="225"/>
      <c r="BV737" s="225"/>
      <c r="BW737" s="225"/>
      <c r="BX737" s="225"/>
      <c r="BY737" s="225"/>
      <c r="BZ737" s="225"/>
    </row>
    <row r="738">
      <c r="A738" s="225"/>
      <c r="B738" s="225"/>
      <c r="C738" s="225"/>
      <c r="D738" s="226"/>
      <c r="E738" s="225"/>
      <c r="F738" s="225"/>
      <c r="G738" s="225"/>
      <c r="H738" s="225"/>
      <c r="I738" s="225"/>
      <c r="J738" s="225"/>
      <c r="K738" s="244"/>
      <c r="L738" s="225"/>
      <c r="M738" s="225"/>
      <c r="N738" s="225"/>
      <c r="O738" s="225"/>
      <c r="P738" s="225"/>
      <c r="Q738" s="227"/>
      <c r="R738" s="234"/>
      <c r="S738" s="225"/>
      <c r="T738" s="225"/>
      <c r="U738" s="225"/>
      <c r="V738" s="225"/>
      <c r="W738" s="225"/>
      <c r="X738" s="225"/>
      <c r="Y738" s="229"/>
      <c r="Z738" s="257"/>
      <c r="AA738" s="225"/>
      <c r="AB738" s="257"/>
      <c r="AC738" s="257"/>
      <c r="AD738" s="226"/>
      <c r="AE738" s="259"/>
      <c r="AF738" s="347"/>
      <c r="AG738" s="232"/>
      <c r="AH738" s="257"/>
      <c r="AI738" s="225"/>
      <c r="AJ738" s="267"/>
      <c r="AK738" s="259"/>
      <c r="AL738" s="226"/>
      <c r="AM738" s="225"/>
      <c r="AN738" s="225"/>
      <c r="AO738" s="254"/>
      <c r="AP738" s="225"/>
      <c r="AQ738" s="225"/>
      <c r="AR738" s="226"/>
      <c r="AS738" s="225"/>
      <c r="AT738" s="225"/>
      <c r="AU738" s="225"/>
      <c r="AV738" s="225"/>
      <c r="AW738" s="225"/>
      <c r="AX738" s="226"/>
      <c r="AY738" s="225"/>
      <c r="AZ738" s="225"/>
      <c r="BA738" s="226"/>
      <c r="BB738" s="225"/>
      <c r="BC738" s="225"/>
      <c r="BD738" s="225"/>
      <c r="BE738" s="225"/>
      <c r="BF738" s="225"/>
      <c r="BG738" s="225"/>
      <c r="BH738" s="225"/>
      <c r="BI738" s="225"/>
      <c r="BJ738" s="225"/>
      <c r="BK738" s="225"/>
      <c r="BL738" s="225"/>
      <c r="BM738" s="225"/>
      <c r="BN738" s="225"/>
      <c r="BO738" s="225"/>
      <c r="BP738" s="225"/>
      <c r="BQ738" s="225"/>
      <c r="BR738" s="225"/>
      <c r="BS738" s="225"/>
      <c r="BT738" s="226"/>
      <c r="BU738" s="225"/>
      <c r="BV738" s="225"/>
      <c r="BW738" s="225"/>
      <c r="BX738" s="225"/>
      <c r="BY738" s="225"/>
      <c r="BZ738" s="225"/>
    </row>
    <row r="739">
      <c r="A739" s="225"/>
      <c r="B739" s="225"/>
      <c r="C739" s="225"/>
      <c r="D739" s="226"/>
      <c r="E739" s="225"/>
      <c r="F739" s="225"/>
      <c r="G739" s="225"/>
      <c r="H739" s="225"/>
      <c r="I739" s="225"/>
      <c r="J739" s="225"/>
      <c r="K739" s="244"/>
      <c r="L739" s="225"/>
      <c r="M739" s="225"/>
      <c r="N739" s="225"/>
      <c r="O739" s="225"/>
      <c r="P739" s="225"/>
      <c r="Q739" s="227"/>
      <c r="R739" s="234"/>
      <c r="S739" s="225"/>
      <c r="T739" s="225"/>
      <c r="U739" s="225"/>
      <c r="V739" s="225"/>
      <c r="W739" s="225"/>
      <c r="X739" s="225"/>
      <c r="Y739" s="229"/>
      <c r="Z739" s="257"/>
      <c r="AA739" s="225"/>
      <c r="AB739" s="257"/>
      <c r="AC739" s="257"/>
      <c r="AD739" s="226"/>
      <c r="AE739" s="259"/>
      <c r="AF739" s="347"/>
      <c r="AG739" s="232"/>
      <c r="AH739" s="257"/>
      <c r="AI739" s="225"/>
      <c r="AJ739" s="267"/>
      <c r="AK739" s="259"/>
      <c r="AL739" s="226"/>
      <c r="AM739" s="225"/>
      <c r="AN739" s="225"/>
      <c r="AO739" s="254"/>
      <c r="AP739" s="225"/>
      <c r="AQ739" s="225"/>
      <c r="AR739" s="226"/>
      <c r="AS739" s="225"/>
      <c r="AT739" s="225"/>
      <c r="AU739" s="225"/>
      <c r="AV739" s="225"/>
      <c r="AW739" s="225"/>
      <c r="AX739" s="226"/>
      <c r="AY739" s="225"/>
      <c r="AZ739" s="225"/>
      <c r="BA739" s="226"/>
      <c r="BB739" s="225"/>
      <c r="BC739" s="225"/>
      <c r="BD739" s="225"/>
      <c r="BE739" s="225"/>
      <c r="BF739" s="225"/>
      <c r="BG739" s="225"/>
      <c r="BH739" s="225"/>
      <c r="BI739" s="225"/>
      <c r="BJ739" s="225"/>
      <c r="BK739" s="225"/>
      <c r="BL739" s="225"/>
      <c r="BM739" s="225"/>
      <c r="BN739" s="225"/>
      <c r="BO739" s="225"/>
      <c r="BP739" s="225"/>
      <c r="BQ739" s="225"/>
      <c r="BR739" s="225"/>
      <c r="BS739" s="225"/>
      <c r="BT739" s="226"/>
      <c r="BU739" s="225"/>
      <c r="BV739" s="225"/>
      <c r="BW739" s="225"/>
      <c r="BX739" s="225"/>
      <c r="BY739" s="225"/>
      <c r="BZ739" s="225"/>
    </row>
    <row r="740">
      <c r="A740" s="225"/>
      <c r="B740" s="225"/>
      <c r="C740" s="225"/>
      <c r="D740" s="226"/>
      <c r="E740" s="225"/>
      <c r="F740" s="225"/>
      <c r="G740" s="225"/>
      <c r="H740" s="225"/>
      <c r="I740" s="225"/>
      <c r="J740" s="225"/>
      <c r="K740" s="244"/>
      <c r="L740" s="225"/>
      <c r="M740" s="225"/>
      <c r="N740" s="225"/>
      <c r="O740" s="225"/>
      <c r="P740" s="225"/>
      <c r="Q740" s="227"/>
      <c r="R740" s="234"/>
      <c r="S740" s="225"/>
      <c r="T740" s="225"/>
      <c r="U740" s="225"/>
      <c r="V740" s="225"/>
      <c r="W740" s="225"/>
      <c r="X740" s="225"/>
      <c r="Y740" s="229"/>
      <c r="Z740" s="257"/>
      <c r="AA740" s="225"/>
      <c r="AB740" s="257"/>
      <c r="AC740" s="257"/>
      <c r="AD740" s="226"/>
      <c r="AE740" s="259"/>
      <c r="AF740" s="347"/>
      <c r="AG740" s="232"/>
      <c r="AH740" s="257"/>
      <c r="AI740" s="225"/>
      <c r="AJ740" s="267"/>
      <c r="AK740" s="259"/>
      <c r="AL740" s="226"/>
      <c r="AM740" s="225"/>
      <c r="AN740" s="225"/>
      <c r="AO740" s="254"/>
      <c r="AP740" s="225"/>
      <c r="AQ740" s="225"/>
      <c r="AR740" s="226"/>
      <c r="AS740" s="225"/>
      <c r="AT740" s="225"/>
      <c r="AU740" s="225"/>
      <c r="AV740" s="225"/>
      <c r="AW740" s="225"/>
      <c r="AX740" s="226"/>
      <c r="AY740" s="225"/>
      <c r="AZ740" s="225"/>
      <c r="BA740" s="226"/>
      <c r="BB740" s="225"/>
      <c r="BC740" s="225"/>
      <c r="BD740" s="225"/>
      <c r="BE740" s="225"/>
      <c r="BF740" s="225"/>
      <c r="BG740" s="225"/>
      <c r="BH740" s="225"/>
      <c r="BI740" s="225"/>
      <c r="BJ740" s="225"/>
      <c r="BK740" s="225"/>
      <c r="BL740" s="225"/>
      <c r="BM740" s="225"/>
      <c r="BN740" s="225"/>
      <c r="BO740" s="225"/>
      <c r="BP740" s="225"/>
      <c r="BQ740" s="225"/>
      <c r="BR740" s="225"/>
      <c r="BS740" s="225"/>
      <c r="BT740" s="226"/>
      <c r="BU740" s="225"/>
      <c r="BV740" s="225"/>
      <c r="BW740" s="225"/>
      <c r="BX740" s="225"/>
      <c r="BY740" s="225"/>
      <c r="BZ740" s="225"/>
    </row>
    <row r="741">
      <c r="A741" s="225"/>
      <c r="B741" s="225"/>
      <c r="C741" s="225"/>
      <c r="D741" s="226"/>
      <c r="E741" s="225"/>
      <c r="F741" s="225"/>
      <c r="G741" s="225"/>
      <c r="H741" s="225"/>
      <c r="I741" s="225"/>
      <c r="J741" s="225"/>
      <c r="K741" s="244"/>
      <c r="L741" s="225"/>
      <c r="M741" s="225"/>
      <c r="N741" s="225"/>
      <c r="O741" s="225"/>
      <c r="P741" s="225"/>
      <c r="Q741" s="227"/>
      <c r="R741" s="234"/>
      <c r="S741" s="225"/>
      <c r="T741" s="225"/>
      <c r="U741" s="225"/>
      <c r="V741" s="225"/>
      <c r="W741" s="225"/>
      <c r="X741" s="225"/>
      <c r="Y741" s="229"/>
      <c r="Z741" s="257"/>
      <c r="AA741" s="225"/>
      <c r="AB741" s="257"/>
      <c r="AC741" s="257"/>
      <c r="AD741" s="226"/>
      <c r="AE741" s="259"/>
      <c r="AF741" s="347"/>
      <c r="AG741" s="232"/>
      <c r="AH741" s="257"/>
      <c r="AI741" s="225"/>
      <c r="AJ741" s="267"/>
      <c r="AK741" s="259"/>
      <c r="AL741" s="226"/>
      <c r="AM741" s="225"/>
      <c r="AN741" s="225"/>
      <c r="AO741" s="254"/>
      <c r="AP741" s="225"/>
      <c r="AQ741" s="225"/>
      <c r="AR741" s="226"/>
      <c r="AS741" s="225"/>
      <c r="AT741" s="225"/>
      <c r="AU741" s="225"/>
      <c r="AV741" s="225"/>
      <c r="AW741" s="225"/>
      <c r="AX741" s="226"/>
      <c r="AY741" s="225"/>
      <c r="AZ741" s="225"/>
      <c r="BA741" s="226"/>
      <c r="BB741" s="225"/>
      <c r="BC741" s="225"/>
      <c r="BD741" s="225"/>
      <c r="BE741" s="225"/>
      <c r="BF741" s="225"/>
      <c r="BG741" s="225"/>
      <c r="BH741" s="225"/>
      <c r="BI741" s="225"/>
      <c r="BJ741" s="225"/>
      <c r="BK741" s="225"/>
      <c r="BL741" s="225"/>
      <c r="BM741" s="225"/>
      <c r="BN741" s="225"/>
      <c r="BO741" s="225"/>
      <c r="BP741" s="225"/>
      <c r="BQ741" s="225"/>
      <c r="BR741" s="225"/>
      <c r="BS741" s="225"/>
      <c r="BT741" s="226"/>
      <c r="BU741" s="225"/>
      <c r="BV741" s="225"/>
      <c r="BW741" s="225"/>
      <c r="BX741" s="225"/>
      <c r="BY741" s="225"/>
      <c r="BZ741" s="225"/>
    </row>
    <row r="742">
      <c r="A742" s="225"/>
      <c r="B742" s="225"/>
      <c r="C742" s="225"/>
      <c r="D742" s="226"/>
      <c r="E742" s="225"/>
      <c r="F742" s="225"/>
      <c r="G742" s="225"/>
      <c r="H742" s="225"/>
      <c r="I742" s="225"/>
      <c r="J742" s="225"/>
      <c r="K742" s="244"/>
      <c r="L742" s="225"/>
      <c r="M742" s="225"/>
      <c r="N742" s="225"/>
      <c r="O742" s="225"/>
      <c r="P742" s="225"/>
      <c r="Q742" s="227"/>
      <c r="R742" s="234"/>
      <c r="S742" s="225"/>
      <c r="T742" s="225"/>
      <c r="U742" s="225"/>
      <c r="V742" s="225"/>
      <c r="W742" s="225"/>
      <c r="X742" s="225"/>
      <c r="Y742" s="229"/>
      <c r="Z742" s="257"/>
      <c r="AA742" s="225"/>
      <c r="AB742" s="257"/>
      <c r="AC742" s="257"/>
      <c r="AD742" s="226"/>
      <c r="AE742" s="259"/>
      <c r="AF742" s="347"/>
      <c r="AG742" s="232"/>
      <c r="AH742" s="257"/>
      <c r="AI742" s="225"/>
      <c r="AJ742" s="267"/>
      <c r="AK742" s="259"/>
      <c r="AL742" s="226"/>
      <c r="AM742" s="225"/>
      <c r="AN742" s="225"/>
      <c r="AO742" s="254"/>
      <c r="AP742" s="225"/>
      <c r="AQ742" s="225"/>
      <c r="AR742" s="226"/>
      <c r="AS742" s="225"/>
      <c r="AT742" s="225"/>
      <c r="AU742" s="225"/>
      <c r="AV742" s="225"/>
      <c r="AW742" s="225"/>
      <c r="AX742" s="226"/>
      <c r="AY742" s="225"/>
      <c r="AZ742" s="225"/>
      <c r="BA742" s="226"/>
      <c r="BB742" s="225"/>
      <c r="BC742" s="225"/>
      <c r="BD742" s="225"/>
      <c r="BE742" s="225"/>
      <c r="BF742" s="225"/>
      <c r="BG742" s="225"/>
      <c r="BH742" s="225"/>
      <c r="BI742" s="225"/>
      <c r="BJ742" s="225"/>
      <c r="BK742" s="225"/>
      <c r="BL742" s="225"/>
      <c r="BM742" s="225"/>
      <c r="BN742" s="225"/>
      <c r="BO742" s="225"/>
      <c r="BP742" s="225"/>
      <c r="BQ742" s="225"/>
      <c r="BR742" s="225"/>
      <c r="BS742" s="225"/>
      <c r="BT742" s="226"/>
      <c r="BU742" s="225"/>
      <c r="BV742" s="225"/>
      <c r="BW742" s="225"/>
      <c r="BX742" s="225"/>
      <c r="BY742" s="225"/>
      <c r="BZ742" s="225"/>
    </row>
    <row r="743">
      <c r="A743" s="225"/>
      <c r="B743" s="225"/>
      <c r="C743" s="225"/>
      <c r="D743" s="226"/>
      <c r="E743" s="225"/>
      <c r="F743" s="225"/>
      <c r="G743" s="225"/>
      <c r="H743" s="225"/>
      <c r="I743" s="225"/>
      <c r="J743" s="225"/>
      <c r="K743" s="244"/>
      <c r="L743" s="225"/>
      <c r="M743" s="225"/>
      <c r="N743" s="225"/>
      <c r="O743" s="225"/>
      <c r="P743" s="225"/>
      <c r="Q743" s="227"/>
      <c r="R743" s="234"/>
      <c r="S743" s="225"/>
      <c r="T743" s="225"/>
      <c r="U743" s="225"/>
      <c r="V743" s="225"/>
      <c r="W743" s="225"/>
      <c r="X743" s="225"/>
      <c r="Y743" s="229"/>
      <c r="Z743" s="257"/>
      <c r="AA743" s="225"/>
      <c r="AB743" s="257"/>
      <c r="AC743" s="257"/>
      <c r="AD743" s="226"/>
      <c r="AE743" s="259"/>
      <c r="AF743" s="347"/>
      <c r="AG743" s="232"/>
      <c r="AH743" s="257"/>
      <c r="AI743" s="225"/>
      <c r="AJ743" s="267"/>
      <c r="AK743" s="259"/>
      <c r="AL743" s="226"/>
      <c r="AM743" s="225"/>
      <c r="AN743" s="225"/>
      <c r="AO743" s="254"/>
      <c r="AP743" s="225"/>
      <c r="AQ743" s="225"/>
      <c r="AR743" s="226"/>
      <c r="AS743" s="225"/>
      <c r="AT743" s="225"/>
      <c r="AU743" s="225"/>
      <c r="AV743" s="225"/>
      <c r="AW743" s="225"/>
      <c r="AX743" s="226"/>
      <c r="AY743" s="225"/>
      <c r="AZ743" s="225"/>
      <c r="BA743" s="226"/>
      <c r="BB743" s="225"/>
      <c r="BC743" s="225"/>
      <c r="BD743" s="225"/>
      <c r="BE743" s="225"/>
      <c r="BF743" s="225"/>
      <c r="BG743" s="225"/>
      <c r="BH743" s="225"/>
      <c r="BI743" s="225"/>
      <c r="BJ743" s="225"/>
      <c r="BK743" s="225"/>
      <c r="BL743" s="225"/>
      <c r="BM743" s="225"/>
      <c r="BN743" s="225"/>
      <c r="BO743" s="225"/>
      <c r="BP743" s="225"/>
      <c r="BQ743" s="225"/>
      <c r="BR743" s="225"/>
      <c r="BS743" s="225"/>
      <c r="BT743" s="226"/>
      <c r="BU743" s="225"/>
      <c r="BV743" s="225"/>
      <c r="BW743" s="225"/>
      <c r="BX743" s="225"/>
      <c r="BY743" s="225"/>
      <c r="BZ743" s="225"/>
    </row>
    <row r="744">
      <c r="A744" s="225"/>
      <c r="B744" s="225"/>
      <c r="C744" s="225"/>
      <c r="D744" s="226"/>
      <c r="E744" s="225"/>
      <c r="F744" s="225"/>
      <c r="G744" s="225"/>
      <c r="H744" s="225"/>
      <c r="I744" s="225"/>
      <c r="J744" s="225"/>
      <c r="K744" s="244"/>
      <c r="L744" s="225"/>
      <c r="M744" s="225"/>
      <c r="N744" s="225"/>
      <c r="O744" s="225"/>
      <c r="P744" s="225"/>
      <c r="Q744" s="227"/>
      <c r="R744" s="234"/>
      <c r="S744" s="225"/>
      <c r="T744" s="225"/>
      <c r="U744" s="225"/>
      <c r="V744" s="225"/>
      <c r="W744" s="225"/>
      <c r="X744" s="225"/>
      <c r="Y744" s="229"/>
      <c r="Z744" s="257"/>
      <c r="AA744" s="225"/>
      <c r="AB744" s="257"/>
      <c r="AC744" s="257"/>
      <c r="AD744" s="226"/>
      <c r="AE744" s="259"/>
      <c r="AF744" s="347"/>
      <c r="AG744" s="232"/>
      <c r="AH744" s="257"/>
      <c r="AI744" s="225"/>
      <c r="AJ744" s="267"/>
      <c r="AK744" s="259"/>
      <c r="AL744" s="226"/>
      <c r="AM744" s="225"/>
      <c r="AN744" s="225"/>
      <c r="AO744" s="254"/>
      <c r="AP744" s="225"/>
      <c r="AQ744" s="225"/>
      <c r="AR744" s="226"/>
      <c r="AS744" s="225"/>
      <c r="AT744" s="225"/>
      <c r="AU744" s="225"/>
      <c r="AV744" s="225"/>
      <c r="AW744" s="225"/>
      <c r="AX744" s="226"/>
      <c r="AY744" s="225"/>
      <c r="AZ744" s="225"/>
      <c r="BA744" s="226"/>
      <c r="BB744" s="225"/>
      <c r="BC744" s="225"/>
      <c r="BD744" s="225"/>
      <c r="BE744" s="225"/>
      <c r="BF744" s="225"/>
      <c r="BG744" s="225"/>
      <c r="BH744" s="225"/>
      <c r="BI744" s="225"/>
      <c r="BJ744" s="225"/>
      <c r="BK744" s="225"/>
      <c r="BL744" s="225"/>
      <c r="BM744" s="225"/>
      <c r="BN744" s="225"/>
      <c r="BO744" s="225"/>
      <c r="BP744" s="225"/>
      <c r="BQ744" s="225"/>
      <c r="BR744" s="225"/>
      <c r="BS744" s="225"/>
      <c r="BT744" s="226"/>
      <c r="BU744" s="225"/>
      <c r="BV744" s="225"/>
      <c r="BW744" s="225"/>
      <c r="BX744" s="225"/>
      <c r="BY744" s="225"/>
      <c r="BZ744" s="225"/>
    </row>
    <row r="745">
      <c r="A745" s="284"/>
      <c r="B745" s="225"/>
      <c r="C745" s="225"/>
      <c r="D745" s="226"/>
      <c r="E745" s="225"/>
      <c r="F745" s="225"/>
      <c r="G745" s="225"/>
      <c r="H745" s="225"/>
      <c r="I745" s="225"/>
      <c r="J745" s="225"/>
      <c r="K745" s="244"/>
      <c r="L745" s="225"/>
      <c r="M745" s="225"/>
      <c r="N745" s="225"/>
      <c r="O745" s="225"/>
      <c r="P745" s="225"/>
      <c r="Q745" s="227"/>
      <c r="R745" s="234"/>
      <c r="S745" s="225"/>
      <c r="T745" s="225"/>
      <c r="U745" s="225"/>
      <c r="V745" s="225"/>
      <c r="W745" s="225"/>
      <c r="X745" s="225"/>
      <c r="Y745" s="229"/>
      <c r="Z745" s="257"/>
      <c r="AA745" s="225"/>
      <c r="AB745" s="257"/>
      <c r="AC745" s="257"/>
      <c r="AD745" s="226"/>
      <c r="AE745" s="259"/>
      <c r="AF745" s="347"/>
      <c r="AG745" s="232"/>
      <c r="AH745" s="257"/>
      <c r="AI745" s="225"/>
      <c r="AJ745" s="267"/>
      <c r="AK745" s="259"/>
      <c r="AL745" s="226"/>
      <c r="AM745" s="225"/>
      <c r="AN745" s="225"/>
      <c r="AO745" s="254"/>
      <c r="AP745" s="225"/>
      <c r="AQ745" s="225"/>
      <c r="AR745" s="226"/>
      <c r="AS745" s="225"/>
      <c r="AT745" s="225"/>
      <c r="AU745" s="225"/>
      <c r="AV745" s="225"/>
      <c r="AW745" s="225"/>
      <c r="AX745" s="226"/>
      <c r="AY745" s="225"/>
      <c r="AZ745" s="225"/>
      <c r="BA745" s="226"/>
      <c r="BB745" s="225"/>
      <c r="BC745" s="225"/>
      <c r="BD745" s="225"/>
      <c r="BE745" s="225"/>
      <c r="BF745" s="225"/>
      <c r="BG745" s="225"/>
      <c r="BH745" s="225"/>
      <c r="BI745" s="225"/>
      <c r="BJ745" s="225"/>
      <c r="BK745" s="225"/>
      <c r="BL745" s="225"/>
      <c r="BM745" s="225"/>
      <c r="BN745" s="225"/>
      <c r="BO745" s="225"/>
      <c r="BP745" s="225"/>
      <c r="BQ745" s="225"/>
      <c r="BR745" s="225"/>
      <c r="BS745" s="225"/>
      <c r="BT745" s="226"/>
      <c r="BU745" s="225"/>
      <c r="BV745" s="225"/>
      <c r="BW745" s="225"/>
      <c r="BX745" s="225"/>
      <c r="BY745" s="225"/>
      <c r="BZ745" s="225"/>
    </row>
    <row r="746">
      <c r="A746" s="284"/>
      <c r="B746" s="225"/>
      <c r="C746" s="225"/>
      <c r="D746" s="226"/>
      <c r="E746" s="225"/>
      <c r="F746" s="225"/>
      <c r="G746" s="225"/>
      <c r="H746" s="225"/>
      <c r="I746" s="225"/>
      <c r="J746" s="225"/>
      <c r="K746" s="244"/>
      <c r="L746" s="225"/>
      <c r="M746" s="225"/>
      <c r="N746" s="225"/>
      <c r="O746" s="225"/>
      <c r="P746" s="225"/>
      <c r="Q746" s="227"/>
      <c r="R746" s="234"/>
      <c r="S746" s="225"/>
      <c r="T746" s="225"/>
      <c r="U746" s="225"/>
      <c r="V746" s="225"/>
      <c r="W746" s="225"/>
      <c r="X746" s="225"/>
      <c r="Y746" s="229"/>
      <c r="Z746" s="257"/>
      <c r="AA746" s="225"/>
      <c r="AB746" s="257"/>
      <c r="AC746" s="257"/>
      <c r="AD746" s="226"/>
      <c r="AE746" s="259"/>
      <c r="AF746" s="347"/>
      <c r="AG746" s="232"/>
      <c r="AH746" s="257"/>
      <c r="AI746" s="225"/>
      <c r="AJ746" s="267"/>
      <c r="AK746" s="259"/>
      <c r="AL746" s="226"/>
      <c r="AM746" s="225"/>
      <c r="AN746" s="225"/>
      <c r="AO746" s="254"/>
      <c r="AP746" s="225"/>
      <c r="AQ746" s="225"/>
      <c r="AR746" s="226"/>
      <c r="AS746" s="225"/>
      <c r="AT746" s="225"/>
      <c r="AU746" s="225"/>
      <c r="AV746" s="225"/>
      <c r="AW746" s="225"/>
      <c r="AX746" s="226"/>
      <c r="AY746" s="225"/>
      <c r="AZ746" s="225"/>
      <c r="BA746" s="226"/>
      <c r="BB746" s="225"/>
      <c r="BC746" s="225"/>
      <c r="BD746" s="225"/>
      <c r="BE746" s="225"/>
      <c r="BF746" s="225"/>
      <c r="BG746" s="225"/>
      <c r="BH746" s="225"/>
      <c r="BI746" s="225"/>
      <c r="BJ746" s="225"/>
      <c r="BK746" s="225"/>
      <c r="BL746" s="225"/>
      <c r="BM746" s="225"/>
      <c r="BN746" s="225"/>
      <c r="BO746" s="225"/>
      <c r="BP746" s="225"/>
      <c r="BQ746" s="225"/>
      <c r="BR746" s="225"/>
      <c r="BS746" s="225"/>
      <c r="BT746" s="226"/>
      <c r="BU746" s="225"/>
      <c r="BV746" s="225"/>
      <c r="BW746" s="225"/>
      <c r="BX746" s="225"/>
      <c r="BY746" s="225"/>
      <c r="BZ746" s="225"/>
    </row>
    <row r="747">
      <c r="A747" s="284"/>
      <c r="B747" s="225"/>
      <c r="C747" s="225"/>
      <c r="D747" s="226"/>
      <c r="E747" s="225"/>
      <c r="F747" s="225"/>
      <c r="G747" s="225"/>
      <c r="H747" s="225"/>
      <c r="I747" s="225"/>
      <c r="J747" s="225"/>
      <c r="K747" s="244"/>
      <c r="L747" s="225"/>
      <c r="M747" s="225"/>
      <c r="N747" s="225"/>
      <c r="O747" s="225"/>
      <c r="P747" s="225"/>
      <c r="Q747" s="227"/>
      <c r="R747" s="234"/>
      <c r="S747" s="225"/>
      <c r="T747" s="225"/>
      <c r="U747" s="225"/>
      <c r="V747" s="225"/>
      <c r="W747" s="225"/>
      <c r="X747" s="225"/>
      <c r="Y747" s="229"/>
      <c r="Z747" s="257"/>
      <c r="AA747" s="225"/>
      <c r="AB747" s="257"/>
      <c r="AC747" s="257"/>
      <c r="AD747" s="226"/>
      <c r="AE747" s="259"/>
      <c r="AF747" s="347"/>
      <c r="AG747" s="232"/>
      <c r="AH747" s="257"/>
      <c r="AI747" s="225"/>
      <c r="AJ747" s="267"/>
      <c r="AK747" s="259"/>
      <c r="AL747" s="226"/>
      <c r="AM747" s="225"/>
      <c r="AN747" s="225"/>
      <c r="AO747" s="254"/>
      <c r="AP747" s="225"/>
      <c r="AQ747" s="225"/>
      <c r="AR747" s="226"/>
      <c r="AS747" s="225"/>
      <c r="AT747" s="225"/>
      <c r="AU747" s="225"/>
      <c r="AV747" s="225"/>
      <c r="AW747" s="225"/>
      <c r="AX747" s="226"/>
      <c r="AY747" s="225"/>
      <c r="AZ747" s="225"/>
      <c r="BA747" s="226"/>
      <c r="BB747" s="225"/>
      <c r="BC747" s="225"/>
      <c r="BD747" s="225"/>
      <c r="BE747" s="225"/>
      <c r="BF747" s="225"/>
      <c r="BG747" s="225"/>
      <c r="BH747" s="225"/>
      <c r="BI747" s="225"/>
      <c r="BJ747" s="225"/>
      <c r="BK747" s="225"/>
      <c r="BL747" s="225"/>
      <c r="BM747" s="225"/>
      <c r="BN747" s="225"/>
      <c r="BO747" s="225"/>
      <c r="BP747" s="225"/>
      <c r="BQ747" s="225"/>
      <c r="BR747" s="225"/>
      <c r="BS747" s="225"/>
      <c r="BT747" s="226"/>
      <c r="BU747" s="225"/>
      <c r="BV747" s="225"/>
      <c r="BW747" s="225"/>
      <c r="BX747" s="225"/>
      <c r="BY747" s="225"/>
      <c r="BZ747" s="225"/>
    </row>
    <row r="748">
      <c r="A748" s="284"/>
      <c r="B748" s="225"/>
      <c r="C748" s="225"/>
      <c r="D748" s="226"/>
      <c r="E748" s="225"/>
      <c r="F748" s="225"/>
      <c r="G748" s="225"/>
      <c r="H748" s="225"/>
      <c r="I748" s="225"/>
      <c r="J748" s="225"/>
      <c r="K748" s="244"/>
      <c r="L748" s="225"/>
      <c r="M748" s="225"/>
      <c r="N748" s="225"/>
      <c r="O748" s="225"/>
      <c r="P748" s="225"/>
      <c r="Q748" s="227"/>
      <c r="R748" s="234"/>
      <c r="S748" s="225"/>
      <c r="T748" s="225"/>
      <c r="U748" s="225"/>
      <c r="V748" s="225"/>
      <c r="W748" s="225"/>
      <c r="X748" s="225"/>
      <c r="Y748" s="229"/>
      <c r="Z748" s="257"/>
      <c r="AA748" s="225"/>
      <c r="AB748" s="257"/>
      <c r="AC748" s="257"/>
      <c r="AD748" s="226"/>
      <c r="AE748" s="259"/>
      <c r="AF748" s="347"/>
      <c r="AG748" s="232"/>
      <c r="AH748" s="257"/>
      <c r="AI748" s="225"/>
      <c r="AJ748" s="267"/>
      <c r="AK748" s="259"/>
      <c r="AL748" s="226"/>
      <c r="AM748" s="225"/>
      <c r="AN748" s="225"/>
      <c r="AO748" s="254"/>
      <c r="AP748" s="225"/>
      <c r="AQ748" s="225"/>
      <c r="AR748" s="226"/>
      <c r="AS748" s="225"/>
      <c r="AT748" s="225"/>
      <c r="AU748" s="225"/>
      <c r="AV748" s="225"/>
      <c r="AW748" s="225"/>
      <c r="AX748" s="226"/>
      <c r="AY748" s="225"/>
      <c r="AZ748" s="225"/>
      <c r="BA748" s="226"/>
      <c r="BB748" s="225"/>
      <c r="BC748" s="225"/>
      <c r="BD748" s="225"/>
      <c r="BE748" s="225"/>
      <c r="BF748" s="225"/>
      <c r="BG748" s="225"/>
      <c r="BH748" s="225"/>
      <c r="BI748" s="225"/>
      <c r="BJ748" s="225"/>
      <c r="BK748" s="225"/>
      <c r="BL748" s="225"/>
      <c r="BM748" s="225"/>
      <c r="BN748" s="225"/>
      <c r="BO748" s="225"/>
      <c r="BP748" s="225"/>
      <c r="BQ748" s="225"/>
      <c r="BR748" s="225"/>
      <c r="BS748" s="225"/>
      <c r="BT748" s="226"/>
      <c r="BU748" s="225"/>
      <c r="BV748" s="225"/>
      <c r="BW748" s="225"/>
      <c r="BX748" s="225"/>
      <c r="BY748" s="225"/>
      <c r="BZ748" s="225"/>
    </row>
    <row r="749">
      <c r="A749" s="284"/>
      <c r="B749" s="225"/>
      <c r="C749" s="225"/>
      <c r="D749" s="226"/>
      <c r="E749" s="225"/>
      <c r="F749" s="225"/>
      <c r="G749" s="225"/>
      <c r="H749" s="225"/>
      <c r="I749" s="225"/>
      <c r="J749" s="225"/>
      <c r="K749" s="244"/>
      <c r="L749" s="225"/>
      <c r="M749" s="225"/>
      <c r="N749" s="225"/>
      <c r="O749" s="225"/>
      <c r="P749" s="225"/>
      <c r="Q749" s="227"/>
      <c r="R749" s="234"/>
      <c r="S749" s="225"/>
      <c r="T749" s="225"/>
      <c r="U749" s="225"/>
      <c r="V749" s="225"/>
      <c r="W749" s="225"/>
      <c r="X749" s="225"/>
      <c r="Y749" s="229"/>
      <c r="Z749" s="257"/>
      <c r="AA749" s="225"/>
      <c r="AB749" s="257"/>
      <c r="AC749" s="257"/>
      <c r="AD749" s="226"/>
      <c r="AE749" s="259"/>
      <c r="AF749" s="347"/>
      <c r="AG749" s="232"/>
      <c r="AH749" s="257"/>
      <c r="AI749" s="225"/>
      <c r="AJ749" s="267"/>
      <c r="AK749" s="259"/>
      <c r="AL749" s="226"/>
      <c r="AM749" s="225"/>
      <c r="AN749" s="225"/>
      <c r="AO749" s="254"/>
      <c r="AP749" s="225"/>
      <c r="AQ749" s="225"/>
      <c r="AR749" s="226"/>
      <c r="AS749" s="225"/>
      <c r="AT749" s="225"/>
      <c r="AU749" s="225"/>
      <c r="AV749" s="225"/>
      <c r="AW749" s="225"/>
      <c r="AX749" s="226"/>
      <c r="AY749" s="225"/>
      <c r="AZ749" s="225"/>
      <c r="BA749" s="226"/>
      <c r="BB749" s="225"/>
      <c r="BC749" s="225"/>
      <c r="BD749" s="225"/>
      <c r="BE749" s="225"/>
      <c r="BF749" s="225"/>
      <c r="BG749" s="225"/>
      <c r="BH749" s="225"/>
      <c r="BI749" s="225"/>
      <c r="BJ749" s="225"/>
      <c r="BK749" s="225"/>
      <c r="BL749" s="225"/>
      <c r="BM749" s="225"/>
      <c r="BN749" s="225"/>
      <c r="BO749" s="225"/>
      <c r="BP749" s="225"/>
      <c r="BQ749" s="225"/>
      <c r="BR749" s="225"/>
      <c r="BS749" s="225"/>
      <c r="BT749" s="226"/>
      <c r="BU749" s="225"/>
      <c r="BV749" s="225"/>
      <c r="BW749" s="225"/>
      <c r="BX749" s="225"/>
      <c r="BY749" s="225"/>
      <c r="BZ749" s="225"/>
    </row>
    <row r="750">
      <c r="A750" s="284"/>
      <c r="B750" s="225"/>
      <c r="C750" s="225"/>
      <c r="D750" s="226"/>
      <c r="E750" s="225"/>
      <c r="F750" s="225"/>
      <c r="G750" s="225"/>
      <c r="H750" s="225"/>
      <c r="I750" s="225"/>
      <c r="J750" s="225"/>
      <c r="K750" s="244"/>
      <c r="L750" s="225"/>
      <c r="M750" s="225"/>
      <c r="N750" s="225"/>
      <c r="O750" s="225"/>
      <c r="P750" s="225"/>
      <c r="Q750" s="227"/>
      <c r="R750" s="234"/>
      <c r="S750" s="225"/>
      <c r="T750" s="225"/>
      <c r="U750" s="225"/>
      <c r="V750" s="225"/>
      <c r="W750" s="225"/>
      <c r="X750" s="225"/>
      <c r="Y750" s="229"/>
      <c r="Z750" s="257"/>
      <c r="AA750" s="225"/>
      <c r="AB750" s="257"/>
      <c r="AC750" s="257"/>
      <c r="AD750" s="226"/>
      <c r="AE750" s="259"/>
      <c r="AF750" s="347"/>
      <c r="AG750" s="232"/>
      <c r="AH750" s="257"/>
      <c r="AI750" s="225"/>
      <c r="AJ750" s="267"/>
      <c r="AK750" s="259"/>
      <c r="AL750" s="226"/>
      <c r="AM750" s="225"/>
      <c r="AN750" s="225"/>
      <c r="AO750" s="254"/>
      <c r="AP750" s="225"/>
      <c r="AQ750" s="225"/>
      <c r="AR750" s="226"/>
      <c r="AS750" s="225"/>
      <c r="AT750" s="225"/>
      <c r="AU750" s="225"/>
      <c r="AV750" s="225"/>
      <c r="AW750" s="225"/>
      <c r="AX750" s="226"/>
      <c r="AY750" s="225"/>
      <c r="AZ750" s="225"/>
      <c r="BA750" s="226"/>
      <c r="BB750" s="225"/>
      <c r="BC750" s="225"/>
      <c r="BD750" s="225"/>
      <c r="BE750" s="225"/>
      <c r="BF750" s="225"/>
      <c r="BG750" s="225"/>
      <c r="BH750" s="225"/>
      <c r="BI750" s="225"/>
      <c r="BJ750" s="225"/>
      <c r="BK750" s="225"/>
      <c r="BL750" s="225"/>
      <c r="BM750" s="225"/>
      <c r="BN750" s="225"/>
      <c r="BO750" s="225"/>
      <c r="BP750" s="225"/>
      <c r="BQ750" s="225"/>
      <c r="BR750" s="225"/>
      <c r="BS750" s="225"/>
      <c r="BT750" s="226"/>
      <c r="BU750" s="225"/>
      <c r="BV750" s="225"/>
      <c r="BW750" s="225"/>
      <c r="BX750" s="225"/>
      <c r="BY750" s="225"/>
      <c r="BZ750" s="225"/>
    </row>
    <row r="751">
      <c r="A751" s="284"/>
      <c r="B751" s="225"/>
      <c r="C751" s="225"/>
      <c r="D751" s="226"/>
      <c r="E751" s="225"/>
      <c r="F751" s="225"/>
      <c r="G751" s="225"/>
      <c r="H751" s="225"/>
      <c r="I751" s="225"/>
      <c r="J751" s="225"/>
      <c r="K751" s="244"/>
      <c r="L751" s="225"/>
      <c r="M751" s="225"/>
      <c r="N751" s="225"/>
      <c r="O751" s="225"/>
      <c r="P751" s="225"/>
      <c r="Q751" s="227"/>
      <c r="R751" s="234"/>
      <c r="S751" s="225"/>
      <c r="T751" s="225"/>
      <c r="U751" s="225"/>
      <c r="V751" s="225"/>
      <c r="W751" s="225"/>
      <c r="X751" s="225"/>
      <c r="Y751" s="229"/>
      <c r="Z751" s="257"/>
      <c r="AA751" s="225"/>
      <c r="AB751" s="257"/>
      <c r="AC751" s="257"/>
      <c r="AD751" s="226"/>
      <c r="AE751" s="259"/>
      <c r="AF751" s="347"/>
      <c r="AG751" s="232"/>
      <c r="AH751" s="257"/>
      <c r="AI751" s="225"/>
      <c r="AJ751" s="267"/>
      <c r="AK751" s="259"/>
      <c r="AL751" s="226"/>
      <c r="AM751" s="225"/>
      <c r="AN751" s="225"/>
      <c r="AO751" s="254"/>
      <c r="AP751" s="225"/>
      <c r="AQ751" s="225"/>
      <c r="AR751" s="226"/>
      <c r="AS751" s="225"/>
      <c r="AT751" s="225"/>
      <c r="AU751" s="225"/>
      <c r="AV751" s="225"/>
      <c r="AW751" s="225"/>
      <c r="AX751" s="226"/>
      <c r="AY751" s="225"/>
      <c r="AZ751" s="225"/>
      <c r="BA751" s="226"/>
      <c r="BB751" s="225"/>
      <c r="BC751" s="225"/>
      <c r="BD751" s="225"/>
      <c r="BE751" s="225"/>
      <c r="BF751" s="225"/>
      <c r="BG751" s="225"/>
      <c r="BH751" s="225"/>
      <c r="BI751" s="225"/>
      <c r="BJ751" s="225"/>
      <c r="BK751" s="225"/>
      <c r="BL751" s="225"/>
      <c r="BM751" s="225"/>
      <c r="BN751" s="225"/>
      <c r="BO751" s="225"/>
      <c r="BP751" s="225"/>
      <c r="BQ751" s="225"/>
      <c r="BR751" s="225"/>
      <c r="BS751" s="225"/>
      <c r="BT751" s="226"/>
      <c r="BU751" s="225"/>
      <c r="BV751" s="225"/>
      <c r="BW751" s="225"/>
      <c r="BX751" s="225"/>
      <c r="BY751" s="225"/>
      <c r="BZ751" s="225"/>
    </row>
    <row r="752">
      <c r="A752" s="284"/>
      <c r="B752" s="225"/>
      <c r="C752" s="225"/>
      <c r="D752" s="226"/>
      <c r="E752" s="225"/>
      <c r="F752" s="225"/>
      <c r="G752" s="225"/>
      <c r="H752" s="225"/>
      <c r="I752" s="225"/>
      <c r="J752" s="225"/>
      <c r="K752" s="244"/>
      <c r="L752" s="225"/>
      <c r="M752" s="225"/>
      <c r="N752" s="225"/>
      <c r="O752" s="225"/>
      <c r="P752" s="225"/>
      <c r="Q752" s="227"/>
      <c r="R752" s="234"/>
      <c r="S752" s="225"/>
      <c r="T752" s="225"/>
      <c r="U752" s="225"/>
      <c r="V752" s="225"/>
      <c r="W752" s="225"/>
      <c r="X752" s="225"/>
      <c r="Y752" s="229"/>
      <c r="Z752" s="257"/>
      <c r="AA752" s="225"/>
      <c r="AB752" s="257"/>
      <c r="AC752" s="257"/>
      <c r="AD752" s="226"/>
      <c r="AE752" s="259"/>
      <c r="AF752" s="347"/>
      <c r="AG752" s="232"/>
      <c r="AH752" s="257"/>
      <c r="AI752" s="225"/>
      <c r="AJ752" s="267"/>
      <c r="AK752" s="259"/>
      <c r="AL752" s="226"/>
      <c r="AM752" s="225"/>
      <c r="AN752" s="225"/>
      <c r="AO752" s="254"/>
      <c r="AP752" s="225"/>
      <c r="AQ752" s="225"/>
      <c r="AR752" s="226"/>
      <c r="AS752" s="225"/>
      <c r="AT752" s="225"/>
      <c r="AU752" s="225"/>
      <c r="AV752" s="225"/>
      <c r="AW752" s="225"/>
      <c r="AX752" s="226"/>
      <c r="AY752" s="225"/>
      <c r="AZ752" s="225"/>
      <c r="BA752" s="226"/>
      <c r="BB752" s="225"/>
      <c r="BC752" s="225"/>
      <c r="BD752" s="225"/>
      <c r="BE752" s="225"/>
      <c r="BF752" s="225"/>
      <c r="BG752" s="225"/>
      <c r="BH752" s="225"/>
      <c r="BI752" s="225"/>
      <c r="BJ752" s="225"/>
      <c r="BK752" s="225"/>
      <c r="BL752" s="225"/>
      <c r="BM752" s="225"/>
      <c r="BN752" s="225"/>
      <c r="BO752" s="225"/>
      <c r="BP752" s="225"/>
      <c r="BQ752" s="225"/>
      <c r="BR752" s="225"/>
      <c r="BS752" s="225"/>
      <c r="BT752" s="226"/>
      <c r="BU752" s="225"/>
      <c r="BV752" s="225"/>
      <c r="BW752" s="225"/>
      <c r="BX752" s="225"/>
      <c r="BY752" s="225"/>
      <c r="BZ752" s="225"/>
    </row>
    <row r="753">
      <c r="A753" s="284"/>
      <c r="B753" s="225"/>
      <c r="C753" s="225"/>
      <c r="D753" s="226"/>
      <c r="E753" s="225"/>
      <c r="F753" s="225"/>
      <c r="G753" s="225"/>
      <c r="H753" s="225"/>
      <c r="I753" s="225"/>
      <c r="J753" s="225"/>
      <c r="K753" s="244"/>
      <c r="L753" s="225"/>
      <c r="M753" s="225"/>
      <c r="N753" s="225"/>
      <c r="O753" s="225"/>
      <c r="P753" s="225"/>
      <c r="Q753" s="227"/>
      <c r="R753" s="234"/>
      <c r="S753" s="225"/>
      <c r="T753" s="225"/>
      <c r="U753" s="225"/>
      <c r="V753" s="225"/>
      <c r="W753" s="225"/>
      <c r="X753" s="225"/>
      <c r="Y753" s="229"/>
      <c r="Z753" s="257"/>
      <c r="AA753" s="225"/>
      <c r="AB753" s="257"/>
      <c r="AC753" s="257"/>
      <c r="AD753" s="226"/>
      <c r="AE753" s="259"/>
      <c r="AF753" s="347"/>
      <c r="AG753" s="232"/>
      <c r="AH753" s="257"/>
      <c r="AI753" s="225"/>
      <c r="AJ753" s="267"/>
      <c r="AK753" s="259"/>
      <c r="AL753" s="226"/>
      <c r="AM753" s="225"/>
      <c r="AN753" s="225"/>
      <c r="AO753" s="254"/>
      <c r="AP753" s="225"/>
      <c r="AQ753" s="225"/>
      <c r="AR753" s="226"/>
      <c r="AS753" s="225"/>
      <c r="AT753" s="225"/>
      <c r="AU753" s="225"/>
      <c r="AV753" s="225"/>
      <c r="AW753" s="225"/>
      <c r="AX753" s="226"/>
      <c r="AY753" s="225"/>
      <c r="AZ753" s="225"/>
      <c r="BA753" s="226"/>
      <c r="BB753" s="225"/>
      <c r="BC753" s="225"/>
      <c r="BD753" s="225"/>
      <c r="BE753" s="225"/>
      <c r="BF753" s="225"/>
      <c r="BG753" s="225"/>
      <c r="BH753" s="225"/>
      <c r="BI753" s="225"/>
      <c r="BJ753" s="225"/>
      <c r="BK753" s="225"/>
      <c r="BL753" s="225"/>
      <c r="BM753" s="225"/>
      <c r="BN753" s="225"/>
      <c r="BO753" s="225"/>
      <c r="BP753" s="225"/>
      <c r="BQ753" s="225"/>
      <c r="BR753" s="225"/>
      <c r="BS753" s="225"/>
      <c r="BT753" s="226"/>
      <c r="BU753" s="225"/>
      <c r="BV753" s="225"/>
      <c r="BW753" s="225"/>
      <c r="BX753" s="225"/>
      <c r="BY753" s="225"/>
      <c r="BZ753" s="225"/>
    </row>
    <row r="754">
      <c r="A754" s="284"/>
      <c r="B754" s="225"/>
      <c r="C754" s="225"/>
      <c r="D754" s="226"/>
      <c r="E754" s="225"/>
      <c r="F754" s="225"/>
      <c r="G754" s="225"/>
      <c r="H754" s="225"/>
      <c r="I754" s="225"/>
      <c r="J754" s="225"/>
      <c r="K754" s="244"/>
      <c r="L754" s="225"/>
      <c r="M754" s="225"/>
      <c r="N754" s="225"/>
      <c r="O754" s="225"/>
      <c r="P754" s="225"/>
      <c r="Q754" s="227"/>
      <c r="R754" s="234"/>
      <c r="S754" s="225"/>
      <c r="T754" s="225"/>
      <c r="U754" s="225"/>
      <c r="V754" s="225"/>
      <c r="W754" s="225"/>
      <c r="X754" s="225"/>
      <c r="Y754" s="229"/>
      <c r="Z754" s="257"/>
      <c r="AA754" s="225"/>
      <c r="AB754" s="257"/>
      <c r="AC754" s="257"/>
      <c r="AD754" s="226"/>
      <c r="AE754" s="259"/>
      <c r="AF754" s="347"/>
      <c r="AG754" s="232"/>
      <c r="AH754" s="257"/>
      <c r="AI754" s="225"/>
      <c r="AJ754" s="267"/>
      <c r="AK754" s="259"/>
      <c r="AL754" s="226"/>
      <c r="AM754" s="225"/>
      <c r="AN754" s="225"/>
      <c r="AO754" s="254"/>
      <c r="AP754" s="225"/>
      <c r="AQ754" s="225"/>
      <c r="AR754" s="226"/>
      <c r="AS754" s="225"/>
      <c r="AT754" s="225"/>
      <c r="AU754" s="225"/>
      <c r="AV754" s="225"/>
      <c r="AW754" s="225"/>
      <c r="AX754" s="226"/>
      <c r="AY754" s="225"/>
      <c r="AZ754" s="225"/>
      <c r="BA754" s="226"/>
      <c r="BB754" s="225"/>
      <c r="BC754" s="225"/>
      <c r="BD754" s="225"/>
      <c r="BE754" s="225"/>
      <c r="BF754" s="225"/>
      <c r="BG754" s="225"/>
      <c r="BH754" s="225"/>
      <c r="BI754" s="225"/>
      <c r="BJ754" s="225"/>
      <c r="BK754" s="225"/>
      <c r="BL754" s="225"/>
      <c r="BM754" s="225"/>
      <c r="BN754" s="225"/>
      <c r="BO754" s="225"/>
      <c r="BP754" s="225"/>
      <c r="BQ754" s="225"/>
      <c r="BR754" s="225"/>
      <c r="BS754" s="225"/>
      <c r="BT754" s="226"/>
      <c r="BU754" s="225"/>
      <c r="BV754" s="225"/>
      <c r="BW754" s="225"/>
      <c r="BX754" s="225"/>
      <c r="BY754" s="225"/>
      <c r="BZ754" s="225"/>
    </row>
    <row r="755">
      <c r="A755" s="284"/>
      <c r="B755" s="225"/>
      <c r="C755" s="225"/>
      <c r="D755" s="226"/>
      <c r="E755" s="225"/>
      <c r="F755" s="225"/>
      <c r="G755" s="225"/>
      <c r="H755" s="225"/>
      <c r="I755" s="225"/>
      <c r="J755" s="225"/>
      <c r="K755" s="244"/>
      <c r="L755" s="225"/>
      <c r="M755" s="225"/>
      <c r="N755" s="225"/>
      <c r="O755" s="225"/>
      <c r="P755" s="225"/>
      <c r="Q755" s="227"/>
      <c r="R755" s="234"/>
      <c r="S755" s="225"/>
      <c r="T755" s="225"/>
      <c r="U755" s="225"/>
      <c r="V755" s="225"/>
      <c r="W755" s="225"/>
      <c r="X755" s="225"/>
      <c r="Y755" s="229"/>
      <c r="Z755" s="257"/>
      <c r="AA755" s="225"/>
      <c r="AB755" s="257"/>
      <c r="AC755" s="257"/>
      <c r="AD755" s="226"/>
      <c r="AE755" s="259"/>
      <c r="AF755" s="347"/>
      <c r="AG755" s="232"/>
      <c r="AH755" s="257"/>
      <c r="AI755" s="225"/>
      <c r="AJ755" s="267"/>
      <c r="AK755" s="259"/>
      <c r="AL755" s="226"/>
      <c r="AM755" s="225"/>
      <c r="AN755" s="225"/>
      <c r="AO755" s="254"/>
      <c r="AP755" s="225"/>
      <c r="AQ755" s="225"/>
      <c r="AR755" s="226"/>
      <c r="AS755" s="225"/>
      <c r="AT755" s="225"/>
      <c r="AU755" s="225"/>
      <c r="AV755" s="225"/>
      <c r="AW755" s="225"/>
      <c r="AX755" s="226"/>
      <c r="AY755" s="225"/>
      <c r="AZ755" s="225"/>
      <c r="BA755" s="226"/>
      <c r="BB755" s="225"/>
      <c r="BC755" s="225"/>
      <c r="BD755" s="225"/>
      <c r="BE755" s="225"/>
      <c r="BF755" s="225"/>
      <c r="BG755" s="225"/>
      <c r="BH755" s="225"/>
      <c r="BI755" s="225"/>
      <c r="BJ755" s="225"/>
      <c r="BK755" s="225"/>
      <c r="BL755" s="225"/>
      <c r="BM755" s="225"/>
      <c r="BN755" s="225"/>
      <c r="BO755" s="225"/>
      <c r="BP755" s="225"/>
      <c r="BQ755" s="225"/>
      <c r="BR755" s="225"/>
      <c r="BS755" s="225"/>
      <c r="BT755" s="226"/>
      <c r="BU755" s="225"/>
      <c r="BV755" s="225"/>
      <c r="BW755" s="225"/>
      <c r="BX755" s="225"/>
      <c r="BY755" s="225"/>
      <c r="BZ755" s="225"/>
    </row>
    <row r="756">
      <c r="A756" s="284"/>
      <c r="B756" s="225"/>
      <c r="C756" s="225"/>
      <c r="D756" s="226"/>
      <c r="E756" s="225"/>
      <c r="F756" s="225"/>
      <c r="G756" s="225"/>
      <c r="H756" s="225"/>
      <c r="I756" s="225"/>
      <c r="J756" s="225"/>
      <c r="K756" s="244"/>
      <c r="L756" s="225"/>
      <c r="M756" s="225"/>
      <c r="N756" s="225"/>
      <c r="O756" s="225"/>
      <c r="P756" s="225"/>
      <c r="Q756" s="227"/>
      <c r="R756" s="234"/>
      <c r="S756" s="225"/>
      <c r="T756" s="225"/>
      <c r="U756" s="225"/>
      <c r="V756" s="225"/>
      <c r="W756" s="225"/>
      <c r="X756" s="225"/>
      <c r="Y756" s="229"/>
      <c r="Z756" s="257"/>
      <c r="AA756" s="225"/>
      <c r="AB756" s="257"/>
      <c r="AC756" s="257"/>
      <c r="AD756" s="226"/>
      <c r="AE756" s="259"/>
      <c r="AF756" s="347"/>
      <c r="AG756" s="232"/>
      <c r="AH756" s="257"/>
      <c r="AI756" s="225"/>
      <c r="AJ756" s="267"/>
      <c r="AK756" s="259"/>
      <c r="AL756" s="226"/>
      <c r="AM756" s="225"/>
      <c r="AN756" s="225"/>
      <c r="AO756" s="254"/>
      <c r="AP756" s="225"/>
      <c r="AQ756" s="225"/>
      <c r="AR756" s="226"/>
      <c r="AS756" s="225"/>
      <c r="AT756" s="225"/>
      <c r="AU756" s="225"/>
      <c r="AV756" s="225"/>
      <c r="AW756" s="225"/>
      <c r="AX756" s="226"/>
      <c r="AY756" s="225"/>
      <c r="AZ756" s="225"/>
      <c r="BA756" s="226"/>
      <c r="BB756" s="225"/>
      <c r="BC756" s="225"/>
      <c r="BD756" s="225"/>
      <c r="BE756" s="225"/>
      <c r="BF756" s="225"/>
      <c r="BG756" s="225"/>
      <c r="BH756" s="225"/>
      <c r="BI756" s="225"/>
      <c r="BJ756" s="225"/>
      <c r="BK756" s="225"/>
      <c r="BL756" s="225"/>
      <c r="BM756" s="225"/>
      <c r="BN756" s="225"/>
      <c r="BO756" s="225"/>
      <c r="BP756" s="225"/>
      <c r="BQ756" s="225"/>
      <c r="BR756" s="225"/>
      <c r="BS756" s="225"/>
      <c r="BT756" s="226"/>
      <c r="BU756" s="225"/>
      <c r="BV756" s="225"/>
      <c r="BW756" s="225"/>
      <c r="BX756" s="225"/>
      <c r="BY756" s="225"/>
      <c r="BZ756" s="225"/>
    </row>
    <row r="757">
      <c r="A757" s="284"/>
      <c r="B757" s="225"/>
      <c r="C757" s="225"/>
      <c r="D757" s="226"/>
      <c r="E757" s="225"/>
      <c r="F757" s="225"/>
      <c r="G757" s="225"/>
      <c r="H757" s="225"/>
      <c r="I757" s="225"/>
      <c r="J757" s="225"/>
      <c r="K757" s="244"/>
      <c r="L757" s="225"/>
      <c r="M757" s="225"/>
      <c r="N757" s="225"/>
      <c r="O757" s="225"/>
      <c r="P757" s="225"/>
      <c r="Q757" s="227"/>
      <c r="R757" s="234"/>
      <c r="S757" s="225"/>
      <c r="T757" s="225"/>
      <c r="U757" s="225"/>
      <c r="V757" s="225"/>
      <c r="W757" s="225"/>
      <c r="X757" s="225"/>
      <c r="Y757" s="229"/>
      <c r="Z757" s="257"/>
      <c r="AA757" s="225"/>
      <c r="AB757" s="257"/>
      <c r="AC757" s="257"/>
      <c r="AD757" s="226"/>
      <c r="AE757" s="259"/>
      <c r="AF757" s="347"/>
      <c r="AG757" s="232"/>
      <c r="AH757" s="257"/>
      <c r="AI757" s="225"/>
      <c r="AJ757" s="267"/>
      <c r="AK757" s="259"/>
      <c r="AL757" s="226"/>
      <c r="AM757" s="225"/>
      <c r="AN757" s="225"/>
      <c r="AO757" s="254"/>
      <c r="AP757" s="225"/>
      <c r="AQ757" s="225"/>
      <c r="AR757" s="226"/>
      <c r="AS757" s="225"/>
      <c r="AT757" s="225"/>
      <c r="AU757" s="225"/>
      <c r="AV757" s="225"/>
      <c r="AW757" s="225"/>
      <c r="AX757" s="226"/>
      <c r="AY757" s="225"/>
      <c r="AZ757" s="225"/>
      <c r="BA757" s="226"/>
      <c r="BB757" s="225"/>
      <c r="BC757" s="225"/>
      <c r="BD757" s="225"/>
      <c r="BE757" s="225"/>
      <c r="BF757" s="225"/>
      <c r="BG757" s="225"/>
      <c r="BH757" s="225"/>
      <c r="BI757" s="225"/>
      <c r="BJ757" s="225"/>
      <c r="BK757" s="225"/>
      <c r="BL757" s="225"/>
      <c r="BM757" s="225"/>
      <c r="BN757" s="225"/>
      <c r="BO757" s="225"/>
      <c r="BP757" s="225"/>
      <c r="BQ757" s="225"/>
      <c r="BR757" s="225"/>
      <c r="BS757" s="225"/>
      <c r="BT757" s="226"/>
      <c r="BU757" s="225"/>
      <c r="BV757" s="225"/>
      <c r="BW757" s="225"/>
      <c r="BX757" s="225"/>
      <c r="BY757" s="225"/>
      <c r="BZ757" s="225"/>
    </row>
    <row r="758">
      <c r="A758" s="284"/>
      <c r="B758" s="225"/>
      <c r="C758" s="225"/>
      <c r="D758" s="226"/>
      <c r="E758" s="225"/>
      <c r="F758" s="225"/>
      <c r="G758" s="225"/>
      <c r="H758" s="225"/>
      <c r="I758" s="225"/>
      <c r="J758" s="225"/>
      <c r="K758" s="244"/>
      <c r="L758" s="225"/>
      <c r="M758" s="225"/>
      <c r="N758" s="225"/>
      <c r="O758" s="225"/>
      <c r="P758" s="225"/>
      <c r="Q758" s="227"/>
      <c r="R758" s="234"/>
      <c r="S758" s="225"/>
      <c r="T758" s="225"/>
      <c r="U758" s="225"/>
      <c r="V758" s="225"/>
      <c r="W758" s="225"/>
      <c r="X758" s="225"/>
      <c r="Y758" s="229"/>
      <c r="Z758" s="257"/>
      <c r="AA758" s="225"/>
      <c r="AB758" s="257"/>
      <c r="AC758" s="257"/>
      <c r="AD758" s="226"/>
      <c r="AE758" s="259"/>
      <c r="AF758" s="347"/>
      <c r="AG758" s="232"/>
      <c r="AH758" s="257"/>
      <c r="AI758" s="225"/>
      <c r="AJ758" s="267"/>
      <c r="AK758" s="259"/>
      <c r="AL758" s="226"/>
      <c r="AM758" s="225"/>
      <c r="AN758" s="225"/>
      <c r="AO758" s="254"/>
      <c r="AP758" s="225"/>
      <c r="AQ758" s="225"/>
      <c r="AR758" s="226"/>
      <c r="AS758" s="225"/>
      <c r="AT758" s="225"/>
      <c r="AU758" s="225"/>
      <c r="AV758" s="225"/>
      <c r="AW758" s="225"/>
      <c r="AX758" s="226"/>
      <c r="AY758" s="225"/>
      <c r="AZ758" s="225"/>
      <c r="BA758" s="226"/>
      <c r="BB758" s="225"/>
      <c r="BC758" s="225"/>
      <c r="BD758" s="225"/>
      <c r="BE758" s="225"/>
      <c r="BF758" s="225"/>
      <c r="BG758" s="225"/>
      <c r="BH758" s="225"/>
      <c r="BI758" s="225"/>
      <c r="BJ758" s="225"/>
      <c r="BK758" s="225"/>
      <c r="BL758" s="225"/>
      <c r="BM758" s="225"/>
      <c r="BN758" s="225"/>
      <c r="BO758" s="225"/>
      <c r="BP758" s="225"/>
      <c r="BQ758" s="225"/>
      <c r="BR758" s="225"/>
      <c r="BS758" s="225"/>
      <c r="BT758" s="226"/>
      <c r="BU758" s="225"/>
      <c r="BV758" s="225"/>
      <c r="BW758" s="225"/>
      <c r="BX758" s="225"/>
      <c r="BY758" s="225"/>
      <c r="BZ758" s="225"/>
    </row>
    <row r="759">
      <c r="A759" s="284"/>
      <c r="B759" s="225"/>
      <c r="C759" s="225"/>
      <c r="D759" s="226"/>
      <c r="E759" s="225"/>
      <c r="F759" s="225"/>
      <c r="G759" s="225"/>
      <c r="H759" s="225"/>
      <c r="I759" s="225"/>
      <c r="J759" s="225"/>
      <c r="K759" s="244"/>
      <c r="L759" s="225"/>
      <c r="M759" s="225"/>
      <c r="N759" s="225"/>
      <c r="O759" s="225"/>
      <c r="P759" s="225"/>
      <c r="Q759" s="227"/>
      <c r="R759" s="234"/>
      <c r="S759" s="225"/>
      <c r="T759" s="225"/>
      <c r="U759" s="225"/>
      <c r="V759" s="225"/>
      <c r="W759" s="225"/>
      <c r="X759" s="225"/>
      <c r="Y759" s="229"/>
      <c r="Z759" s="257"/>
      <c r="AA759" s="225"/>
      <c r="AB759" s="257"/>
      <c r="AC759" s="257"/>
      <c r="AD759" s="226"/>
      <c r="AE759" s="259"/>
      <c r="AF759" s="347"/>
      <c r="AG759" s="232"/>
      <c r="AH759" s="257"/>
      <c r="AI759" s="225"/>
      <c r="AJ759" s="267"/>
      <c r="AK759" s="259"/>
      <c r="AL759" s="226"/>
      <c r="AM759" s="225"/>
      <c r="AN759" s="225"/>
      <c r="AO759" s="254"/>
      <c r="AP759" s="225"/>
      <c r="AQ759" s="225"/>
      <c r="AR759" s="226"/>
      <c r="AS759" s="225"/>
      <c r="AT759" s="225"/>
      <c r="AU759" s="225"/>
      <c r="AV759" s="225"/>
      <c r="AW759" s="225"/>
      <c r="AX759" s="226"/>
      <c r="AY759" s="225"/>
      <c r="AZ759" s="225"/>
      <c r="BA759" s="226"/>
      <c r="BB759" s="225"/>
      <c r="BC759" s="225"/>
      <c r="BD759" s="225"/>
      <c r="BE759" s="225"/>
      <c r="BF759" s="225"/>
      <c r="BG759" s="225"/>
      <c r="BH759" s="225"/>
      <c r="BI759" s="225"/>
      <c r="BJ759" s="225"/>
      <c r="BK759" s="225"/>
      <c r="BL759" s="225"/>
      <c r="BM759" s="225"/>
      <c r="BN759" s="225"/>
      <c r="BO759" s="225"/>
      <c r="BP759" s="225"/>
      <c r="BQ759" s="225"/>
      <c r="BR759" s="225"/>
      <c r="BS759" s="225"/>
      <c r="BT759" s="226"/>
      <c r="BU759" s="225"/>
      <c r="BV759" s="225"/>
      <c r="BW759" s="225"/>
      <c r="BX759" s="225"/>
      <c r="BY759" s="225"/>
      <c r="BZ759" s="225"/>
    </row>
    <row r="760">
      <c r="A760" s="284"/>
      <c r="B760" s="225"/>
      <c r="C760" s="225"/>
      <c r="D760" s="226"/>
      <c r="E760" s="225"/>
      <c r="F760" s="225"/>
      <c r="G760" s="225"/>
      <c r="H760" s="225"/>
      <c r="I760" s="225"/>
      <c r="J760" s="225"/>
      <c r="K760" s="244"/>
      <c r="L760" s="225"/>
      <c r="M760" s="225"/>
      <c r="N760" s="225"/>
      <c r="O760" s="225"/>
      <c r="P760" s="225"/>
      <c r="Q760" s="227"/>
      <c r="R760" s="234"/>
      <c r="S760" s="225"/>
      <c r="T760" s="225"/>
      <c r="U760" s="225"/>
      <c r="V760" s="225"/>
      <c r="W760" s="225"/>
      <c r="X760" s="225"/>
      <c r="Y760" s="229"/>
      <c r="Z760" s="257"/>
      <c r="AA760" s="225"/>
      <c r="AB760" s="257"/>
      <c r="AC760" s="257"/>
      <c r="AD760" s="226"/>
      <c r="AE760" s="259"/>
      <c r="AF760" s="347"/>
      <c r="AG760" s="232"/>
      <c r="AH760" s="257"/>
      <c r="AI760" s="225"/>
      <c r="AJ760" s="267"/>
      <c r="AK760" s="259"/>
      <c r="AL760" s="226"/>
      <c r="AM760" s="225"/>
      <c r="AN760" s="225"/>
      <c r="AO760" s="254"/>
      <c r="AP760" s="225"/>
      <c r="AQ760" s="225"/>
      <c r="AR760" s="226"/>
      <c r="AS760" s="225"/>
      <c r="AT760" s="225"/>
      <c r="AU760" s="225"/>
      <c r="AV760" s="225"/>
      <c r="AW760" s="225"/>
      <c r="AX760" s="226"/>
      <c r="AY760" s="225"/>
      <c r="AZ760" s="225"/>
      <c r="BA760" s="226"/>
      <c r="BB760" s="225"/>
      <c r="BC760" s="225"/>
      <c r="BD760" s="225"/>
      <c r="BE760" s="225"/>
      <c r="BF760" s="225"/>
      <c r="BG760" s="225"/>
      <c r="BH760" s="225"/>
      <c r="BI760" s="225"/>
      <c r="BJ760" s="225"/>
      <c r="BK760" s="225"/>
      <c r="BL760" s="225"/>
      <c r="BM760" s="225"/>
      <c r="BN760" s="225"/>
      <c r="BO760" s="225"/>
      <c r="BP760" s="225"/>
      <c r="BQ760" s="225"/>
      <c r="BR760" s="225"/>
      <c r="BS760" s="225"/>
      <c r="BT760" s="226"/>
      <c r="BU760" s="225"/>
      <c r="BV760" s="225"/>
      <c r="BW760" s="225"/>
      <c r="BX760" s="225"/>
      <c r="BY760" s="225"/>
      <c r="BZ760" s="225"/>
    </row>
    <row r="761">
      <c r="A761" s="284"/>
      <c r="B761" s="225"/>
      <c r="C761" s="225"/>
      <c r="D761" s="226"/>
      <c r="E761" s="225"/>
      <c r="F761" s="225"/>
      <c r="G761" s="225"/>
      <c r="H761" s="225"/>
      <c r="I761" s="225"/>
      <c r="J761" s="225"/>
      <c r="K761" s="244"/>
      <c r="L761" s="225"/>
      <c r="M761" s="225"/>
      <c r="N761" s="225"/>
      <c r="O761" s="225"/>
      <c r="P761" s="225"/>
      <c r="Q761" s="227"/>
      <c r="R761" s="234"/>
      <c r="S761" s="225"/>
      <c r="T761" s="225"/>
      <c r="U761" s="225"/>
      <c r="V761" s="225"/>
      <c r="W761" s="225"/>
      <c r="X761" s="225"/>
      <c r="Y761" s="229"/>
      <c r="Z761" s="257"/>
      <c r="AA761" s="225"/>
      <c r="AB761" s="257"/>
      <c r="AC761" s="257"/>
      <c r="AD761" s="226"/>
      <c r="AE761" s="259"/>
      <c r="AF761" s="347"/>
      <c r="AG761" s="232"/>
      <c r="AH761" s="257"/>
      <c r="AI761" s="225"/>
      <c r="AJ761" s="267"/>
      <c r="AK761" s="259"/>
      <c r="AL761" s="226"/>
      <c r="AM761" s="225"/>
      <c r="AN761" s="225"/>
      <c r="AO761" s="254"/>
      <c r="AP761" s="225"/>
      <c r="AQ761" s="225"/>
      <c r="AR761" s="226"/>
      <c r="AS761" s="225"/>
      <c r="AT761" s="225"/>
      <c r="AU761" s="225"/>
      <c r="AV761" s="225"/>
      <c r="AW761" s="225"/>
      <c r="AX761" s="226"/>
      <c r="AY761" s="225"/>
      <c r="AZ761" s="225"/>
      <c r="BA761" s="226"/>
      <c r="BB761" s="225"/>
      <c r="BC761" s="225"/>
      <c r="BD761" s="225"/>
      <c r="BE761" s="225"/>
      <c r="BF761" s="225"/>
      <c r="BG761" s="225"/>
      <c r="BH761" s="225"/>
      <c r="BI761" s="225"/>
      <c r="BJ761" s="225"/>
      <c r="BK761" s="225"/>
      <c r="BL761" s="225"/>
      <c r="BM761" s="225"/>
      <c r="BN761" s="225"/>
      <c r="BO761" s="225"/>
      <c r="BP761" s="225"/>
      <c r="BQ761" s="225"/>
      <c r="BR761" s="225"/>
      <c r="BS761" s="225"/>
      <c r="BT761" s="226"/>
      <c r="BU761" s="225"/>
      <c r="BV761" s="225"/>
      <c r="BW761" s="225"/>
      <c r="BX761" s="225"/>
      <c r="BY761" s="225"/>
      <c r="BZ761" s="225"/>
    </row>
    <row r="762">
      <c r="A762" s="284"/>
      <c r="B762" s="225"/>
      <c r="C762" s="225"/>
      <c r="D762" s="226"/>
      <c r="E762" s="225"/>
      <c r="F762" s="225"/>
      <c r="G762" s="225"/>
      <c r="H762" s="225"/>
      <c r="I762" s="225"/>
      <c r="J762" s="225"/>
      <c r="K762" s="244"/>
      <c r="L762" s="225"/>
      <c r="M762" s="225"/>
      <c r="N762" s="225"/>
      <c r="O762" s="225"/>
      <c r="P762" s="225"/>
      <c r="Q762" s="227"/>
      <c r="R762" s="234"/>
      <c r="S762" s="225"/>
      <c r="T762" s="225"/>
      <c r="U762" s="225"/>
      <c r="V762" s="225"/>
      <c r="W762" s="225"/>
      <c r="X762" s="225"/>
      <c r="Y762" s="229"/>
      <c r="Z762" s="257"/>
      <c r="AA762" s="225"/>
      <c r="AB762" s="257"/>
      <c r="AC762" s="257"/>
      <c r="AD762" s="226"/>
      <c r="AE762" s="259"/>
      <c r="AF762" s="347"/>
      <c r="AG762" s="232"/>
      <c r="AH762" s="257"/>
      <c r="AI762" s="225"/>
      <c r="AJ762" s="267"/>
      <c r="AK762" s="259"/>
      <c r="AL762" s="226"/>
      <c r="AM762" s="225"/>
      <c r="AN762" s="225"/>
      <c r="AO762" s="254"/>
      <c r="AP762" s="225"/>
      <c r="AQ762" s="225"/>
      <c r="AR762" s="226"/>
      <c r="AS762" s="225"/>
      <c r="AT762" s="225"/>
      <c r="AU762" s="225"/>
      <c r="AV762" s="225"/>
      <c r="AW762" s="225"/>
      <c r="AX762" s="226"/>
      <c r="AY762" s="225"/>
      <c r="AZ762" s="225"/>
      <c r="BA762" s="226"/>
      <c r="BB762" s="225"/>
      <c r="BC762" s="225"/>
      <c r="BD762" s="225"/>
      <c r="BE762" s="225"/>
      <c r="BF762" s="225"/>
      <c r="BG762" s="225"/>
      <c r="BH762" s="225"/>
      <c r="BI762" s="225"/>
      <c r="BJ762" s="225"/>
      <c r="BK762" s="225"/>
      <c r="BL762" s="225"/>
      <c r="BM762" s="225"/>
      <c r="BN762" s="225"/>
      <c r="BO762" s="225"/>
      <c r="BP762" s="225"/>
      <c r="BQ762" s="225"/>
      <c r="BR762" s="225"/>
      <c r="BS762" s="225"/>
      <c r="BT762" s="226"/>
      <c r="BU762" s="225"/>
      <c r="BV762" s="225"/>
      <c r="BW762" s="225"/>
      <c r="BX762" s="225"/>
      <c r="BY762" s="225"/>
      <c r="BZ762" s="225"/>
    </row>
    <row r="763">
      <c r="A763" s="284"/>
      <c r="B763" s="225"/>
      <c r="C763" s="225"/>
      <c r="D763" s="226"/>
      <c r="E763" s="225"/>
      <c r="F763" s="225"/>
      <c r="G763" s="225"/>
      <c r="H763" s="225"/>
      <c r="I763" s="225"/>
      <c r="J763" s="225"/>
      <c r="K763" s="244"/>
      <c r="L763" s="225"/>
      <c r="M763" s="225"/>
      <c r="N763" s="225"/>
      <c r="O763" s="225"/>
      <c r="P763" s="225"/>
      <c r="Q763" s="227"/>
      <c r="R763" s="234"/>
      <c r="S763" s="225"/>
      <c r="T763" s="225"/>
      <c r="U763" s="225"/>
      <c r="V763" s="225"/>
      <c r="W763" s="225"/>
      <c r="X763" s="225"/>
      <c r="Y763" s="229"/>
      <c r="Z763" s="257"/>
      <c r="AA763" s="225"/>
      <c r="AB763" s="257"/>
      <c r="AC763" s="257"/>
      <c r="AD763" s="226"/>
      <c r="AE763" s="259"/>
      <c r="AF763" s="347"/>
      <c r="AG763" s="232"/>
      <c r="AH763" s="257"/>
      <c r="AI763" s="225"/>
      <c r="AJ763" s="267"/>
      <c r="AK763" s="259"/>
      <c r="AL763" s="226"/>
      <c r="AM763" s="225"/>
      <c r="AN763" s="225"/>
      <c r="AO763" s="254"/>
      <c r="AP763" s="225"/>
      <c r="AQ763" s="225"/>
      <c r="AR763" s="226"/>
      <c r="AS763" s="225"/>
      <c r="AT763" s="225"/>
      <c r="AU763" s="225"/>
      <c r="AV763" s="225"/>
      <c r="AW763" s="225"/>
      <c r="AX763" s="226"/>
      <c r="AY763" s="225"/>
      <c r="AZ763" s="225"/>
      <c r="BA763" s="226"/>
      <c r="BB763" s="225"/>
      <c r="BC763" s="225"/>
      <c r="BD763" s="225"/>
      <c r="BE763" s="225"/>
      <c r="BF763" s="225"/>
      <c r="BG763" s="225"/>
      <c r="BH763" s="225"/>
      <c r="BI763" s="225"/>
      <c r="BJ763" s="225"/>
      <c r="BK763" s="225"/>
      <c r="BL763" s="225"/>
      <c r="BM763" s="225"/>
      <c r="BN763" s="225"/>
      <c r="BO763" s="225"/>
      <c r="BP763" s="225"/>
      <c r="BQ763" s="225"/>
      <c r="BR763" s="225"/>
      <c r="BS763" s="225"/>
      <c r="BT763" s="226"/>
      <c r="BU763" s="225"/>
      <c r="BV763" s="225"/>
      <c r="BW763" s="225"/>
      <c r="BX763" s="225"/>
      <c r="BY763" s="225"/>
      <c r="BZ763" s="225"/>
    </row>
    <row r="764">
      <c r="A764" s="284"/>
      <c r="B764" s="225"/>
      <c r="C764" s="225"/>
      <c r="D764" s="226"/>
      <c r="E764" s="225"/>
      <c r="F764" s="225"/>
      <c r="G764" s="225"/>
      <c r="H764" s="225"/>
      <c r="I764" s="225"/>
      <c r="J764" s="225"/>
      <c r="K764" s="244"/>
      <c r="L764" s="225"/>
      <c r="M764" s="225"/>
      <c r="N764" s="225"/>
      <c r="O764" s="225"/>
      <c r="P764" s="225"/>
      <c r="Q764" s="227"/>
      <c r="R764" s="234"/>
      <c r="S764" s="225"/>
      <c r="T764" s="225"/>
      <c r="U764" s="225"/>
      <c r="V764" s="225"/>
      <c r="W764" s="225"/>
      <c r="X764" s="225"/>
      <c r="Y764" s="229"/>
      <c r="Z764" s="257"/>
      <c r="AA764" s="225"/>
      <c r="AB764" s="257"/>
      <c r="AC764" s="257"/>
      <c r="AD764" s="226"/>
      <c r="AE764" s="259"/>
      <c r="AF764" s="347"/>
      <c r="AG764" s="232"/>
      <c r="AH764" s="257"/>
      <c r="AI764" s="225"/>
      <c r="AJ764" s="267"/>
      <c r="AK764" s="259"/>
      <c r="AL764" s="226"/>
      <c r="AM764" s="225"/>
      <c r="AN764" s="225"/>
      <c r="AO764" s="254"/>
      <c r="AP764" s="225"/>
      <c r="AQ764" s="225"/>
      <c r="AR764" s="226"/>
      <c r="AS764" s="225"/>
      <c r="AT764" s="225"/>
      <c r="AU764" s="225"/>
      <c r="AV764" s="225"/>
      <c r="AW764" s="225"/>
      <c r="AX764" s="226"/>
      <c r="AY764" s="225"/>
      <c r="AZ764" s="225"/>
      <c r="BA764" s="226"/>
      <c r="BB764" s="225"/>
      <c r="BC764" s="225"/>
      <c r="BD764" s="225"/>
      <c r="BE764" s="225"/>
      <c r="BF764" s="225"/>
      <c r="BG764" s="225"/>
      <c r="BH764" s="225"/>
      <c r="BI764" s="225"/>
      <c r="BJ764" s="225"/>
      <c r="BK764" s="225"/>
      <c r="BL764" s="225"/>
      <c r="BM764" s="225"/>
      <c r="BN764" s="225"/>
      <c r="BO764" s="225"/>
      <c r="BP764" s="225"/>
      <c r="BQ764" s="225"/>
      <c r="BR764" s="225"/>
      <c r="BS764" s="225"/>
      <c r="BT764" s="226"/>
      <c r="BU764" s="225"/>
      <c r="BV764" s="225"/>
      <c r="BW764" s="225"/>
      <c r="BX764" s="225"/>
      <c r="BY764" s="225"/>
      <c r="BZ764" s="225"/>
    </row>
    <row r="765">
      <c r="A765" s="284"/>
      <c r="B765" s="225"/>
      <c r="C765" s="225"/>
      <c r="D765" s="226"/>
      <c r="E765" s="225"/>
      <c r="F765" s="225"/>
      <c r="G765" s="225"/>
      <c r="H765" s="225"/>
      <c r="I765" s="225"/>
      <c r="J765" s="225"/>
      <c r="K765" s="244"/>
      <c r="L765" s="225"/>
      <c r="M765" s="225"/>
      <c r="N765" s="225"/>
      <c r="O765" s="225"/>
      <c r="P765" s="225"/>
      <c r="Q765" s="227"/>
      <c r="R765" s="234"/>
      <c r="S765" s="225"/>
      <c r="T765" s="225"/>
      <c r="U765" s="225"/>
      <c r="V765" s="225"/>
      <c r="W765" s="225"/>
      <c r="X765" s="225"/>
      <c r="Y765" s="229"/>
      <c r="Z765" s="257"/>
      <c r="AA765" s="225"/>
      <c r="AB765" s="257"/>
      <c r="AC765" s="257"/>
      <c r="AD765" s="226"/>
      <c r="AE765" s="259"/>
      <c r="AF765" s="347"/>
      <c r="AG765" s="232"/>
      <c r="AH765" s="257"/>
      <c r="AI765" s="225"/>
      <c r="AJ765" s="267"/>
      <c r="AK765" s="259"/>
      <c r="AL765" s="226"/>
      <c r="AM765" s="225"/>
      <c r="AN765" s="225"/>
      <c r="AO765" s="254"/>
      <c r="AP765" s="225"/>
      <c r="AQ765" s="225"/>
      <c r="AR765" s="226"/>
      <c r="AS765" s="225"/>
      <c r="AT765" s="225"/>
      <c r="AU765" s="225"/>
      <c r="AV765" s="225"/>
      <c r="AW765" s="225"/>
      <c r="AX765" s="226"/>
      <c r="AY765" s="225"/>
      <c r="AZ765" s="225"/>
      <c r="BA765" s="226"/>
      <c r="BB765" s="225"/>
      <c r="BC765" s="225"/>
      <c r="BD765" s="225"/>
      <c r="BE765" s="225"/>
      <c r="BF765" s="225"/>
      <c r="BG765" s="225"/>
      <c r="BH765" s="225"/>
      <c r="BI765" s="225"/>
      <c r="BJ765" s="225"/>
      <c r="BK765" s="225"/>
      <c r="BL765" s="225"/>
      <c r="BM765" s="225"/>
      <c r="BN765" s="225"/>
      <c r="BO765" s="225"/>
      <c r="BP765" s="225"/>
      <c r="BQ765" s="225"/>
      <c r="BR765" s="225"/>
      <c r="BS765" s="225"/>
      <c r="BT765" s="226"/>
      <c r="BU765" s="225"/>
      <c r="BV765" s="225"/>
      <c r="BW765" s="225"/>
      <c r="BX765" s="225"/>
      <c r="BY765" s="225"/>
      <c r="BZ765" s="225"/>
    </row>
    <row r="766">
      <c r="A766" s="284"/>
      <c r="B766" s="225"/>
      <c r="C766" s="225"/>
      <c r="D766" s="226"/>
      <c r="E766" s="225"/>
      <c r="F766" s="225"/>
      <c r="G766" s="225"/>
      <c r="H766" s="225"/>
      <c r="I766" s="225"/>
      <c r="J766" s="225"/>
      <c r="K766" s="244"/>
      <c r="L766" s="225"/>
      <c r="M766" s="225"/>
      <c r="N766" s="225"/>
      <c r="O766" s="225"/>
      <c r="P766" s="225"/>
      <c r="Q766" s="227"/>
      <c r="R766" s="234"/>
      <c r="S766" s="225"/>
      <c r="T766" s="225"/>
      <c r="U766" s="225"/>
      <c r="V766" s="225"/>
      <c r="W766" s="225"/>
      <c r="X766" s="225"/>
      <c r="Y766" s="229"/>
      <c r="Z766" s="257"/>
      <c r="AA766" s="225"/>
      <c r="AB766" s="257"/>
      <c r="AC766" s="257"/>
      <c r="AD766" s="226"/>
      <c r="AE766" s="259"/>
      <c r="AF766" s="347"/>
      <c r="AG766" s="232"/>
      <c r="AH766" s="257"/>
      <c r="AI766" s="225"/>
      <c r="AJ766" s="267"/>
      <c r="AK766" s="259"/>
      <c r="AL766" s="226"/>
      <c r="AM766" s="225"/>
      <c r="AN766" s="225"/>
      <c r="AO766" s="254"/>
      <c r="AP766" s="225"/>
      <c r="AQ766" s="225"/>
      <c r="AR766" s="226"/>
      <c r="AS766" s="225"/>
      <c r="AT766" s="225"/>
      <c r="AU766" s="225"/>
      <c r="AV766" s="225"/>
      <c r="AW766" s="225"/>
      <c r="AX766" s="226"/>
      <c r="AY766" s="225"/>
      <c r="AZ766" s="225"/>
      <c r="BA766" s="226"/>
      <c r="BB766" s="225"/>
      <c r="BC766" s="225"/>
      <c r="BD766" s="225"/>
      <c r="BE766" s="225"/>
      <c r="BF766" s="225"/>
      <c r="BG766" s="225"/>
      <c r="BH766" s="225"/>
      <c r="BI766" s="225"/>
      <c r="BJ766" s="225"/>
      <c r="BK766" s="225"/>
      <c r="BL766" s="225"/>
      <c r="BM766" s="225"/>
      <c r="BN766" s="225"/>
      <c r="BO766" s="225"/>
      <c r="BP766" s="225"/>
      <c r="BQ766" s="225"/>
      <c r="BR766" s="225"/>
      <c r="BS766" s="225"/>
      <c r="BT766" s="226"/>
      <c r="BU766" s="225"/>
      <c r="BV766" s="225"/>
      <c r="BW766" s="225"/>
      <c r="BX766" s="225"/>
      <c r="BY766" s="225"/>
      <c r="BZ766" s="225"/>
    </row>
    <row r="767">
      <c r="A767" s="284"/>
      <c r="B767" s="225"/>
      <c r="C767" s="225"/>
      <c r="D767" s="226"/>
      <c r="E767" s="225"/>
      <c r="F767" s="225"/>
      <c r="G767" s="225"/>
      <c r="H767" s="225"/>
      <c r="I767" s="225"/>
      <c r="J767" s="225"/>
      <c r="K767" s="244"/>
      <c r="L767" s="225"/>
      <c r="M767" s="225"/>
      <c r="N767" s="225"/>
      <c r="O767" s="225"/>
      <c r="P767" s="225"/>
      <c r="Q767" s="227"/>
      <c r="R767" s="234"/>
      <c r="S767" s="225"/>
      <c r="T767" s="225"/>
      <c r="U767" s="225"/>
      <c r="V767" s="225"/>
      <c r="W767" s="225"/>
      <c r="X767" s="225"/>
      <c r="Y767" s="229"/>
      <c r="Z767" s="257"/>
      <c r="AA767" s="225"/>
      <c r="AB767" s="257"/>
      <c r="AC767" s="257"/>
      <c r="AD767" s="226"/>
      <c r="AE767" s="259"/>
      <c r="AF767" s="347"/>
      <c r="AG767" s="232"/>
      <c r="AH767" s="257"/>
      <c r="AI767" s="225"/>
      <c r="AJ767" s="267"/>
      <c r="AK767" s="259"/>
      <c r="AL767" s="226"/>
      <c r="AM767" s="225"/>
      <c r="AN767" s="225"/>
      <c r="AO767" s="254"/>
      <c r="AP767" s="225"/>
      <c r="AQ767" s="225"/>
      <c r="AR767" s="226"/>
      <c r="AS767" s="225"/>
      <c r="AT767" s="225"/>
      <c r="AU767" s="225"/>
      <c r="AV767" s="225"/>
      <c r="AW767" s="225"/>
      <c r="AX767" s="226"/>
      <c r="AY767" s="225"/>
      <c r="AZ767" s="225"/>
      <c r="BA767" s="226"/>
      <c r="BB767" s="225"/>
      <c r="BC767" s="225"/>
      <c r="BD767" s="225"/>
      <c r="BE767" s="225"/>
      <c r="BF767" s="225"/>
      <c r="BG767" s="225"/>
      <c r="BH767" s="225"/>
      <c r="BI767" s="225"/>
      <c r="BJ767" s="225"/>
      <c r="BK767" s="225"/>
      <c r="BL767" s="225"/>
      <c r="BM767" s="225"/>
      <c r="BN767" s="225"/>
      <c r="BO767" s="225"/>
      <c r="BP767" s="225"/>
      <c r="BQ767" s="225"/>
      <c r="BR767" s="225"/>
      <c r="BS767" s="225"/>
      <c r="BT767" s="226"/>
      <c r="BU767" s="225"/>
      <c r="BV767" s="225"/>
      <c r="BW767" s="225"/>
      <c r="BX767" s="225"/>
      <c r="BY767" s="225"/>
      <c r="BZ767" s="225"/>
    </row>
    <row r="768">
      <c r="A768" s="284"/>
      <c r="B768" s="225"/>
      <c r="C768" s="225"/>
      <c r="D768" s="226"/>
      <c r="E768" s="225"/>
      <c r="F768" s="225"/>
      <c r="G768" s="225"/>
      <c r="H768" s="225"/>
      <c r="I768" s="225"/>
      <c r="J768" s="225"/>
      <c r="K768" s="244"/>
      <c r="L768" s="225"/>
      <c r="M768" s="225"/>
      <c r="N768" s="225"/>
      <c r="O768" s="225"/>
      <c r="P768" s="225"/>
      <c r="Q768" s="227"/>
      <c r="R768" s="234"/>
      <c r="S768" s="225"/>
      <c r="T768" s="225"/>
      <c r="U768" s="225"/>
      <c r="V768" s="225"/>
      <c r="W768" s="225"/>
      <c r="X768" s="225"/>
      <c r="Y768" s="229"/>
      <c r="Z768" s="257"/>
      <c r="AA768" s="225"/>
      <c r="AB768" s="257"/>
      <c r="AC768" s="257"/>
      <c r="AD768" s="226"/>
      <c r="AE768" s="259"/>
      <c r="AF768" s="347"/>
      <c r="AG768" s="232"/>
      <c r="AH768" s="257"/>
      <c r="AI768" s="225"/>
      <c r="AJ768" s="267"/>
      <c r="AK768" s="259"/>
      <c r="AL768" s="226"/>
      <c r="AM768" s="225"/>
      <c r="AN768" s="225"/>
      <c r="AO768" s="254"/>
      <c r="AP768" s="225"/>
      <c r="AQ768" s="225"/>
      <c r="AR768" s="226"/>
      <c r="AS768" s="225"/>
      <c r="AT768" s="225"/>
      <c r="AU768" s="225"/>
      <c r="AV768" s="225"/>
      <c r="AW768" s="225"/>
      <c r="AX768" s="226"/>
      <c r="AY768" s="225"/>
      <c r="AZ768" s="225"/>
      <c r="BA768" s="226"/>
      <c r="BB768" s="225"/>
      <c r="BC768" s="225"/>
      <c r="BD768" s="225"/>
      <c r="BE768" s="225"/>
      <c r="BF768" s="225"/>
      <c r="BG768" s="225"/>
      <c r="BH768" s="225"/>
      <c r="BI768" s="225"/>
      <c r="BJ768" s="225"/>
      <c r="BK768" s="225"/>
      <c r="BL768" s="225"/>
      <c r="BM768" s="225"/>
      <c r="BN768" s="225"/>
      <c r="BO768" s="225"/>
      <c r="BP768" s="225"/>
      <c r="BQ768" s="225"/>
      <c r="BR768" s="225"/>
      <c r="BS768" s="225"/>
      <c r="BT768" s="226"/>
      <c r="BU768" s="225"/>
      <c r="BV768" s="225"/>
      <c r="BW768" s="225"/>
      <c r="BX768" s="225"/>
      <c r="BY768" s="225"/>
      <c r="BZ768" s="225"/>
    </row>
    <row r="769">
      <c r="A769" s="284"/>
      <c r="B769" s="225"/>
      <c r="C769" s="225"/>
      <c r="D769" s="226"/>
      <c r="E769" s="225"/>
      <c r="F769" s="225"/>
      <c r="G769" s="225"/>
      <c r="H769" s="225"/>
      <c r="I769" s="225"/>
      <c r="J769" s="225"/>
      <c r="K769" s="244"/>
      <c r="L769" s="225"/>
      <c r="M769" s="225"/>
      <c r="N769" s="225"/>
      <c r="O769" s="225"/>
      <c r="P769" s="225"/>
      <c r="Q769" s="227"/>
      <c r="R769" s="234"/>
      <c r="S769" s="225"/>
      <c r="T769" s="225"/>
      <c r="U769" s="225"/>
      <c r="V769" s="225"/>
      <c r="W769" s="225"/>
      <c r="X769" s="225"/>
      <c r="Y769" s="229"/>
      <c r="Z769" s="257"/>
      <c r="AA769" s="225"/>
      <c r="AB769" s="257"/>
      <c r="AC769" s="257"/>
      <c r="AD769" s="226"/>
      <c r="AE769" s="259"/>
      <c r="AF769" s="347"/>
      <c r="AG769" s="232"/>
      <c r="AH769" s="257"/>
      <c r="AI769" s="225"/>
      <c r="AJ769" s="267"/>
      <c r="AK769" s="259"/>
      <c r="AL769" s="226"/>
      <c r="AM769" s="225"/>
      <c r="AN769" s="225"/>
      <c r="AO769" s="254"/>
      <c r="AP769" s="225"/>
      <c r="AQ769" s="225"/>
      <c r="AR769" s="226"/>
      <c r="AS769" s="225"/>
      <c r="AT769" s="225"/>
      <c r="AU769" s="225"/>
      <c r="AV769" s="225"/>
      <c r="AW769" s="225"/>
      <c r="AX769" s="226"/>
      <c r="AY769" s="225"/>
      <c r="AZ769" s="225"/>
      <c r="BA769" s="226"/>
      <c r="BB769" s="225"/>
      <c r="BC769" s="225"/>
      <c r="BD769" s="225"/>
      <c r="BE769" s="225"/>
      <c r="BF769" s="225"/>
      <c r="BG769" s="225"/>
      <c r="BH769" s="225"/>
      <c r="BI769" s="225"/>
      <c r="BJ769" s="225"/>
      <c r="BK769" s="225"/>
      <c r="BL769" s="225"/>
      <c r="BM769" s="225"/>
      <c r="BN769" s="225"/>
      <c r="BO769" s="225"/>
      <c r="BP769" s="225"/>
      <c r="BQ769" s="225"/>
      <c r="BR769" s="225"/>
      <c r="BS769" s="225"/>
      <c r="BT769" s="226"/>
      <c r="BU769" s="225"/>
      <c r="BV769" s="225"/>
      <c r="BW769" s="225"/>
      <c r="BX769" s="225"/>
      <c r="BY769" s="225"/>
      <c r="BZ769" s="225"/>
    </row>
    <row r="770">
      <c r="A770" s="284"/>
      <c r="B770" s="225"/>
      <c r="C770" s="225"/>
      <c r="D770" s="226"/>
      <c r="E770" s="225"/>
      <c r="F770" s="225"/>
      <c r="G770" s="225"/>
      <c r="H770" s="225"/>
      <c r="I770" s="225"/>
      <c r="J770" s="225"/>
      <c r="K770" s="244"/>
      <c r="L770" s="225"/>
      <c r="M770" s="225"/>
      <c r="N770" s="225"/>
      <c r="O770" s="225"/>
      <c r="P770" s="225"/>
      <c r="Q770" s="227"/>
      <c r="R770" s="234"/>
      <c r="S770" s="225"/>
      <c r="T770" s="225"/>
      <c r="U770" s="225"/>
      <c r="V770" s="225"/>
      <c r="W770" s="225"/>
      <c r="X770" s="225"/>
      <c r="Y770" s="229"/>
      <c r="Z770" s="257"/>
      <c r="AA770" s="225"/>
      <c r="AB770" s="257"/>
      <c r="AC770" s="257"/>
      <c r="AD770" s="226"/>
      <c r="AE770" s="259"/>
      <c r="AF770" s="347"/>
      <c r="AG770" s="232"/>
      <c r="AH770" s="257"/>
      <c r="AI770" s="225"/>
      <c r="AJ770" s="267"/>
      <c r="AK770" s="259"/>
      <c r="AL770" s="226"/>
      <c r="AM770" s="225"/>
      <c r="AN770" s="225"/>
      <c r="AO770" s="254"/>
      <c r="AP770" s="225"/>
      <c r="AQ770" s="225"/>
      <c r="AR770" s="226"/>
      <c r="AS770" s="225"/>
      <c r="AT770" s="225"/>
      <c r="AU770" s="225"/>
      <c r="AV770" s="225"/>
      <c r="AW770" s="225"/>
      <c r="AX770" s="226"/>
      <c r="AY770" s="225"/>
      <c r="AZ770" s="225"/>
      <c r="BA770" s="226"/>
      <c r="BB770" s="225"/>
      <c r="BC770" s="225"/>
      <c r="BD770" s="225"/>
      <c r="BE770" s="225"/>
      <c r="BF770" s="225"/>
      <c r="BG770" s="225"/>
      <c r="BH770" s="225"/>
      <c r="BI770" s="225"/>
      <c r="BJ770" s="225"/>
      <c r="BK770" s="225"/>
      <c r="BL770" s="225"/>
      <c r="BM770" s="225"/>
      <c r="BN770" s="225"/>
      <c r="BO770" s="225"/>
      <c r="BP770" s="225"/>
      <c r="BQ770" s="225"/>
      <c r="BR770" s="225"/>
      <c r="BS770" s="225"/>
      <c r="BT770" s="226"/>
      <c r="BU770" s="225"/>
      <c r="BV770" s="225"/>
      <c r="BW770" s="225"/>
      <c r="BX770" s="225"/>
      <c r="BY770" s="225"/>
      <c r="BZ770" s="225"/>
    </row>
    <row r="771">
      <c r="A771" s="284"/>
      <c r="B771" s="225"/>
      <c r="C771" s="225"/>
      <c r="D771" s="226"/>
      <c r="E771" s="225"/>
      <c r="F771" s="225"/>
      <c r="G771" s="225"/>
      <c r="H771" s="225"/>
      <c r="I771" s="225"/>
      <c r="J771" s="225"/>
      <c r="K771" s="244"/>
      <c r="L771" s="225"/>
      <c r="M771" s="225"/>
      <c r="N771" s="225"/>
      <c r="O771" s="225"/>
      <c r="P771" s="225"/>
      <c r="Q771" s="227"/>
      <c r="R771" s="234"/>
      <c r="S771" s="225"/>
      <c r="T771" s="225"/>
      <c r="U771" s="225"/>
      <c r="V771" s="225"/>
      <c r="W771" s="225"/>
      <c r="X771" s="225"/>
      <c r="Y771" s="229"/>
      <c r="Z771" s="257"/>
      <c r="AA771" s="225"/>
      <c r="AB771" s="257"/>
      <c r="AC771" s="257"/>
      <c r="AD771" s="226"/>
      <c r="AE771" s="259"/>
      <c r="AF771" s="347"/>
      <c r="AG771" s="232"/>
      <c r="AH771" s="257"/>
      <c r="AI771" s="225"/>
      <c r="AJ771" s="267"/>
      <c r="AK771" s="259"/>
      <c r="AL771" s="226"/>
      <c r="AM771" s="225"/>
      <c r="AN771" s="225"/>
      <c r="AO771" s="254"/>
      <c r="AP771" s="225"/>
      <c r="AQ771" s="225"/>
      <c r="AR771" s="226"/>
      <c r="AS771" s="225"/>
      <c r="AT771" s="225"/>
      <c r="AU771" s="225"/>
      <c r="AV771" s="225"/>
      <c r="AW771" s="225"/>
      <c r="AX771" s="226"/>
      <c r="AY771" s="225"/>
      <c r="AZ771" s="225"/>
      <c r="BA771" s="226"/>
      <c r="BB771" s="225"/>
      <c r="BC771" s="225"/>
      <c r="BD771" s="225"/>
      <c r="BE771" s="225"/>
      <c r="BF771" s="225"/>
      <c r="BG771" s="225"/>
      <c r="BH771" s="225"/>
      <c r="BI771" s="225"/>
      <c r="BJ771" s="225"/>
      <c r="BK771" s="225"/>
      <c r="BL771" s="225"/>
      <c r="BM771" s="225"/>
      <c r="BN771" s="225"/>
      <c r="BO771" s="225"/>
      <c r="BP771" s="225"/>
      <c r="BQ771" s="225"/>
      <c r="BR771" s="225"/>
      <c r="BS771" s="225"/>
      <c r="BT771" s="226"/>
      <c r="BU771" s="225"/>
      <c r="BV771" s="225"/>
      <c r="BW771" s="225"/>
      <c r="BX771" s="225"/>
      <c r="BY771" s="225"/>
      <c r="BZ771" s="225"/>
    </row>
    <row r="772">
      <c r="A772" s="284"/>
      <c r="B772" s="225"/>
      <c r="C772" s="225"/>
      <c r="D772" s="226"/>
      <c r="E772" s="225"/>
      <c r="F772" s="225"/>
      <c r="G772" s="225"/>
      <c r="H772" s="225"/>
      <c r="I772" s="225"/>
      <c r="J772" s="225"/>
      <c r="K772" s="244"/>
      <c r="L772" s="225"/>
      <c r="M772" s="225"/>
      <c r="N772" s="225"/>
      <c r="O772" s="225"/>
      <c r="P772" s="225"/>
      <c r="Q772" s="227"/>
      <c r="R772" s="234"/>
      <c r="S772" s="225"/>
      <c r="T772" s="225"/>
      <c r="U772" s="225"/>
      <c r="V772" s="225"/>
      <c r="W772" s="225"/>
      <c r="X772" s="225"/>
      <c r="Y772" s="229"/>
      <c r="Z772" s="257"/>
      <c r="AA772" s="225"/>
      <c r="AB772" s="257"/>
      <c r="AC772" s="257"/>
      <c r="AD772" s="226"/>
      <c r="AE772" s="259"/>
      <c r="AF772" s="347"/>
      <c r="AG772" s="232"/>
      <c r="AH772" s="257"/>
      <c r="AI772" s="225"/>
      <c r="AJ772" s="267"/>
      <c r="AK772" s="259"/>
      <c r="AL772" s="226"/>
      <c r="AM772" s="225"/>
      <c r="AN772" s="225"/>
      <c r="AO772" s="254"/>
      <c r="AP772" s="225"/>
      <c r="AQ772" s="225"/>
      <c r="AR772" s="226"/>
      <c r="AS772" s="225"/>
      <c r="AT772" s="225"/>
      <c r="AU772" s="225"/>
      <c r="AV772" s="225"/>
      <c r="AW772" s="225"/>
      <c r="AX772" s="226"/>
      <c r="AY772" s="225"/>
      <c r="AZ772" s="225"/>
      <c r="BA772" s="226"/>
      <c r="BB772" s="225"/>
      <c r="BC772" s="225"/>
      <c r="BD772" s="225"/>
      <c r="BE772" s="225"/>
      <c r="BF772" s="225"/>
      <c r="BG772" s="225"/>
      <c r="BH772" s="225"/>
      <c r="BI772" s="225"/>
      <c r="BJ772" s="225"/>
      <c r="BK772" s="225"/>
      <c r="BL772" s="225"/>
      <c r="BM772" s="225"/>
      <c r="BN772" s="225"/>
      <c r="BO772" s="225"/>
      <c r="BP772" s="225"/>
      <c r="BQ772" s="225"/>
      <c r="BR772" s="225"/>
      <c r="BS772" s="225"/>
      <c r="BT772" s="226"/>
      <c r="BU772" s="225"/>
      <c r="BV772" s="225"/>
      <c r="BW772" s="225"/>
      <c r="BX772" s="225"/>
      <c r="BY772" s="225"/>
      <c r="BZ772" s="225"/>
    </row>
    <row r="773">
      <c r="A773" s="284"/>
      <c r="B773" s="225"/>
      <c r="C773" s="225"/>
      <c r="D773" s="226"/>
      <c r="E773" s="225"/>
      <c r="F773" s="225"/>
      <c r="G773" s="225"/>
      <c r="H773" s="225"/>
      <c r="I773" s="225"/>
      <c r="J773" s="225"/>
      <c r="K773" s="244"/>
      <c r="L773" s="225"/>
      <c r="M773" s="225"/>
      <c r="N773" s="225"/>
      <c r="O773" s="225"/>
      <c r="P773" s="225"/>
      <c r="Q773" s="227"/>
      <c r="R773" s="234"/>
      <c r="S773" s="225"/>
      <c r="T773" s="225"/>
      <c r="U773" s="225"/>
      <c r="V773" s="225"/>
      <c r="W773" s="225"/>
      <c r="X773" s="225"/>
      <c r="Y773" s="229"/>
      <c r="Z773" s="257"/>
      <c r="AA773" s="225"/>
      <c r="AB773" s="257"/>
      <c r="AC773" s="257"/>
      <c r="AD773" s="226"/>
      <c r="AE773" s="259"/>
      <c r="AF773" s="347"/>
      <c r="AG773" s="232"/>
      <c r="AH773" s="257"/>
      <c r="AI773" s="225"/>
      <c r="AJ773" s="267"/>
      <c r="AK773" s="259"/>
      <c r="AL773" s="226"/>
      <c r="AM773" s="225"/>
      <c r="AN773" s="225"/>
      <c r="AO773" s="254"/>
      <c r="AP773" s="225"/>
      <c r="AQ773" s="225"/>
      <c r="AR773" s="226"/>
      <c r="AS773" s="225"/>
      <c r="AT773" s="225"/>
      <c r="AU773" s="225"/>
      <c r="AV773" s="225"/>
      <c r="AW773" s="225"/>
      <c r="AX773" s="226"/>
      <c r="AY773" s="225"/>
      <c r="AZ773" s="225"/>
      <c r="BA773" s="226"/>
      <c r="BB773" s="225"/>
      <c r="BC773" s="225"/>
      <c r="BD773" s="225"/>
      <c r="BE773" s="225"/>
      <c r="BF773" s="225"/>
      <c r="BG773" s="225"/>
      <c r="BH773" s="225"/>
      <c r="BI773" s="225"/>
      <c r="BJ773" s="225"/>
      <c r="BK773" s="225"/>
      <c r="BL773" s="225"/>
      <c r="BM773" s="225"/>
      <c r="BN773" s="225"/>
      <c r="BO773" s="225"/>
      <c r="BP773" s="225"/>
      <c r="BQ773" s="225"/>
      <c r="BR773" s="225"/>
      <c r="BS773" s="225"/>
      <c r="BT773" s="226"/>
      <c r="BU773" s="225"/>
      <c r="BV773" s="225"/>
      <c r="BW773" s="225"/>
      <c r="BX773" s="225"/>
      <c r="BY773" s="225"/>
      <c r="BZ773" s="225"/>
    </row>
    <row r="774">
      <c r="A774" s="284"/>
      <c r="B774" s="225"/>
      <c r="C774" s="225"/>
      <c r="D774" s="226"/>
      <c r="E774" s="225"/>
      <c r="F774" s="225"/>
      <c r="G774" s="225"/>
      <c r="H774" s="225"/>
      <c r="I774" s="225"/>
      <c r="J774" s="225"/>
      <c r="K774" s="244"/>
      <c r="L774" s="225"/>
      <c r="M774" s="225"/>
      <c r="N774" s="225"/>
      <c r="O774" s="225"/>
      <c r="P774" s="225"/>
      <c r="Q774" s="227"/>
      <c r="R774" s="234"/>
      <c r="S774" s="225"/>
      <c r="T774" s="225"/>
      <c r="U774" s="225"/>
      <c r="V774" s="225"/>
      <c r="W774" s="225"/>
      <c r="X774" s="225"/>
      <c r="Y774" s="229"/>
      <c r="Z774" s="257"/>
      <c r="AA774" s="225"/>
      <c r="AB774" s="257"/>
      <c r="AC774" s="257"/>
      <c r="AD774" s="226"/>
      <c r="AE774" s="259"/>
      <c r="AF774" s="347"/>
      <c r="AG774" s="232"/>
      <c r="AH774" s="257"/>
      <c r="AI774" s="225"/>
      <c r="AJ774" s="267"/>
      <c r="AK774" s="259"/>
      <c r="AL774" s="226"/>
      <c r="AM774" s="225"/>
      <c r="AN774" s="225"/>
      <c r="AO774" s="254"/>
      <c r="AP774" s="225"/>
      <c r="AQ774" s="225"/>
      <c r="AR774" s="226"/>
      <c r="AS774" s="225"/>
      <c r="AT774" s="225"/>
      <c r="AU774" s="225"/>
      <c r="AV774" s="225"/>
      <c r="AW774" s="225"/>
      <c r="AX774" s="226"/>
      <c r="AY774" s="225"/>
      <c r="AZ774" s="225"/>
      <c r="BA774" s="226"/>
      <c r="BB774" s="225"/>
      <c r="BC774" s="225"/>
      <c r="BD774" s="225"/>
      <c r="BE774" s="225"/>
      <c r="BF774" s="225"/>
      <c r="BG774" s="225"/>
      <c r="BH774" s="225"/>
      <c r="BI774" s="225"/>
      <c r="BJ774" s="225"/>
      <c r="BK774" s="225"/>
      <c r="BL774" s="225"/>
      <c r="BM774" s="225"/>
      <c r="BN774" s="225"/>
      <c r="BO774" s="225"/>
      <c r="BP774" s="225"/>
      <c r="BQ774" s="225"/>
      <c r="BR774" s="225"/>
      <c r="BS774" s="225"/>
      <c r="BT774" s="226"/>
      <c r="BU774" s="225"/>
      <c r="BV774" s="225"/>
      <c r="BW774" s="225"/>
      <c r="BX774" s="225"/>
      <c r="BY774" s="225"/>
      <c r="BZ774" s="225"/>
    </row>
    <row r="775">
      <c r="A775" s="225"/>
      <c r="B775" s="225"/>
      <c r="C775" s="225"/>
      <c r="D775" s="226"/>
      <c r="E775" s="225"/>
      <c r="F775" s="225"/>
      <c r="G775" s="225"/>
      <c r="H775" s="225"/>
      <c r="I775" s="225"/>
      <c r="J775" s="225"/>
      <c r="K775" s="244"/>
      <c r="L775" s="225"/>
      <c r="M775" s="225"/>
      <c r="N775" s="225"/>
      <c r="O775" s="225"/>
      <c r="P775" s="225"/>
      <c r="Q775" s="227"/>
      <c r="R775" s="234"/>
      <c r="S775" s="225"/>
      <c r="T775" s="225"/>
      <c r="U775" s="225"/>
      <c r="V775" s="225"/>
      <c r="W775" s="225"/>
      <c r="X775" s="225"/>
      <c r="Y775" s="229"/>
      <c r="Z775" s="257"/>
      <c r="AA775" s="225"/>
      <c r="AB775" s="257"/>
      <c r="AC775" s="257"/>
      <c r="AD775" s="226"/>
      <c r="AE775" s="259"/>
      <c r="AF775" s="347"/>
      <c r="AG775" s="232"/>
      <c r="AH775" s="257"/>
      <c r="AI775" s="225"/>
      <c r="AJ775" s="267"/>
      <c r="AK775" s="259"/>
      <c r="AL775" s="226"/>
      <c r="AM775" s="225"/>
      <c r="AN775" s="225"/>
      <c r="AO775" s="254"/>
      <c r="AP775" s="225"/>
      <c r="AQ775" s="225"/>
      <c r="AR775" s="226"/>
      <c r="AS775" s="225"/>
      <c r="AT775" s="225"/>
      <c r="AU775" s="225"/>
      <c r="AV775" s="225"/>
      <c r="AW775" s="225"/>
      <c r="AX775" s="226"/>
      <c r="AY775" s="225"/>
      <c r="AZ775" s="225"/>
      <c r="BA775" s="226"/>
      <c r="BB775" s="225"/>
      <c r="BC775" s="225"/>
      <c r="BD775" s="225"/>
      <c r="BE775" s="225"/>
      <c r="BF775" s="225"/>
      <c r="BG775" s="225"/>
      <c r="BH775" s="225"/>
      <c r="BI775" s="225"/>
      <c r="BJ775" s="225"/>
      <c r="BK775" s="225"/>
      <c r="BL775" s="225"/>
      <c r="BM775" s="225"/>
      <c r="BN775" s="225"/>
      <c r="BO775" s="225"/>
      <c r="BP775" s="225"/>
      <c r="BQ775" s="225"/>
      <c r="BR775" s="225"/>
      <c r="BS775" s="225"/>
      <c r="BT775" s="226"/>
      <c r="BU775" s="225"/>
      <c r="BV775" s="225"/>
      <c r="BW775" s="225"/>
      <c r="BX775" s="225"/>
      <c r="BY775" s="225"/>
      <c r="BZ775" s="225"/>
    </row>
    <row r="776">
      <c r="A776" s="225"/>
      <c r="B776" s="225"/>
      <c r="C776" s="225"/>
      <c r="D776" s="226"/>
      <c r="E776" s="225"/>
      <c r="F776" s="225"/>
      <c r="G776" s="225"/>
      <c r="H776" s="225"/>
      <c r="I776" s="225"/>
      <c r="J776" s="225"/>
      <c r="K776" s="244"/>
      <c r="L776" s="225"/>
      <c r="M776" s="225"/>
      <c r="N776" s="225"/>
      <c r="O776" s="225"/>
      <c r="P776" s="225"/>
      <c r="Q776" s="227"/>
      <c r="R776" s="234"/>
      <c r="S776" s="225"/>
      <c r="T776" s="225"/>
      <c r="U776" s="225"/>
      <c r="V776" s="225"/>
      <c r="W776" s="225"/>
      <c r="X776" s="225"/>
      <c r="Y776" s="229"/>
      <c r="Z776" s="257"/>
      <c r="AA776" s="225"/>
      <c r="AB776" s="257"/>
      <c r="AC776" s="257"/>
      <c r="AD776" s="226"/>
      <c r="AE776" s="259"/>
      <c r="AF776" s="347"/>
      <c r="AG776" s="232"/>
      <c r="AH776" s="257"/>
      <c r="AI776" s="225"/>
      <c r="AJ776" s="267"/>
      <c r="AK776" s="259"/>
      <c r="AL776" s="226"/>
      <c r="AM776" s="225"/>
      <c r="AN776" s="225"/>
      <c r="AO776" s="254"/>
      <c r="AP776" s="225"/>
      <c r="AQ776" s="225"/>
      <c r="AR776" s="226"/>
      <c r="AS776" s="225"/>
      <c r="AT776" s="225"/>
      <c r="AU776" s="225"/>
      <c r="AV776" s="225"/>
      <c r="AW776" s="225"/>
      <c r="AX776" s="226"/>
      <c r="AY776" s="225"/>
      <c r="AZ776" s="225"/>
      <c r="BA776" s="226"/>
      <c r="BB776" s="225"/>
      <c r="BC776" s="225"/>
      <c r="BD776" s="225"/>
      <c r="BE776" s="225"/>
      <c r="BF776" s="225"/>
      <c r="BG776" s="225"/>
      <c r="BH776" s="225"/>
      <c r="BI776" s="225"/>
      <c r="BJ776" s="225"/>
      <c r="BK776" s="225"/>
      <c r="BL776" s="225"/>
      <c r="BM776" s="225"/>
      <c r="BN776" s="225"/>
      <c r="BO776" s="225"/>
      <c r="BP776" s="225"/>
      <c r="BQ776" s="225"/>
      <c r="BR776" s="225"/>
      <c r="BS776" s="225"/>
      <c r="BT776" s="226"/>
      <c r="BU776" s="225"/>
      <c r="BV776" s="225"/>
      <c r="BW776" s="225"/>
      <c r="BX776" s="225"/>
      <c r="BY776" s="225"/>
      <c r="BZ776" s="225"/>
    </row>
    <row r="777">
      <c r="A777" s="225"/>
      <c r="B777" s="225"/>
      <c r="C777" s="225"/>
      <c r="D777" s="226"/>
      <c r="E777" s="225"/>
      <c r="F777" s="225"/>
      <c r="G777" s="225"/>
      <c r="H777" s="225"/>
      <c r="I777" s="225"/>
      <c r="J777" s="225"/>
      <c r="K777" s="244"/>
      <c r="L777" s="225"/>
      <c r="M777" s="225"/>
      <c r="N777" s="225"/>
      <c r="O777" s="225"/>
      <c r="P777" s="225"/>
      <c r="Q777" s="227"/>
      <c r="R777" s="234"/>
      <c r="S777" s="225"/>
      <c r="T777" s="225"/>
      <c r="U777" s="225"/>
      <c r="V777" s="225"/>
      <c r="W777" s="225"/>
      <c r="X777" s="225"/>
      <c r="Y777" s="229"/>
      <c r="Z777" s="257"/>
      <c r="AA777" s="225"/>
      <c r="AB777" s="257"/>
      <c r="AC777" s="257"/>
      <c r="AD777" s="226"/>
      <c r="AE777" s="259"/>
      <c r="AF777" s="347"/>
      <c r="AG777" s="232"/>
      <c r="AH777" s="257"/>
      <c r="AI777" s="225"/>
      <c r="AJ777" s="267"/>
      <c r="AK777" s="259"/>
      <c r="AL777" s="226"/>
      <c r="AM777" s="225"/>
      <c r="AN777" s="225"/>
      <c r="AO777" s="254"/>
      <c r="AP777" s="225"/>
      <c r="AQ777" s="225"/>
      <c r="AR777" s="226"/>
      <c r="AS777" s="225"/>
      <c r="AT777" s="225"/>
      <c r="AU777" s="225"/>
      <c r="AV777" s="225"/>
      <c r="AW777" s="225"/>
      <c r="AX777" s="226"/>
      <c r="AY777" s="225"/>
      <c r="AZ777" s="225"/>
      <c r="BA777" s="226"/>
      <c r="BB777" s="225"/>
      <c r="BC777" s="225"/>
      <c r="BD777" s="225"/>
      <c r="BE777" s="225"/>
      <c r="BF777" s="225"/>
      <c r="BG777" s="225"/>
      <c r="BH777" s="225"/>
      <c r="BI777" s="225"/>
      <c r="BJ777" s="225"/>
      <c r="BK777" s="225"/>
      <c r="BL777" s="225"/>
      <c r="BM777" s="225"/>
      <c r="BN777" s="225"/>
      <c r="BO777" s="225"/>
      <c r="BP777" s="225"/>
      <c r="BQ777" s="225"/>
      <c r="BR777" s="225"/>
      <c r="BS777" s="225"/>
      <c r="BT777" s="226"/>
      <c r="BU777" s="225"/>
      <c r="BV777" s="225"/>
      <c r="BW777" s="225"/>
      <c r="BX777" s="225"/>
      <c r="BY777" s="225"/>
      <c r="BZ777" s="225"/>
    </row>
    <row r="778">
      <c r="A778" s="225"/>
      <c r="B778" s="225"/>
      <c r="C778" s="225"/>
      <c r="D778" s="226"/>
      <c r="E778" s="225"/>
      <c r="F778" s="225"/>
      <c r="G778" s="225"/>
      <c r="H778" s="225"/>
      <c r="I778" s="225"/>
      <c r="J778" s="225"/>
      <c r="K778" s="244"/>
      <c r="L778" s="225"/>
      <c r="M778" s="225"/>
      <c r="N778" s="225"/>
      <c r="O778" s="225"/>
      <c r="P778" s="225"/>
      <c r="Q778" s="227"/>
      <c r="R778" s="234"/>
      <c r="S778" s="225"/>
      <c r="T778" s="225"/>
      <c r="U778" s="225"/>
      <c r="V778" s="225"/>
      <c r="W778" s="225"/>
      <c r="X778" s="225"/>
      <c r="Y778" s="229"/>
      <c r="Z778" s="257"/>
      <c r="AA778" s="225"/>
      <c r="AB778" s="257"/>
      <c r="AC778" s="257"/>
      <c r="AD778" s="226"/>
      <c r="AE778" s="259"/>
      <c r="AF778" s="347"/>
      <c r="AG778" s="232"/>
      <c r="AH778" s="257"/>
      <c r="AI778" s="225"/>
      <c r="AJ778" s="267"/>
      <c r="AK778" s="259"/>
      <c r="AL778" s="226"/>
      <c r="AM778" s="225"/>
      <c r="AN778" s="225"/>
      <c r="AO778" s="254"/>
      <c r="AP778" s="225"/>
      <c r="AQ778" s="225"/>
      <c r="AR778" s="226"/>
      <c r="AS778" s="225"/>
      <c r="AT778" s="225"/>
      <c r="AU778" s="225"/>
      <c r="AV778" s="225"/>
      <c r="AW778" s="225"/>
      <c r="AX778" s="226"/>
      <c r="AY778" s="225"/>
      <c r="AZ778" s="225"/>
      <c r="BA778" s="226"/>
      <c r="BB778" s="225"/>
      <c r="BC778" s="225"/>
      <c r="BD778" s="225"/>
      <c r="BE778" s="225"/>
      <c r="BF778" s="225"/>
      <c r="BG778" s="225"/>
      <c r="BH778" s="225"/>
      <c r="BI778" s="225"/>
      <c r="BJ778" s="225"/>
      <c r="BK778" s="225"/>
      <c r="BL778" s="225"/>
      <c r="BM778" s="225"/>
      <c r="BN778" s="225"/>
      <c r="BO778" s="225"/>
      <c r="BP778" s="225"/>
      <c r="BQ778" s="225"/>
      <c r="BR778" s="225"/>
      <c r="BS778" s="225"/>
      <c r="BT778" s="226"/>
      <c r="BU778" s="225"/>
      <c r="BV778" s="225"/>
      <c r="BW778" s="225"/>
      <c r="BX778" s="225"/>
      <c r="BY778" s="225"/>
      <c r="BZ778" s="225"/>
    </row>
    <row r="779">
      <c r="A779" s="225"/>
      <c r="B779" s="225"/>
      <c r="C779" s="225"/>
      <c r="D779" s="226"/>
      <c r="E779" s="225"/>
      <c r="F779" s="225"/>
      <c r="G779" s="225"/>
      <c r="H779" s="225"/>
      <c r="I779" s="225"/>
      <c r="J779" s="225"/>
      <c r="K779" s="244"/>
      <c r="L779" s="225"/>
      <c r="M779" s="225"/>
      <c r="N779" s="225"/>
      <c r="O779" s="225"/>
      <c r="P779" s="225"/>
      <c r="Q779" s="227"/>
      <c r="R779" s="234"/>
      <c r="S779" s="225"/>
      <c r="T779" s="225"/>
      <c r="U779" s="225"/>
      <c r="V779" s="225"/>
      <c r="W779" s="225"/>
      <c r="X779" s="225"/>
      <c r="Y779" s="229"/>
      <c r="Z779" s="257"/>
      <c r="AA779" s="225"/>
      <c r="AB779" s="257"/>
      <c r="AC779" s="257"/>
      <c r="AD779" s="226"/>
      <c r="AE779" s="259"/>
      <c r="AF779" s="347"/>
      <c r="AG779" s="232"/>
      <c r="AH779" s="257"/>
      <c r="AI779" s="225"/>
      <c r="AJ779" s="267"/>
      <c r="AK779" s="259"/>
      <c r="AL779" s="226"/>
      <c r="AM779" s="225"/>
      <c r="AN779" s="225"/>
      <c r="AO779" s="254"/>
      <c r="AP779" s="225"/>
      <c r="AQ779" s="225"/>
      <c r="AR779" s="226"/>
      <c r="AS779" s="225"/>
      <c r="AT779" s="225"/>
      <c r="AU779" s="225"/>
      <c r="AV779" s="225"/>
      <c r="AW779" s="225"/>
      <c r="AX779" s="226"/>
      <c r="AY779" s="225"/>
      <c r="AZ779" s="225"/>
      <c r="BA779" s="226"/>
      <c r="BB779" s="225"/>
      <c r="BC779" s="225"/>
      <c r="BD779" s="225"/>
      <c r="BE779" s="225"/>
      <c r="BF779" s="225"/>
      <c r="BG779" s="225"/>
      <c r="BH779" s="225"/>
      <c r="BI779" s="225"/>
      <c r="BJ779" s="225"/>
      <c r="BK779" s="225"/>
      <c r="BL779" s="225"/>
      <c r="BM779" s="225"/>
      <c r="BN779" s="225"/>
      <c r="BO779" s="225"/>
      <c r="BP779" s="225"/>
      <c r="BQ779" s="225"/>
      <c r="BR779" s="225"/>
      <c r="BS779" s="225"/>
      <c r="BT779" s="226"/>
      <c r="BU779" s="225"/>
      <c r="BV779" s="225"/>
      <c r="BW779" s="225"/>
      <c r="BX779" s="225"/>
      <c r="BY779" s="225"/>
      <c r="BZ779" s="225"/>
    </row>
    <row r="780">
      <c r="A780" s="225"/>
      <c r="B780" s="225"/>
      <c r="C780" s="225"/>
      <c r="D780" s="226"/>
      <c r="E780" s="225"/>
      <c r="F780" s="225"/>
      <c r="G780" s="225"/>
      <c r="H780" s="225"/>
      <c r="I780" s="225"/>
      <c r="J780" s="225"/>
      <c r="K780" s="244"/>
      <c r="L780" s="225"/>
      <c r="M780" s="225"/>
      <c r="N780" s="225"/>
      <c r="O780" s="225"/>
      <c r="P780" s="225"/>
      <c r="Q780" s="227"/>
      <c r="R780" s="234"/>
      <c r="S780" s="225"/>
      <c r="T780" s="225"/>
      <c r="U780" s="225"/>
      <c r="V780" s="225"/>
      <c r="W780" s="225"/>
      <c r="X780" s="225"/>
      <c r="Y780" s="229"/>
      <c r="Z780" s="257"/>
      <c r="AA780" s="225"/>
      <c r="AB780" s="257"/>
      <c r="AC780" s="257"/>
      <c r="AD780" s="226"/>
      <c r="AE780" s="259"/>
      <c r="AF780" s="347"/>
      <c r="AG780" s="232"/>
      <c r="AH780" s="257"/>
      <c r="AI780" s="225"/>
      <c r="AJ780" s="267"/>
      <c r="AK780" s="259"/>
      <c r="AL780" s="226"/>
      <c r="AM780" s="225"/>
      <c r="AN780" s="225"/>
      <c r="AO780" s="254"/>
      <c r="AP780" s="225"/>
      <c r="AQ780" s="225"/>
      <c r="AR780" s="226"/>
      <c r="AS780" s="225"/>
      <c r="AT780" s="225"/>
      <c r="AU780" s="225"/>
      <c r="AV780" s="225"/>
      <c r="AW780" s="225"/>
      <c r="AX780" s="226"/>
      <c r="AY780" s="225"/>
      <c r="AZ780" s="225"/>
      <c r="BA780" s="226"/>
      <c r="BB780" s="225"/>
      <c r="BC780" s="225"/>
      <c r="BD780" s="225"/>
      <c r="BE780" s="225"/>
      <c r="BF780" s="225"/>
      <c r="BG780" s="225"/>
      <c r="BH780" s="225"/>
      <c r="BI780" s="225"/>
      <c r="BJ780" s="225"/>
      <c r="BK780" s="225"/>
      <c r="BL780" s="225"/>
      <c r="BM780" s="225"/>
      <c r="BN780" s="225"/>
      <c r="BO780" s="225"/>
      <c r="BP780" s="225"/>
      <c r="BQ780" s="225"/>
      <c r="BR780" s="225"/>
      <c r="BS780" s="225"/>
      <c r="BT780" s="226"/>
      <c r="BU780" s="225"/>
      <c r="BV780" s="225"/>
      <c r="BW780" s="225"/>
      <c r="BX780" s="225"/>
      <c r="BY780" s="225"/>
      <c r="BZ780" s="225"/>
    </row>
    <row r="781">
      <c r="A781" s="225"/>
      <c r="B781" s="225"/>
      <c r="C781" s="225"/>
      <c r="D781" s="226"/>
      <c r="E781" s="225"/>
      <c r="F781" s="225"/>
      <c r="G781" s="225"/>
      <c r="H781" s="225"/>
      <c r="I781" s="225"/>
      <c r="J781" s="225"/>
      <c r="K781" s="244"/>
      <c r="L781" s="225"/>
      <c r="M781" s="225"/>
      <c r="N781" s="225"/>
      <c r="O781" s="225"/>
      <c r="P781" s="225"/>
      <c r="Q781" s="227"/>
      <c r="R781" s="234"/>
      <c r="S781" s="225"/>
      <c r="T781" s="225"/>
      <c r="U781" s="225"/>
      <c r="V781" s="225"/>
      <c r="W781" s="225"/>
      <c r="X781" s="225"/>
      <c r="Y781" s="229"/>
      <c r="Z781" s="257"/>
      <c r="AA781" s="225"/>
      <c r="AB781" s="257"/>
      <c r="AC781" s="257"/>
      <c r="AD781" s="226"/>
      <c r="AE781" s="259"/>
      <c r="AF781" s="347"/>
      <c r="AG781" s="232"/>
      <c r="AH781" s="257"/>
      <c r="AI781" s="225"/>
      <c r="AJ781" s="267"/>
      <c r="AK781" s="259"/>
      <c r="AL781" s="226"/>
      <c r="AM781" s="225"/>
      <c r="AN781" s="225"/>
      <c r="AO781" s="254"/>
      <c r="AP781" s="225"/>
      <c r="AQ781" s="225"/>
      <c r="AR781" s="226"/>
      <c r="AS781" s="225"/>
      <c r="AT781" s="225"/>
      <c r="AU781" s="225"/>
      <c r="AV781" s="225"/>
      <c r="AW781" s="225"/>
      <c r="AX781" s="226"/>
      <c r="AY781" s="225"/>
      <c r="AZ781" s="225"/>
      <c r="BA781" s="226"/>
      <c r="BB781" s="225"/>
      <c r="BC781" s="225"/>
      <c r="BD781" s="225"/>
      <c r="BE781" s="225"/>
      <c r="BF781" s="225"/>
      <c r="BG781" s="225"/>
      <c r="BH781" s="225"/>
      <c r="BI781" s="225"/>
      <c r="BJ781" s="225"/>
      <c r="BK781" s="225"/>
      <c r="BL781" s="225"/>
      <c r="BM781" s="225"/>
      <c r="BN781" s="225"/>
      <c r="BO781" s="225"/>
      <c r="BP781" s="225"/>
      <c r="BQ781" s="225"/>
      <c r="BR781" s="225"/>
      <c r="BS781" s="225"/>
      <c r="BT781" s="226"/>
      <c r="BU781" s="225"/>
      <c r="BV781" s="225"/>
      <c r="BW781" s="225"/>
      <c r="BX781" s="225"/>
      <c r="BY781" s="225"/>
      <c r="BZ781" s="225"/>
    </row>
    <row r="782">
      <c r="A782" s="225"/>
      <c r="B782" s="225"/>
      <c r="C782" s="225"/>
      <c r="D782" s="226"/>
      <c r="E782" s="225"/>
      <c r="F782" s="225"/>
      <c r="G782" s="225"/>
      <c r="H782" s="225"/>
      <c r="I782" s="225"/>
      <c r="J782" s="225"/>
      <c r="K782" s="244"/>
      <c r="L782" s="225"/>
      <c r="M782" s="225"/>
      <c r="N782" s="225"/>
      <c r="O782" s="225"/>
      <c r="P782" s="225"/>
      <c r="Q782" s="227"/>
      <c r="R782" s="234"/>
      <c r="S782" s="225"/>
      <c r="T782" s="225"/>
      <c r="U782" s="225"/>
      <c r="V782" s="225"/>
      <c r="W782" s="225"/>
      <c r="X782" s="225"/>
      <c r="Y782" s="229"/>
      <c r="Z782" s="257"/>
      <c r="AA782" s="225"/>
      <c r="AB782" s="257"/>
      <c r="AC782" s="257"/>
      <c r="AD782" s="226"/>
      <c r="AE782" s="259"/>
      <c r="AF782" s="347"/>
      <c r="AG782" s="232"/>
      <c r="AH782" s="257"/>
      <c r="AI782" s="225"/>
      <c r="AJ782" s="267"/>
      <c r="AK782" s="259"/>
      <c r="AL782" s="226"/>
      <c r="AM782" s="225"/>
      <c r="AN782" s="225"/>
      <c r="AO782" s="254"/>
      <c r="AP782" s="225"/>
      <c r="AQ782" s="225"/>
      <c r="AR782" s="226"/>
      <c r="AS782" s="225"/>
      <c r="AT782" s="225"/>
      <c r="AU782" s="225"/>
      <c r="AV782" s="225"/>
      <c r="AW782" s="225"/>
      <c r="AX782" s="226"/>
      <c r="AY782" s="225"/>
      <c r="AZ782" s="225"/>
      <c r="BA782" s="226"/>
      <c r="BB782" s="225"/>
      <c r="BC782" s="225"/>
      <c r="BD782" s="225"/>
      <c r="BE782" s="225"/>
      <c r="BF782" s="225"/>
      <c r="BG782" s="225"/>
      <c r="BH782" s="225"/>
      <c r="BI782" s="225"/>
      <c r="BJ782" s="225"/>
      <c r="BK782" s="225"/>
      <c r="BL782" s="225"/>
      <c r="BM782" s="225"/>
      <c r="BN782" s="225"/>
      <c r="BO782" s="225"/>
      <c r="BP782" s="225"/>
      <c r="BQ782" s="225"/>
      <c r="BR782" s="225"/>
      <c r="BS782" s="225"/>
      <c r="BT782" s="226"/>
      <c r="BU782" s="225"/>
      <c r="BV782" s="225"/>
      <c r="BW782" s="225"/>
      <c r="BX782" s="225"/>
      <c r="BY782" s="225"/>
      <c r="BZ782" s="225"/>
    </row>
    <row r="783">
      <c r="A783" s="225"/>
      <c r="B783" s="225"/>
      <c r="C783" s="225"/>
      <c r="D783" s="226"/>
      <c r="E783" s="225"/>
      <c r="F783" s="225"/>
      <c r="G783" s="225"/>
      <c r="H783" s="225"/>
      <c r="I783" s="225"/>
      <c r="J783" s="225"/>
      <c r="K783" s="244"/>
      <c r="L783" s="225"/>
      <c r="M783" s="225"/>
      <c r="N783" s="225"/>
      <c r="O783" s="225"/>
      <c r="P783" s="225"/>
      <c r="Q783" s="227"/>
      <c r="R783" s="234"/>
      <c r="S783" s="225"/>
      <c r="T783" s="225"/>
      <c r="U783" s="225"/>
      <c r="V783" s="225"/>
      <c r="W783" s="225"/>
      <c r="X783" s="225"/>
      <c r="Y783" s="229"/>
      <c r="Z783" s="257"/>
      <c r="AA783" s="225"/>
      <c r="AB783" s="257"/>
      <c r="AC783" s="257"/>
      <c r="AD783" s="226"/>
      <c r="AE783" s="259"/>
      <c r="AF783" s="347"/>
      <c r="AG783" s="232"/>
      <c r="AH783" s="257"/>
      <c r="AI783" s="225"/>
      <c r="AJ783" s="267"/>
      <c r="AK783" s="259"/>
      <c r="AL783" s="226"/>
      <c r="AM783" s="225"/>
      <c r="AN783" s="225"/>
      <c r="AO783" s="254"/>
      <c r="AP783" s="225"/>
      <c r="AQ783" s="225"/>
      <c r="AR783" s="226"/>
      <c r="AS783" s="225"/>
      <c r="AT783" s="225"/>
      <c r="AU783" s="225"/>
      <c r="AV783" s="225"/>
      <c r="AW783" s="225"/>
      <c r="AX783" s="226"/>
      <c r="AY783" s="225"/>
      <c r="AZ783" s="225"/>
      <c r="BA783" s="226"/>
      <c r="BB783" s="225"/>
      <c r="BC783" s="225"/>
      <c r="BD783" s="225"/>
      <c r="BE783" s="225"/>
      <c r="BF783" s="225"/>
      <c r="BG783" s="225"/>
      <c r="BH783" s="225"/>
      <c r="BI783" s="225"/>
      <c r="BJ783" s="225"/>
      <c r="BK783" s="225"/>
      <c r="BL783" s="225"/>
      <c r="BM783" s="225"/>
      <c r="BN783" s="225"/>
      <c r="BO783" s="225"/>
      <c r="BP783" s="225"/>
      <c r="BQ783" s="225"/>
      <c r="BR783" s="225"/>
      <c r="BS783" s="225"/>
      <c r="BT783" s="226"/>
      <c r="BU783" s="225"/>
      <c r="BV783" s="225"/>
      <c r="BW783" s="225"/>
      <c r="BX783" s="225"/>
      <c r="BY783" s="225"/>
      <c r="BZ783" s="225"/>
    </row>
    <row r="784">
      <c r="A784" s="225"/>
      <c r="B784" s="225"/>
      <c r="C784" s="225"/>
      <c r="D784" s="226"/>
      <c r="E784" s="225"/>
      <c r="F784" s="225"/>
      <c r="G784" s="225"/>
      <c r="H784" s="225"/>
      <c r="I784" s="225"/>
      <c r="J784" s="225"/>
      <c r="K784" s="244"/>
      <c r="L784" s="225"/>
      <c r="M784" s="225"/>
      <c r="N784" s="225"/>
      <c r="O784" s="225"/>
      <c r="P784" s="225"/>
      <c r="Q784" s="227"/>
      <c r="R784" s="234"/>
      <c r="S784" s="225"/>
      <c r="T784" s="225"/>
      <c r="U784" s="225"/>
      <c r="V784" s="225"/>
      <c r="W784" s="225"/>
      <c r="X784" s="225"/>
      <c r="Y784" s="229"/>
      <c r="Z784" s="257"/>
      <c r="AA784" s="225"/>
      <c r="AB784" s="257"/>
      <c r="AC784" s="257"/>
      <c r="AD784" s="226"/>
      <c r="AE784" s="259"/>
      <c r="AF784" s="347"/>
      <c r="AG784" s="232"/>
      <c r="AH784" s="257"/>
      <c r="AI784" s="225"/>
      <c r="AJ784" s="267"/>
      <c r="AK784" s="259"/>
      <c r="AL784" s="226"/>
      <c r="AM784" s="225"/>
      <c r="AN784" s="225"/>
      <c r="AO784" s="254"/>
      <c r="AP784" s="225"/>
      <c r="AQ784" s="225"/>
      <c r="AR784" s="226"/>
      <c r="AS784" s="225"/>
      <c r="AT784" s="225"/>
      <c r="AU784" s="225"/>
      <c r="AV784" s="225"/>
      <c r="AW784" s="225"/>
      <c r="AX784" s="226"/>
      <c r="AY784" s="225"/>
      <c r="AZ784" s="225"/>
      <c r="BA784" s="226"/>
      <c r="BB784" s="225"/>
      <c r="BC784" s="225"/>
      <c r="BD784" s="225"/>
      <c r="BE784" s="225"/>
      <c r="BF784" s="225"/>
      <c r="BG784" s="225"/>
      <c r="BH784" s="225"/>
      <c r="BI784" s="225"/>
      <c r="BJ784" s="225"/>
      <c r="BK784" s="225"/>
      <c r="BL784" s="225"/>
      <c r="BM784" s="225"/>
      <c r="BN784" s="225"/>
      <c r="BO784" s="225"/>
      <c r="BP784" s="225"/>
      <c r="BQ784" s="225"/>
      <c r="BR784" s="225"/>
      <c r="BS784" s="225"/>
      <c r="BT784" s="226"/>
      <c r="BU784" s="225"/>
      <c r="BV784" s="225"/>
      <c r="BW784" s="225"/>
      <c r="BX784" s="225"/>
      <c r="BY784" s="225"/>
      <c r="BZ784" s="225"/>
    </row>
    <row r="785">
      <c r="A785" s="225"/>
      <c r="B785" s="225"/>
      <c r="C785" s="225"/>
      <c r="D785" s="226"/>
      <c r="E785" s="225"/>
      <c r="F785" s="225"/>
      <c r="G785" s="225"/>
      <c r="H785" s="225"/>
      <c r="I785" s="225"/>
      <c r="J785" s="225"/>
      <c r="K785" s="244"/>
      <c r="L785" s="225"/>
      <c r="M785" s="225"/>
      <c r="N785" s="225"/>
      <c r="O785" s="225"/>
      <c r="P785" s="225"/>
      <c r="Q785" s="227"/>
      <c r="R785" s="234"/>
      <c r="S785" s="225"/>
      <c r="T785" s="225"/>
      <c r="U785" s="225"/>
      <c r="V785" s="225"/>
      <c r="W785" s="225"/>
      <c r="X785" s="225"/>
      <c r="Y785" s="229"/>
      <c r="Z785" s="257"/>
      <c r="AA785" s="225"/>
      <c r="AB785" s="257"/>
      <c r="AC785" s="257"/>
      <c r="AD785" s="226"/>
      <c r="AE785" s="259"/>
      <c r="AF785" s="347"/>
      <c r="AG785" s="232"/>
      <c r="AH785" s="257"/>
      <c r="AI785" s="225"/>
      <c r="AJ785" s="267"/>
      <c r="AK785" s="259"/>
      <c r="AL785" s="226"/>
      <c r="AM785" s="225"/>
      <c r="AN785" s="225"/>
      <c r="AO785" s="254"/>
      <c r="AP785" s="225"/>
      <c r="AQ785" s="225"/>
      <c r="AR785" s="226"/>
      <c r="AS785" s="225"/>
      <c r="AT785" s="225"/>
      <c r="AU785" s="225"/>
      <c r="AV785" s="225"/>
      <c r="AW785" s="225"/>
      <c r="AX785" s="226"/>
      <c r="AY785" s="225"/>
      <c r="AZ785" s="225"/>
      <c r="BA785" s="226"/>
      <c r="BB785" s="225"/>
      <c r="BC785" s="225"/>
      <c r="BD785" s="225"/>
      <c r="BE785" s="225"/>
      <c r="BF785" s="225"/>
      <c r="BG785" s="225"/>
      <c r="BH785" s="225"/>
      <c r="BI785" s="225"/>
      <c r="BJ785" s="225"/>
      <c r="BK785" s="225"/>
      <c r="BL785" s="225"/>
      <c r="BM785" s="225"/>
      <c r="BN785" s="225"/>
      <c r="BO785" s="225"/>
      <c r="BP785" s="225"/>
      <c r="BQ785" s="225"/>
      <c r="BR785" s="225"/>
      <c r="BS785" s="225"/>
      <c r="BT785" s="226"/>
      <c r="BU785" s="225"/>
      <c r="BV785" s="225"/>
      <c r="BW785" s="225"/>
      <c r="BX785" s="225"/>
      <c r="BY785" s="225"/>
      <c r="BZ785" s="225"/>
    </row>
    <row r="786">
      <c r="A786" s="225"/>
      <c r="B786" s="225"/>
      <c r="C786" s="225"/>
      <c r="D786" s="226"/>
      <c r="E786" s="225"/>
      <c r="F786" s="225"/>
      <c r="G786" s="225"/>
      <c r="H786" s="225"/>
      <c r="I786" s="225"/>
      <c r="J786" s="225"/>
      <c r="K786" s="244"/>
      <c r="L786" s="225"/>
      <c r="M786" s="225"/>
      <c r="N786" s="225"/>
      <c r="O786" s="225"/>
      <c r="P786" s="225"/>
      <c r="Q786" s="227"/>
      <c r="R786" s="234"/>
      <c r="S786" s="225"/>
      <c r="T786" s="225"/>
      <c r="U786" s="225"/>
      <c r="V786" s="225"/>
      <c r="W786" s="225"/>
      <c r="X786" s="225"/>
      <c r="Y786" s="229"/>
      <c r="Z786" s="257"/>
      <c r="AA786" s="225"/>
      <c r="AB786" s="257"/>
      <c r="AC786" s="257"/>
      <c r="AD786" s="226"/>
      <c r="AE786" s="259"/>
      <c r="AF786" s="347"/>
      <c r="AG786" s="232"/>
      <c r="AH786" s="257"/>
      <c r="AI786" s="225"/>
      <c r="AJ786" s="267"/>
      <c r="AK786" s="259"/>
      <c r="AL786" s="226"/>
      <c r="AM786" s="225"/>
      <c r="AN786" s="225"/>
      <c r="AO786" s="254"/>
      <c r="AP786" s="225"/>
      <c r="AQ786" s="225"/>
      <c r="AR786" s="226"/>
      <c r="AS786" s="225"/>
      <c r="AT786" s="225"/>
      <c r="AU786" s="225"/>
      <c r="AV786" s="225"/>
      <c r="AW786" s="225"/>
      <c r="AX786" s="226"/>
      <c r="AY786" s="225"/>
      <c r="AZ786" s="225"/>
      <c r="BA786" s="226"/>
      <c r="BB786" s="225"/>
      <c r="BC786" s="225"/>
      <c r="BD786" s="225"/>
      <c r="BE786" s="225"/>
      <c r="BF786" s="225"/>
      <c r="BG786" s="225"/>
      <c r="BH786" s="225"/>
      <c r="BI786" s="225"/>
      <c r="BJ786" s="225"/>
      <c r="BK786" s="225"/>
      <c r="BL786" s="225"/>
      <c r="BM786" s="225"/>
      <c r="BN786" s="225"/>
      <c r="BO786" s="225"/>
      <c r="BP786" s="225"/>
      <c r="BQ786" s="225"/>
      <c r="BR786" s="225"/>
      <c r="BS786" s="225"/>
      <c r="BT786" s="226"/>
      <c r="BU786" s="225"/>
      <c r="BV786" s="225"/>
      <c r="BW786" s="225"/>
      <c r="BX786" s="225"/>
      <c r="BY786" s="225"/>
      <c r="BZ786" s="225"/>
    </row>
    <row r="787">
      <c r="A787" s="225"/>
      <c r="B787" s="225"/>
      <c r="C787" s="225"/>
      <c r="D787" s="226"/>
      <c r="E787" s="225"/>
      <c r="F787" s="225"/>
      <c r="G787" s="225"/>
      <c r="H787" s="225"/>
      <c r="I787" s="225"/>
      <c r="J787" s="225"/>
      <c r="K787" s="244"/>
      <c r="L787" s="225"/>
      <c r="M787" s="225"/>
      <c r="N787" s="225"/>
      <c r="O787" s="225"/>
      <c r="P787" s="225"/>
      <c r="Q787" s="227"/>
      <c r="R787" s="234"/>
      <c r="S787" s="225"/>
      <c r="T787" s="225"/>
      <c r="U787" s="225"/>
      <c r="V787" s="225"/>
      <c r="W787" s="225"/>
      <c r="X787" s="225"/>
      <c r="Y787" s="229"/>
      <c r="Z787" s="257"/>
      <c r="AA787" s="225"/>
      <c r="AB787" s="257"/>
      <c r="AC787" s="257"/>
      <c r="AD787" s="226"/>
      <c r="AE787" s="259"/>
      <c r="AF787" s="347"/>
      <c r="AG787" s="232"/>
      <c r="AH787" s="257"/>
      <c r="AI787" s="225"/>
      <c r="AJ787" s="267"/>
      <c r="AK787" s="259"/>
      <c r="AL787" s="226"/>
      <c r="AM787" s="225"/>
      <c r="AN787" s="225"/>
      <c r="AO787" s="254"/>
      <c r="AP787" s="225"/>
      <c r="AQ787" s="225"/>
      <c r="AR787" s="226"/>
      <c r="AS787" s="225"/>
      <c r="AT787" s="225"/>
      <c r="AU787" s="225"/>
      <c r="AV787" s="225"/>
      <c r="AW787" s="225"/>
      <c r="AX787" s="226"/>
      <c r="AY787" s="225"/>
      <c r="AZ787" s="225"/>
      <c r="BA787" s="226"/>
      <c r="BB787" s="225"/>
      <c r="BC787" s="225"/>
      <c r="BD787" s="225"/>
      <c r="BE787" s="225"/>
      <c r="BF787" s="225"/>
      <c r="BG787" s="225"/>
      <c r="BH787" s="225"/>
      <c r="BI787" s="225"/>
      <c r="BJ787" s="225"/>
      <c r="BK787" s="225"/>
      <c r="BL787" s="225"/>
      <c r="BM787" s="225"/>
      <c r="BN787" s="225"/>
      <c r="BO787" s="225"/>
      <c r="BP787" s="225"/>
      <c r="BQ787" s="225"/>
      <c r="BR787" s="225"/>
      <c r="BS787" s="225"/>
      <c r="BT787" s="226"/>
      <c r="BU787" s="225"/>
      <c r="BV787" s="225"/>
      <c r="BW787" s="225"/>
      <c r="BX787" s="225"/>
      <c r="BY787" s="225"/>
      <c r="BZ787" s="225"/>
    </row>
    <row r="788">
      <c r="A788" s="225"/>
      <c r="B788" s="225"/>
      <c r="C788" s="225"/>
      <c r="D788" s="226"/>
      <c r="E788" s="225"/>
      <c r="F788" s="225"/>
      <c r="G788" s="225"/>
      <c r="H788" s="225"/>
      <c r="I788" s="225"/>
      <c r="J788" s="225"/>
      <c r="K788" s="244"/>
      <c r="L788" s="225"/>
      <c r="M788" s="225"/>
      <c r="N788" s="225"/>
      <c r="O788" s="225"/>
      <c r="P788" s="225"/>
      <c r="Q788" s="227"/>
      <c r="R788" s="234"/>
      <c r="S788" s="225"/>
      <c r="T788" s="225"/>
      <c r="U788" s="225"/>
      <c r="V788" s="225"/>
      <c r="W788" s="225"/>
      <c r="X788" s="225"/>
      <c r="Y788" s="229"/>
      <c r="Z788" s="257"/>
      <c r="AA788" s="225"/>
      <c r="AB788" s="257"/>
      <c r="AC788" s="257"/>
      <c r="AD788" s="226"/>
      <c r="AE788" s="259"/>
      <c r="AF788" s="347"/>
      <c r="AG788" s="232"/>
      <c r="AH788" s="257"/>
      <c r="AI788" s="225"/>
      <c r="AJ788" s="267"/>
      <c r="AK788" s="259"/>
      <c r="AL788" s="226"/>
      <c r="AM788" s="225"/>
      <c r="AN788" s="225"/>
      <c r="AO788" s="254"/>
      <c r="AP788" s="225"/>
      <c r="AQ788" s="225"/>
      <c r="AR788" s="226"/>
      <c r="AS788" s="225"/>
      <c r="AT788" s="225"/>
      <c r="AU788" s="225"/>
      <c r="AV788" s="225"/>
      <c r="AW788" s="225"/>
      <c r="AX788" s="226"/>
      <c r="AY788" s="225"/>
      <c r="AZ788" s="225"/>
      <c r="BA788" s="226"/>
      <c r="BB788" s="225"/>
      <c r="BC788" s="225"/>
      <c r="BD788" s="225"/>
      <c r="BE788" s="225"/>
      <c r="BF788" s="225"/>
      <c r="BG788" s="225"/>
      <c r="BH788" s="225"/>
      <c r="BI788" s="225"/>
      <c r="BJ788" s="225"/>
      <c r="BK788" s="225"/>
      <c r="BL788" s="225"/>
      <c r="BM788" s="225"/>
      <c r="BN788" s="225"/>
      <c r="BO788" s="225"/>
      <c r="BP788" s="225"/>
      <c r="BQ788" s="225"/>
      <c r="BR788" s="225"/>
      <c r="BS788" s="225"/>
      <c r="BT788" s="226"/>
      <c r="BU788" s="225"/>
      <c r="BV788" s="225"/>
      <c r="BW788" s="225"/>
      <c r="BX788" s="225"/>
      <c r="BY788" s="225"/>
      <c r="BZ788" s="225"/>
    </row>
    <row r="789">
      <c r="A789" s="225"/>
      <c r="B789" s="225"/>
      <c r="C789" s="225"/>
      <c r="D789" s="226"/>
      <c r="E789" s="225"/>
      <c r="F789" s="225"/>
      <c r="G789" s="225"/>
      <c r="H789" s="225"/>
      <c r="I789" s="225"/>
      <c r="J789" s="225"/>
      <c r="K789" s="244"/>
      <c r="L789" s="225"/>
      <c r="M789" s="225"/>
      <c r="N789" s="225"/>
      <c r="O789" s="225"/>
      <c r="P789" s="225"/>
      <c r="Q789" s="227"/>
      <c r="R789" s="234"/>
      <c r="S789" s="225"/>
      <c r="T789" s="225"/>
      <c r="U789" s="225"/>
      <c r="V789" s="225"/>
      <c r="W789" s="225"/>
      <c r="X789" s="225"/>
      <c r="Y789" s="229"/>
      <c r="Z789" s="257"/>
      <c r="AA789" s="225"/>
      <c r="AB789" s="257"/>
      <c r="AC789" s="257"/>
      <c r="AD789" s="226"/>
      <c r="AE789" s="259"/>
      <c r="AF789" s="347"/>
      <c r="AG789" s="232"/>
      <c r="AH789" s="257"/>
      <c r="AI789" s="225"/>
      <c r="AJ789" s="267"/>
      <c r="AK789" s="259"/>
      <c r="AL789" s="226"/>
      <c r="AM789" s="225"/>
      <c r="AN789" s="225"/>
      <c r="AO789" s="254"/>
      <c r="AP789" s="225"/>
      <c r="AQ789" s="225"/>
      <c r="AR789" s="226"/>
      <c r="AS789" s="225"/>
      <c r="AT789" s="225"/>
      <c r="AU789" s="225"/>
      <c r="AV789" s="225"/>
      <c r="AW789" s="225"/>
      <c r="AX789" s="226"/>
      <c r="AY789" s="225"/>
      <c r="AZ789" s="225"/>
      <c r="BA789" s="226"/>
      <c r="BB789" s="225"/>
      <c r="BC789" s="225"/>
      <c r="BD789" s="225"/>
      <c r="BE789" s="225"/>
      <c r="BF789" s="225"/>
      <c r="BG789" s="225"/>
      <c r="BH789" s="225"/>
      <c r="BI789" s="225"/>
      <c r="BJ789" s="225"/>
      <c r="BK789" s="225"/>
      <c r="BL789" s="225"/>
      <c r="BM789" s="225"/>
      <c r="BN789" s="225"/>
      <c r="BO789" s="225"/>
      <c r="BP789" s="225"/>
      <c r="BQ789" s="225"/>
      <c r="BR789" s="225"/>
      <c r="BS789" s="225"/>
      <c r="BT789" s="226"/>
      <c r="BU789" s="225"/>
      <c r="BV789" s="225"/>
      <c r="BW789" s="225"/>
      <c r="BX789" s="225"/>
      <c r="BY789" s="225"/>
      <c r="BZ789" s="225"/>
    </row>
    <row r="790">
      <c r="A790" s="225"/>
      <c r="B790" s="225"/>
      <c r="C790" s="225"/>
      <c r="D790" s="226"/>
      <c r="E790" s="225"/>
      <c r="F790" s="225"/>
      <c r="G790" s="225"/>
      <c r="H790" s="225"/>
      <c r="I790" s="225"/>
      <c r="J790" s="225"/>
      <c r="K790" s="244"/>
      <c r="L790" s="225"/>
      <c r="M790" s="225"/>
      <c r="N790" s="225"/>
      <c r="O790" s="225"/>
      <c r="P790" s="225"/>
      <c r="Q790" s="227"/>
      <c r="R790" s="234"/>
      <c r="S790" s="225"/>
      <c r="T790" s="225"/>
      <c r="U790" s="225"/>
      <c r="V790" s="225"/>
      <c r="W790" s="225"/>
      <c r="X790" s="225"/>
      <c r="Y790" s="229"/>
      <c r="Z790" s="257"/>
      <c r="AA790" s="225"/>
      <c r="AB790" s="257"/>
      <c r="AC790" s="257"/>
      <c r="AD790" s="226"/>
      <c r="AE790" s="259"/>
      <c r="AF790" s="347"/>
      <c r="AG790" s="232"/>
      <c r="AH790" s="257"/>
      <c r="AI790" s="225"/>
      <c r="AJ790" s="267"/>
      <c r="AK790" s="259"/>
      <c r="AL790" s="226"/>
      <c r="AM790" s="225"/>
      <c r="AN790" s="225"/>
      <c r="AO790" s="254"/>
      <c r="AP790" s="225"/>
      <c r="AQ790" s="225"/>
      <c r="AR790" s="226"/>
      <c r="AS790" s="225"/>
      <c r="AT790" s="225"/>
      <c r="AU790" s="225"/>
      <c r="AV790" s="225"/>
      <c r="AW790" s="225"/>
      <c r="AX790" s="226"/>
      <c r="AY790" s="225"/>
      <c r="AZ790" s="225"/>
      <c r="BA790" s="226"/>
      <c r="BB790" s="225"/>
      <c r="BC790" s="225"/>
      <c r="BD790" s="225"/>
      <c r="BE790" s="225"/>
      <c r="BF790" s="225"/>
      <c r="BG790" s="225"/>
      <c r="BH790" s="225"/>
      <c r="BI790" s="225"/>
      <c r="BJ790" s="225"/>
      <c r="BK790" s="225"/>
      <c r="BL790" s="225"/>
      <c r="BM790" s="225"/>
      <c r="BN790" s="225"/>
      <c r="BO790" s="225"/>
      <c r="BP790" s="225"/>
      <c r="BQ790" s="225"/>
      <c r="BR790" s="225"/>
      <c r="BS790" s="225"/>
      <c r="BT790" s="226"/>
      <c r="BU790" s="225"/>
      <c r="BV790" s="225"/>
      <c r="BW790" s="225"/>
      <c r="BX790" s="225"/>
      <c r="BY790" s="225"/>
      <c r="BZ790" s="225"/>
    </row>
    <row r="791">
      <c r="A791" s="225"/>
      <c r="B791" s="225"/>
      <c r="C791" s="225"/>
      <c r="D791" s="226"/>
      <c r="E791" s="225"/>
      <c r="F791" s="225"/>
      <c r="G791" s="225"/>
      <c r="H791" s="225"/>
      <c r="I791" s="225"/>
      <c r="J791" s="225"/>
      <c r="K791" s="244"/>
      <c r="L791" s="225"/>
      <c r="M791" s="225"/>
      <c r="N791" s="225"/>
      <c r="O791" s="225"/>
      <c r="P791" s="225"/>
      <c r="Q791" s="227"/>
      <c r="R791" s="234"/>
      <c r="S791" s="225"/>
      <c r="T791" s="225"/>
      <c r="U791" s="225"/>
      <c r="V791" s="225"/>
      <c r="W791" s="225"/>
      <c r="X791" s="225"/>
      <c r="Y791" s="229"/>
      <c r="Z791" s="257"/>
      <c r="AA791" s="225"/>
      <c r="AB791" s="257"/>
      <c r="AC791" s="257"/>
      <c r="AD791" s="226"/>
      <c r="AE791" s="259"/>
      <c r="AF791" s="347"/>
      <c r="AG791" s="232"/>
      <c r="AH791" s="257"/>
      <c r="AI791" s="225"/>
      <c r="AJ791" s="267"/>
      <c r="AK791" s="259"/>
      <c r="AL791" s="226"/>
      <c r="AM791" s="225"/>
      <c r="AN791" s="225"/>
      <c r="AO791" s="254"/>
      <c r="AP791" s="225"/>
      <c r="AQ791" s="225"/>
      <c r="AR791" s="226"/>
      <c r="AS791" s="225"/>
      <c r="AT791" s="225"/>
      <c r="AU791" s="225"/>
      <c r="AV791" s="225"/>
      <c r="AW791" s="225"/>
      <c r="AX791" s="226"/>
      <c r="AY791" s="225"/>
      <c r="AZ791" s="225"/>
      <c r="BA791" s="226"/>
      <c r="BB791" s="225"/>
      <c r="BC791" s="225"/>
      <c r="BD791" s="225"/>
      <c r="BE791" s="225"/>
      <c r="BF791" s="225"/>
      <c r="BG791" s="225"/>
      <c r="BH791" s="225"/>
      <c r="BI791" s="225"/>
      <c r="BJ791" s="225"/>
      <c r="BK791" s="225"/>
      <c r="BL791" s="225"/>
      <c r="BM791" s="225"/>
      <c r="BN791" s="225"/>
      <c r="BO791" s="225"/>
      <c r="BP791" s="225"/>
      <c r="BQ791" s="225"/>
      <c r="BR791" s="225"/>
      <c r="BS791" s="225"/>
      <c r="BT791" s="226"/>
      <c r="BU791" s="225"/>
      <c r="BV791" s="225"/>
      <c r="BW791" s="225"/>
      <c r="BX791" s="225"/>
      <c r="BY791" s="225"/>
      <c r="BZ791" s="225"/>
    </row>
    <row r="792">
      <c r="A792" s="225"/>
      <c r="B792" s="225"/>
      <c r="C792" s="225"/>
      <c r="D792" s="226"/>
      <c r="E792" s="225"/>
      <c r="F792" s="225"/>
      <c r="G792" s="225"/>
      <c r="H792" s="225"/>
      <c r="I792" s="225"/>
      <c r="J792" s="225"/>
      <c r="K792" s="244"/>
      <c r="L792" s="225"/>
      <c r="M792" s="225"/>
      <c r="N792" s="225"/>
      <c r="O792" s="225"/>
      <c r="P792" s="225"/>
      <c r="Q792" s="227"/>
      <c r="R792" s="234"/>
      <c r="S792" s="225"/>
      <c r="T792" s="225"/>
      <c r="U792" s="225"/>
      <c r="V792" s="225"/>
      <c r="W792" s="225"/>
      <c r="X792" s="225"/>
      <c r="Y792" s="229"/>
      <c r="Z792" s="257"/>
      <c r="AA792" s="225"/>
      <c r="AB792" s="257"/>
      <c r="AC792" s="257"/>
      <c r="AD792" s="226"/>
      <c r="AE792" s="259"/>
      <c r="AF792" s="347"/>
      <c r="AG792" s="232"/>
      <c r="AH792" s="257"/>
      <c r="AI792" s="225"/>
      <c r="AJ792" s="267"/>
      <c r="AK792" s="259"/>
      <c r="AL792" s="226"/>
      <c r="AM792" s="225"/>
      <c r="AN792" s="225"/>
      <c r="AO792" s="254"/>
      <c r="AP792" s="225"/>
      <c r="AQ792" s="225"/>
      <c r="AR792" s="226"/>
      <c r="AS792" s="225"/>
      <c r="AT792" s="225"/>
      <c r="AU792" s="225"/>
      <c r="AV792" s="225"/>
      <c r="AW792" s="225"/>
      <c r="AX792" s="226"/>
      <c r="AY792" s="225"/>
      <c r="AZ792" s="225"/>
      <c r="BA792" s="226"/>
      <c r="BB792" s="225"/>
      <c r="BC792" s="225"/>
      <c r="BD792" s="225"/>
      <c r="BE792" s="225"/>
      <c r="BF792" s="225"/>
      <c r="BG792" s="225"/>
      <c r="BH792" s="225"/>
      <c r="BI792" s="225"/>
      <c r="BJ792" s="225"/>
      <c r="BK792" s="225"/>
      <c r="BL792" s="225"/>
      <c r="BM792" s="225"/>
      <c r="BN792" s="225"/>
      <c r="BO792" s="225"/>
      <c r="BP792" s="225"/>
      <c r="BQ792" s="225"/>
      <c r="BR792" s="225"/>
      <c r="BS792" s="225"/>
      <c r="BT792" s="226"/>
      <c r="BU792" s="225"/>
      <c r="BV792" s="225"/>
      <c r="BW792" s="225"/>
      <c r="BX792" s="225"/>
      <c r="BY792" s="225"/>
      <c r="BZ792" s="225"/>
    </row>
    <row r="793">
      <c r="A793" s="225"/>
      <c r="B793" s="225"/>
      <c r="C793" s="225"/>
      <c r="D793" s="226"/>
      <c r="E793" s="225"/>
      <c r="F793" s="225"/>
      <c r="G793" s="225"/>
      <c r="H793" s="225"/>
      <c r="I793" s="225"/>
      <c r="J793" s="225"/>
      <c r="K793" s="244"/>
      <c r="L793" s="225"/>
      <c r="M793" s="225"/>
      <c r="N793" s="225"/>
      <c r="O793" s="225"/>
      <c r="P793" s="225"/>
      <c r="Q793" s="227"/>
      <c r="R793" s="234"/>
      <c r="S793" s="225"/>
      <c r="T793" s="225"/>
      <c r="U793" s="225"/>
      <c r="V793" s="225"/>
      <c r="W793" s="225"/>
      <c r="X793" s="225"/>
      <c r="Y793" s="229"/>
      <c r="Z793" s="257"/>
      <c r="AA793" s="225"/>
      <c r="AB793" s="257"/>
      <c r="AC793" s="257"/>
      <c r="AD793" s="226"/>
      <c r="AE793" s="259"/>
      <c r="AF793" s="347"/>
      <c r="AG793" s="232"/>
      <c r="AH793" s="257"/>
      <c r="AI793" s="225"/>
      <c r="AJ793" s="267"/>
      <c r="AK793" s="259"/>
      <c r="AL793" s="226"/>
      <c r="AM793" s="225"/>
      <c r="AN793" s="225"/>
      <c r="AO793" s="254"/>
      <c r="AP793" s="225"/>
      <c r="AQ793" s="225"/>
      <c r="AR793" s="226"/>
      <c r="AS793" s="225"/>
      <c r="AT793" s="225"/>
      <c r="AU793" s="225"/>
      <c r="AV793" s="225"/>
      <c r="AW793" s="225"/>
      <c r="AX793" s="226"/>
      <c r="AY793" s="225"/>
      <c r="AZ793" s="225"/>
      <c r="BA793" s="226"/>
      <c r="BB793" s="225"/>
      <c r="BC793" s="225"/>
      <c r="BD793" s="225"/>
      <c r="BE793" s="225"/>
      <c r="BF793" s="225"/>
      <c r="BG793" s="225"/>
      <c r="BH793" s="225"/>
      <c r="BI793" s="225"/>
      <c r="BJ793" s="225"/>
      <c r="BK793" s="225"/>
      <c r="BL793" s="225"/>
      <c r="BM793" s="225"/>
      <c r="BN793" s="225"/>
      <c r="BO793" s="225"/>
      <c r="BP793" s="225"/>
      <c r="BQ793" s="225"/>
      <c r="BR793" s="225"/>
      <c r="BS793" s="225"/>
      <c r="BT793" s="226"/>
      <c r="BU793" s="225"/>
      <c r="BV793" s="225"/>
      <c r="BW793" s="225"/>
      <c r="BX793" s="225"/>
      <c r="BY793" s="225"/>
      <c r="BZ793" s="225"/>
    </row>
    <row r="794">
      <c r="A794" s="225"/>
      <c r="B794" s="225"/>
      <c r="C794" s="225"/>
      <c r="D794" s="226"/>
      <c r="E794" s="225"/>
      <c r="F794" s="225"/>
      <c r="G794" s="225"/>
      <c r="H794" s="225"/>
      <c r="I794" s="225"/>
      <c r="J794" s="225"/>
      <c r="K794" s="244"/>
      <c r="L794" s="225"/>
      <c r="M794" s="225"/>
      <c r="N794" s="225"/>
      <c r="O794" s="225"/>
      <c r="P794" s="225"/>
      <c r="Q794" s="227"/>
      <c r="R794" s="234"/>
      <c r="S794" s="225"/>
      <c r="T794" s="225"/>
      <c r="U794" s="225"/>
      <c r="V794" s="225"/>
      <c r="W794" s="225"/>
      <c r="X794" s="225"/>
      <c r="Y794" s="229"/>
      <c r="Z794" s="257"/>
      <c r="AA794" s="225"/>
      <c r="AB794" s="257"/>
      <c r="AC794" s="257"/>
      <c r="AD794" s="226"/>
      <c r="AE794" s="259"/>
      <c r="AF794" s="347"/>
      <c r="AG794" s="232"/>
      <c r="AH794" s="257"/>
      <c r="AI794" s="225"/>
      <c r="AJ794" s="267"/>
      <c r="AK794" s="259"/>
      <c r="AL794" s="226"/>
      <c r="AM794" s="225"/>
      <c r="AN794" s="225"/>
      <c r="AO794" s="254"/>
      <c r="AP794" s="225"/>
      <c r="AQ794" s="225"/>
      <c r="AR794" s="226"/>
      <c r="AS794" s="225"/>
      <c r="AT794" s="225"/>
      <c r="AU794" s="225"/>
      <c r="AV794" s="225"/>
      <c r="AW794" s="225"/>
      <c r="AX794" s="226"/>
      <c r="AY794" s="225"/>
      <c r="AZ794" s="225"/>
      <c r="BA794" s="226"/>
      <c r="BB794" s="225"/>
      <c r="BC794" s="225"/>
      <c r="BD794" s="225"/>
      <c r="BE794" s="225"/>
      <c r="BF794" s="225"/>
      <c r="BG794" s="225"/>
      <c r="BH794" s="225"/>
      <c r="BI794" s="225"/>
      <c r="BJ794" s="225"/>
      <c r="BK794" s="225"/>
      <c r="BL794" s="225"/>
      <c r="BM794" s="225"/>
      <c r="BN794" s="225"/>
      <c r="BO794" s="225"/>
      <c r="BP794" s="225"/>
      <c r="BQ794" s="225"/>
      <c r="BR794" s="225"/>
      <c r="BS794" s="225"/>
      <c r="BT794" s="226"/>
      <c r="BU794" s="225"/>
      <c r="BV794" s="225"/>
      <c r="BW794" s="225"/>
      <c r="BX794" s="225"/>
      <c r="BY794" s="225"/>
      <c r="BZ794" s="225"/>
    </row>
    <row r="795">
      <c r="A795" s="225"/>
      <c r="B795" s="225"/>
      <c r="C795" s="225"/>
      <c r="D795" s="226"/>
      <c r="E795" s="225"/>
      <c r="F795" s="225"/>
      <c r="G795" s="225"/>
      <c r="H795" s="225"/>
      <c r="I795" s="225"/>
      <c r="J795" s="225"/>
      <c r="K795" s="244"/>
      <c r="L795" s="225"/>
      <c r="M795" s="225"/>
      <c r="N795" s="225"/>
      <c r="O795" s="225"/>
      <c r="P795" s="225"/>
      <c r="Q795" s="227"/>
      <c r="R795" s="234"/>
      <c r="S795" s="225"/>
      <c r="T795" s="225"/>
      <c r="U795" s="225"/>
      <c r="V795" s="225"/>
      <c r="W795" s="225"/>
      <c r="X795" s="225"/>
      <c r="Y795" s="229"/>
      <c r="Z795" s="257"/>
      <c r="AA795" s="225"/>
      <c r="AB795" s="257"/>
      <c r="AC795" s="257"/>
      <c r="AD795" s="226"/>
      <c r="AE795" s="259"/>
      <c r="AF795" s="347"/>
      <c r="AG795" s="232"/>
      <c r="AH795" s="257"/>
      <c r="AI795" s="225"/>
      <c r="AJ795" s="267"/>
      <c r="AK795" s="259"/>
      <c r="AL795" s="226"/>
      <c r="AM795" s="225"/>
      <c r="AN795" s="225"/>
      <c r="AO795" s="254"/>
      <c r="AP795" s="225"/>
      <c r="AQ795" s="225"/>
      <c r="AR795" s="226"/>
      <c r="AS795" s="225"/>
      <c r="AT795" s="225"/>
      <c r="AU795" s="225"/>
      <c r="AV795" s="225"/>
      <c r="AW795" s="225"/>
      <c r="AX795" s="226"/>
      <c r="AY795" s="225"/>
      <c r="AZ795" s="225"/>
      <c r="BA795" s="226"/>
      <c r="BB795" s="225"/>
      <c r="BC795" s="225"/>
      <c r="BD795" s="225"/>
      <c r="BE795" s="225"/>
      <c r="BF795" s="225"/>
      <c r="BG795" s="225"/>
      <c r="BH795" s="225"/>
      <c r="BI795" s="225"/>
      <c r="BJ795" s="225"/>
      <c r="BK795" s="225"/>
      <c r="BL795" s="225"/>
      <c r="BM795" s="225"/>
      <c r="BN795" s="225"/>
      <c r="BO795" s="225"/>
      <c r="BP795" s="225"/>
      <c r="BQ795" s="225"/>
      <c r="BR795" s="225"/>
      <c r="BS795" s="225"/>
      <c r="BT795" s="226"/>
      <c r="BU795" s="225"/>
      <c r="BV795" s="225"/>
      <c r="BW795" s="225"/>
      <c r="BX795" s="225"/>
      <c r="BY795" s="225"/>
      <c r="BZ795" s="225"/>
    </row>
    <row r="796">
      <c r="A796" s="225"/>
      <c r="B796" s="225"/>
      <c r="C796" s="225"/>
      <c r="D796" s="226"/>
      <c r="E796" s="225"/>
      <c r="F796" s="225"/>
      <c r="G796" s="225"/>
      <c r="H796" s="225"/>
      <c r="I796" s="225"/>
      <c r="J796" s="225"/>
      <c r="K796" s="244"/>
      <c r="L796" s="225"/>
      <c r="M796" s="225"/>
      <c r="N796" s="225"/>
      <c r="O796" s="225"/>
      <c r="P796" s="225"/>
      <c r="Q796" s="227"/>
      <c r="R796" s="234"/>
      <c r="S796" s="225"/>
      <c r="T796" s="225"/>
      <c r="U796" s="225"/>
      <c r="V796" s="225"/>
      <c r="W796" s="225"/>
      <c r="X796" s="225"/>
      <c r="Y796" s="229"/>
      <c r="Z796" s="257"/>
      <c r="AA796" s="225"/>
      <c r="AB796" s="257"/>
      <c r="AC796" s="257"/>
      <c r="AD796" s="226"/>
      <c r="AE796" s="259"/>
      <c r="AF796" s="347"/>
      <c r="AG796" s="232"/>
      <c r="AH796" s="257"/>
      <c r="AI796" s="225"/>
      <c r="AJ796" s="267"/>
      <c r="AK796" s="259"/>
      <c r="AL796" s="226"/>
      <c r="AM796" s="225"/>
      <c r="AN796" s="225"/>
      <c r="AO796" s="254"/>
      <c r="AP796" s="225"/>
      <c r="AQ796" s="225"/>
      <c r="AR796" s="226"/>
      <c r="AS796" s="225"/>
      <c r="AT796" s="225"/>
      <c r="AU796" s="225"/>
      <c r="AV796" s="225"/>
      <c r="AW796" s="225"/>
      <c r="AX796" s="226"/>
      <c r="AY796" s="225"/>
      <c r="AZ796" s="225"/>
      <c r="BA796" s="226"/>
      <c r="BB796" s="225"/>
      <c r="BC796" s="225"/>
      <c r="BD796" s="225"/>
      <c r="BE796" s="225"/>
      <c r="BF796" s="225"/>
      <c r="BG796" s="225"/>
      <c r="BH796" s="225"/>
      <c r="BI796" s="225"/>
      <c r="BJ796" s="225"/>
      <c r="BK796" s="225"/>
      <c r="BL796" s="225"/>
      <c r="BM796" s="225"/>
      <c r="BN796" s="225"/>
      <c r="BO796" s="225"/>
      <c r="BP796" s="225"/>
      <c r="BQ796" s="225"/>
      <c r="BR796" s="225"/>
      <c r="BS796" s="225"/>
      <c r="BT796" s="226"/>
      <c r="BU796" s="225"/>
      <c r="BV796" s="225"/>
      <c r="BW796" s="225"/>
      <c r="BX796" s="225"/>
      <c r="BY796" s="225"/>
      <c r="BZ796" s="225"/>
    </row>
    <row r="797">
      <c r="A797" s="225"/>
      <c r="B797" s="225"/>
      <c r="C797" s="225"/>
      <c r="D797" s="226"/>
      <c r="E797" s="225"/>
      <c r="F797" s="225"/>
      <c r="G797" s="225"/>
      <c r="H797" s="225"/>
      <c r="I797" s="225"/>
      <c r="J797" s="225"/>
      <c r="K797" s="244"/>
      <c r="L797" s="225"/>
      <c r="M797" s="225"/>
      <c r="N797" s="225"/>
      <c r="O797" s="225"/>
      <c r="P797" s="225"/>
      <c r="Q797" s="227"/>
      <c r="R797" s="234"/>
      <c r="S797" s="225"/>
      <c r="T797" s="225"/>
      <c r="U797" s="225"/>
      <c r="V797" s="225"/>
      <c r="W797" s="225"/>
      <c r="X797" s="225"/>
      <c r="Y797" s="229"/>
      <c r="Z797" s="257"/>
      <c r="AA797" s="225"/>
      <c r="AB797" s="257"/>
      <c r="AC797" s="257"/>
      <c r="AD797" s="226"/>
      <c r="AE797" s="259"/>
      <c r="AF797" s="347"/>
      <c r="AG797" s="232"/>
      <c r="AH797" s="257"/>
      <c r="AI797" s="225"/>
      <c r="AJ797" s="267"/>
      <c r="AK797" s="259"/>
      <c r="AL797" s="226"/>
      <c r="AM797" s="225"/>
      <c r="AN797" s="225"/>
      <c r="AO797" s="254"/>
      <c r="AP797" s="225"/>
      <c r="AQ797" s="225"/>
      <c r="AR797" s="226"/>
      <c r="AS797" s="225"/>
      <c r="AT797" s="225"/>
      <c r="AU797" s="225"/>
      <c r="AV797" s="225"/>
      <c r="AW797" s="225"/>
      <c r="AX797" s="226"/>
      <c r="AY797" s="225"/>
      <c r="AZ797" s="225"/>
      <c r="BA797" s="226"/>
      <c r="BB797" s="225"/>
      <c r="BC797" s="225"/>
      <c r="BD797" s="225"/>
      <c r="BE797" s="225"/>
      <c r="BF797" s="225"/>
      <c r="BG797" s="225"/>
      <c r="BH797" s="225"/>
      <c r="BI797" s="225"/>
      <c r="BJ797" s="225"/>
      <c r="BK797" s="225"/>
      <c r="BL797" s="225"/>
      <c r="BM797" s="225"/>
      <c r="BN797" s="225"/>
      <c r="BO797" s="225"/>
      <c r="BP797" s="225"/>
      <c r="BQ797" s="225"/>
      <c r="BR797" s="225"/>
      <c r="BS797" s="225"/>
      <c r="BT797" s="226"/>
      <c r="BU797" s="225"/>
      <c r="BV797" s="225"/>
      <c r="BW797" s="225"/>
      <c r="BX797" s="225"/>
      <c r="BY797" s="225"/>
      <c r="BZ797" s="225"/>
    </row>
    <row r="798">
      <c r="A798" s="225"/>
      <c r="B798" s="225"/>
      <c r="C798" s="225"/>
      <c r="D798" s="226"/>
      <c r="E798" s="225"/>
      <c r="F798" s="225"/>
      <c r="G798" s="225"/>
      <c r="H798" s="225"/>
      <c r="I798" s="225"/>
      <c r="J798" s="225"/>
      <c r="K798" s="244"/>
      <c r="L798" s="225"/>
      <c r="M798" s="225"/>
      <c r="N798" s="225"/>
      <c r="O798" s="225"/>
      <c r="P798" s="225"/>
      <c r="Q798" s="227"/>
      <c r="R798" s="234"/>
      <c r="S798" s="225"/>
      <c r="T798" s="225"/>
      <c r="U798" s="225"/>
      <c r="V798" s="225"/>
      <c r="W798" s="225"/>
      <c r="X798" s="225"/>
      <c r="Y798" s="229"/>
      <c r="Z798" s="257"/>
      <c r="AA798" s="225"/>
      <c r="AB798" s="257"/>
      <c r="AC798" s="257"/>
      <c r="AD798" s="226"/>
      <c r="AE798" s="259"/>
      <c r="AF798" s="347"/>
      <c r="AG798" s="232"/>
      <c r="AH798" s="257"/>
      <c r="AI798" s="225"/>
      <c r="AJ798" s="267"/>
      <c r="AK798" s="259"/>
      <c r="AL798" s="226"/>
      <c r="AM798" s="225"/>
      <c r="AN798" s="225"/>
      <c r="AO798" s="254"/>
      <c r="AP798" s="225"/>
      <c r="AQ798" s="225"/>
      <c r="AR798" s="226"/>
      <c r="AS798" s="225"/>
      <c r="AT798" s="225"/>
      <c r="AU798" s="225"/>
      <c r="AV798" s="225"/>
      <c r="AW798" s="225"/>
      <c r="AX798" s="226"/>
      <c r="AY798" s="225"/>
      <c r="AZ798" s="225"/>
      <c r="BA798" s="226"/>
      <c r="BB798" s="225"/>
      <c r="BC798" s="225"/>
      <c r="BD798" s="225"/>
      <c r="BE798" s="225"/>
      <c r="BF798" s="225"/>
      <c r="BG798" s="225"/>
      <c r="BH798" s="225"/>
      <c r="BI798" s="225"/>
      <c r="BJ798" s="225"/>
      <c r="BK798" s="225"/>
      <c r="BL798" s="225"/>
      <c r="BM798" s="225"/>
      <c r="BN798" s="225"/>
      <c r="BO798" s="225"/>
      <c r="BP798" s="225"/>
      <c r="BQ798" s="225"/>
      <c r="BR798" s="225"/>
      <c r="BS798" s="225"/>
      <c r="BT798" s="226"/>
      <c r="BU798" s="225"/>
      <c r="BV798" s="225"/>
      <c r="BW798" s="225"/>
      <c r="BX798" s="225"/>
      <c r="BY798" s="225"/>
      <c r="BZ798" s="225"/>
    </row>
    <row r="799">
      <c r="A799" s="225"/>
      <c r="B799" s="225"/>
      <c r="C799" s="225"/>
      <c r="D799" s="226"/>
      <c r="E799" s="225"/>
      <c r="F799" s="225"/>
      <c r="G799" s="225"/>
      <c r="H799" s="225"/>
      <c r="I799" s="225"/>
      <c r="J799" s="225"/>
      <c r="K799" s="244"/>
      <c r="L799" s="225"/>
      <c r="M799" s="225"/>
      <c r="N799" s="225"/>
      <c r="O799" s="225"/>
      <c r="P799" s="225"/>
      <c r="Q799" s="227"/>
      <c r="R799" s="234"/>
      <c r="S799" s="225"/>
      <c r="T799" s="225"/>
      <c r="U799" s="225"/>
      <c r="V799" s="225"/>
      <c r="W799" s="225"/>
      <c r="X799" s="225"/>
      <c r="Y799" s="229"/>
      <c r="Z799" s="257"/>
      <c r="AA799" s="225"/>
      <c r="AB799" s="257"/>
      <c r="AC799" s="257"/>
      <c r="AD799" s="226"/>
      <c r="AE799" s="259"/>
      <c r="AF799" s="347"/>
      <c r="AG799" s="232"/>
      <c r="AH799" s="257"/>
      <c r="AI799" s="225"/>
      <c r="AJ799" s="267"/>
      <c r="AK799" s="259"/>
      <c r="AL799" s="226"/>
      <c r="AM799" s="225"/>
      <c r="AN799" s="225"/>
      <c r="AO799" s="254"/>
      <c r="AP799" s="225"/>
      <c r="AQ799" s="225"/>
      <c r="AR799" s="226"/>
      <c r="AS799" s="225"/>
      <c r="AT799" s="225"/>
      <c r="AU799" s="225"/>
      <c r="AV799" s="225"/>
      <c r="AW799" s="225"/>
      <c r="AX799" s="226"/>
      <c r="AY799" s="225"/>
      <c r="AZ799" s="225"/>
      <c r="BA799" s="226"/>
      <c r="BB799" s="225"/>
      <c r="BC799" s="225"/>
      <c r="BD799" s="225"/>
      <c r="BE799" s="225"/>
      <c r="BF799" s="225"/>
      <c r="BG799" s="225"/>
      <c r="BH799" s="225"/>
      <c r="BI799" s="225"/>
      <c r="BJ799" s="225"/>
      <c r="BK799" s="225"/>
      <c r="BL799" s="225"/>
      <c r="BM799" s="225"/>
      <c r="BN799" s="225"/>
      <c r="BO799" s="225"/>
      <c r="BP799" s="225"/>
      <c r="BQ799" s="225"/>
      <c r="BR799" s="225"/>
      <c r="BS799" s="225"/>
      <c r="BT799" s="226"/>
      <c r="BU799" s="225"/>
      <c r="BV799" s="225"/>
      <c r="BW799" s="225"/>
      <c r="BX799" s="225"/>
      <c r="BY799" s="225"/>
      <c r="BZ799" s="225"/>
    </row>
    <row r="800">
      <c r="A800" s="225"/>
      <c r="B800" s="225"/>
      <c r="C800" s="225"/>
      <c r="D800" s="226"/>
      <c r="E800" s="225"/>
      <c r="F800" s="225"/>
      <c r="G800" s="225"/>
      <c r="H800" s="225"/>
      <c r="I800" s="225"/>
      <c r="J800" s="225"/>
      <c r="K800" s="244"/>
      <c r="L800" s="225"/>
      <c r="M800" s="225"/>
      <c r="N800" s="225"/>
      <c r="O800" s="225"/>
      <c r="P800" s="225"/>
      <c r="Q800" s="227"/>
      <c r="R800" s="234"/>
      <c r="S800" s="225"/>
      <c r="T800" s="225"/>
      <c r="U800" s="225"/>
      <c r="V800" s="225"/>
      <c r="W800" s="225"/>
      <c r="X800" s="225"/>
      <c r="Y800" s="229"/>
      <c r="Z800" s="257"/>
      <c r="AA800" s="225"/>
      <c r="AB800" s="257"/>
      <c r="AC800" s="257"/>
      <c r="AD800" s="226"/>
      <c r="AE800" s="259"/>
      <c r="AF800" s="347"/>
      <c r="AG800" s="232"/>
      <c r="AH800" s="257"/>
      <c r="AI800" s="225"/>
      <c r="AJ800" s="267"/>
      <c r="AK800" s="259"/>
      <c r="AL800" s="226"/>
      <c r="AM800" s="225"/>
      <c r="AN800" s="225"/>
      <c r="AO800" s="254"/>
      <c r="AP800" s="225"/>
      <c r="AQ800" s="225"/>
      <c r="AR800" s="226"/>
      <c r="AS800" s="225"/>
      <c r="AT800" s="225"/>
      <c r="AU800" s="225"/>
      <c r="AV800" s="225"/>
      <c r="AW800" s="225"/>
      <c r="AX800" s="226"/>
      <c r="AY800" s="225"/>
      <c r="AZ800" s="225"/>
      <c r="BA800" s="226"/>
      <c r="BB800" s="225"/>
      <c r="BC800" s="225"/>
      <c r="BD800" s="225"/>
      <c r="BE800" s="225"/>
      <c r="BF800" s="225"/>
      <c r="BG800" s="225"/>
      <c r="BH800" s="225"/>
      <c r="BI800" s="225"/>
      <c r="BJ800" s="225"/>
      <c r="BK800" s="225"/>
      <c r="BL800" s="225"/>
      <c r="BM800" s="225"/>
      <c r="BN800" s="225"/>
      <c r="BO800" s="225"/>
      <c r="BP800" s="225"/>
      <c r="BQ800" s="225"/>
      <c r="BR800" s="225"/>
      <c r="BS800" s="225"/>
      <c r="BT800" s="226"/>
      <c r="BU800" s="225"/>
      <c r="BV800" s="225"/>
      <c r="BW800" s="225"/>
      <c r="BX800" s="225"/>
      <c r="BY800" s="225"/>
      <c r="BZ800" s="225"/>
    </row>
    <row r="801">
      <c r="A801" s="225"/>
      <c r="B801" s="225"/>
      <c r="C801" s="225"/>
      <c r="D801" s="226"/>
      <c r="E801" s="225"/>
      <c r="F801" s="225"/>
      <c r="G801" s="225"/>
      <c r="H801" s="225"/>
      <c r="I801" s="225"/>
      <c r="J801" s="225"/>
      <c r="K801" s="244"/>
      <c r="L801" s="225"/>
      <c r="M801" s="225"/>
      <c r="N801" s="225"/>
      <c r="O801" s="225"/>
      <c r="P801" s="225"/>
      <c r="Q801" s="227"/>
      <c r="R801" s="234"/>
      <c r="S801" s="225"/>
      <c r="T801" s="225"/>
      <c r="U801" s="225"/>
      <c r="V801" s="225"/>
      <c r="W801" s="225"/>
      <c r="X801" s="225"/>
      <c r="Y801" s="229"/>
      <c r="Z801" s="257"/>
      <c r="AA801" s="225"/>
      <c r="AB801" s="257"/>
      <c r="AC801" s="257"/>
      <c r="AD801" s="226"/>
      <c r="AE801" s="259"/>
      <c r="AF801" s="347"/>
      <c r="AG801" s="232"/>
      <c r="AH801" s="230"/>
      <c r="AI801" s="225"/>
      <c r="AJ801" s="267"/>
      <c r="AK801" s="259"/>
      <c r="AL801" s="226"/>
      <c r="AM801" s="225"/>
      <c r="AN801" s="225"/>
      <c r="AO801" s="254"/>
      <c r="AP801" s="225"/>
      <c r="AQ801" s="225"/>
      <c r="AR801" s="226"/>
      <c r="AS801" s="225"/>
      <c r="AT801" s="225"/>
      <c r="AU801" s="225"/>
      <c r="AV801" s="225"/>
      <c r="AW801" s="225"/>
      <c r="AX801" s="226"/>
      <c r="AY801" s="225"/>
      <c r="AZ801" s="225"/>
      <c r="BA801" s="226"/>
      <c r="BB801" s="225"/>
      <c r="BC801" s="225"/>
      <c r="BD801" s="225"/>
      <c r="BE801" s="225"/>
      <c r="BF801" s="225"/>
      <c r="BG801" s="225"/>
      <c r="BH801" s="225"/>
      <c r="BI801" s="225"/>
      <c r="BJ801" s="225"/>
      <c r="BK801" s="225"/>
      <c r="BL801" s="225"/>
      <c r="BM801" s="225"/>
      <c r="BN801" s="225"/>
      <c r="BO801" s="225"/>
      <c r="BP801" s="225"/>
      <c r="BQ801" s="225"/>
      <c r="BR801" s="225"/>
      <c r="BS801" s="225"/>
      <c r="BT801" s="226"/>
      <c r="BU801" s="225"/>
      <c r="BV801" s="225"/>
      <c r="BW801" s="225"/>
      <c r="BX801" s="225"/>
      <c r="BY801" s="225"/>
      <c r="BZ801" s="225"/>
    </row>
    <row r="802">
      <c r="A802" s="225"/>
      <c r="B802" s="225"/>
      <c r="C802" s="225"/>
      <c r="D802" s="226"/>
      <c r="E802" s="225"/>
      <c r="F802" s="225"/>
      <c r="G802" s="225"/>
      <c r="H802" s="225"/>
      <c r="I802" s="225"/>
      <c r="J802" s="225"/>
      <c r="K802" s="244"/>
      <c r="L802" s="225"/>
      <c r="M802" s="225"/>
      <c r="N802" s="225"/>
      <c r="O802" s="225"/>
      <c r="P802" s="225"/>
      <c r="Q802" s="227"/>
      <c r="R802" s="234"/>
      <c r="S802" s="244"/>
      <c r="T802" s="225"/>
      <c r="U802" s="225"/>
      <c r="V802" s="225"/>
      <c r="W802" s="225"/>
      <c r="X802" s="225"/>
      <c r="Y802" s="229"/>
      <c r="Z802" s="257"/>
      <c r="AA802" s="225"/>
      <c r="AB802" s="257"/>
      <c r="AC802" s="257"/>
      <c r="AD802" s="349"/>
      <c r="AE802" s="259"/>
      <c r="AF802" s="347"/>
      <c r="AG802" s="232"/>
      <c r="AH802" s="230"/>
      <c r="AI802" s="234"/>
      <c r="AJ802" s="267"/>
      <c r="AK802" s="259"/>
      <c r="AL802" s="232"/>
      <c r="AM802" s="225"/>
      <c r="AN802" s="225"/>
      <c r="AO802" s="254"/>
      <c r="AP802" s="225"/>
      <c r="AQ802" s="257"/>
      <c r="AR802" s="256"/>
      <c r="AS802" s="225"/>
      <c r="AT802" s="257"/>
      <c r="AU802" s="225"/>
      <c r="AV802" s="267"/>
      <c r="AW802" s="259"/>
      <c r="AX802" s="226"/>
      <c r="AY802" s="225"/>
      <c r="AZ802" s="225"/>
      <c r="BA802" s="254"/>
      <c r="BB802" s="225"/>
      <c r="BC802" s="225"/>
      <c r="BD802" s="225"/>
      <c r="BE802" s="225"/>
      <c r="BF802" s="225"/>
      <c r="BG802" s="225"/>
      <c r="BH802" s="225"/>
      <c r="BI802" s="225"/>
      <c r="BJ802" s="225"/>
      <c r="BK802" s="225"/>
      <c r="BL802" s="225"/>
      <c r="BM802" s="225"/>
      <c r="BN802" s="225"/>
      <c r="BO802" s="225"/>
      <c r="BP802" s="225"/>
      <c r="BQ802" s="225"/>
      <c r="BR802" s="225"/>
      <c r="BS802" s="225"/>
      <c r="BT802" s="226"/>
      <c r="BU802" s="225"/>
      <c r="BV802" s="225"/>
      <c r="BW802" s="225"/>
      <c r="BX802" s="225"/>
      <c r="BY802" s="225"/>
      <c r="BZ802" s="225"/>
    </row>
    <row r="803">
      <c r="A803" s="225"/>
      <c r="B803" s="225"/>
      <c r="C803" s="225"/>
      <c r="D803" s="226"/>
      <c r="E803" s="225"/>
      <c r="F803" s="225"/>
      <c r="G803" s="225"/>
      <c r="H803" s="225"/>
      <c r="I803" s="225"/>
      <c r="J803" s="225"/>
      <c r="K803" s="244"/>
      <c r="L803" s="225"/>
      <c r="M803" s="225"/>
      <c r="N803" s="225"/>
      <c r="O803" s="225"/>
      <c r="P803" s="225"/>
      <c r="Q803" s="227"/>
      <c r="R803" s="234"/>
      <c r="S803" s="244"/>
      <c r="T803" s="225"/>
      <c r="U803" s="225"/>
      <c r="V803" s="225"/>
      <c r="W803" s="225"/>
      <c r="X803" s="225"/>
      <c r="Y803" s="229"/>
      <c r="Z803" s="257"/>
      <c r="AA803" s="225"/>
      <c r="AB803" s="257"/>
      <c r="AC803" s="257"/>
      <c r="AD803" s="349"/>
      <c r="AE803" s="259"/>
      <c r="AF803" s="347"/>
      <c r="AG803" s="232"/>
      <c r="AH803" s="266"/>
      <c r="AI803" s="234"/>
      <c r="AJ803" s="267"/>
      <c r="AK803" s="259"/>
      <c r="AL803" s="229"/>
      <c r="AM803" s="225"/>
      <c r="AN803" s="225"/>
      <c r="AO803" s="254"/>
      <c r="AP803" s="225"/>
      <c r="AQ803" s="269"/>
      <c r="AR803" s="226"/>
      <c r="AS803" s="225"/>
      <c r="AT803" s="269"/>
      <c r="AU803" s="225"/>
      <c r="AV803" s="271"/>
      <c r="AW803" s="271"/>
      <c r="AX803" s="226"/>
      <c r="AY803" s="225"/>
      <c r="AZ803" s="225"/>
      <c r="BA803" s="272"/>
      <c r="BB803" s="271"/>
      <c r="BC803" s="225"/>
      <c r="BD803" s="225"/>
      <c r="BE803" s="225"/>
      <c r="BF803" s="225"/>
      <c r="BG803" s="225"/>
      <c r="BH803" s="225"/>
      <c r="BI803" s="225"/>
      <c r="BJ803" s="225"/>
      <c r="BK803" s="225"/>
      <c r="BL803" s="225"/>
      <c r="BM803" s="225"/>
      <c r="BN803" s="225"/>
      <c r="BO803" s="225"/>
      <c r="BP803" s="225"/>
      <c r="BQ803" s="225"/>
      <c r="BR803" s="225"/>
      <c r="BS803" s="225"/>
      <c r="BT803" s="226"/>
      <c r="BU803" s="225"/>
      <c r="BV803" s="225"/>
      <c r="BW803" s="225"/>
      <c r="BX803" s="225"/>
      <c r="BY803" s="225"/>
      <c r="BZ803" s="225"/>
    </row>
    <row r="804">
      <c r="A804" s="225"/>
      <c r="B804" s="225"/>
      <c r="C804" s="225"/>
      <c r="D804" s="226"/>
      <c r="E804" s="225"/>
      <c r="F804" s="225"/>
      <c r="G804" s="225"/>
      <c r="H804" s="225"/>
      <c r="I804" s="225"/>
      <c r="J804" s="225"/>
      <c r="K804" s="244"/>
      <c r="L804" s="225"/>
      <c r="M804" s="225"/>
      <c r="N804" s="225"/>
      <c r="O804" s="225"/>
      <c r="P804" s="225"/>
      <c r="Q804" s="227"/>
      <c r="R804" s="234"/>
      <c r="S804" s="244"/>
      <c r="T804" s="225"/>
      <c r="U804" s="225"/>
      <c r="V804" s="225"/>
      <c r="W804" s="225"/>
      <c r="X804" s="225"/>
      <c r="Y804" s="229"/>
      <c r="Z804" s="257"/>
      <c r="AA804" s="225"/>
      <c r="AB804" s="257"/>
      <c r="AC804" s="257"/>
      <c r="AD804" s="349"/>
      <c r="AE804" s="259"/>
      <c r="AF804" s="347"/>
      <c r="AG804" s="232"/>
      <c r="AH804" s="257"/>
      <c r="AI804" s="234"/>
      <c r="AJ804" s="267"/>
      <c r="AK804" s="259"/>
      <c r="AL804" s="229"/>
      <c r="AM804" s="225"/>
      <c r="AN804" s="225"/>
      <c r="AO804" s="254"/>
      <c r="AP804" s="225"/>
      <c r="AQ804" s="269"/>
      <c r="AR804" s="226"/>
      <c r="AS804" s="225"/>
      <c r="AT804" s="269"/>
      <c r="AU804" s="225"/>
      <c r="AV804" s="230"/>
      <c r="AW804" s="281"/>
      <c r="AX804" s="226"/>
      <c r="AY804" s="225"/>
      <c r="AZ804" s="225"/>
      <c r="BA804" s="243"/>
      <c r="BB804" s="281"/>
      <c r="BC804" s="225"/>
      <c r="BD804" s="225"/>
      <c r="BE804" s="225"/>
      <c r="BF804" s="225"/>
      <c r="BG804" s="225"/>
      <c r="BH804" s="225"/>
      <c r="BI804" s="225"/>
      <c r="BJ804" s="225"/>
      <c r="BK804" s="225"/>
      <c r="BL804" s="225"/>
      <c r="BM804" s="225"/>
      <c r="BN804" s="225"/>
      <c r="BO804" s="225"/>
      <c r="BP804" s="225"/>
      <c r="BQ804" s="225"/>
      <c r="BR804" s="225"/>
      <c r="BS804" s="225"/>
      <c r="BT804" s="226"/>
      <c r="BU804" s="225"/>
      <c r="BV804" s="225"/>
      <c r="BW804" s="225"/>
      <c r="BX804" s="225"/>
      <c r="BY804" s="225"/>
      <c r="BZ804" s="225"/>
    </row>
    <row r="805">
      <c r="A805" s="225"/>
      <c r="B805" s="225"/>
      <c r="C805" s="225"/>
      <c r="D805" s="226"/>
      <c r="E805" s="225"/>
      <c r="F805" s="225"/>
      <c r="G805" s="225"/>
      <c r="H805" s="225"/>
      <c r="I805" s="225"/>
      <c r="J805" s="225"/>
      <c r="K805" s="244"/>
      <c r="L805" s="225"/>
      <c r="M805" s="225"/>
      <c r="N805" s="225"/>
      <c r="O805" s="225"/>
      <c r="P805" s="225"/>
      <c r="Q805" s="227"/>
      <c r="R805" s="234"/>
      <c r="S805" s="244"/>
      <c r="T805" s="225"/>
      <c r="U805" s="225"/>
      <c r="V805" s="225"/>
      <c r="W805" s="225"/>
      <c r="X805" s="225"/>
      <c r="Y805" s="229"/>
      <c r="Z805" s="257"/>
      <c r="AA805" s="225"/>
      <c r="AB805" s="257"/>
      <c r="AC805" s="257"/>
      <c r="AD805" s="349"/>
      <c r="AE805" s="259"/>
      <c r="AF805" s="347"/>
      <c r="AG805" s="232"/>
      <c r="AH805" s="287"/>
      <c r="AI805" s="234"/>
      <c r="AJ805" s="267"/>
      <c r="AK805" s="259"/>
      <c r="AL805" s="229"/>
      <c r="AM805" s="225"/>
      <c r="AN805" s="225"/>
      <c r="AO805" s="254"/>
      <c r="AP805" s="225"/>
      <c r="AQ805" s="269"/>
      <c r="AR805" s="226"/>
      <c r="AS805" s="225"/>
      <c r="AT805" s="269"/>
      <c r="AU805" s="225"/>
      <c r="AV805" s="350"/>
      <c r="AW805" s="291"/>
      <c r="AX805" s="226"/>
      <c r="AY805" s="284"/>
      <c r="AZ805" s="225"/>
      <c r="BA805" s="292"/>
      <c r="BB805" s="291"/>
      <c r="BC805" s="225"/>
      <c r="BD805" s="225"/>
      <c r="BE805" s="225"/>
      <c r="BF805" s="225"/>
      <c r="BG805" s="225"/>
      <c r="BH805" s="225"/>
      <c r="BI805" s="225"/>
      <c r="BJ805" s="225"/>
      <c r="BK805" s="225"/>
      <c r="BL805" s="225"/>
      <c r="BM805" s="225"/>
      <c r="BN805" s="225"/>
      <c r="BO805" s="225"/>
      <c r="BP805" s="225"/>
      <c r="BQ805" s="225"/>
      <c r="BR805" s="225"/>
      <c r="BS805" s="225"/>
      <c r="BT805" s="226"/>
      <c r="BU805" s="225"/>
      <c r="BV805" s="225"/>
      <c r="BW805" s="225"/>
      <c r="BX805" s="225"/>
      <c r="BY805" s="225"/>
      <c r="BZ805" s="225"/>
    </row>
    <row r="806">
      <c r="A806" s="225"/>
      <c r="B806" s="225"/>
      <c r="C806" s="225"/>
      <c r="D806" s="226"/>
      <c r="E806" s="225"/>
      <c r="F806" s="225"/>
      <c r="G806" s="225"/>
      <c r="H806" s="225"/>
      <c r="I806" s="225"/>
      <c r="J806" s="225"/>
      <c r="K806" s="244"/>
      <c r="L806" s="225"/>
      <c r="M806" s="225"/>
      <c r="N806" s="225"/>
      <c r="O806" s="225"/>
      <c r="P806" s="225"/>
      <c r="Q806" s="227"/>
      <c r="R806" s="234"/>
      <c r="S806" s="244"/>
      <c r="T806" s="225"/>
      <c r="U806" s="225"/>
      <c r="V806" s="225"/>
      <c r="W806" s="225"/>
      <c r="X806" s="225"/>
      <c r="Y806" s="229"/>
      <c r="Z806" s="257"/>
      <c r="AA806" s="225"/>
      <c r="AB806" s="257"/>
      <c r="AC806" s="257"/>
      <c r="AD806" s="349"/>
      <c r="AE806" s="259"/>
      <c r="AF806" s="347"/>
      <c r="AG806" s="232"/>
      <c r="AH806" s="295"/>
      <c r="AI806" s="234"/>
      <c r="AJ806" s="267"/>
      <c r="AK806" s="259"/>
      <c r="AL806" s="229"/>
      <c r="AM806" s="225"/>
      <c r="AN806" s="225"/>
      <c r="AO806" s="254"/>
      <c r="AP806" s="225"/>
      <c r="AQ806" s="269"/>
      <c r="AR806" s="297"/>
      <c r="AS806" s="225"/>
      <c r="AT806" s="269"/>
      <c r="AU806" s="225"/>
      <c r="AV806" s="351"/>
      <c r="AW806" s="291"/>
      <c r="AX806" s="226"/>
      <c r="AY806" s="225"/>
      <c r="AZ806" s="225"/>
      <c r="BA806" s="300"/>
      <c r="BB806" s="298"/>
      <c r="BC806" s="225"/>
      <c r="BD806" s="225"/>
      <c r="BE806" s="225"/>
      <c r="BF806" s="225"/>
      <c r="BG806" s="225"/>
      <c r="BH806" s="225"/>
      <c r="BI806" s="225"/>
      <c r="BJ806" s="225"/>
      <c r="BK806" s="225"/>
      <c r="BL806" s="225"/>
      <c r="BM806" s="225"/>
      <c r="BN806" s="225"/>
      <c r="BO806" s="225"/>
      <c r="BP806" s="225"/>
      <c r="BQ806" s="225"/>
      <c r="BR806" s="225"/>
      <c r="BS806" s="225"/>
      <c r="BT806" s="226"/>
      <c r="BU806" s="225"/>
      <c r="BV806" s="225"/>
      <c r="BW806" s="225"/>
      <c r="BX806" s="225"/>
      <c r="BY806" s="225"/>
      <c r="BZ806" s="225"/>
    </row>
    <row r="807">
      <c r="A807" s="225"/>
      <c r="B807" s="225"/>
      <c r="C807" s="225"/>
      <c r="D807" s="226"/>
      <c r="E807" s="225"/>
      <c r="F807" s="225"/>
      <c r="G807" s="225"/>
      <c r="H807" s="225"/>
      <c r="I807" s="225"/>
      <c r="J807" s="225"/>
      <c r="K807" s="244"/>
      <c r="L807" s="225"/>
      <c r="M807" s="225"/>
      <c r="N807" s="225"/>
      <c r="O807" s="225"/>
      <c r="P807" s="225"/>
      <c r="Q807" s="227"/>
      <c r="R807" s="234"/>
      <c r="S807" s="244"/>
      <c r="T807" s="225"/>
      <c r="U807" s="225"/>
      <c r="V807" s="225"/>
      <c r="W807" s="225"/>
      <c r="X807" s="225"/>
      <c r="Y807" s="229"/>
      <c r="Z807" s="257"/>
      <c r="AA807" s="225"/>
      <c r="AB807" s="257"/>
      <c r="AC807" s="257"/>
      <c r="AD807" s="226"/>
      <c r="AE807" s="259"/>
      <c r="AF807" s="347"/>
      <c r="AG807" s="232"/>
      <c r="AH807" s="266"/>
      <c r="AI807" s="225"/>
      <c r="AJ807" s="267"/>
      <c r="AK807" s="259"/>
      <c r="AL807" s="226"/>
      <c r="AM807" s="225"/>
      <c r="AN807" s="225"/>
      <c r="AO807" s="254"/>
      <c r="AP807" s="225"/>
      <c r="AQ807" s="225"/>
      <c r="AR807" s="232"/>
      <c r="AS807" s="225"/>
      <c r="AT807" s="225"/>
      <c r="AU807" s="225"/>
      <c r="AV807" s="328"/>
      <c r="AW807" s="257"/>
      <c r="AX807" s="226"/>
      <c r="AY807" s="225"/>
      <c r="AZ807" s="225"/>
      <c r="BA807" s="303"/>
      <c r="BB807" s="302"/>
      <c r="BC807" s="225"/>
      <c r="BD807" s="225"/>
      <c r="BE807" s="225"/>
      <c r="BF807" s="225"/>
      <c r="BG807" s="225"/>
      <c r="BH807" s="225"/>
      <c r="BI807" s="225"/>
      <c r="BJ807" s="225"/>
      <c r="BK807" s="225"/>
      <c r="BL807" s="225"/>
      <c r="BM807" s="225"/>
      <c r="BN807" s="225"/>
      <c r="BO807" s="225"/>
      <c r="BP807" s="225"/>
      <c r="BQ807" s="225"/>
      <c r="BR807" s="225"/>
      <c r="BS807" s="225"/>
      <c r="BT807" s="226"/>
      <c r="BU807" s="225"/>
      <c r="BV807" s="225"/>
      <c r="BW807" s="225"/>
      <c r="BX807" s="225"/>
      <c r="BY807" s="225"/>
      <c r="BZ807" s="225"/>
    </row>
    <row r="808">
      <c r="A808" s="225"/>
      <c r="B808" s="225"/>
      <c r="C808" s="225"/>
      <c r="D808" s="226"/>
      <c r="E808" s="225"/>
      <c r="F808" s="225"/>
      <c r="G808" s="225"/>
      <c r="H808" s="225"/>
      <c r="I808" s="225"/>
      <c r="J808" s="225"/>
      <c r="K808" s="244"/>
      <c r="L808" s="225"/>
      <c r="M808" s="225"/>
      <c r="N808" s="225"/>
      <c r="O808" s="225"/>
      <c r="P808" s="225"/>
      <c r="Q808" s="227"/>
      <c r="R808" s="234"/>
      <c r="S808" s="244"/>
      <c r="T808" s="225"/>
      <c r="U808" s="225"/>
      <c r="V808" s="225"/>
      <c r="W808" s="225"/>
      <c r="X808" s="225"/>
      <c r="Y808" s="229"/>
      <c r="Z808" s="257"/>
      <c r="AA808" s="225"/>
      <c r="AB808" s="257"/>
      <c r="AC808" s="257"/>
      <c r="AD808" s="349"/>
      <c r="AE808" s="259"/>
      <c r="AF808" s="347"/>
      <c r="AG808" s="232"/>
      <c r="AH808" s="305"/>
      <c r="AI808" s="234"/>
      <c r="AJ808" s="267"/>
      <c r="AK808" s="259"/>
      <c r="AL808" s="226"/>
      <c r="AM808" s="225"/>
      <c r="AN808" s="225"/>
      <c r="AO808" s="254"/>
      <c r="AP808" s="225"/>
      <c r="AQ808" s="225"/>
      <c r="AR808" s="232"/>
      <c r="AS808" s="225"/>
      <c r="AT808" s="257"/>
      <c r="AU808" s="225"/>
      <c r="AV808" s="267"/>
      <c r="AW808" s="257"/>
      <c r="AX808" s="226"/>
      <c r="AY808" s="225"/>
      <c r="AZ808" s="225"/>
      <c r="BA808" s="254"/>
      <c r="BB808" s="225"/>
      <c r="BC808" s="225"/>
      <c r="BD808" s="225"/>
      <c r="BE808" s="225"/>
      <c r="BF808" s="225"/>
      <c r="BG808" s="225"/>
      <c r="BH808" s="225"/>
      <c r="BI808" s="225"/>
      <c r="BJ808" s="225"/>
      <c r="BK808" s="225"/>
      <c r="BL808" s="225"/>
      <c r="BM808" s="225"/>
      <c r="BN808" s="225"/>
      <c r="BO808" s="225"/>
      <c r="BP808" s="225"/>
      <c r="BQ808" s="225"/>
      <c r="BR808" s="225"/>
      <c r="BS808" s="225"/>
      <c r="BT808" s="226"/>
      <c r="BU808" s="225"/>
      <c r="BV808" s="225"/>
      <c r="BW808" s="225"/>
      <c r="BX808" s="225"/>
      <c r="BY808" s="225"/>
      <c r="BZ808" s="225"/>
    </row>
    <row r="809">
      <c r="A809" s="225"/>
      <c r="B809" s="225"/>
      <c r="C809" s="225"/>
      <c r="D809" s="226"/>
      <c r="E809" s="225"/>
      <c r="F809" s="225"/>
      <c r="G809" s="225"/>
      <c r="H809" s="225"/>
      <c r="I809" s="225"/>
      <c r="J809" s="225"/>
      <c r="K809" s="244"/>
      <c r="L809" s="225"/>
      <c r="M809" s="225"/>
      <c r="N809" s="225"/>
      <c r="O809" s="225"/>
      <c r="P809" s="225"/>
      <c r="Q809" s="227"/>
      <c r="R809" s="234"/>
      <c r="S809" s="244"/>
      <c r="T809" s="225"/>
      <c r="U809" s="225"/>
      <c r="V809" s="225"/>
      <c r="W809" s="225"/>
      <c r="X809" s="225"/>
      <c r="Y809" s="229"/>
      <c r="Z809" s="257"/>
      <c r="AA809" s="225"/>
      <c r="AB809" s="257"/>
      <c r="AC809" s="257"/>
      <c r="AD809" s="349"/>
      <c r="AE809" s="259"/>
      <c r="AF809" s="347"/>
      <c r="AG809" s="232"/>
      <c r="AH809" s="305"/>
      <c r="AI809" s="234"/>
      <c r="AJ809" s="267"/>
      <c r="AK809" s="259"/>
      <c r="AL809" s="226"/>
      <c r="AM809" s="225"/>
      <c r="AN809" s="225"/>
      <c r="AO809" s="254"/>
      <c r="AP809" s="225"/>
      <c r="AQ809" s="225"/>
      <c r="AR809" s="226"/>
      <c r="AS809" s="225"/>
      <c r="AT809" s="225"/>
      <c r="AU809" s="225"/>
      <c r="AV809" s="352"/>
      <c r="AW809" s="291"/>
      <c r="AX809" s="226"/>
      <c r="AY809" s="225"/>
      <c r="AZ809" s="225"/>
      <c r="BA809" s="311"/>
      <c r="BB809" s="291"/>
      <c r="BC809" s="225"/>
      <c r="BD809" s="225"/>
      <c r="BE809" s="225"/>
      <c r="BF809" s="225"/>
      <c r="BG809" s="225"/>
      <c r="BH809" s="225"/>
      <c r="BI809" s="225"/>
      <c r="BJ809" s="225"/>
      <c r="BK809" s="225"/>
      <c r="BL809" s="225"/>
      <c r="BM809" s="225"/>
      <c r="BN809" s="225"/>
      <c r="BO809" s="225"/>
      <c r="BP809" s="225"/>
      <c r="BQ809" s="225"/>
      <c r="BR809" s="225"/>
      <c r="BS809" s="225"/>
      <c r="BT809" s="226"/>
      <c r="BU809" s="225"/>
      <c r="BV809" s="225"/>
      <c r="BW809" s="225"/>
      <c r="BX809" s="225"/>
      <c r="BY809" s="225"/>
      <c r="BZ809" s="225"/>
    </row>
    <row r="810">
      <c r="A810" s="225"/>
      <c r="B810" s="225"/>
      <c r="C810" s="225"/>
      <c r="D810" s="226"/>
      <c r="E810" s="225"/>
      <c r="F810" s="225"/>
      <c r="G810" s="225"/>
      <c r="H810" s="225"/>
      <c r="I810" s="225"/>
      <c r="J810" s="225"/>
      <c r="K810" s="244"/>
      <c r="L810" s="225"/>
      <c r="M810" s="225"/>
      <c r="N810" s="225"/>
      <c r="O810" s="225"/>
      <c r="P810" s="225"/>
      <c r="Q810" s="227"/>
      <c r="R810" s="234"/>
      <c r="S810" s="244"/>
      <c r="T810" s="225"/>
      <c r="U810" s="225"/>
      <c r="V810" s="225"/>
      <c r="W810" s="225"/>
      <c r="X810" s="225"/>
      <c r="Y810" s="229"/>
      <c r="Z810" s="257"/>
      <c r="AA810" s="225"/>
      <c r="AB810" s="257"/>
      <c r="AC810" s="257"/>
      <c r="AD810" s="232"/>
      <c r="AE810" s="259"/>
      <c r="AF810" s="347"/>
      <c r="AG810" s="232"/>
      <c r="AH810" s="230"/>
      <c r="AI810" s="225"/>
      <c r="AJ810" s="267"/>
      <c r="AK810" s="259"/>
      <c r="AL810" s="232"/>
      <c r="AM810" s="225"/>
      <c r="AN810" s="225"/>
      <c r="AO810" s="254"/>
      <c r="AP810" s="257"/>
      <c r="AQ810" s="257"/>
      <c r="AR810" s="232"/>
      <c r="AS810" s="225"/>
      <c r="AT810" s="257"/>
      <c r="AU810" s="257"/>
      <c r="AV810" s="257"/>
      <c r="AW810" s="257"/>
      <c r="AX810" s="226"/>
      <c r="AY810" s="225"/>
      <c r="AZ810" s="225"/>
      <c r="BA810" s="313"/>
      <c r="BB810" s="234"/>
      <c r="BC810" s="225"/>
      <c r="BD810" s="225"/>
      <c r="BE810" s="225"/>
      <c r="BF810" s="225"/>
      <c r="BG810" s="225"/>
      <c r="BH810" s="225"/>
      <c r="BI810" s="225"/>
      <c r="BJ810" s="225"/>
      <c r="BK810" s="225"/>
      <c r="BL810" s="225"/>
      <c r="BM810" s="225"/>
      <c r="BN810" s="225"/>
      <c r="BO810" s="225"/>
      <c r="BP810" s="225"/>
      <c r="BQ810" s="225"/>
      <c r="BR810" s="225"/>
      <c r="BS810" s="225"/>
      <c r="BT810" s="226"/>
      <c r="BU810" s="225"/>
      <c r="BV810" s="225"/>
      <c r="BW810" s="225"/>
      <c r="BX810" s="225"/>
      <c r="BY810" s="225"/>
      <c r="BZ810" s="225"/>
    </row>
    <row r="811">
      <c r="A811" s="225"/>
      <c r="B811" s="225"/>
      <c r="C811" s="225"/>
      <c r="D811" s="226"/>
      <c r="E811" s="225"/>
      <c r="F811" s="225"/>
      <c r="G811" s="225"/>
      <c r="H811" s="225"/>
      <c r="I811" s="225"/>
      <c r="J811" s="225"/>
      <c r="K811" s="244"/>
      <c r="L811" s="225"/>
      <c r="M811" s="225"/>
      <c r="N811" s="225"/>
      <c r="O811" s="225"/>
      <c r="P811" s="225"/>
      <c r="Q811" s="227"/>
      <c r="R811" s="234"/>
      <c r="S811" s="244"/>
      <c r="T811" s="225"/>
      <c r="U811" s="225"/>
      <c r="V811" s="225"/>
      <c r="W811" s="225"/>
      <c r="X811" s="225"/>
      <c r="Y811" s="229"/>
      <c r="Z811" s="257"/>
      <c r="AA811" s="225"/>
      <c r="AB811" s="257"/>
      <c r="AC811" s="257"/>
      <c r="AD811" s="226"/>
      <c r="AE811" s="259"/>
      <c r="AF811" s="347"/>
      <c r="AG811" s="232"/>
      <c r="AH811" s="315"/>
      <c r="AI811" s="225"/>
      <c r="AJ811" s="267"/>
      <c r="AK811" s="259"/>
      <c r="AL811" s="297"/>
      <c r="AM811" s="225"/>
      <c r="AN811" s="225"/>
      <c r="AO811" s="254"/>
      <c r="AP811" s="225"/>
      <c r="AQ811" s="291"/>
      <c r="AR811" s="226"/>
      <c r="AS811" s="225"/>
      <c r="AT811" s="291"/>
      <c r="AU811" s="225"/>
      <c r="AV811" s="339"/>
      <c r="AW811" s="234"/>
      <c r="AX811" s="226"/>
      <c r="AY811" s="225"/>
      <c r="AZ811" s="225"/>
      <c r="BA811" s="319"/>
      <c r="BB811" s="234"/>
      <c r="BC811" s="225"/>
      <c r="BD811" s="225"/>
      <c r="BE811" s="225"/>
      <c r="BF811" s="225"/>
      <c r="BG811" s="225"/>
      <c r="BH811" s="225"/>
      <c r="BI811" s="225"/>
      <c r="BJ811" s="225"/>
      <c r="BK811" s="225"/>
      <c r="BL811" s="225"/>
      <c r="BM811" s="225"/>
      <c r="BN811" s="225"/>
      <c r="BO811" s="225"/>
      <c r="BP811" s="225"/>
      <c r="BQ811" s="225"/>
      <c r="BR811" s="225"/>
      <c r="BS811" s="225"/>
      <c r="BT811" s="226"/>
      <c r="BU811" s="225"/>
      <c r="BV811" s="225"/>
      <c r="BW811" s="225"/>
      <c r="BX811" s="225"/>
      <c r="BY811" s="225"/>
      <c r="BZ811" s="225"/>
    </row>
    <row r="812">
      <c r="A812" s="225"/>
      <c r="B812" s="225"/>
      <c r="C812" s="225"/>
      <c r="D812" s="226"/>
      <c r="E812" s="225"/>
      <c r="F812" s="225"/>
      <c r="G812" s="225"/>
      <c r="H812" s="225"/>
      <c r="I812" s="225"/>
      <c r="J812" s="225"/>
      <c r="K812" s="244"/>
      <c r="L812" s="225"/>
      <c r="M812" s="225"/>
      <c r="N812" s="225"/>
      <c r="O812" s="284"/>
      <c r="P812" s="225"/>
      <c r="Q812" s="227"/>
      <c r="R812" s="234"/>
      <c r="S812" s="244"/>
      <c r="T812" s="225"/>
      <c r="U812" s="225"/>
      <c r="V812" s="225"/>
      <c r="W812" s="225"/>
      <c r="X812" s="225"/>
      <c r="Y812" s="229"/>
      <c r="Z812" s="257"/>
      <c r="AA812" s="284"/>
      <c r="AB812" s="257"/>
      <c r="AC812" s="257"/>
      <c r="AD812" s="226"/>
      <c r="AE812" s="259"/>
      <c r="AF812" s="347"/>
      <c r="AG812" s="232"/>
      <c r="AH812" s="271"/>
      <c r="AI812" s="225"/>
      <c r="AJ812" s="267"/>
      <c r="AK812" s="259"/>
      <c r="AL812" s="226"/>
      <c r="AM812" s="225"/>
      <c r="AN812" s="225"/>
      <c r="AO812" s="254"/>
      <c r="AP812" s="225"/>
      <c r="AQ812" s="225"/>
      <c r="AR812" s="226"/>
      <c r="AS812" s="225"/>
      <c r="AT812" s="225"/>
      <c r="AU812" s="225"/>
      <c r="AV812" s="353"/>
      <c r="AW812" s="234"/>
      <c r="AX812" s="226"/>
      <c r="AY812" s="225"/>
      <c r="AZ812" s="225"/>
      <c r="BA812" s="323"/>
      <c r="BB812" s="234"/>
      <c r="BC812" s="225"/>
      <c r="BD812" s="225"/>
      <c r="BE812" s="225"/>
      <c r="BF812" s="225"/>
      <c r="BG812" s="225"/>
      <c r="BH812" s="225"/>
      <c r="BI812" s="225"/>
      <c r="BJ812" s="225"/>
      <c r="BK812" s="225"/>
      <c r="BL812" s="225"/>
      <c r="BM812" s="225"/>
      <c r="BN812" s="225"/>
      <c r="BO812" s="225"/>
      <c r="BP812" s="225"/>
      <c r="BQ812" s="225"/>
      <c r="BR812" s="225"/>
      <c r="BS812" s="225"/>
      <c r="BT812" s="226"/>
      <c r="BU812" s="225"/>
      <c r="BV812" s="225"/>
      <c r="BW812" s="225"/>
      <c r="BX812" s="225"/>
      <c r="BY812" s="225"/>
      <c r="BZ812" s="225"/>
    </row>
    <row r="813">
      <c r="A813" s="225"/>
      <c r="B813" s="225"/>
      <c r="C813" s="225"/>
      <c r="D813" s="226"/>
      <c r="E813" s="225"/>
      <c r="F813" s="225"/>
      <c r="G813" s="225"/>
      <c r="H813" s="225"/>
      <c r="I813" s="225"/>
      <c r="J813" s="225"/>
      <c r="K813" s="244"/>
      <c r="L813" s="225"/>
      <c r="M813" s="225"/>
      <c r="N813" s="225"/>
      <c r="O813" s="225"/>
      <c r="P813" s="225"/>
      <c r="Q813" s="227"/>
      <c r="R813" s="234"/>
      <c r="S813" s="244"/>
      <c r="T813" s="225"/>
      <c r="U813" s="225"/>
      <c r="V813" s="225"/>
      <c r="W813" s="225"/>
      <c r="X813" s="225"/>
      <c r="Y813" s="229"/>
      <c r="Z813" s="257"/>
      <c r="AA813" s="225"/>
      <c r="AB813" s="257"/>
      <c r="AC813" s="257"/>
      <c r="AD813" s="226"/>
      <c r="AE813" s="259"/>
      <c r="AF813" s="347"/>
      <c r="AG813" s="232"/>
      <c r="AH813" s="325"/>
      <c r="AI813" s="225"/>
      <c r="AJ813" s="267"/>
      <c r="AK813" s="259"/>
      <c r="AL813" s="232"/>
      <c r="AM813" s="225"/>
      <c r="AN813" s="225"/>
      <c r="AO813" s="254"/>
      <c r="AP813" s="225"/>
      <c r="AQ813" s="257"/>
      <c r="AR813" s="254"/>
      <c r="AS813" s="225"/>
      <c r="AT813" s="257"/>
      <c r="AU813" s="225"/>
      <c r="AV813" s="352"/>
      <c r="AW813" s="267"/>
      <c r="AX813" s="226"/>
      <c r="AY813" s="284"/>
      <c r="AZ813" s="225"/>
      <c r="BA813" s="311"/>
      <c r="BB813" s="234"/>
      <c r="BC813" s="225"/>
      <c r="BD813" s="225"/>
      <c r="BE813" s="225"/>
      <c r="BF813" s="225"/>
      <c r="BG813" s="225"/>
      <c r="BH813" s="225"/>
      <c r="BI813" s="225"/>
      <c r="BJ813" s="225"/>
      <c r="BK813" s="225"/>
      <c r="BL813" s="225"/>
      <c r="BM813" s="225"/>
      <c r="BN813" s="225"/>
      <c r="BO813" s="225"/>
      <c r="BP813" s="225"/>
      <c r="BQ813" s="225"/>
      <c r="BR813" s="225"/>
      <c r="BS813" s="225"/>
      <c r="BT813" s="226"/>
      <c r="BU813" s="225"/>
      <c r="BV813" s="225"/>
      <c r="BW813" s="225"/>
      <c r="BX813" s="225"/>
      <c r="BY813" s="225"/>
      <c r="BZ813" s="225"/>
    </row>
    <row r="814">
      <c r="A814" s="225"/>
      <c r="B814" s="225"/>
      <c r="C814" s="225"/>
      <c r="D814" s="226"/>
      <c r="E814" s="225"/>
      <c r="F814" s="225"/>
      <c r="G814" s="225"/>
      <c r="H814" s="225"/>
      <c r="I814" s="225"/>
      <c r="J814" s="225"/>
      <c r="K814" s="244"/>
      <c r="L814" s="225"/>
      <c r="M814" s="225"/>
      <c r="N814" s="225"/>
      <c r="O814" s="225"/>
      <c r="P814" s="225"/>
      <c r="Q814" s="227"/>
      <c r="R814" s="234"/>
      <c r="S814" s="244"/>
      <c r="T814" s="225"/>
      <c r="U814" s="225"/>
      <c r="V814" s="225"/>
      <c r="W814" s="225"/>
      <c r="X814" s="225"/>
      <c r="Y814" s="229"/>
      <c r="Z814" s="257"/>
      <c r="AA814" s="225"/>
      <c r="AB814" s="257"/>
      <c r="AC814" s="257"/>
      <c r="AD814" s="349"/>
      <c r="AE814" s="259"/>
      <c r="AF814" s="347"/>
      <c r="AG814" s="232"/>
      <c r="AH814" s="305"/>
      <c r="AI814" s="234"/>
      <c r="AJ814" s="267"/>
      <c r="AK814" s="259"/>
      <c r="AL814" s="232"/>
      <c r="AM814" s="225"/>
      <c r="AN814" s="225"/>
      <c r="AO814" s="254"/>
      <c r="AP814" s="225"/>
      <c r="AQ814" s="257"/>
      <c r="AR814" s="254"/>
      <c r="AS814" s="225"/>
      <c r="AT814" s="257"/>
      <c r="AU814" s="225"/>
      <c r="AV814" s="354"/>
      <c r="AW814" s="267"/>
      <c r="AX814" s="226"/>
      <c r="AY814" s="225"/>
      <c r="AZ814" s="225"/>
      <c r="BA814" s="313"/>
      <c r="BB814" s="234"/>
      <c r="BC814" s="225"/>
      <c r="BD814" s="225"/>
      <c r="BE814" s="225"/>
      <c r="BF814" s="225"/>
      <c r="BG814" s="225"/>
      <c r="BH814" s="225"/>
      <c r="BI814" s="225"/>
      <c r="BJ814" s="225"/>
      <c r="BK814" s="225"/>
      <c r="BL814" s="225"/>
      <c r="BM814" s="225"/>
      <c r="BN814" s="225"/>
      <c r="BO814" s="225"/>
      <c r="BP814" s="225"/>
      <c r="BQ814" s="225"/>
      <c r="BR814" s="225"/>
      <c r="BS814" s="225"/>
      <c r="BT814" s="226"/>
      <c r="BU814" s="225"/>
      <c r="BV814" s="225"/>
      <c r="BW814" s="225"/>
      <c r="BX814" s="225"/>
      <c r="BY814" s="225"/>
      <c r="BZ814" s="225"/>
    </row>
    <row r="815">
      <c r="A815" s="225"/>
      <c r="B815" s="225"/>
      <c r="C815" s="225"/>
      <c r="D815" s="226"/>
      <c r="E815" s="225"/>
      <c r="F815" s="225"/>
      <c r="G815" s="225"/>
      <c r="H815" s="225"/>
      <c r="I815" s="225"/>
      <c r="J815" s="225"/>
      <c r="K815" s="244"/>
      <c r="L815" s="225"/>
      <c r="M815" s="225"/>
      <c r="N815" s="225"/>
      <c r="O815" s="225"/>
      <c r="P815" s="225"/>
      <c r="Q815" s="227"/>
      <c r="R815" s="234"/>
      <c r="S815" s="244"/>
      <c r="T815" s="225"/>
      <c r="U815" s="225"/>
      <c r="V815" s="225"/>
      <c r="W815" s="225"/>
      <c r="X815" s="225"/>
      <c r="Y815" s="229"/>
      <c r="Z815" s="257"/>
      <c r="AA815" s="225"/>
      <c r="AB815" s="257"/>
      <c r="AC815" s="257"/>
      <c r="AD815" s="349"/>
      <c r="AE815" s="259"/>
      <c r="AF815" s="347"/>
      <c r="AG815" s="232"/>
      <c r="AH815" s="267"/>
      <c r="AI815" s="234"/>
      <c r="AJ815" s="267"/>
      <c r="AK815" s="259"/>
      <c r="AL815" s="232"/>
      <c r="AM815" s="225"/>
      <c r="AN815" s="225"/>
      <c r="AO815" s="254"/>
      <c r="AP815" s="225"/>
      <c r="AQ815" s="257"/>
      <c r="AR815" s="254"/>
      <c r="AS815" s="225"/>
      <c r="AT815" s="257"/>
      <c r="AU815" s="225"/>
      <c r="AV815" s="305"/>
      <c r="AW815" s="267"/>
      <c r="AX815" s="226"/>
      <c r="AY815" s="225"/>
      <c r="AZ815" s="225"/>
      <c r="BA815" s="330"/>
      <c r="BB815" s="234"/>
      <c r="BC815" s="225"/>
      <c r="BD815" s="225"/>
      <c r="BE815" s="225"/>
      <c r="BF815" s="225"/>
      <c r="BG815" s="225"/>
      <c r="BH815" s="225"/>
      <c r="BI815" s="225"/>
      <c r="BJ815" s="225"/>
      <c r="BK815" s="225"/>
      <c r="BL815" s="225"/>
      <c r="BM815" s="225"/>
      <c r="BN815" s="225"/>
      <c r="BO815" s="225"/>
      <c r="BP815" s="225"/>
      <c r="BQ815" s="225"/>
      <c r="BR815" s="225"/>
      <c r="BS815" s="225"/>
      <c r="BT815" s="226"/>
      <c r="BU815" s="225"/>
      <c r="BV815" s="225"/>
      <c r="BW815" s="225"/>
      <c r="BX815" s="225"/>
      <c r="BY815" s="225"/>
      <c r="BZ815" s="225"/>
    </row>
    <row r="816">
      <c r="A816" s="284"/>
      <c r="B816" s="225"/>
      <c r="C816" s="225"/>
      <c r="D816" s="226"/>
      <c r="E816" s="225"/>
      <c r="F816" s="225"/>
      <c r="G816" s="225"/>
      <c r="H816" s="225"/>
      <c r="I816" s="225"/>
      <c r="J816" s="225"/>
      <c r="K816" s="244"/>
      <c r="L816" s="225"/>
      <c r="M816" s="225"/>
      <c r="N816" s="225"/>
      <c r="O816" s="225"/>
      <c r="P816" s="225"/>
      <c r="Q816" s="227"/>
      <c r="R816" s="234"/>
      <c r="S816" s="244"/>
      <c r="T816" s="225"/>
      <c r="U816" s="225"/>
      <c r="V816" s="225"/>
      <c r="W816" s="225"/>
      <c r="X816" s="225"/>
      <c r="Y816" s="229"/>
      <c r="Z816" s="257"/>
      <c r="AA816" s="225"/>
      <c r="AB816" s="257"/>
      <c r="AC816" s="257"/>
      <c r="AD816" s="349"/>
      <c r="AE816" s="259"/>
      <c r="AF816" s="347"/>
      <c r="AG816" s="232"/>
      <c r="AH816" s="305"/>
      <c r="AI816" s="234"/>
      <c r="AJ816" s="267"/>
      <c r="AK816" s="259"/>
      <c r="AL816" s="232"/>
      <c r="AM816" s="225"/>
      <c r="AN816" s="225"/>
      <c r="AO816" s="254"/>
      <c r="AP816" s="225"/>
      <c r="AQ816" s="257"/>
      <c r="AR816" s="254"/>
      <c r="AS816" s="225"/>
      <c r="AT816" s="257"/>
      <c r="AU816" s="225"/>
      <c r="AV816" s="353"/>
      <c r="AW816" s="267"/>
      <c r="AX816" s="226"/>
      <c r="AY816" s="225"/>
      <c r="AZ816" s="225"/>
      <c r="BA816" s="323"/>
      <c r="BB816" s="234"/>
      <c r="BC816" s="225"/>
      <c r="BD816" s="225"/>
      <c r="BE816" s="225"/>
      <c r="BF816" s="225"/>
      <c r="BG816" s="225"/>
      <c r="BH816" s="225"/>
      <c r="BI816" s="225"/>
      <c r="BJ816" s="225"/>
      <c r="BK816" s="225"/>
      <c r="BL816" s="225"/>
      <c r="BM816" s="225"/>
      <c r="BN816" s="225"/>
      <c r="BO816" s="225"/>
      <c r="BP816" s="225"/>
      <c r="BQ816" s="225"/>
      <c r="BR816" s="225"/>
      <c r="BS816" s="225"/>
      <c r="BT816" s="226"/>
      <c r="BU816" s="225"/>
      <c r="BV816" s="225"/>
      <c r="BW816" s="225"/>
      <c r="BX816" s="225"/>
      <c r="BY816" s="225"/>
      <c r="BZ816" s="225"/>
    </row>
    <row r="817">
      <c r="A817" s="225"/>
      <c r="B817" s="225"/>
      <c r="C817" s="225"/>
      <c r="D817" s="226"/>
      <c r="E817" s="225"/>
      <c r="F817" s="225"/>
      <c r="G817" s="225"/>
      <c r="H817" s="225"/>
      <c r="I817" s="225"/>
      <c r="J817" s="225"/>
      <c r="K817" s="244"/>
      <c r="L817" s="225"/>
      <c r="M817" s="225"/>
      <c r="N817" s="225"/>
      <c r="O817" s="225"/>
      <c r="P817" s="225"/>
      <c r="Q817" s="227"/>
      <c r="R817" s="234"/>
      <c r="S817" s="244"/>
      <c r="T817" s="225"/>
      <c r="U817" s="225"/>
      <c r="V817" s="225"/>
      <c r="W817" s="225"/>
      <c r="X817" s="225"/>
      <c r="Y817" s="229"/>
      <c r="Z817" s="257"/>
      <c r="AA817" s="225"/>
      <c r="AB817" s="257"/>
      <c r="AC817" s="257"/>
      <c r="AD817" s="349"/>
      <c r="AE817" s="259"/>
      <c r="AF817" s="347"/>
      <c r="AG817" s="232"/>
      <c r="AH817" s="267"/>
      <c r="AI817" s="234"/>
      <c r="AJ817" s="267"/>
      <c r="AK817" s="259"/>
      <c r="AL817" s="232"/>
      <c r="AM817" s="225"/>
      <c r="AN817" s="225"/>
      <c r="AO817" s="254"/>
      <c r="AP817" s="225"/>
      <c r="AQ817" s="257"/>
      <c r="AR817" s="254"/>
      <c r="AS817" s="225"/>
      <c r="AT817" s="257"/>
      <c r="AU817" s="225"/>
      <c r="AV817" s="352"/>
      <c r="AW817" s="267"/>
      <c r="AX817" s="226"/>
      <c r="AY817" s="225"/>
      <c r="AZ817" s="225"/>
      <c r="BA817" s="311"/>
      <c r="BB817" s="234"/>
      <c r="BC817" s="225"/>
      <c r="BD817" s="225"/>
      <c r="BE817" s="225"/>
      <c r="BF817" s="225"/>
      <c r="BG817" s="225"/>
      <c r="BH817" s="225"/>
      <c r="BI817" s="225"/>
      <c r="BJ817" s="225"/>
      <c r="BK817" s="225"/>
      <c r="BL817" s="225"/>
      <c r="BM817" s="225"/>
      <c r="BN817" s="225"/>
      <c r="BO817" s="225"/>
      <c r="BP817" s="225"/>
      <c r="BQ817" s="225"/>
      <c r="BR817" s="225"/>
      <c r="BS817" s="225"/>
      <c r="BT817" s="226"/>
      <c r="BU817" s="225"/>
      <c r="BV817" s="225"/>
      <c r="BW817" s="225"/>
      <c r="BX817" s="225"/>
      <c r="BY817" s="225"/>
      <c r="BZ817" s="225"/>
    </row>
    <row r="818">
      <c r="A818" s="225"/>
      <c r="B818" s="225"/>
      <c r="C818" s="225"/>
      <c r="D818" s="226"/>
      <c r="E818" s="225"/>
      <c r="F818" s="225"/>
      <c r="G818" s="225"/>
      <c r="H818" s="225"/>
      <c r="I818" s="225"/>
      <c r="J818" s="225"/>
      <c r="K818" s="244"/>
      <c r="L818" s="225"/>
      <c r="M818" s="225"/>
      <c r="N818" s="225"/>
      <c r="O818" s="225"/>
      <c r="P818" s="225"/>
      <c r="Q818" s="227"/>
      <c r="R818" s="234"/>
      <c r="S818" s="244"/>
      <c r="T818" s="225"/>
      <c r="U818" s="225"/>
      <c r="V818" s="225"/>
      <c r="W818" s="225"/>
      <c r="X818" s="225"/>
      <c r="Y818" s="229"/>
      <c r="Z818" s="257"/>
      <c r="AA818" s="225"/>
      <c r="AB818" s="257"/>
      <c r="AC818" s="257"/>
      <c r="AD818" s="349"/>
      <c r="AE818" s="259"/>
      <c r="AF818" s="347"/>
      <c r="AG818" s="232"/>
      <c r="AH818" s="295"/>
      <c r="AI818" s="234"/>
      <c r="AJ818" s="267"/>
      <c r="AK818" s="259"/>
      <c r="AL818" s="232"/>
      <c r="AM818" s="225"/>
      <c r="AN818" s="225"/>
      <c r="AO818" s="254"/>
      <c r="AP818" s="225"/>
      <c r="AQ818" s="257"/>
      <c r="AR818" s="254"/>
      <c r="AS818" s="225"/>
      <c r="AT818" s="257"/>
      <c r="AU818" s="225"/>
      <c r="AV818" s="225"/>
      <c r="AW818" s="267"/>
      <c r="AX818" s="226"/>
      <c r="AY818" s="225"/>
      <c r="AZ818" s="225"/>
      <c r="BA818" s="226"/>
      <c r="BB818" s="225"/>
      <c r="BC818" s="225"/>
      <c r="BD818" s="225"/>
      <c r="BE818" s="225"/>
      <c r="BF818" s="225"/>
      <c r="BG818" s="225"/>
      <c r="BH818" s="225"/>
      <c r="BI818" s="225"/>
      <c r="BJ818" s="225"/>
      <c r="BK818" s="225"/>
      <c r="BL818" s="225"/>
      <c r="BM818" s="225"/>
      <c r="BN818" s="225"/>
      <c r="BO818" s="225"/>
      <c r="BP818" s="225"/>
      <c r="BQ818" s="225"/>
      <c r="BR818" s="225"/>
      <c r="BS818" s="225"/>
      <c r="BT818" s="226"/>
      <c r="BU818" s="225"/>
      <c r="BV818" s="225"/>
      <c r="BW818" s="225"/>
      <c r="BX818" s="225"/>
      <c r="BY818" s="225"/>
      <c r="BZ818" s="225"/>
    </row>
    <row r="819">
      <c r="A819" s="225"/>
      <c r="B819" s="225"/>
      <c r="C819" s="225"/>
      <c r="D819" s="226"/>
      <c r="E819" s="225"/>
      <c r="F819" s="225"/>
      <c r="G819" s="225"/>
      <c r="H819" s="225"/>
      <c r="I819" s="225"/>
      <c r="J819" s="225"/>
      <c r="K819" s="244"/>
      <c r="L819" s="225"/>
      <c r="M819" s="225"/>
      <c r="N819" s="225"/>
      <c r="O819" s="225"/>
      <c r="P819" s="225"/>
      <c r="Q819" s="227"/>
      <c r="R819" s="234"/>
      <c r="S819" s="244"/>
      <c r="T819" s="225"/>
      <c r="U819" s="225"/>
      <c r="V819" s="225"/>
      <c r="W819" s="225"/>
      <c r="X819" s="225"/>
      <c r="Y819" s="229"/>
      <c r="Z819" s="257"/>
      <c r="AA819" s="225"/>
      <c r="AB819" s="257"/>
      <c r="AC819" s="257"/>
      <c r="AD819" s="349"/>
      <c r="AE819" s="259"/>
      <c r="AF819" s="347"/>
      <c r="AG819" s="232"/>
      <c r="AH819" s="266"/>
      <c r="AI819" s="234"/>
      <c r="AJ819" s="267"/>
      <c r="AK819" s="259"/>
      <c r="AL819" s="232"/>
      <c r="AM819" s="225"/>
      <c r="AN819" s="225"/>
      <c r="AO819" s="254"/>
      <c r="AP819" s="225"/>
      <c r="AQ819" s="257"/>
      <c r="AR819" s="254"/>
      <c r="AS819" s="225"/>
      <c r="AT819" s="257"/>
      <c r="AU819" s="225"/>
      <c r="AV819" s="225"/>
      <c r="AW819" s="267"/>
      <c r="AX819" s="226"/>
      <c r="AY819" s="225"/>
      <c r="AZ819" s="225"/>
      <c r="BA819" s="226"/>
      <c r="BB819" s="225"/>
      <c r="BC819" s="225"/>
      <c r="BD819" s="225"/>
      <c r="BE819" s="225"/>
      <c r="BF819" s="225"/>
      <c r="BG819" s="225"/>
      <c r="BH819" s="225"/>
      <c r="BI819" s="225"/>
      <c r="BJ819" s="225"/>
      <c r="BK819" s="225"/>
      <c r="BL819" s="225"/>
      <c r="BM819" s="225"/>
      <c r="BN819" s="225"/>
      <c r="BO819" s="225"/>
      <c r="BP819" s="225"/>
      <c r="BQ819" s="225"/>
      <c r="BR819" s="225"/>
      <c r="BS819" s="225"/>
      <c r="BT819" s="226"/>
      <c r="BU819" s="225"/>
      <c r="BV819" s="225"/>
      <c r="BW819" s="225"/>
      <c r="BX819" s="225"/>
      <c r="BY819" s="225"/>
      <c r="BZ819" s="225"/>
    </row>
    <row r="820">
      <c r="A820" s="225"/>
      <c r="B820" s="225"/>
      <c r="C820" s="225"/>
      <c r="D820" s="226"/>
      <c r="E820" s="225"/>
      <c r="F820" s="225"/>
      <c r="G820" s="225"/>
      <c r="H820" s="225"/>
      <c r="I820" s="225"/>
      <c r="J820" s="225"/>
      <c r="K820" s="244"/>
      <c r="L820" s="225"/>
      <c r="M820" s="225"/>
      <c r="N820" s="225"/>
      <c r="O820" s="225"/>
      <c r="P820" s="225"/>
      <c r="Q820" s="227"/>
      <c r="R820" s="234"/>
      <c r="S820" s="225"/>
      <c r="T820" s="225"/>
      <c r="U820" s="225"/>
      <c r="V820" s="225"/>
      <c r="W820" s="225"/>
      <c r="X820" s="225"/>
      <c r="Y820" s="229"/>
      <c r="Z820" s="257"/>
      <c r="AA820" s="225"/>
      <c r="AB820" s="257"/>
      <c r="AC820" s="257"/>
      <c r="AD820" s="349"/>
      <c r="AE820" s="259"/>
      <c r="AF820" s="347"/>
      <c r="AG820" s="232"/>
      <c r="AH820" s="305"/>
      <c r="AI820" s="234"/>
      <c r="AJ820" s="267"/>
      <c r="AK820" s="259"/>
      <c r="AL820" s="226"/>
      <c r="AM820" s="225"/>
      <c r="AN820" s="225"/>
      <c r="AO820" s="254"/>
      <c r="AP820" s="225"/>
      <c r="AQ820" s="225"/>
      <c r="AR820" s="254"/>
      <c r="AS820" s="225"/>
      <c r="AT820" s="257"/>
      <c r="AU820" s="225"/>
      <c r="AV820" s="225"/>
      <c r="AW820" s="267"/>
      <c r="AX820" s="226"/>
      <c r="AY820" s="225"/>
      <c r="AZ820" s="225"/>
      <c r="BA820" s="226"/>
      <c r="BB820" s="225"/>
      <c r="BC820" s="225"/>
      <c r="BD820" s="225"/>
      <c r="BE820" s="225"/>
      <c r="BF820" s="225"/>
      <c r="BG820" s="225"/>
      <c r="BH820" s="225"/>
      <c r="BI820" s="225"/>
      <c r="BJ820" s="225"/>
      <c r="BK820" s="225"/>
      <c r="BL820" s="225"/>
      <c r="BM820" s="225"/>
      <c r="BN820" s="225"/>
      <c r="BO820" s="225"/>
      <c r="BP820" s="225"/>
      <c r="BQ820" s="225"/>
      <c r="BR820" s="225"/>
      <c r="BS820" s="225"/>
      <c r="BT820" s="226"/>
      <c r="BU820" s="225"/>
      <c r="BV820" s="225"/>
      <c r="BW820" s="225"/>
      <c r="BX820" s="225"/>
      <c r="BY820" s="225"/>
      <c r="BZ820" s="225"/>
    </row>
    <row r="821">
      <c r="A821" s="225"/>
      <c r="B821" s="225"/>
      <c r="C821" s="225"/>
      <c r="D821" s="226"/>
      <c r="E821" s="225"/>
      <c r="F821" s="225"/>
      <c r="G821" s="225"/>
      <c r="H821" s="225"/>
      <c r="I821" s="225"/>
      <c r="J821" s="225"/>
      <c r="K821" s="244"/>
      <c r="L821" s="225"/>
      <c r="M821" s="225"/>
      <c r="N821" s="225"/>
      <c r="O821" s="225"/>
      <c r="P821" s="225"/>
      <c r="Q821" s="227"/>
      <c r="R821" s="234"/>
      <c r="S821" s="225"/>
      <c r="T821" s="225"/>
      <c r="U821" s="225"/>
      <c r="V821" s="225"/>
      <c r="W821" s="225"/>
      <c r="X821" s="225"/>
      <c r="Y821" s="229"/>
      <c r="Z821" s="257"/>
      <c r="AA821" s="225"/>
      <c r="AB821" s="257"/>
      <c r="AC821" s="257"/>
      <c r="AD821" s="349"/>
      <c r="AE821" s="259"/>
      <c r="AF821" s="347"/>
      <c r="AG821" s="232"/>
      <c r="AH821" s="335"/>
      <c r="AI821" s="234"/>
      <c r="AJ821" s="267"/>
      <c r="AK821" s="259"/>
      <c r="AL821" s="232"/>
      <c r="AM821" s="225"/>
      <c r="AN821" s="225"/>
      <c r="AO821" s="254"/>
      <c r="AP821" s="225"/>
      <c r="AQ821" s="257"/>
      <c r="AR821" s="254"/>
      <c r="AS821" s="225"/>
      <c r="AT821" s="257"/>
      <c r="AU821" s="225"/>
      <c r="AV821" s="225"/>
      <c r="AW821" s="267"/>
      <c r="AX821" s="226"/>
      <c r="AY821" s="225"/>
      <c r="AZ821" s="225"/>
      <c r="BA821" s="226"/>
      <c r="BB821" s="225"/>
      <c r="BC821" s="225"/>
      <c r="BD821" s="225"/>
      <c r="BE821" s="225"/>
      <c r="BF821" s="225"/>
      <c r="BG821" s="225"/>
      <c r="BH821" s="225"/>
      <c r="BI821" s="225"/>
      <c r="BJ821" s="225"/>
      <c r="BK821" s="225"/>
      <c r="BL821" s="225"/>
      <c r="BM821" s="225"/>
      <c r="BN821" s="225"/>
      <c r="BO821" s="225"/>
      <c r="BP821" s="225"/>
      <c r="BQ821" s="225"/>
      <c r="BR821" s="225"/>
      <c r="BS821" s="225"/>
      <c r="BT821" s="226"/>
      <c r="BU821" s="225"/>
      <c r="BV821" s="225"/>
      <c r="BW821" s="225"/>
      <c r="BX821" s="225"/>
      <c r="BY821" s="225"/>
      <c r="BZ821" s="225"/>
    </row>
    <row r="822">
      <c r="A822" s="225"/>
      <c r="B822" s="225"/>
      <c r="C822" s="225"/>
      <c r="D822" s="226"/>
      <c r="E822" s="225"/>
      <c r="F822" s="225"/>
      <c r="G822" s="225"/>
      <c r="H822" s="225"/>
      <c r="I822" s="225"/>
      <c r="J822" s="225"/>
      <c r="K822" s="244"/>
      <c r="L822" s="225"/>
      <c r="M822" s="225"/>
      <c r="N822" s="225"/>
      <c r="O822" s="225"/>
      <c r="P822" s="225"/>
      <c r="Q822" s="227"/>
      <c r="R822" s="234"/>
      <c r="S822" s="225"/>
      <c r="T822" s="225"/>
      <c r="U822" s="225"/>
      <c r="V822" s="225"/>
      <c r="W822" s="225"/>
      <c r="X822" s="225"/>
      <c r="Y822" s="229"/>
      <c r="Z822" s="257"/>
      <c r="AA822" s="225"/>
      <c r="AB822" s="257"/>
      <c r="AC822" s="257"/>
      <c r="AD822" s="349"/>
      <c r="AE822" s="259"/>
      <c r="AF822" s="347"/>
      <c r="AG822" s="232"/>
      <c r="AH822" s="337"/>
      <c r="AI822" s="234"/>
      <c r="AJ822" s="267"/>
      <c r="AK822" s="259"/>
      <c r="AL822" s="232"/>
      <c r="AM822" s="225"/>
      <c r="AN822" s="225"/>
      <c r="AO822" s="254"/>
      <c r="AP822" s="225"/>
      <c r="AQ822" s="257"/>
      <c r="AR822" s="254"/>
      <c r="AS822" s="225"/>
      <c r="AT822" s="257"/>
      <c r="AU822" s="225"/>
      <c r="AV822" s="225"/>
      <c r="AW822" s="267"/>
      <c r="AX822" s="226"/>
      <c r="AY822" s="225"/>
      <c r="AZ822" s="225"/>
      <c r="BA822" s="226"/>
      <c r="BB822" s="225"/>
      <c r="BC822" s="225"/>
      <c r="BD822" s="225"/>
      <c r="BE822" s="225"/>
      <c r="BF822" s="225"/>
      <c r="BG822" s="225"/>
      <c r="BH822" s="225"/>
      <c r="BI822" s="225"/>
      <c r="BJ822" s="225"/>
      <c r="BK822" s="225"/>
      <c r="BL822" s="225"/>
      <c r="BM822" s="225"/>
      <c r="BN822" s="225"/>
      <c r="BO822" s="225"/>
      <c r="BP822" s="225"/>
      <c r="BQ822" s="225"/>
      <c r="BR822" s="225"/>
      <c r="BS822" s="225"/>
      <c r="BT822" s="226"/>
      <c r="BU822" s="225"/>
      <c r="BV822" s="225"/>
      <c r="BW822" s="225"/>
      <c r="BX822" s="225"/>
      <c r="BY822" s="225"/>
      <c r="BZ822" s="225"/>
    </row>
    <row r="823">
      <c r="A823" s="225"/>
      <c r="B823" s="225"/>
      <c r="C823" s="225"/>
      <c r="D823" s="226"/>
      <c r="E823" s="225"/>
      <c r="F823" s="225"/>
      <c r="G823" s="225"/>
      <c r="H823" s="225"/>
      <c r="I823" s="225"/>
      <c r="J823" s="225"/>
      <c r="K823" s="244"/>
      <c r="L823" s="225"/>
      <c r="M823" s="225"/>
      <c r="N823" s="225"/>
      <c r="O823" s="225"/>
      <c r="P823" s="225"/>
      <c r="Q823" s="227"/>
      <c r="R823" s="234"/>
      <c r="S823" s="225"/>
      <c r="T823" s="225"/>
      <c r="U823" s="225"/>
      <c r="V823" s="225"/>
      <c r="W823" s="225"/>
      <c r="X823" s="225"/>
      <c r="Y823" s="229"/>
      <c r="Z823" s="257"/>
      <c r="AA823" s="225"/>
      <c r="AB823" s="257"/>
      <c r="AC823" s="257"/>
      <c r="AD823" s="349"/>
      <c r="AE823" s="259"/>
      <c r="AF823" s="347"/>
      <c r="AG823" s="232"/>
      <c r="AH823" s="339"/>
      <c r="AI823" s="234"/>
      <c r="AJ823" s="267"/>
      <c r="AK823" s="259"/>
      <c r="AL823" s="232"/>
      <c r="AM823" s="225"/>
      <c r="AN823" s="225"/>
      <c r="AO823" s="254"/>
      <c r="AP823" s="225"/>
      <c r="AQ823" s="257"/>
      <c r="AR823" s="254"/>
      <c r="AS823" s="225"/>
      <c r="AT823" s="257"/>
      <c r="AU823" s="225"/>
      <c r="AV823" s="225"/>
      <c r="AW823" s="267"/>
      <c r="AX823" s="226"/>
      <c r="AY823" s="225"/>
      <c r="AZ823" s="225"/>
      <c r="BA823" s="226"/>
      <c r="BB823" s="225"/>
      <c r="BC823" s="225"/>
      <c r="BD823" s="225"/>
      <c r="BE823" s="225"/>
      <c r="BF823" s="225"/>
      <c r="BG823" s="225"/>
      <c r="BH823" s="225"/>
      <c r="BI823" s="225"/>
      <c r="BJ823" s="225"/>
      <c r="BK823" s="225"/>
      <c r="BL823" s="225"/>
      <c r="BM823" s="225"/>
      <c r="BN823" s="225"/>
      <c r="BO823" s="225"/>
      <c r="BP823" s="225"/>
      <c r="BQ823" s="225"/>
      <c r="BR823" s="225"/>
      <c r="BS823" s="225"/>
      <c r="BT823" s="226"/>
      <c r="BU823" s="225"/>
      <c r="BV823" s="225"/>
      <c r="BW823" s="225"/>
      <c r="BX823" s="225"/>
      <c r="BY823" s="225"/>
      <c r="BZ823" s="225"/>
    </row>
    <row r="824">
      <c r="A824" s="225"/>
      <c r="B824" s="225"/>
      <c r="C824" s="225"/>
      <c r="D824" s="226"/>
      <c r="E824" s="225"/>
      <c r="F824" s="225"/>
      <c r="G824" s="225"/>
      <c r="H824" s="225"/>
      <c r="I824" s="225"/>
      <c r="J824" s="225"/>
      <c r="K824" s="244"/>
      <c r="L824" s="225"/>
      <c r="M824" s="225"/>
      <c r="N824" s="225"/>
      <c r="O824" s="284"/>
      <c r="P824" s="225"/>
      <c r="Q824" s="227"/>
      <c r="R824" s="234"/>
      <c r="S824" s="225"/>
      <c r="T824" s="225"/>
      <c r="U824" s="225"/>
      <c r="V824" s="225"/>
      <c r="W824" s="225"/>
      <c r="X824" s="225"/>
      <c r="Y824" s="229"/>
      <c r="Z824" s="257"/>
      <c r="AA824" s="284"/>
      <c r="AB824" s="257"/>
      <c r="AC824" s="257"/>
      <c r="AD824" s="349"/>
      <c r="AE824" s="259"/>
      <c r="AF824" s="347"/>
      <c r="AG824" s="232"/>
      <c r="AH824" s="305"/>
      <c r="AI824" s="234"/>
      <c r="AJ824" s="267"/>
      <c r="AK824" s="259"/>
      <c r="AL824" s="232"/>
      <c r="AM824" s="225"/>
      <c r="AN824" s="225"/>
      <c r="AO824" s="254"/>
      <c r="AP824" s="225"/>
      <c r="AQ824" s="257"/>
      <c r="AR824" s="254"/>
      <c r="AS824" s="225"/>
      <c r="AT824" s="257"/>
      <c r="AU824" s="225"/>
      <c r="AV824" s="225"/>
      <c r="AW824" s="267"/>
      <c r="AX824" s="226"/>
      <c r="AY824" s="225"/>
      <c r="AZ824" s="225"/>
      <c r="BA824" s="226"/>
      <c r="BB824" s="225"/>
      <c r="BC824" s="225"/>
      <c r="BD824" s="225"/>
      <c r="BE824" s="225"/>
      <c r="BF824" s="225"/>
      <c r="BG824" s="225"/>
      <c r="BH824" s="225"/>
      <c r="BI824" s="225"/>
      <c r="BJ824" s="225"/>
      <c r="BK824" s="225"/>
      <c r="BL824" s="225"/>
      <c r="BM824" s="225"/>
      <c r="BN824" s="225"/>
      <c r="BO824" s="225"/>
      <c r="BP824" s="225"/>
      <c r="BQ824" s="225"/>
      <c r="BR824" s="225"/>
      <c r="BS824" s="225"/>
      <c r="BT824" s="226"/>
      <c r="BU824" s="225"/>
      <c r="BV824" s="225"/>
      <c r="BW824" s="225"/>
      <c r="BX824" s="225"/>
      <c r="BY824" s="225"/>
      <c r="BZ824" s="225"/>
    </row>
    <row r="825">
      <c r="A825" s="225"/>
      <c r="B825" s="225"/>
      <c r="C825" s="225"/>
      <c r="D825" s="226"/>
      <c r="E825" s="225"/>
      <c r="F825" s="225"/>
      <c r="G825" s="225"/>
      <c r="H825" s="225"/>
      <c r="I825" s="225"/>
      <c r="J825" s="225"/>
      <c r="K825" s="244"/>
      <c r="L825" s="225"/>
      <c r="M825" s="225"/>
      <c r="N825" s="225"/>
      <c r="O825" s="225"/>
      <c r="P825" s="225"/>
      <c r="Q825" s="227"/>
      <c r="R825" s="234"/>
      <c r="S825" s="225"/>
      <c r="T825" s="225"/>
      <c r="U825" s="225"/>
      <c r="V825" s="225"/>
      <c r="W825" s="225"/>
      <c r="X825" s="225"/>
      <c r="Y825" s="229"/>
      <c r="Z825" s="257"/>
      <c r="AA825" s="225"/>
      <c r="AB825" s="257"/>
      <c r="AC825" s="257"/>
      <c r="AD825" s="349"/>
      <c r="AE825" s="259"/>
      <c r="AF825" s="347"/>
      <c r="AG825" s="232"/>
      <c r="AH825" s="287"/>
      <c r="AI825" s="234"/>
      <c r="AJ825" s="267"/>
      <c r="AK825" s="259"/>
      <c r="AL825" s="232"/>
      <c r="AM825" s="225"/>
      <c r="AN825" s="225"/>
      <c r="AO825" s="254"/>
      <c r="AP825" s="225"/>
      <c r="AQ825" s="257"/>
      <c r="AR825" s="254"/>
      <c r="AS825" s="225"/>
      <c r="AT825" s="257"/>
      <c r="AU825" s="225"/>
      <c r="AV825" s="225"/>
      <c r="AW825" s="267"/>
      <c r="AX825" s="226"/>
      <c r="AY825" s="225"/>
      <c r="AZ825" s="225"/>
      <c r="BA825" s="226"/>
      <c r="BB825" s="225"/>
      <c r="BC825" s="225"/>
      <c r="BD825" s="225"/>
      <c r="BE825" s="225"/>
      <c r="BF825" s="225"/>
      <c r="BG825" s="225"/>
      <c r="BH825" s="225"/>
      <c r="BI825" s="225"/>
      <c r="BJ825" s="225"/>
      <c r="BK825" s="225"/>
      <c r="BL825" s="225"/>
      <c r="BM825" s="225"/>
      <c r="BN825" s="225"/>
      <c r="BO825" s="225"/>
      <c r="BP825" s="225"/>
      <c r="BQ825" s="225"/>
      <c r="BR825" s="225"/>
      <c r="BS825" s="225"/>
      <c r="BT825" s="226"/>
      <c r="BU825" s="225"/>
      <c r="BV825" s="225"/>
      <c r="BW825" s="225"/>
      <c r="BX825" s="225"/>
      <c r="BY825" s="225"/>
      <c r="BZ825" s="225"/>
    </row>
    <row r="826">
      <c r="A826" s="225"/>
      <c r="B826" s="225"/>
      <c r="C826" s="225"/>
      <c r="D826" s="226"/>
      <c r="E826" s="225"/>
      <c r="F826" s="225"/>
      <c r="G826" s="225"/>
      <c r="H826" s="225"/>
      <c r="I826" s="225"/>
      <c r="J826" s="225"/>
      <c r="K826" s="244"/>
      <c r="L826" s="225"/>
      <c r="M826" s="225"/>
      <c r="N826" s="225"/>
      <c r="O826" s="225"/>
      <c r="P826" s="225"/>
      <c r="Q826" s="227"/>
      <c r="R826" s="234"/>
      <c r="S826" s="225"/>
      <c r="T826" s="225"/>
      <c r="U826" s="225"/>
      <c r="V826" s="225"/>
      <c r="W826" s="225"/>
      <c r="X826" s="225"/>
      <c r="Y826" s="229"/>
      <c r="Z826" s="257"/>
      <c r="AA826" s="225"/>
      <c r="AB826" s="257"/>
      <c r="AC826" s="257"/>
      <c r="AD826" s="349"/>
      <c r="AE826" s="259"/>
      <c r="AF826" s="347"/>
      <c r="AG826" s="232"/>
      <c r="AH826" s="342"/>
      <c r="AI826" s="234"/>
      <c r="AJ826" s="267"/>
      <c r="AK826" s="259"/>
      <c r="AL826" s="226"/>
      <c r="AM826" s="225"/>
      <c r="AN826" s="225"/>
      <c r="AO826" s="254"/>
      <c r="AP826" s="225"/>
      <c r="AQ826" s="225"/>
      <c r="AR826" s="226"/>
      <c r="AS826" s="225"/>
      <c r="AT826" s="257"/>
      <c r="AU826" s="225"/>
      <c r="AV826" s="225"/>
      <c r="AW826" s="225"/>
      <c r="AX826" s="226"/>
      <c r="AY826" s="225"/>
      <c r="AZ826" s="225"/>
      <c r="BA826" s="226"/>
      <c r="BB826" s="225"/>
      <c r="BC826" s="225"/>
      <c r="BD826" s="225"/>
      <c r="BE826" s="225"/>
      <c r="BF826" s="225"/>
      <c r="BG826" s="225"/>
      <c r="BH826" s="225"/>
      <c r="BI826" s="225"/>
      <c r="BJ826" s="225"/>
      <c r="BK826" s="225"/>
      <c r="BL826" s="225"/>
      <c r="BM826" s="225"/>
      <c r="BN826" s="225"/>
      <c r="BO826" s="225"/>
      <c r="BP826" s="225"/>
      <c r="BQ826" s="225"/>
      <c r="BR826" s="225"/>
      <c r="BS826" s="225"/>
      <c r="BT826" s="226"/>
      <c r="BU826" s="225"/>
      <c r="BV826" s="225"/>
      <c r="BW826" s="225"/>
      <c r="BX826" s="225"/>
      <c r="BY826" s="225"/>
      <c r="BZ826" s="225"/>
    </row>
    <row r="827">
      <c r="A827" s="225"/>
      <c r="B827" s="225"/>
      <c r="C827" s="225"/>
      <c r="D827" s="226"/>
      <c r="E827" s="225"/>
      <c r="F827" s="225"/>
      <c r="G827" s="225"/>
      <c r="H827" s="225"/>
      <c r="I827" s="225"/>
      <c r="J827" s="225"/>
      <c r="K827" s="244"/>
      <c r="L827" s="225"/>
      <c r="M827" s="225"/>
      <c r="N827" s="225"/>
      <c r="O827" s="225"/>
      <c r="P827" s="225"/>
      <c r="Q827" s="227"/>
      <c r="R827" s="234"/>
      <c r="S827" s="225"/>
      <c r="T827" s="225"/>
      <c r="U827" s="225"/>
      <c r="V827" s="225"/>
      <c r="W827" s="225"/>
      <c r="X827" s="225"/>
      <c r="Y827" s="229"/>
      <c r="Z827" s="257"/>
      <c r="AA827" s="225"/>
      <c r="AB827" s="257"/>
      <c r="AC827" s="257"/>
      <c r="AD827" s="349"/>
      <c r="AE827" s="259"/>
      <c r="AF827" s="347"/>
      <c r="AG827" s="232"/>
      <c r="AH827" s="305"/>
      <c r="AI827" s="234"/>
      <c r="AJ827" s="267"/>
      <c r="AK827" s="259"/>
      <c r="AL827" s="232"/>
      <c r="AM827" s="225"/>
      <c r="AN827" s="225"/>
      <c r="AO827" s="254"/>
      <c r="AP827" s="225"/>
      <c r="AQ827" s="257"/>
      <c r="AR827" s="254"/>
      <c r="AS827" s="225"/>
      <c r="AT827" s="257"/>
      <c r="AU827" s="225"/>
      <c r="AV827" s="225"/>
      <c r="AW827" s="267"/>
      <c r="AX827" s="226"/>
      <c r="AY827" s="225"/>
      <c r="AZ827" s="225"/>
      <c r="BA827" s="226"/>
      <c r="BB827" s="225"/>
      <c r="BC827" s="225"/>
      <c r="BD827" s="225"/>
      <c r="BE827" s="225"/>
      <c r="BF827" s="225"/>
      <c r="BG827" s="225"/>
      <c r="BH827" s="225"/>
      <c r="BI827" s="225"/>
      <c r="BJ827" s="225"/>
      <c r="BK827" s="225"/>
      <c r="BL827" s="225"/>
      <c r="BM827" s="225"/>
      <c r="BN827" s="225"/>
      <c r="BO827" s="225"/>
      <c r="BP827" s="225"/>
      <c r="BQ827" s="225"/>
      <c r="BR827" s="225"/>
      <c r="BS827" s="225"/>
      <c r="BT827" s="226"/>
      <c r="BU827" s="225"/>
      <c r="BV827" s="225"/>
      <c r="BW827" s="225"/>
      <c r="BX827" s="225"/>
      <c r="BY827" s="225"/>
      <c r="BZ827" s="225"/>
    </row>
    <row r="828">
      <c r="A828" s="225"/>
      <c r="B828" s="225"/>
      <c r="C828" s="225"/>
      <c r="D828" s="226"/>
      <c r="E828" s="225"/>
      <c r="F828" s="225"/>
      <c r="G828" s="225"/>
      <c r="H828" s="225"/>
      <c r="I828" s="225"/>
      <c r="J828" s="225"/>
      <c r="K828" s="244"/>
      <c r="L828" s="225"/>
      <c r="M828" s="225"/>
      <c r="N828" s="225"/>
      <c r="O828" s="225"/>
      <c r="P828" s="225"/>
      <c r="Q828" s="227"/>
      <c r="R828" s="234"/>
      <c r="S828" s="225"/>
      <c r="T828" s="225"/>
      <c r="U828" s="225"/>
      <c r="V828" s="225"/>
      <c r="W828" s="225"/>
      <c r="X828" s="225"/>
      <c r="Y828" s="229"/>
      <c r="Z828" s="257"/>
      <c r="AA828" s="225"/>
      <c r="AB828" s="257"/>
      <c r="AC828" s="257"/>
      <c r="AD828" s="349"/>
      <c r="AE828" s="259"/>
      <c r="AF828" s="347"/>
      <c r="AG828" s="232"/>
      <c r="AH828" s="305"/>
      <c r="AI828" s="234"/>
      <c r="AJ828" s="267"/>
      <c r="AK828" s="259"/>
      <c r="AL828" s="232"/>
      <c r="AM828" s="225"/>
      <c r="AN828" s="225"/>
      <c r="AO828" s="254"/>
      <c r="AP828" s="225"/>
      <c r="AQ828" s="257"/>
      <c r="AR828" s="254"/>
      <c r="AS828" s="225"/>
      <c r="AT828" s="257"/>
      <c r="AU828" s="225"/>
      <c r="AV828" s="225"/>
      <c r="AW828" s="267"/>
      <c r="AX828" s="226"/>
      <c r="AY828" s="225"/>
      <c r="AZ828" s="225"/>
      <c r="BA828" s="226"/>
      <c r="BB828" s="225"/>
      <c r="BC828" s="225"/>
      <c r="BD828" s="225"/>
      <c r="BE828" s="225"/>
      <c r="BF828" s="225"/>
      <c r="BG828" s="225"/>
      <c r="BH828" s="225"/>
      <c r="BI828" s="225"/>
      <c r="BJ828" s="225"/>
      <c r="BK828" s="225"/>
      <c r="BL828" s="225"/>
      <c r="BM828" s="225"/>
      <c r="BN828" s="225"/>
      <c r="BO828" s="225"/>
      <c r="BP828" s="225"/>
      <c r="BQ828" s="225"/>
      <c r="BR828" s="225"/>
      <c r="BS828" s="225"/>
      <c r="BT828" s="226"/>
      <c r="BU828" s="225"/>
      <c r="BV828" s="225"/>
      <c r="BW828" s="225"/>
      <c r="BX828" s="225"/>
      <c r="BY828" s="225"/>
      <c r="BZ828" s="225"/>
    </row>
    <row r="829">
      <c r="A829" s="225"/>
      <c r="B829" s="225"/>
      <c r="C829" s="225"/>
      <c r="D829" s="226"/>
      <c r="E829" s="225"/>
      <c r="F829" s="225"/>
      <c r="G829" s="225"/>
      <c r="H829" s="225"/>
      <c r="I829" s="225"/>
      <c r="J829" s="225"/>
      <c r="K829" s="244"/>
      <c r="L829" s="225"/>
      <c r="M829" s="225"/>
      <c r="N829" s="225"/>
      <c r="O829" s="225"/>
      <c r="P829" s="225"/>
      <c r="Q829" s="227"/>
      <c r="R829" s="234"/>
      <c r="S829" s="225"/>
      <c r="T829" s="225"/>
      <c r="U829" s="225"/>
      <c r="V829" s="225"/>
      <c r="W829" s="225"/>
      <c r="X829" s="225"/>
      <c r="Y829" s="229"/>
      <c r="Z829" s="257"/>
      <c r="AA829" s="225"/>
      <c r="AB829" s="257"/>
      <c r="AC829" s="257"/>
      <c r="AD829" s="349"/>
      <c r="AE829" s="259"/>
      <c r="AF829" s="347"/>
      <c r="AG829" s="232"/>
      <c r="AH829" s="267"/>
      <c r="AI829" s="234"/>
      <c r="AJ829" s="267"/>
      <c r="AK829" s="259"/>
      <c r="AL829" s="232"/>
      <c r="AM829" s="225"/>
      <c r="AN829" s="225"/>
      <c r="AO829" s="254"/>
      <c r="AP829" s="225"/>
      <c r="AQ829" s="257"/>
      <c r="AR829" s="232"/>
      <c r="AS829" s="225"/>
      <c r="AT829" s="257"/>
      <c r="AU829" s="225"/>
      <c r="AV829" s="225"/>
      <c r="AW829" s="257"/>
      <c r="AX829" s="226"/>
      <c r="AY829" s="225"/>
      <c r="AZ829" s="225"/>
      <c r="BA829" s="226"/>
      <c r="BB829" s="225"/>
      <c r="BC829" s="225"/>
      <c r="BD829" s="225"/>
      <c r="BE829" s="225"/>
      <c r="BF829" s="225"/>
      <c r="BG829" s="225"/>
      <c r="BH829" s="225"/>
      <c r="BI829" s="225"/>
      <c r="BJ829" s="225"/>
      <c r="BK829" s="225"/>
      <c r="BL829" s="225"/>
      <c r="BM829" s="225"/>
      <c r="BN829" s="225"/>
      <c r="BO829" s="225"/>
      <c r="BP829" s="225"/>
      <c r="BQ829" s="225"/>
      <c r="BR829" s="225"/>
      <c r="BS829" s="225"/>
      <c r="BT829" s="226"/>
      <c r="BU829" s="225"/>
      <c r="BV829" s="225"/>
      <c r="BW829" s="225"/>
      <c r="BX829" s="225"/>
      <c r="BY829" s="225"/>
      <c r="BZ829" s="225"/>
    </row>
    <row r="830">
      <c r="A830" s="225"/>
      <c r="B830" s="225"/>
      <c r="C830" s="225"/>
      <c r="D830" s="226"/>
      <c r="E830" s="225"/>
      <c r="F830" s="225"/>
      <c r="G830" s="225"/>
      <c r="H830" s="225"/>
      <c r="I830" s="225"/>
      <c r="J830" s="225"/>
      <c r="K830" s="244"/>
      <c r="L830" s="225"/>
      <c r="M830" s="225"/>
      <c r="N830" s="225"/>
      <c r="O830" s="225"/>
      <c r="P830" s="225"/>
      <c r="Q830" s="227"/>
      <c r="R830" s="234"/>
      <c r="S830" s="225"/>
      <c r="T830" s="225"/>
      <c r="U830" s="225"/>
      <c r="V830" s="225"/>
      <c r="W830" s="225"/>
      <c r="X830" s="225"/>
      <c r="Y830" s="229"/>
      <c r="Z830" s="257"/>
      <c r="AA830" s="225"/>
      <c r="AB830" s="257"/>
      <c r="AC830" s="257"/>
      <c r="AD830" s="349"/>
      <c r="AE830" s="259"/>
      <c r="AF830" s="347"/>
      <c r="AG830" s="232"/>
      <c r="AH830" s="291"/>
      <c r="AI830" s="234"/>
      <c r="AJ830" s="267"/>
      <c r="AK830" s="259"/>
      <c r="AL830" s="232"/>
      <c r="AM830" s="225"/>
      <c r="AN830" s="225"/>
      <c r="AO830" s="254"/>
      <c r="AP830" s="225"/>
      <c r="AQ830" s="257"/>
      <c r="AR830" s="254"/>
      <c r="AS830" s="225"/>
      <c r="AT830" s="257"/>
      <c r="AU830" s="225"/>
      <c r="AV830" s="225"/>
      <c r="AW830" s="267"/>
      <c r="AX830" s="226"/>
      <c r="AY830" s="225"/>
      <c r="AZ830" s="225"/>
      <c r="BA830" s="226"/>
      <c r="BB830" s="225"/>
      <c r="BC830" s="225"/>
      <c r="BD830" s="225"/>
      <c r="BE830" s="225"/>
      <c r="BF830" s="225"/>
      <c r="BG830" s="225"/>
      <c r="BH830" s="225"/>
      <c r="BI830" s="225"/>
      <c r="BJ830" s="225"/>
      <c r="BK830" s="225"/>
      <c r="BL830" s="225"/>
      <c r="BM830" s="225"/>
      <c r="BN830" s="225"/>
      <c r="BO830" s="225"/>
      <c r="BP830" s="225"/>
      <c r="BQ830" s="225"/>
      <c r="BR830" s="225"/>
      <c r="BS830" s="225"/>
      <c r="BT830" s="226"/>
      <c r="BU830" s="225"/>
      <c r="BV830" s="225"/>
      <c r="BW830" s="225"/>
      <c r="BX830" s="225"/>
      <c r="BY830" s="225"/>
      <c r="BZ830" s="225"/>
    </row>
    <row r="831">
      <c r="A831" s="225"/>
      <c r="B831" s="225"/>
      <c r="C831" s="225"/>
      <c r="D831" s="226"/>
      <c r="E831" s="225"/>
      <c r="F831" s="225"/>
      <c r="G831" s="225"/>
      <c r="H831" s="225"/>
      <c r="I831" s="225"/>
      <c r="J831" s="225"/>
      <c r="K831" s="244"/>
      <c r="L831" s="225"/>
      <c r="M831" s="225"/>
      <c r="N831" s="225"/>
      <c r="O831" s="225"/>
      <c r="P831" s="225"/>
      <c r="Q831" s="227"/>
      <c r="R831" s="234"/>
      <c r="S831" s="225"/>
      <c r="T831" s="225"/>
      <c r="U831" s="225"/>
      <c r="V831" s="225"/>
      <c r="W831" s="225"/>
      <c r="X831" s="225"/>
      <c r="Y831" s="229"/>
      <c r="Z831" s="257"/>
      <c r="AA831" s="225"/>
      <c r="AB831" s="257"/>
      <c r="AC831" s="257"/>
      <c r="AD831" s="349"/>
      <c r="AE831" s="259"/>
      <c r="AF831" s="347"/>
      <c r="AG831" s="232"/>
      <c r="AH831" s="271"/>
      <c r="AI831" s="234"/>
      <c r="AJ831" s="267"/>
      <c r="AK831" s="259"/>
      <c r="AL831" s="232"/>
      <c r="AM831" s="225"/>
      <c r="AN831" s="225"/>
      <c r="AO831" s="254"/>
      <c r="AP831" s="225"/>
      <c r="AQ831" s="257"/>
      <c r="AR831" s="254"/>
      <c r="AS831" s="225"/>
      <c r="AT831" s="257"/>
      <c r="AU831" s="225"/>
      <c r="AV831" s="225"/>
      <c r="AW831" s="267"/>
      <c r="AX831" s="226"/>
      <c r="AY831" s="225"/>
      <c r="AZ831" s="225"/>
      <c r="BA831" s="226"/>
      <c r="BB831" s="225"/>
      <c r="BC831" s="225"/>
      <c r="BD831" s="225"/>
      <c r="BE831" s="225"/>
      <c r="BF831" s="225"/>
      <c r="BG831" s="225"/>
      <c r="BH831" s="225"/>
      <c r="BI831" s="225"/>
      <c r="BJ831" s="225"/>
      <c r="BK831" s="225"/>
      <c r="BL831" s="225"/>
      <c r="BM831" s="225"/>
      <c r="BN831" s="225"/>
      <c r="BO831" s="225"/>
      <c r="BP831" s="225"/>
      <c r="BQ831" s="225"/>
      <c r="BR831" s="225"/>
      <c r="BS831" s="225"/>
      <c r="BT831" s="226"/>
      <c r="BU831" s="225"/>
      <c r="BV831" s="225"/>
      <c r="BW831" s="225"/>
      <c r="BX831" s="225"/>
      <c r="BY831" s="225"/>
      <c r="BZ831" s="225"/>
    </row>
    <row r="832">
      <c r="A832" s="225"/>
      <c r="B832" s="225"/>
      <c r="C832" s="225"/>
      <c r="D832" s="226"/>
      <c r="E832" s="225"/>
      <c r="F832" s="225"/>
      <c r="G832" s="225"/>
      <c r="H832" s="225"/>
      <c r="I832" s="225"/>
      <c r="J832" s="225"/>
      <c r="K832" s="244"/>
      <c r="L832" s="225"/>
      <c r="M832" s="225"/>
      <c r="N832" s="225"/>
      <c r="O832" s="284"/>
      <c r="P832" s="225"/>
      <c r="Q832" s="227"/>
      <c r="R832" s="234"/>
      <c r="S832" s="225"/>
      <c r="T832" s="225"/>
      <c r="U832" s="225"/>
      <c r="V832" s="225"/>
      <c r="W832" s="225"/>
      <c r="X832" s="225"/>
      <c r="Y832" s="229"/>
      <c r="Z832" s="257"/>
      <c r="AA832" s="284"/>
      <c r="AB832" s="257"/>
      <c r="AC832" s="257"/>
      <c r="AD832" s="349"/>
      <c r="AE832" s="259"/>
      <c r="AF832" s="347"/>
      <c r="AG832" s="232"/>
      <c r="AH832" s="271"/>
      <c r="AI832" s="234"/>
      <c r="AJ832" s="267"/>
      <c r="AK832" s="259"/>
      <c r="AL832" s="226"/>
      <c r="AM832" s="225"/>
      <c r="AN832" s="225"/>
      <c r="AO832" s="254"/>
      <c r="AP832" s="225"/>
      <c r="AQ832" s="225"/>
      <c r="AR832" s="254"/>
      <c r="AS832" s="225"/>
      <c r="AT832" s="257"/>
      <c r="AU832" s="225"/>
      <c r="AV832" s="225"/>
      <c r="AW832" s="267"/>
      <c r="AX832" s="226"/>
      <c r="AY832" s="225"/>
      <c r="AZ832" s="225"/>
      <c r="BA832" s="226"/>
      <c r="BB832" s="225"/>
      <c r="BC832" s="225"/>
      <c r="BD832" s="225"/>
      <c r="BE832" s="225"/>
      <c r="BF832" s="225"/>
      <c r="BG832" s="225"/>
      <c r="BH832" s="225"/>
      <c r="BI832" s="225"/>
      <c r="BJ832" s="225"/>
      <c r="BK832" s="225"/>
      <c r="BL832" s="225"/>
      <c r="BM832" s="225"/>
      <c r="BN832" s="225"/>
      <c r="BO832" s="225"/>
      <c r="BP832" s="225"/>
      <c r="BQ832" s="225"/>
      <c r="BR832" s="225"/>
      <c r="BS832" s="225"/>
      <c r="BT832" s="226"/>
      <c r="BU832" s="225"/>
      <c r="BV832" s="225"/>
      <c r="BW832" s="225"/>
      <c r="BX832" s="225"/>
      <c r="BY832" s="225"/>
      <c r="BZ832" s="225"/>
    </row>
    <row r="833">
      <c r="A833" s="225"/>
      <c r="B833" s="225"/>
      <c r="C833" s="225"/>
      <c r="D833" s="226"/>
      <c r="E833" s="225"/>
      <c r="F833" s="225"/>
      <c r="G833" s="225"/>
      <c r="H833" s="225"/>
      <c r="I833" s="225"/>
      <c r="J833" s="225"/>
      <c r="K833" s="244"/>
      <c r="L833" s="225"/>
      <c r="M833" s="225"/>
      <c r="N833" s="225"/>
      <c r="O833" s="225"/>
      <c r="P833" s="225"/>
      <c r="Q833" s="227"/>
      <c r="R833" s="234"/>
      <c r="S833" s="225"/>
      <c r="T833" s="225"/>
      <c r="U833" s="225"/>
      <c r="V833" s="225"/>
      <c r="W833" s="225"/>
      <c r="X833" s="225"/>
      <c r="Y833" s="229"/>
      <c r="Z833" s="257"/>
      <c r="AA833" s="225"/>
      <c r="AB833" s="257"/>
      <c r="AC833" s="257"/>
      <c r="AD833" s="349"/>
      <c r="AE833" s="259"/>
      <c r="AF833" s="347"/>
      <c r="AG833" s="232"/>
      <c r="AH833" s="287"/>
      <c r="AI833" s="234"/>
      <c r="AJ833" s="267"/>
      <c r="AK833" s="259"/>
      <c r="AL833" s="226"/>
      <c r="AM833" s="225"/>
      <c r="AN833" s="225"/>
      <c r="AO833" s="254"/>
      <c r="AP833" s="225"/>
      <c r="AQ833" s="225"/>
      <c r="AR833" s="254"/>
      <c r="AS833" s="225"/>
      <c r="AT833" s="257"/>
      <c r="AU833" s="225"/>
      <c r="AV833" s="225"/>
      <c r="AW833" s="267"/>
      <c r="AX833" s="226"/>
      <c r="AY833" s="225"/>
      <c r="AZ833" s="225"/>
      <c r="BA833" s="226"/>
      <c r="BB833" s="225"/>
      <c r="BC833" s="225"/>
      <c r="BD833" s="225"/>
      <c r="BE833" s="225"/>
      <c r="BF833" s="225"/>
      <c r="BG833" s="225"/>
      <c r="BH833" s="225"/>
      <c r="BI833" s="225"/>
      <c r="BJ833" s="225"/>
      <c r="BK833" s="225"/>
      <c r="BL833" s="225"/>
      <c r="BM833" s="225"/>
      <c r="BN833" s="225"/>
      <c r="BO833" s="225"/>
      <c r="BP833" s="225"/>
      <c r="BQ833" s="225"/>
      <c r="BR833" s="225"/>
      <c r="BS833" s="225"/>
      <c r="BT833" s="226"/>
      <c r="BU833" s="225"/>
      <c r="BV833" s="225"/>
      <c r="BW833" s="225"/>
      <c r="BX833" s="225"/>
      <c r="BY833" s="225"/>
      <c r="BZ833" s="225"/>
    </row>
    <row r="834">
      <c r="A834" s="225"/>
      <c r="B834" s="225"/>
      <c r="C834" s="225"/>
      <c r="D834" s="226"/>
      <c r="E834" s="225"/>
      <c r="F834" s="225"/>
      <c r="G834" s="225"/>
      <c r="H834" s="225"/>
      <c r="I834" s="225"/>
      <c r="J834" s="225"/>
      <c r="K834" s="244"/>
      <c r="L834" s="225"/>
      <c r="M834" s="225"/>
      <c r="N834" s="225"/>
      <c r="O834" s="225"/>
      <c r="P834" s="225"/>
      <c r="Q834" s="227"/>
      <c r="R834" s="234"/>
      <c r="S834" s="225"/>
      <c r="T834" s="225"/>
      <c r="U834" s="225"/>
      <c r="V834" s="225"/>
      <c r="W834" s="225"/>
      <c r="X834" s="225"/>
      <c r="Y834" s="229"/>
      <c r="Z834" s="257"/>
      <c r="AA834" s="225"/>
      <c r="AB834" s="257"/>
      <c r="AC834" s="257"/>
      <c r="AD834" s="349"/>
      <c r="AE834" s="259"/>
      <c r="AF834" s="347"/>
      <c r="AG834" s="232"/>
      <c r="AH834" s="337"/>
      <c r="AI834" s="234"/>
      <c r="AJ834" s="267"/>
      <c r="AK834" s="259"/>
      <c r="AL834" s="226"/>
      <c r="AM834" s="225"/>
      <c r="AN834" s="225"/>
      <c r="AO834" s="254"/>
      <c r="AP834" s="225"/>
      <c r="AQ834" s="225"/>
      <c r="AR834" s="254"/>
      <c r="AS834" s="225"/>
      <c r="AT834" s="257"/>
      <c r="AU834" s="225"/>
      <c r="AV834" s="225"/>
      <c r="AW834" s="267"/>
      <c r="AX834" s="226"/>
      <c r="AY834" s="225"/>
      <c r="AZ834" s="225"/>
      <c r="BA834" s="226"/>
      <c r="BB834" s="225"/>
      <c r="BC834" s="225"/>
      <c r="BD834" s="225"/>
      <c r="BE834" s="225"/>
      <c r="BF834" s="225"/>
      <c r="BG834" s="225"/>
      <c r="BH834" s="225"/>
      <c r="BI834" s="225"/>
      <c r="BJ834" s="225"/>
      <c r="BK834" s="225"/>
      <c r="BL834" s="225"/>
      <c r="BM834" s="225"/>
      <c r="BN834" s="225"/>
      <c r="BO834" s="225"/>
      <c r="BP834" s="225"/>
      <c r="BQ834" s="225"/>
      <c r="BR834" s="225"/>
      <c r="BS834" s="225"/>
      <c r="BT834" s="226"/>
      <c r="BU834" s="225"/>
      <c r="BV834" s="225"/>
      <c r="BW834" s="225"/>
      <c r="BX834" s="225"/>
      <c r="BY834" s="225"/>
      <c r="BZ834" s="225"/>
    </row>
    <row r="835">
      <c r="A835" s="225"/>
      <c r="B835" s="225"/>
      <c r="C835" s="225"/>
      <c r="D835" s="226"/>
      <c r="E835" s="225"/>
      <c r="F835" s="225"/>
      <c r="G835" s="225"/>
      <c r="H835" s="225"/>
      <c r="I835" s="225"/>
      <c r="J835" s="225"/>
      <c r="K835" s="244"/>
      <c r="L835" s="225"/>
      <c r="M835" s="225"/>
      <c r="N835" s="225"/>
      <c r="O835" s="225"/>
      <c r="P835" s="225"/>
      <c r="Q835" s="227"/>
      <c r="R835" s="234"/>
      <c r="S835" s="225"/>
      <c r="T835" s="225"/>
      <c r="U835" s="225"/>
      <c r="V835" s="225"/>
      <c r="W835" s="225"/>
      <c r="X835" s="225"/>
      <c r="Y835" s="229"/>
      <c r="Z835" s="257"/>
      <c r="AA835" s="225"/>
      <c r="AB835" s="257"/>
      <c r="AC835" s="257"/>
      <c r="AD835" s="349"/>
      <c r="AE835" s="259"/>
      <c r="AF835" s="347"/>
      <c r="AG835" s="232"/>
      <c r="AH835" s="257"/>
      <c r="AI835" s="234"/>
      <c r="AJ835" s="267"/>
      <c r="AK835" s="259"/>
      <c r="AL835" s="226"/>
      <c r="AM835" s="225"/>
      <c r="AN835" s="225"/>
      <c r="AO835" s="254"/>
      <c r="AP835" s="225"/>
      <c r="AQ835" s="225"/>
      <c r="AR835" s="226"/>
      <c r="AS835" s="225"/>
      <c r="AT835" s="257"/>
      <c r="AU835" s="225"/>
      <c r="AV835" s="225"/>
      <c r="AW835" s="225"/>
      <c r="AX835" s="226"/>
      <c r="AY835" s="225"/>
      <c r="AZ835" s="225"/>
      <c r="BA835" s="226"/>
      <c r="BB835" s="225"/>
      <c r="BC835" s="225"/>
      <c r="BD835" s="225"/>
      <c r="BE835" s="225"/>
      <c r="BF835" s="225"/>
      <c r="BG835" s="225"/>
      <c r="BH835" s="225"/>
      <c r="BI835" s="225"/>
      <c r="BJ835" s="225"/>
      <c r="BK835" s="225"/>
      <c r="BL835" s="225"/>
      <c r="BM835" s="225"/>
      <c r="BN835" s="225"/>
      <c r="BO835" s="225"/>
      <c r="BP835" s="225"/>
      <c r="BQ835" s="225"/>
      <c r="BR835" s="225"/>
      <c r="BS835" s="225"/>
      <c r="BT835" s="226"/>
      <c r="BU835" s="225"/>
      <c r="BV835" s="225"/>
      <c r="BW835" s="225"/>
      <c r="BX835" s="225"/>
      <c r="BY835" s="225"/>
      <c r="BZ835" s="225"/>
    </row>
    <row r="836">
      <c r="A836" s="225"/>
      <c r="B836" s="225"/>
      <c r="C836" s="225"/>
      <c r="D836" s="226"/>
      <c r="E836" s="225"/>
      <c r="F836" s="225"/>
      <c r="G836" s="225"/>
      <c r="H836" s="225"/>
      <c r="I836" s="225"/>
      <c r="J836" s="225"/>
      <c r="K836" s="244"/>
      <c r="L836" s="225"/>
      <c r="M836" s="225"/>
      <c r="N836" s="225"/>
      <c r="O836" s="225"/>
      <c r="P836" s="225"/>
      <c r="Q836" s="227"/>
      <c r="R836" s="234"/>
      <c r="S836" s="225"/>
      <c r="T836" s="225"/>
      <c r="U836" s="225"/>
      <c r="V836" s="225"/>
      <c r="W836" s="225"/>
      <c r="X836" s="225"/>
      <c r="Y836" s="229"/>
      <c r="Z836" s="257"/>
      <c r="AA836" s="225"/>
      <c r="AB836" s="257"/>
      <c r="AC836" s="257"/>
      <c r="AD836" s="349"/>
      <c r="AE836" s="259"/>
      <c r="AF836" s="347"/>
      <c r="AG836" s="232"/>
      <c r="AH836" s="266"/>
      <c r="AI836" s="234"/>
      <c r="AJ836" s="267"/>
      <c r="AK836" s="259"/>
      <c r="AL836" s="226"/>
      <c r="AM836" s="225"/>
      <c r="AN836" s="225"/>
      <c r="AO836" s="254"/>
      <c r="AP836" s="225"/>
      <c r="AQ836" s="225"/>
      <c r="AR836" s="330"/>
      <c r="AS836" s="225"/>
      <c r="AT836" s="257"/>
      <c r="AU836" s="225"/>
      <c r="AV836" s="225"/>
      <c r="AW836" s="305"/>
      <c r="AX836" s="226"/>
      <c r="AY836" s="225"/>
      <c r="AZ836" s="225"/>
      <c r="BA836" s="226"/>
      <c r="BB836" s="225"/>
      <c r="BC836" s="225"/>
      <c r="BD836" s="225"/>
      <c r="BE836" s="225"/>
      <c r="BF836" s="225"/>
      <c r="BG836" s="225"/>
      <c r="BH836" s="225"/>
      <c r="BI836" s="225"/>
      <c r="BJ836" s="225"/>
      <c r="BK836" s="225"/>
      <c r="BL836" s="225"/>
      <c r="BM836" s="225"/>
      <c r="BN836" s="225"/>
      <c r="BO836" s="225"/>
      <c r="BP836" s="225"/>
      <c r="BQ836" s="225"/>
      <c r="BR836" s="225"/>
      <c r="BS836" s="225"/>
      <c r="BT836" s="226"/>
      <c r="BU836" s="225"/>
      <c r="BV836" s="225"/>
      <c r="BW836" s="225"/>
      <c r="BX836" s="225"/>
      <c r="BY836" s="225"/>
      <c r="BZ836" s="225"/>
    </row>
    <row r="837">
      <c r="A837" s="225"/>
      <c r="B837" s="225"/>
      <c r="C837" s="225"/>
      <c r="D837" s="226"/>
      <c r="E837" s="225"/>
      <c r="F837" s="225"/>
      <c r="G837" s="225"/>
      <c r="H837" s="225"/>
      <c r="I837" s="225"/>
      <c r="J837" s="225"/>
      <c r="K837" s="244"/>
      <c r="L837" s="225"/>
      <c r="M837" s="225"/>
      <c r="N837" s="225"/>
      <c r="O837" s="225"/>
      <c r="P837" s="225"/>
      <c r="Q837" s="227"/>
      <c r="R837" s="234"/>
      <c r="S837" s="225"/>
      <c r="T837" s="225"/>
      <c r="U837" s="225"/>
      <c r="V837" s="225"/>
      <c r="W837" s="225"/>
      <c r="X837" s="225"/>
      <c r="Y837" s="229"/>
      <c r="Z837" s="257"/>
      <c r="AA837" s="225"/>
      <c r="AB837" s="257"/>
      <c r="AC837" s="257"/>
      <c r="AD837" s="349"/>
      <c r="AE837" s="259"/>
      <c r="AF837" s="347"/>
      <c r="AG837" s="232"/>
      <c r="AH837" s="267"/>
      <c r="AI837" s="234"/>
      <c r="AJ837" s="267"/>
      <c r="AK837" s="259"/>
      <c r="AL837" s="226"/>
      <c r="AM837" s="225"/>
      <c r="AN837" s="225"/>
      <c r="AO837" s="254"/>
      <c r="AP837" s="225"/>
      <c r="AQ837" s="225"/>
      <c r="AR837" s="254"/>
      <c r="AS837" s="225"/>
      <c r="AT837" s="257"/>
      <c r="AU837" s="225"/>
      <c r="AV837" s="225"/>
      <c r="AW837" s="267"/>
      <c r="AX837" s="226"/>
      <c r="AY837" s="225"/>
      <c r="AZ837" s="225"/>
      <c r="BA837" s="226"/>
      <c r="BB837" s="225"/>
      <c r="BC837" s="225"/>
      <c r="BD837" s="225"/>
      <c r="BE837" s="225"/>
      <c r="BF837" s="225"/>
      <c r="BG837" s="225"/>
      <c r="BH837" s="225"/>
      <c r="BI837" s="225"/>
      <c r="BJ837" s="225"/>
      <c r="BK837" s="225"/>
      <c r="BL837" s="225"/>
      <c r="BM837" s="225"/>
      <c r="BN837" s="225"/>
      <c r="BO837" s="225"/>
      <c r="BP837" s="225"/>
      <c r="BQ837" s="225"/>
      <c r="BR837" s="225"/>
      <c r="BS837" s="225"/>
      <c r="BT837" s="226"/>
      <c r="BU837" s="225"/>
      <c r="BV837" s="225"/>
      <c r="BW837" s="225"/>
      <c r="BX837" s="225"/>
      <c r="BY837" s="225"/>
      <c r="BZ837" s="225"/>
    </row>
    <row r="838">
      <c r="A838" s="225"/>
      <c r="B838" s="225"/>
      <c r="C838" s="225"/>
      <c r="D838" s="226"/>
      <c r="E838" s="225"/>
      <c r="F838" s="225"/>
      <c r="G838" s="225"/>
      <c r="H838" s="225"/>
      <c r="I838" s="225"/>
      <c r="J838" s="225"/>
      <c r="K838" s="244"/>
      <c r="L838" s="225"/>
      <c r="M838" s="225"/>
      <c r="N838" s="225"/>
      <c r="O838" s="225"/>
      <c r="P838" s="225"/>
      <c r="Q838" s="227"/>
      <c r="R838" s="234"/>
      <c r="S838" s="225"/>
      <c r="T838" s="225"/>
      <c r="U838" s="225"/>
      <c r="V838" s="225"/>
      <c r="W838" s="225"/>
      <c r="X838" s="225"/>
      <c r="Y838" s="229"/>
      <c r="Z838" s="257"/>
      <c r="AA838" s="225"/>
      <c r="AB838" s="257"/>
      <c r="AC838" s="257"/>
      <c r="AD838" s="226"/>
      <c r="AE838" s="259"/>
      <c r="AF838" s="347"/>
      <c r="AG838" s="232"/>
      <c r="AH838" s="257"/>
      <c r="AI838" s="225"/>
      <c r="AJ838" s="267"/>
      <c r="AK838" s="259"/>
      <c r="AL838" s="226"/>
      <c r="AM838" s="225"/>
      <c r="AN838" s="225"/>
      <c r="AO838" s="254"/>
      <c r="AP838" s="225"/>
      <c r="AQ838" s="225"/>
      <c r="AR838" s="330"/>
      <c r="AS838" s="225"/>
      <c r="AT838" s="225"/>
      <c r="AU838" s="225"/>
      <c r="AV838" s="225"/>
      <c r="AW838" s="305"/>
      <c r="AX838" s="226"/>
      <c r="AY838" s="225"/>
      <c r="AZ838" s="225"/>
      <c r="BA838" s="226"/>
      <c r="BB838" s="225"/>
      <c r="BC838" s="225"/>
      <c r="BD838" s="225"/>
      <c r="BE838" s="225"/>
      <c r="BF838" s="225"/>
      <c r="BG838" s="225"/>
      <c r="BH838" s="225"/>
      <c r="BI838" s="225"/>
      <c r="BJ838" s="225"/>
      <c r="BK838" s="225"/>
      <c r="BL838" s="225"/>
      <c r="BM838" s="225"/>
      <c r="BN838" s="225"/>
      <c r="BO838" s="225"/>
      <c r="BP838" s="225"/>
      <c r="BQ838" s="225"/>
      <c r="BR838" s="225"/>
      <c r="BS838" s="225"/>
      <c r="BT838" s="226"/>
      <c r="BU838" s="225"/>
      <c r="BV838" s="225"/>
      <c r="BW838" s="225"/>
      <c r="BX838" s="225"/>
      <c r="BY838" s="225"/>
      <c r="BZ838" s="225"/>
    </row>
    <row r="839">
      <c r="A839" s="225"/>
      <c r="B839" s="225"/>
      <c r="C839" s="225"/>
      <c r="D839" s="226"/>
      <c r="E839" s="225"/>
      <c r="F839" s="225"/>
      <c r="G839" s="225"/>
      <c r="H839" s="225"/>
      <c r="I839" s="225"/>
      <c r="J839" s="225"/>
      <c r="K839" s="244"/>
      <c r="L839" s="225"/>
      <c r="M839" s="225"/>
      <c r="N839" s="225"/>
      <c r="O839" s="225"/>
      <c r="P839" s="225"/>
      <c r="Q839" s="227"/>
      <c r="R839" s="234"/>
      <c r="S839" s="225"/>
      <c r="T839" s="225"/>
      <c r="U839" s="225"/>
      <c r="V839" s="225"/>
      <c r="W839" s="225"/>
      <c r="X839" s="225"/>
      <c r="Y839" s="229"/>
      <c r="Z839" s="257"/>
      <c r="AA839" s="225"/>
      <c r="AB839" s="257"/>
      <c r="AC839" s="257"/>
      <c r="AD839" s="226"/>
      <c r="AE839" s="259"/>
      <c r="AF839" s="347"/>
      <c r="AG839" s="232"/>
      <c r="AH839" s="257"/>
      <c r="AI839" s="225"/>
      <c r="AJ839" s="267"/>
      <c r="AK839" s="259"/>
      <c r="AL839" s="226"/>
      <c r="AM839" s="225"/>
      <c r="AN839" s="225"/>
      <c r="AO839" s="254"/>
      <c r="AP839" s="225"/>
      <c r="AQ839" s="225"/>
      <c r="AR839" s="226"/>
      <c r="AS839" s="225"/>
      <c r="AT839" s="225"/>
      <c r="AU839" s="225"/>
      <c r="AV839" s="225"/>
      <c r="AW839" s="225"/>
      <c r="AX839" s="226"/>
      <c r="AY839" s="225"/>
      <c r="AZ839" s="225"/>
      <c r="BA839" s="226"/>
      <c r="BB839" s="225"/>
      <c r="BC839" s="225"/>
      <c r="BD839" s="225"/>
      <c r="BE839" s="225"/>
      <c r="BF839" s="225"/>
      <c r="BG839" s="225"/>
      <c r="BH839" s="225"/>
      <c r="BI839" s="225"/>
      <c r="BJ839" s="225"/>
      <c r="BK839" s="225"/>
      <c r="BL839" s="225"/>
      <c r="BM839" s="225"/>
      <c r="BN839" s="225"/>
      <c r="BO839" s="225"/>
      <c r="BP839" s="225"/>
      <c r="BQ839" s="225"/>
      <c r="BR839" s="225"/>
      <c r="BS839" s="225"/>
      <c r="BT839" s="226"/>
      <c r="BU839" s="225"/>
      <c r="BV839" s="225"/>
      <c r="BW839" s="225"/>
      <c r="BX839" s="225"/>
      <c r="BY839" s="225"/>
      <c r="BZ839" s="225"/>
    </row>
    <row r="840">
      <c r="A840" s="225"/>
      <c r="B840" s="225"/>
      <c r="C840" s="225"/>
      <c r="D840" s="226"/>
      <c r="E840" s="225"/>
      <c r="F840" s="225"/>
      <c r="G840" s="225"/>
      <c r="H840" s="225"/>
      <c r="I840" s="225"/>
      <c r="J840" s="225"/>
      <c r="K840" s="244"/>
      <c r="L840" s="225"/>
      <c r="M840" s="225"/>
      <c r="N840" s="225"/>
      <c r="O840" s="225"/>
      <c r="P840" s="225"/>
      <c r="Q840" s="227"/>
      <c r="R840" s="234"/>
      <c r="S840" s="225"/>
      <c r="T840" s="225"/>
      <c r="U840" s="225"/>
      <c r="V840" s="225"/>
      <c r="W840" s="225"/>
      <c r="X840" s="225"/>
      <c r="Y840" s="229"/>
      <c r="Z840" s="257"/>
      <c r="AA840" s="225"/>
      <c r="AB840" s="257"/>
      <c r="AC840" s="257"/>
      <c r="AD840" s="226"/>
      <c r="AE840" s="259"/>
      <c r="AF840" s="347"/>
      <c r="AG840" s="232"/>
      <c r="AH840" s="257"/>
      <c r="AI840" s="225"/>
      <c r="AJ840" s="267"/>
      <c r="AK840" s="259"/>
      <c r="AL840" s="226"/>
      <c r="AM840" s="225"/>
      <c r="AN840" s="225"/>
      <c r="AO840" s="254"/>
      <c r="AP840" s="225"/>
      <c r="AQ840" s="225"/>
      <c r="AR840" s="254"/>
      <c r="AS840" s="225"/>
      <c r="AT840" s="225"/>
      <c r="AU840" s="225"/>
      <c r="AV840" s="225"/>
      <c r="AW840" s="267"/>
      <c r="AX840" s="226"/>
      <c r="AY840" s="225"/>
      <c r="AZ840" s="225"/>
      <c r="BA840" s="226"/>
      <c r="BB840" s="225"/>
      <c r="BC840" s="225"/>
      <c r="BD840" s="225"/>
      <c r="BE840" s="225"/>
      <c r="BF840" s="225"/>
      <c r="BG840" s="225"/>
      <c r="BH840" s="225"/>
      <c r="BI840" s="225"/>
      <c r="BJ840" s="225"/>
      <c r="BK840" s="225"/>
      <c r="BL840" s="225"/>
      <c r="BM840" s="225"/>
      <c r="BN840" s="225"/>
      <c r="BO840" s="225"/>
      <c r="BP840" s="225"/>
      <c r="BQ840" s="225"/>
      <c r="BR840" s="225"/>
      <c r="BS840" s="225"/>
      <c r="BT840" s="226"/>
      <c r="BU840" s="225"/>
      <c r="BV840" s="225"/>
      <c r="BW840" s="225"/>
      <c r="BX840" s="225"/>
      <c r="BY840" s="225"/>
      <c r="BZ840" s="225"/>
    </row>
    <row r="841">
      <c r="A841" s="225"/>
      <c r="B841" s="225"/>
      <c r="C841" s="225"/>
      <c r="D841" s="226"/>
      <c r="E841" s="225"/>
      <c r="F841" s="225"/>
      <c r="G841" s="225"/>
      <c r="H841" s="225"/>
      <c r="I841" s="225"/>
      <c r="J841" s="225"/>
      <c r="K841" s="244"/>
      <c r="L841" s="225"/>
      <c r="M841" s="225"/>
      <c r="N841" s="225"/>
      <c r="O841" s="225"/>
      <c r="P841" s="225"/>
      <c r="Q841" s="227"/>
      <c r="R841" s="234"/>
      <c r="S841" s="225"/>
      <c r="T841" s="225"/>
      <c r="U841" s="225"/>
      <c r="V841" s="225"/>
      <c r="W841" s="225"/>
      <c r="X841" s="225"/>
      <c r="Y841" s="229"/>
      <c r="Z841" s="257"/>
      <c r="AA841" s="225"/>
      <c r="AB841" s="257"/>
      <c r="AC841" s="257"/>
      <c r="AD841" s="226"/>
      <c r="AE841" s="259"/>
      <c r="AF841" s="347"/>
      <c r="AG841" s="232"/>
      <c r="AH841" s="257"/>
      <c r="AI841" s="225"/>
      <c r="AJ841" s="267"/>
      <c r="AK841" s="259"/>
      <c r="AL841" s="226"/>
      <c r="AM841" s="225"/>
      <c r="AN841" s="225"/>
      <c r="AO841" s="254"/>
      <c r="AP841" s="225"/>
      <c r="AQ841" s="225"/>
      <c r="AR841" s="254"/>
      <c r="AS841" s="225"/>
      <c r="AT841" s="225"/>
      <c r="AU841" s="225"/>
      <c r="AV841" s="225"/>
      <c r="AW841" s="267"/>
      <c r="AX841" s="226"/>
      <c r="AY841" s="225"/>
      <c r="AZ841" s="225"/>
      <c r="BA841" s="226"/>
      <c r="BB841" s="225"/>
      <c r="BC841" s="225"/>
      <c r="BD841" s="225"/>
      <c r="BE841" s="225"/>
      <c r="BF841" s="225"/>
      <c r="BG841" s="225"/>
      <c r="BH841" s="225"/>
      <c r="BI841" s="225"/>
      <c r="BJ841" s="225"/>
      <c r="BK841" s="225"/>
      <c r="BL841" s="225"/>
      <c r="BM841" s="225"/>
      <c r="BN841" s="225"/>
      <c r="BO841" s="225"/>
      <c r="BP841" s="225"/>
      <c r="BQ841" s="225"/>
      <c r="BR841" s="225"/>
      <c r="BS841" s="225"/>
      <c r="BT841" s="226"/>
      <c r="BU841" s="225"/>
      <c r="BV841" s="225"/>
      <c r="BW841" s="225"/>
      <c r="BX841" s="225"/>
      <c r="BY841" s="225"/>
      <c r="BZ841" s="225"/>
    </row>
    <row r="842">
      <c r="A842" s="225"/>
      <c r="B842" s="225"/>
      <c r="C842" s="225"/>
      <c r="D842" s="226"/>
      <c r="E842" s="225"/>
      <c r="F842" s="225"/>
      <c r="G842" s="225"/>
      <c r="H842" s="225"/>
      <c r="I842" s="225"/>
      <c r="J842" s="225"/>
      <c r="K842" s="244"/>
      <c r="L842" s="225"/>
      <c r="M842" s="225"/>
      <c r="N842" s="225"/>
      <c r="O842" s="225"/>
      <c r="P842" s="225"/>
      <c r="Q842" s="227"/>
      <c r="R842" s="234"/>
      <c r="S842" s="225"/>
      <c r="T842" s="225"/>
      <c r="U842" s="225"/>
      <c r="V842" s="225"/>
      <c r="W842" s="225"/>
      <c r="X842" s="225"/>
      <c r="Y842" s="229"/>
      <c r="Z842" s="257"/>
      <c r="AA842" s="225"/>
      <c r="AB842" s="257"/>
      <c r="AC842" s="257"/>
      <c r="AD842" s="226"/>
      <c r="AE842" s="259"/>
      <c r="AF842" s="347"/>
      <c r="AG842" s="232"/>
      <c r="AH842" s="257"/>
      <c r="AI842" s="225"/>
      <c r="AJ842" s="267"/>
      <c r="AK842" s="259"/>
      <c r="AL842" s="226"/>
      <c r="AM842" s="225"/>
      <c r="AN842" s="225"/>
      <c r="AO842" s="254"/>
      <c r="AP842" s="225"/>
      <c r="AQ842" s="225"/>
      <c r="AR842" s="254"/>
      <c r="AS842" s="225"/>
      <c r="AT842" s="225"/>
      <c r="AU842" s="225"/>
      <c r="AV842" s="225"/>
      <c r="AW842" s="267"/>
      <c r="AX842" s="226"/>
      <c r="AY842" s="225"/>
      <c r="AZ842" s="225"/>
      <c r="BA842" s="226"/>
      <c r="BB842" s="225"/>
      <c r="BC842" s="225"/>
      <c r="BD842" s="225"/>
      <c r="BE842" s="225"/>
      <c r="BF842" s="225"/>
      <c r="BG842" s="225"/>
      <c r="BH842" s="225"/>
      <c r="BI842" s="225"/>
      <c r="BJ842" s="225"/>
      <c r="BK842" s="225"/>
      <c r="BL842" s="225"/>
      <c r="BM842" s="225"/>
      <c r="BN842" s="225"/>
      <c r="BO842" s="225"/>
      <c r="BP842" s="225"/>
      <c r="BQ842" s="225"/>
      <c r="BR842" s="225"/>
      <c r="BS842" s="225"/>
      <c r="BT842" s="226"/>
      <c r="BU842" s="225"/>
      <c r="BV842" s="225"/>
      <c r="BW842" s="225"/>
      <c r="BX842" s="225"/>
      <c r="BY842" s="225"/>
      <c r="BZ842" s="225"/>
    </row>
    <row r="843">
      <c r="A843" s="225"/>
      <c r="B843" s="225"/>
      <c r="C843" s="225"/>
      <c r="D843" s="226"/>
      <c r="E843" s="225"/>
      <c r="F843" s="225"/>
      <c r="G843" s="225"/>
      <c r="H843" s="225"/>
      <c r="I843" s="225"/>
      <c r="J843" s="225"/>
      <c r="K843" s="244"/>
      <c r="L843" s="225"/>
      <c r="M843" s="225"/>
      <c r="N843" s="225"/>
      <c r="O843" s="225"/>
      <c r="P843" s="225"/>
      <c r="Q843" s="227"/>
      <c r="R843" s="234"/>
      <c r="S843" s="225"/>
      <c r="T843" s="225"/>
      <c r="U843" s="225"/>
      <c r="V843" s="225"/>
      <c r="W843" s="225"/>
      <c r="X843" s="225"/>
      <c r="Y843" s="229"/>
      <c r="Z843" s="257"/>
      <c r="AA843" s="225"/>
      <c r="AB843" s="257"/>
      <c r="AC843" s="257"/>
      <c r="AD843" s="226"/>
      <c r="AE843" s="259"/>
      <c r="AF843" s="347"/>
      <c r="AG843" s="232"/>
      <c r="AH843" s="257"/>
      <c r="AI843" s="225"/>
      <c r="AJ843" s="267"/>
      <c r="AK843" s="259"/>
      <c r="AL843" s="226"/>
      <c r="AM843" s="225"/>
      <c r="AN843" s="225"/>
      <c r="AO843" s="254"/>
      <c r="AP843" s="225"/>
      <c r="AQ843" s="225"/>
      <c r="AR843" s="254"/>
      <c r="AS843" s="225"/>
      <c r="AT843" s="225"/>
      <c r="AU843" s="225"/>
      <c r="AV843" s="225"/>
      <c r="AW843" s="267"/>
      <c r="AX843" s="226"/>
      <c r="AY843" s="225"/>
      <c r="AZ843" s="225"/>
      <c r="BA843" s="226"/>
      <c r="BB843" s="225"/>
      <c r="BC843" s="225"/>
      <c r="BD843" s="225"/>
      <c r="BE843" s="225"/>
      <c r="BF843" s="225"/>
      <c r="BG843" s="225"/>
      <c r="BH843" s="225"/>
      <c r="BI843" s="225"/>
      <c r="BJ843" s="225"/>
      <c r="BK843" s="225"/>
      <c r="BL843" s="225"/>
      <c r="BM843" s="225"/>
      <c r="BN843" s="225"/>
      <c r="BO843" s="225"/>
      <c r="BP843" s="225"/>
      <c r="BQ843" s="225"/>
      <c r="BR843" s="225"/>
      <c r="BS843" s="225"/>
      <c r="BT843" s="226"/>
      <c r="BU843" s="225"/>
      <c r="BV843" s="225"/>
      <c r="BW843" s="225"/>
      <c r="BX843" s="225"/>
      <c r="BY843" s="225"/>
      <c r="BZ843" s="225"/>
    </row>
    <row r="844">
      <c r="A844" s="225"/>
      <c r="B844" s="225"/>
      <c r="C844" s="225"/>
      <c r="D844" s="226"/>
      <c r="E844" s="225"/>
      <c r="F844" s="225"/>
      <c r="G844" s="225"/>
      <c r="H844" s="225"/>
      <c r="I844" s="225"/>
      <c r="J844" s="225"/>
      <c r="K844" s="244"/>
      <c r="L844" s="225"/>
      <c r="M844" s="225"/>
      <c r="N844" s="225"/>
      <c r="O844" s="225"/>
      <c r="P844" s="225"/>
      <c r="Q844" s="227"/>
      <c r="R844" s="234"/>
      <c r="S844" s="225"/>
      <c r="T844" s="225"/>
      <c r="U844" s="225"/>
      <c r="V844" s="225"/>
      <c r="W844" s="225"/>
      <c r="X844" s="225"/>
      <c r="Y844" s="229"/>
      <c r="Z844" s="257"/>
      <c r="AA844" s="225"/>
      <c r="AB844" s="257"/>
      <c r="AC844" s="257"/>
      <c r="AD844" s="226"/>
      <c r="AE844" s="259"/>
      <c r="AF844" s="347"/>
      <c r="AG844" s="232"/>
      <c r="AH844" s="257"/>
      <c r="AI844" s="225"/>
      <c r="AJ844" s="267"/>
      <c r="AK844" s="259"/>
      <c r="AL844" s="226"/>
      <c r="AM844" s="225"/>
      <c r="AN844" s="225"/>
      <c r="AO844" s="254"/>
      <c r="AP844" s="225"/>
      <c r="AQ844" s="225"/>
      <c r="AR844" s="254"/>
      <c r="AS844" s="225"/>
      <c r="AT844" s="225"/>
      <c r="AU844" s="225"/>
      <c r="AV844" s="225"/>
      <c r="AW844" s="267"/>
      <c r="AX844" s="226"/>
      <c r="AY844" s="225"/>
      <c r="AZ844" s="225"/>
      <c r="BA844" s="226"/>
      <c r="BB844" s="225"/>
      <c r="BC844" s="225"/>
      <c r="BD844" s="225"/>
      <c r="BE844" s="225"/>
      <c r="BF844" s="225"/>
      <c r="BG844" s="225"/>
      <c r="BH844" s="225"/>
      <c r="BI844" s="225"/>
      <c r="BJ844" s="225"/>
      <c r="BK844" s="225"/>
      <c r="BL844" s="225"/>
      <c r="BM844" s="225"/>
      <c r="BN844" s="225"/>
      <c r="BO844" s="225"/>
      <c r="BP844" s="225"/>
      <c r="BQ844" s="225"/>
      <c r="BR844" s="225"/>
      <c r="BS844" s="225"/>
      <c r="BT844" s="226"/>
      <c r="BU844" s="225"/>
      <c r="BV844" s="225"/>
      <c r="BW844" s="225"/>
      <c r="BX844" s="225"/>
      <c r="BY844" s="225"/>
      <c r="BZ844" s="225"/>
    </row>
    <row r="845">
      <c r="A845" s="225"/>
      <c r="B845" s="225"/>
      <c r="C845" s="225"/>
      <c r="D845" s="226"/>
      <c r="E845" s="225"/>
      <c r="F845" s="225"/>
      <c r="G845" s="225"/>
      <c r="H845" s="225"/>
      <c r="I845" s="225"/>
      <c r="J845" s="225"/>
      <c r="K845" s="244"/>
      <c r="L845" s="225"/>
      <c r="M845" s="225"/>
      <c r="N845" s="225"/>
      <c r="O845" s="225"/>
      <c r="P845" s="225"/>
      <c r="Q845" s="227"/>
      <c r="R845" s="234"/>
      <c r="S845" s="225"/>
      <c r="T845" s="225"/>
      <c r="U845" s="225"/>
      <c r="V845" s="225"/>
      <c r="W845" s="225"/>
      <c r="X845" s="225"/>
      <c r="Y845" s="229"/>
      <c r="Z845" s="257"/>
      <c r="AA845" s="225"/>
      <c r="AB845" s="257"/>
      <c r="AC845" s="257"/>
      <c r="AD845" s="226"/>
      <c r="AE845" s="259"/>
      <c r="AF845" s="347"/>
      <c r="AG845" s="232"/>
      <c r="AH845" s="257"/>
      <c r="AI845" s="225"/>
      <c r="AJ845" s="267"/>
      <c r="AK845" s="259"/>
      <c r="AL845" s="226"/>
      <c r="AM845" s="225"/>
      <c r="AN845" s="225"/>
      <c r="AO845" s="254"/>
      <c r="AP845" s="225"/>
      <c r="AQ845" s="225"/>
      <c r="AR845" s="254"/>
      <c r="AS845" s="225"/>
      <c r="AT845" s="225"/>
      <c r="AU845" s="225"/>
      <c r="AV845" s="225"/>
      <c r="AW845" s="267"/>
      <c r="AX845" s="226"/>
      <c r="AY845" s="225"/>
      <c r="AZ845" s="225"/>
      <c r="BA845" s="226"/>
      <c r="BB845" s="225"/>
      <c r="BC845" s="225"/>
      <c r="BD845" s="225"/>
      <c r="BE845" s="225"/>
      <c r="BF845" s="225"/>
      <c r="BG845" s="225"/>
      <c r="BH845" s="225"/>
      <c r="BI845" s="225"/>
      <c r="BJ845" s="225"/>
      <c r="BK845" s="225"/>
      <c r="BL845" s="225"/>
      <c r="BM845" s="225"/>
      <c r="BN845" s="225"/>
      <c r="BO845" s="225"/>
      <c r="BP845" s="225"/>
      <c r="BQ845" s="225"/>
      <c r="BR845" s="225"/>
      <c r="BS845" s="225"/>
      <c r="BT845" s="226"/>
      <c r="BU845" s="225"/>
      <c r="BV845" s="225"/>
      <c r="BW845" s="225"/>
      <c r="BX845" s="225"/>
      <c r="BY845" s="225"/>
      <c r="BZ845" s="225"/>
    </row>
    <row r="846">
      <c r="A846" s="225"/>
      <c r="B846" s="225"/>
      <c r="C846" s="225"/>
      <c r="D846" s="226"/>
      <c r="E846" s="225"/>
      <c r="F846" s="225"/>
      <c r="G846" s="225"/>
      <c r="H846" s="225"/>
      <c r="I846" s="225"/>
      <c r="J846" s="225"/>
      <c r="K846" s="244"/>
      <c r="L846" s="225"/>
      <c r="M846" s="225"/>
      <c r="N846" s="225"/>
      <c r="O846" s="225"/>
      <c r="P846" s="225"/>
      <c r="Q846" s="227"/>
      <c r="R846" s="234"/>
      <c r="S846" s="225"/>
      <c r="T846" s="225"/>
      <c r="U846" s="225"/>
      <c r="V846" s="225"/>
      <c r="W846" s="225"/>
      <c r="X846" s="225"/>
      <c r="Y846" s="229"/>
      <c r="Z846" s="257"/>
      <c r="AA846" s="225"/>
      <c r="AB846" s="257"/>
      <c r="AC846" s="257"/>
      <c r="AD846" s="226"/>
      <c r="AE846" s="259"/>
      <c r="AF846" s="347"/>
      <c r="AG846" s="232"/>
      <c r="AH846" s="257"/>
      <c r="AI846" s="225"/>
      <c r="AJ846" s="267"/>
      <c r="AK846" s="259"/>
      <c r="AL846" s="226"/>
      <c r="AM846" s="225"/>
      <c r="AN846" s="225"/>
      <c r="AO846" s="254"/>
      <c r="AP846" s="225"/>
      <c r="AQ846" s="225"/>
      <c r="AR846" s="254"/>
      <c r="AS846" s="225"/>
      <c r="AT846" s="225"/>
      <c r="AU846" s="225"/>
      <c r="AV846" s="225"/>
      <c r="AW846" s="267"/>
      <c r="AX846" s="226"/>
      <c r="AY846" s="225"/>
      <c r="AZ846" s="225"/>
      <c r="BA846" s="226"/>
      <c r="BB846" s="225"/>
      <c r="BC846" s="225"/>
      <c r="BD846" s="225"/>
      <c r="BE846" s="225"/>
      <c r="BF846" s="225"/>
      <c r="BG846" s="225"/>
      <c r="BH846" s="225"/>
      <c r="BI846" s="225"/>
      <c r="BJ846" s="225"/>
      <c r="BK846" s="225"/>
      <c r="BL846" s="225"/>
      <c r="BM846" s="225"/>
      <c r="BN846" s="225"/>
      <c r="BO846" s="225"/>
      <c r="BP846" s="225"/>
      <c r="BQ846" s="225"/>
      <c r="BR846" s="225"/>
      <c r="BS846" s="225"/>
      <c r="BT846" s="226"/>
      <c r="BU846" s="225"/>
      <c r="BV846" s="225"/>
      <c r="BW846" s="225"/>
      <c r="BX846" s="225"/>
      <c r="BY846" s="225"/>
      <c r="BZ846" s="225"/>
    </row>
    <row r="847">
      <c r="A847" s="225"/>
      <c r="B847" s="225"/>
      <c r="C847" s="225"/>
      <c r="D847" s="226"/>
      <c r="E847" s="225"/>
      <c r="F847" s="225"/>
      <c r="G847" s="225"/>
      <c r="H847" s="225"/>
      <c r="I847" s="225"/>
      <c r="J847" s="225"/>
      <c r="K847" s="244"/>
      <c r="L847" s="225"/>
      <c r="M847" s="225"/>
      <c r="N847" s="225"/>
      <c r="O847" s="225"/>
      <c r="P847" s="225"/>
      <c r="Q847" s="227"/>
      <c r="R847" s="234"/>
      <c r="S847" s="225"/>
      <c r="T847" s="225"/>
      <c r="U847" s="225"/>
      <c r="V847" s="225"/>
      <c r="W847" s="225"/>
      <c r="X847" s="225"/>
      <c r="Y847" s="229"/>
      <c r="Z847" s="257"/>
      <c r="AA847" s="225"/>
      <c r="AB847" s="257"/>
      <c r="AC847" s="257"/>
      <c r="AD847" s="226"/>
      <c r="AE847" s="259"/>
      <c r="AF847" s="347"/>
      <c r="AG847" s="232"/>
      <c r="AH847" s="257"/>
      <c r="AI847" s="225"/>
      <c r="AJ847" s="267"/>
      <c r="AK847" s="259"/>
      <c r="AL847" s="226"/>
      <c r="AM847" s="225"/>
      <c r="AN847" s="225"/>
      <c r="AO847" s="254"/>
      <c r="AP847" s="225"/>
      <c r="AQ847" s="225"/>
      <c r="AR847" s="254"/>
      <c r="AS847" s="225"/>
      <c r="AT847" s="225"/>
      <c r="AU847" s="225"/>
      <c r="AV847" s="225"/>
      <c r="AW847" s="267"/>
      <c r="AX847" s="226"/>
      <c r="AY847" s="225"/>
      <c r="AZ847" s="225"/>
      <c r="BA847" s="226"/>
      <c r="BB847" s="225"/>
      <c r="BC847" s="225"/>
      <c r="BD847" s="225"/>
      <c r="BE847" s="225"/>
      <c r="BF847" s="225"/>
      <c r="BG847" s="225"/>
      <c r="BH847" s="225"/>
      <c r="BI847" s="225"/>
      <c r="BJ847" s="225"/>
      <c r="BK847" s="225"/>
      <c r="BL847" s="225"/>
      <c r="BM847" s="225"/>
      <c r="BN847" s="225"/>
      <c r="BO847" s="225"/>
      <c r="BP847" s="225"/>
      <c r="BQ847" s="225"/>
      <c r="BR847" s="225"/>
      <c r="BS847" s="225"/>
      <c r="BT847" s="226"/>
      <c r="BU847" s="225"/>
      <c r="BV847" s="225"/>
      <c r="BW847" s="225"/>
      <c r="BX847" s="225"/>
      <c r="BY847" s="225"/>
      <c r="BZ847" s="225"/>
    </row>
    <row r="848">
      <c r="A848" s="225"/>
      <c r="B848" s="225"/>
      <c r="C848" s="225"/>
      <c r="D848" s="226"/>
      <c r="E848" s="225"/>
      <c r="F848" s="225"/>
      <c r="G848" s="225"/>
      <c r="H848" s="225"/>
      <c r="I848" s="225"/>
      <c r="J848" s="225"/>
      <c r="K848" s="244"/>
      <c r="L848" s="225"/>
      <c r="M848" s="225"/>
      <c r="N848" s="225"/>
      <c r="O848" s="225"/>
      <c r="P848" s="225"/>
      <c r="Q848" s="227"/>
      <c r="R848" s="234"/>
      <c r="S848" s="225"/>
      <c r="T848" s="225"/>
      <c r="U848" s="225"/>
      <c r="V848" s="225"/>
      <c r="W848" s="225"/>
      <c r="X848" s="225"/>
      <c r="Y848" s="229"/>
      <c r="Z848" s="257"/>
      <c r="AA848" s="225"/>
      <c r="AB848" s="257"/>
      <c r="AC848" s="257"/>
      <c r="AD848" s="226"/>
      <c r="AE848" s="259"/>
      <c r="AF848" s="347"/>
      <c r="AG848" s="232"/>
      <c r="AH848" s="257"/>
      <c r="AI848" s="225"/>
      <c r="AJ848" s="267"/>
      <c r="AK848" s="259"/>
      <c r="AL848" s="226"/>
      <c r="AM848" s="225"/>
      <c r="AN848" s="225"/>
      <c r="AO848" s="254"/>
      <c r="AP848" s="225"/>
      <c r="AQ848" s="225"/>
      <c r="AR848" s="254"/>
      <c r="AS848" s="225"/>
      <c r="AT848" s="225"/>
      <c r="AU848" s="225"/>
      <c r="AV848" s="225"/>
      <c r="AW848" s="267"/>
      <c r="AX848" s="226"/>
      <c r="AY848" s="225"/>
      <c r="AZ848" s="225"/>
      <c r="BA848" s="226"/>
      <c r="BB848" s="225"/>
      <c r="BC848" s="225"/>
      <c r="BD848" s="225"/>
      <c r="BE848" s="225"/>
      <c r="BF848" s="225"/>
      <c r="BG848" s="225"/>
      <c r="BH848" s="225"/>
      <c r="BI848" s="225"/>
      <c r="BJ848" s="225"/>
      <c r="BK848" s="225"/>
      <c r="BL848" s="225"/>
      <c r="BM848" s="225"/>
      <c r="BN848" s="225"/>
      <c r="BO848" s="225"/>
      <c r="BP848" s="225"/>
      <c r="BQ848" s="225"/>
      <c r="BR848" s="225"/>
      <c r="BS848" s="225"/>
      <c r="BT848" s="226"/>
      <c r="BU848" s="225"/>
      <c r="BV848" s="225"/>
      <c r="BW848" s="225"/>
      <c r="BX848" s="225"/>
      <c r="BY848" s="225"/>
      <c r="BZ848" s="225"/>
    </row>
    <row r="849">
      <c r="A849" s="225"/>
      <c r="B849" s="225"/>
      <c r="C849" s="225"/>
      <c r="D849" s="226"/>
      <c r="E849" s="225"/>
      <c r="F849" s="225"/>
      <c r="G849" s="225"/>
      <c r="H849" s="225"/>
      <c r="I849" s="225"/>
      <c r="J849" s="225"/>
      <c r="K849" s="244"/>
      <c r="L849" s="225"/>
      <c r="M849" s="225"/>
      <c r="N849" s="225"/>
      <c r="O849" s="225"/>
      <c r="P849" s="225"/>
      <c r="Q849" s="227"/>
      <c r="R849" s="234"/>
      <c r="S849" s="225"/>
      <c r="T849" s="225"/>
      <c r="U849" s="225"/>
      <c r="V849" s="225"/>
      <c r="W849" s="225"/>
      <c r="X849" s="225"/>
      <c r="Y849" s="229"/>
      <c r="Z849" s="257"/>
      <c r="AA849" s="225"/>
      <c r="AB849" s="257"/>
      <c r="AC849" s="257"/>
      <c r="AD849" s="226"/>
      <c r="AE849" s="259"/>
      <c r="AF849" s="347"/>
      <c r="AG849" s="232"/>
      <c r="AH849" s="257"/>
      <c r="AI849" s="225"/>
      <c r="AJ849" s="267"/>
      <c r="AK849" s="259"/>
      <c r="AL849" s="226"/>
      <c r="AM849" s="225"/>
      <c r="AN849" s="225"/>
      <c r="AO849" s="254"/>
      <c r="AP849" s="225"/>
      <c r="AQ849" s="225"/>
      <c r="AR849" s="254"/>
      <c r="AS849" s="225"/>
      <c r="AT849" s="225"/>
      <c r="AU849" s="225"/>
      <c r="AV849" s="225"/>
      <c r="AW849" s="267"/>
      <c r="AX849" s="226"/>
      <c r="AY849" s="225"/>
      <c r="AZ849" s="225"/>
      <c r="BA849" s="226"/>
      <c r="BB849" s="225"/>
      <c r="BC849" s="225"/>
      <c r="BD849" s="225"/>
      <c r="BE849" s="225"/>
      <c r="BF849" s="225"/>
      <c r="BG849" s="225"/>
      <c r="BH849" s="225"/>
      <c r="BI849" s="225"/>
      <c r="BJ849" s="225"/>
      <c r="BK849" s="225"/>
      <c r="BL849" s="225"/>
      <c r="BM849" s="225"/>
      <c r="BN849" s="225"/>
      <c r="BO849" s="225"/>
      <c r="BP849" s="225"/>
      <c r="BQ849" s="225"/>
      <c r="BR849" s="225"/>
      <c r="BS849" s="225"/>
      <c r="BT849" s="226"/>
      <c r="BU849" s="225"/>
      <c r="BV849" s="225"/>
      <c r="BW849" s="225"/>
      <c r="BX849" s="225"/>
      <c r="BY849" s="225"/>
      <c r="BZ849" s="225"/>
    </row>
    <row r="850">
      <c r="A850" s="225"/>
      <c r="B850" s="225"/>
      <c r="C850" s="225"/>
      <c r="D850" s="226"/>
      <c r="E850" s="225"/>
      <c r="F850" s="225"/>
      <c r="G850" s="225"/>
      <c r="H850" s="225"/>
      <c r="I850" s="225"/>
      <c r="J850" s="225"/>
      <c r="K850" s="244"/>
      <c r="L850" s="225"/>
      <c r="M850" s="225"/>
      <c r="N850" s="225"/>
      <c r="O850" s="225"/>
      <c r="P850" s="225"/>
      <c r="Q850" s="227"/>
      <c r="R850" s="234"/>
      <c r="S850" s="225"/>
      <c r="T850" s="225"/>
      <c r="U850" s="225"/>
      <c r="V850" s="225"/>
      <c r="W850" s="225"/>
      <c r="X850" s="225"/>
      <c r="Y850" s="229"/>
      <c r="Z850" s="257"/>
      <c r="AA850" s="225"/>
      <c r="AB850" s="257"/>
      <c r="AC850" s="257"/>
      <c r="AD850" s="226"/>
      <c r="AE850" s="259"/>
      <c r="AF850" s="347"/>
      <c r="AG850" s="232"/>
      <c r="AH850" s="257"/>
      <c r="AI850" s="225"/>
      <c r="AJ850" s="267"/>
      <c r="AK850" s="259"/>
      <c r="AL850" s="226"/>
      <c r="AM850" s="225"/>
      <c r="AN850" s="225"/>
      <c r="AO850" s="254"/>
      <c r="AP850" s="225"/>
      <c r="AQ850" s="225"/>
      <c r="AR850" s="232"/>
      <c r="AS850" s="225"/>
      <c r="AT850" s="225"/>
      <c r="AU850" s="225"/>
      <c r="AV850" s="225"/>
      <c r="AW850" s="257"/>
      <c r="AX850" s="226"/>
      <c r="AY850" s="225"/>
      <c r="AZ850" s="225"/>
      <c r="BA850" s="226"/>
      <c r="BB850" s="225"/>
      <c r="BC850" s="225"/>
      <c r="BD850" s="225"/>
      <c r="BE850" s="225"/>
      <c r="BF850" s="225"/>
      <c r="BG850" s="225"/>
      <c r="BH850" s="225"/>
      <c r="BI850" s="225"/>
      <c r="BJ850" s="225"/>
      <c r="BK850" s="225"/>
      <c r="BL850" s="225"/>
      <c r="BM850" s="225"/>
      <c r="BN850" s="225"/>
      <c r="BO850" s="225"/>
      <c r="BP850" s="225"/>
      <c r="BQ850" s="225"/>
      <c r="BR850" s="225"/>
      <c r="BS850" s="225"/>
      <c r="BT850" s="226"/>
      <c r="BU850" s="225"/>
      <c r="BV850" s="225"/>
      <c r="BW850" s="225"/>
      <c r="BX850" s="225"/>
      <c r="BY850" s="225"/>
      <c r="BZ850" s="225"/>
    </row>
    <row r="851">
      <c r="A851" s="225"/>
      <c r="B851" s="225"/>
      <c r="C851" s="225"/>
      <c r="D851" s="226"/>
      <c r="E851" s="225"/>
      <c r="F851" s="225"/>
      <c r="G851" s="225"/>
      <c r="H851" s="225"/>
      <c r="I851" s="225"/>
      <c r="J851" s="225"/>
      <c r="K851" s="244"/>
      <c r="L851" s="225"/>
      <c r="M851" s="225"/>
      <c r="N851" s="225"/>
      <c r="O851" s="225"/>
      <c r="P851" s="225"/>
      <c r="Q851" s="227"/>
      <c r="R851" s="234"/>
      <c r="S851" s="225"/>
      <c r="T851" s="225"/>
      <c r="U851" s="225"/>
      <c r="V851" s="225"/>
      <c r="W851" s="225"/>
      <c r="X851" s="225"/>
      <c r="Y851" s="229"/>
      <c r="Z851" s="257"/>
      <c r="AA851" s="225"/>
      <c r="AB851" s="257"/>
      <c r="AC851" s="257"/>
      <c r="AD851" s="226"/>
      <c r="AE851" s="259"/>
      <c r="AF851" s="347"/>
      <c r="AG851" s="232"/>
      <c r="AH851" s="257"/>
      <c r="AI851" s="225"/>
      <c r="AJ851" s="267"/>
      <c r="AK851" s="259"/>
      <c r="AL851" s="226"/>
      <c r="AM851" s="225"/>
      <c r="AN851" s="225"/>
      <c r="AO851" s="254"/>
      <c r="AP851" s="225"/>
      <c r="AQ851" s="225"/>
      <c r="AR851" s="232"/>
      <c r="AS851" s="225"/>
      <c r="AT851" s="225"/>
      <c r="AU851" s="225"/>
      <c r="AV851" s="225"/>
      <c r="AW851" s="257"/>
      <c r="AX851" s="226"/>
      <c r="AY851" s="225"/>
      <c r="AZ851" s="225"/>
      <c r="BA851" s="226"/>
      <c r="BB851" s="225"/>
      <c r="BC851" s="225"/>
      <c r="BD851" s="225"/>
      <c r="BE851" s="225"/>
      <c r="BF851" s="225"/>
      <c r="BG851" s="225"/>
      <c r="BH851" s="225"/>
      <c r="BI851" s="225"/>
      <c r="BJ851" s="225"/>
      <c r="BK851" s="225"/>
      <c r="BL851" s="225"/>
      <c r="BM851" s="225"/>
      <c r="BN851" s="225"/>
      <c r="BO851" s="225"/>
      <c r="BP851" s="225"/>
      <c r="BQ851" s="225"/>
      <c r="BR851" s="225"/>
      <c r="BS851" s="225"/>
      <c r="BT851" s="226"/>
      <c r="BU851" s="225"/>
      <c r="BV851" s="225"/>
      <c r="BW851" s="225"/>
      <c r="BX851" s="225"/>
      <c r="BY851" s="225"/>
      <c r="BZ851" s="225"/>
    </row>
    <row r="852">
      <c r="A852" s="225"/>
      <c r="B852" s="225"/>
      <c r="C852" s="225"/>
      <c r="D852" s="226"/>
      <c r="E852" s="225"/>
      <c r="F852" s="225"/>
      <c r="G852" s="225"/>
      <c r="H852" s="225"/>
      <c r="I852" s="225"/>
      <c r="J852" s="225"/>
      <c r="K852" s="244"/>
      <c r="L852" s="225"/>
      <c r="M852" s="225"/>
      <c r="N852" s="225"/>
      <c r="O852" s="225"/>
      <c r="P852" s="225"/>
      <c r="Q852" s="227"/>
      <c r="R852" s="234"/>
      <c r="S852" s="225"/>
      <c r="T852" s="225"/>
      <c r="U852" s="225"/>
      <c r="V852" s="225"/>
      <c r="W852" s="225"/>
      <c r="X852" s="225"/>
      <c r="Y852" s="229"/>
      <c r="Z852" s="257"/>
      <c r="AA852" s="225"/>
      <c r="AB852" s="257"/>
      <c r="AC852" s="257"/>
      <c r="AD852" s="226"/>
      <c r="AE852" s="259"/>
      <c r="AF852" s="347"/>
      <c r="AG852" s="232"/>
      <c r="AH852" s="257"/>
      <c r="AI852" s="225"/>
      <c r="AJ852" s="267"/>
      <c r="AK852" s="259"/>
      <c r="AL852" s="226"/>
      <c r="AM852" s="225"/>
      <c r="AN852" s="225"/>
      <c r="AO852" s="254"/>
      <c r="AP852" s="225"/>
      <c r="AQ852" s="225"/>
      <c r="AR852" s="226"/>
      <c r="AS852" s="225"/>
      <c r="AT852" s="225"/>
      <c r="AU852" s="225"/>
      <c r="AV852" s="225"/>
      <c r="AW852" s="225"/>
      <c r="AX852" s="226"/>
      <c r="AY852" s="225"/>
      <c r="AZ852" s="225"/>
      <c r="BA852" s="226"/>
      <c r="BB852" s="225"/>
      <c r="BC852" s="225"/>
      <c r="BD852" s="225"/>
      <c r="BE852" s="225"/>
      <c r="BF852" s="225"/>
      <c r="BG852" s="225"/>
      <c r="BH852" s="225"/>
      <c r="BI852" s="225"/>
      <c r="BJ852" s="225"/>
      <c r="BK852" s="225"/>
      <c r="BL852" s="225"/>
      <c r="BM852" s="225"/>
      <c r="BN852" s="225"/>
      <c r="BO852" s="225"/>
      <c r="BP852" s="225"/>
      <c r="BQ852" s="225"/>
      <c r="BR852" s="225"/>
      <c r="BS852" s="225"/>
      <c r="BT852" s="226"/>
      <c r="BU852" s="225"/>
      <c r="BV852" s="225"/>
      <c r="BW852" s="225"/>
      <c r="BX852" s="225"/>
      <c r="BY852" s="225"/>
      <c r="BZ852" s="225"/>
    </row>
    <row r="853">
      <c r="A853" s="225"/>
      <c r="B853" s="225"/>
      <c r="C853" s="225"/>
      <c r="D853" s="226"/>
      <c r="E853" s="225"/>
      <c r="F853" s="225"/>
      <c r="G853" s="225"/>
      <c r="H853" s="225"/>
      <c r="I853" s="225"/>
      <c r="J853" s="225"/>
      <c r="K853" s="244"/>
      <c r="L853" s="225"/>
      <c r="M853" s="225"/>
      <c r="N853" s="225"/>
      <c r="O853" s="225"/>
      <c r="P853" s="225"/>
      <c r="Q853" s="227"/>
      <c r="R853" s="234"/>
      <c r="S853" s="225"/>
      <c r="T853" s="225"/>
      <c r="U853" s="225"/>
      <c r="V853" s="225"/>
      <c r="W853" s="225"/>
      <c r="X853" s="225"/>
      <c r="Y853" s="229"/>
      <c r="Z853" s="257"/>
      <c r="AA853" s="225"/>
      <c r="AB853" s="257"/>
      <c r="AC853" s="257"/>
      <c r="AD853" s="226"/>
      <c r="AE853" s="259"/>
      <c r="AF853" s="347"/>
      <c r="AG853" s="232"/>
      <c r="AH853" s="257"/>
      <c r="AI853" s="225"/>
      <c r="AJ853" s="267"/>
      <c r="AK853" s="259"/>
      <c r="AL853" s="226"/>
      <c r="AM853" s="225"/>
      <c r="AN853" s="225"/>
      <c r="AO853" s="254"/>
      <c r="AP853" s="225"/>
      <c r="AQ853" s="225"/>
      <c r="AR853" s="226"/>
      <c r="AS853" s="225"/>
      <c r="AT853" s="225"/>
      <c r="AU853" s="225"/>
      <c r="AV853" s="225"/>
      <c r="AW853" s="225"/>
      <c r="AX853" s="226"/>
      <c r="AY853" s="225"/>
      <c r="AZ853" s="225"/>
      <c r="BA853" s="226"/>
      <c r="BB853" s="225"/>
      <c r="BC853" s="225"/>
      <c r="BD853" s="225"/>
      <c r="BE853" s="225"/>
      <c r="BF853" s="225"/>
      <c r="BG853" s="225"/>
      <c r="BH853" s="225"/>
      <c r="BI853" s="225"/>
      <c r="BJ853" s="225"/>
      <c r="BK853" s="225"/>
      <c r="BL853" s="225"/>
      <c r="BM853" s="225"/>
      <c r="BN853" s="225"/>
      <c r="BO853" s="225"/>
      <c r="BP853" s="225"/>
      <c r="BQ853" s="225"/>
      <c r="BR853" s="225"/>
      <c r="BS853" s="225"/>
      <c r="BT853" s="226"/>
      <c r="BU853" s="225"/>
      <c r="BV853" s="225"/>
      <c r="BW853" s="225"/>
      <c r="BX853" s="225"/>
      <c r="BY853" s="225"/>
      <c r="BZ853" s="225"/>
    </row>
    <row r="854">
      <c r="A854" s="225"/>
      <c r="B854" s="225"/>
      <c r="C854" s="225"/>
      <c r="D854" s="226"/>
      <c r="E854" s="225"/>
      <c r="F854" s="225"/>
      <c r="G854" s="225"/>
      <c r="H854" s="225"/>
      <c r="I854" s="225"/>
      <c r="J854" s="225"/>
      <c r="K854" s="244"/>
      <c r="L854" s="225"/>
      <c r="M854" s="225"/>
      <c r="N854" s="225"/>
      <c r="O854" s="225"/>
      <c r="P854" s="225"/>
      <c r="Q854" s="227"/>
      <c r="R854" s="234"/>
      <c r="S854" s="225"/>
      <c r="T854" s="225"/>
      <c r="U854" s="225"/>
      <c r="V854" s="225"/>
      <c r="W854" s="225"/>
      <c r="X854" s="225"/>
      <c r="Y854" s="229"/>
      <c r="Z854" s="257"/>
      <c r="AA854" s="225"/>
      <c r="AB854" s="257"/>
      <c r="AC854" s="257"/>
      <c r="AD854" s="226"/>
      <c r="AE854" s="259"/>
      <c r="AF854" s="347"/>
      <c r="AG854" s="232"/>
      <c r="AH854" s="257"/>
      <c r="AI854" s="225"/>
      <c r="AJ854" s="267"/>
      <c r="AK854" s="259"/>
      <c r="AL854" s="226"/>
      <c r="AM854" s="225"/>
      <c r="AN854" s="225"/>
      <c r="AO854" s="254"/>
      <c r="AP854" s="225"/>
      <c r="AQ854" s="225"/>
      <c r="AR854" s="226"/>
      <c r="AS854" s="225"/>
      <c r="AT854" s="225"/>
      <c r="AU854" s="225"/>
      <c r="AV854" s="225"/>
      <c r="AW854" s="225"/>
      <c r="AX854" s="226"/>
      <c r="AY854" s="225"/>
      <c r="AZ854" s="225"/>
      <c r="BA854" s="226"/>
      <c r="BB854" s="225"/>
      <c r="BC854" s="225"/>
      <c r="BD854" s="225"/>
      <c r="BE854" s="225"/>
      <c r="BF854" s="225"/>
      <c r="BG854" s="225"/>
      <c r="BH854" s="225"/>
      <c r="BI854" s="225"/>
      <c r="BJ854" s="225"/>
      <c r="BK854" s="225"/>
      <c r="BL854" s="225"/>
      <c r="BM854" s="225"/>
      <c r="BN854" s="225"/>
      <c r="BO854" s="225"/>
      <c r="BP854" s="225"/>
      <c r="BQ854" s="225"/>
      <c r="BR854" s="225"/>
      <c r="BS854" s="225"/>
      <c r="BT854" s="226"/>
      <c r="BU854" s="225"/>
      <c r="BV854" s="225"/>
      <c r="BW854" s="225"/>
      <c r="BX854" s="225"/>
      <c r="BY854" s="225"/>
      <c r="BZ854" s="225"/>
    </row>
    <row r="855">
      <c r="A855" s="225"/>
      <c r="B855" s="225"/>
      <c r="C855" s="225"/>
      <c r="D855" s="226"/>
      <c r="E855" s="225"/>
      <c r="F855" s="225"/>
      <c r="G855" s="225"/>
      <c r="H855" s="225"/>
      <c r="I855" s="225"/>
      <c r="J855" s="225"/>
      <c r="K855" s="244"/>
      <c r="L855" s="225"/>
      <c r="M855" s="225"/>
      <c r="N855" s="225"/>
      <c r="O855" s="225"/>
      <c r="P855" s="225"/>
      <c r="Q855" s="227"/>
      <c r="R855" s="234"/>
      <c r="S855" s="225"/>
      <c r="T855" s="225"/>
      <c r="U855" s="225"/>
      <c r="V855" s="225"/>
      <c r="W855" s="225"/>
      <c r="X855" s="225"/>
      <c r="Y855" s="229"/>
      <c r="Z855" s="257"/>
      <c r="AA855" s="225"/>
      <c r="AB855" s="257"/>
      <c r="AC855" s="257"/>
      <c r="AD855" s="226"/>
      <c r="AE855" s="259"/>
      <c r="AF855" s="347"/>
      <c r="AG855" s="232"/>
      <c r="AH855" s="257"/>
      <c r="AI855" s="225"/>
      <c r="AJ855" s="267"/>
      <c r="AK855" s="259"/>
      <c r="AL855" s="226"/>
      <c r="AM855" s="225"/>
      <c r="AN855" s="225"/>
      <c r="AO855" s="254"/>
      <c r="AP855" s="225"/>
      <c r="AQ855" s="225"/>
      <c r="AR855" s="226"/>
      <c r="AS855" s="225"/>
      <c r="AT855" s="225"/>
      <c r="AU855" s="225"/>
      <c r="AV855" s="225"/>
      <c r="AW855" s="225"/>
      <c r="AX855" s="226"/>
      <c r="AY855" s="225"/>
      <c r="AZ855" s="225"/>
      <c r="BA855" s="226"/>
      <c r="BB855" s="225"/>
      <c r="BC855" s="225"/>
      <c r="BD855" s="225"/>
      <c r="BE855" s="225"/>
      <c r="BF855" s="225"/>
      <c r="BG855" s="225"/>
      <c r="BH855" s="225"/>
      <c r="BI855" s="225"/>
      <c r="BJ855" s="225"/>
      <c r="BK855" s="225"/>
      <c r="BL855" s="225"/>
      <c r="BM855" s="225"/>
      <c r="BN855" s="225"/>
      <c r="BO855" s="225"/>
      <c r="BP855" s="225"/>
      <c r="BQ855" s="225"/>
      <c r="BR855" s="225"/>
      <c r="BS855" s="225"/>
      <c r="BT855" s="226"/>
      <c r="BU855" s="225"/>
      <c r="BV855" s="225"/>
      <c r="BW855" s="225"/>
      <c r="BX855" s="225"/>
      <c r="BY855" s="225"/>
      <c r="BZ855" s="225"/>
    </row>
    <row r="856">
      <c r="A856" s="225"/>
      <c r="B856" s="225"/>
      <c r="C856" s="225"/>
      <c r="D856" s="226"/>
      <c r="E856" s="225"/>
      <c r="F856" s="225"/>
      <c r="G856" s="225"/>
      <c r="H856" s="225"/>
      <c r="I856" s="225"/>
      <c r="J856" s="225"/>
      <c r="K856" s="244"/>
      <c r="L856" s="225"/>
      <c r="M856" s="225"/>
      <c r="N856" s="225"/>
      <c r="O856" s="225"/>
      <c r="P856" s="225"/>
      <c r="Q856" s="227"/>
      <c r="R856" s="234"/>
      <c r="S856" s="225"/>
      <c r="T856" s="225"/>
      <c r="U856" s="225"/>
      <c r="V856" s="225"/>
      <c r="W856" s="225"/>
      <c r="X856" s="225"/>
      <c r="Y856" s="229"/>
      <c r="Z856" s="257"/>
      <c r="AA856" s="225"/>
      <c r="AB856" s="257"/>
      <c r="AC856" s="257"/>
      <c r="AD856" s="226"/>
      <c r="AE856" s="259"/>
      <c r="AF856" s="347"/>
      <c r="AG856" s="232"/>
      <c r="AH856" s="257"/>
      <c r="AI856" s="225"/>
      <c r="AJ856" s="267"/>
      <c r="AK856" s="259"/>
      <c r="AL856" s="226"/>
      <c r="AM856" s="225"/>
      <c r="AN856" s="225"/>
      <c r="AO856" s="254"/>
      <c r="AP856" s="225"/>
      <c r="AQ856" s="225"/>
      <c r="AR856" s="226"/>
      <c r="AS856" s="225"/>
      <c r="AT856" s="225"/>
      <c r="AU856" s="225"/>
      <c r="AV856" s="225"/>
      <c r="AW856" s="225"/>
      <c r="AX856" s="226"/>
      <c r="AY856" s="225"/>
      <c r="AZ856" s="225"/>
      <c r="BA856" s="226"/>
      <c r="BB856" s="225"/>
      <c r="BC856" s="225"/>
      <c r="BD856" s="225"/>
      <c r="BE856" s="225"/>
      <c r="BF856" s="225"/>
      <c r="BG856" s="225"/>
      <c r="BH856" s="225"/>
      <c r="BI856" s="225"/>
      <c r="BJ856" s="225"/>
      <c r="BK856" s="225"/>
      <c r="BL856" s="225"/>
      <c r="BM856" s="225"/>
      <c r="BN856" s="225"/>
      <c r="BO856" s="225"/>
      <c r="BP856" s="225"/>
      <c r="BQ856" s="225"/>
      <c r="BR856" s="225"/>
      <c r="BS856" s="225"/>
      <c r="BT856" s="226"/>
      <c r="BU856" s="225"/>
      <c r="BV856" s="225"/>
      <c r="BW856" s="225"/>
      <c r="BX856" s="225"/>
      <c r="BY856" s="225"/>
      <c r="BZ856" s="225"/>
    </row>
    <row r="857">
      <c r="A857" s="225"/>
      <c r="B857" s="225"/>
      <c r="C857" s="225"/>
      <c r="D857" s="226"/>
      <c r="E857" s="225"/>
      <c r="F857" s="225"/>
      <c r="G857" s="225"/>
      <c r="H857" s="225"/>
      <c r="I857" s="225"/>
      <c r="J857" s="225"/>
      <c r="K857" s="244"/>
      <c r="L857" s="225"/>
      <c r="M857" s="225"/>
      <c r="N857" s="225"/>
      <c r="O857" s="225"/>
      <c r="P857" s="225"/>
      <c r="Q857" s="227"/>
      <c r="R857" s="234"/>
      <c r="S857" s="225"/>
      <c r="T857" s="225"/>
      <c r="U857" s="225"/>
      <c r="V857" s="225"/>
      <c r="W857" s="225"/>
      <c r="X857" s="225"/>
      <c r="Y857" s="229"/>
      <c r="Z857" s="257"/>
      <c r="AA857" s="225"/>
      <c r="AB857" s="257"/>
      <c r="AC857" s="257"/>
      <c r="AD857" s="226"/>
      <c r="AE857" s="259"/>
      <c r="AF857" s="347"/>
      <c r="AG857" s="232"/>
      <c r="AH857" s="257"/>
      <c r="AI857" s="225"/>
      <c r="AJ857" s="267"/>
      <c r="AK857" s="259"/>
      <c r="AL857" s="226"/>
      <c r="AM857" s="225"/>
      <c r="AN857" s="225"/>
      <c r="AO857" s="254"/>
      <c r="AP857" s="225"/>
      <c r="AQ857" s="225"/>
      <c r="AR857" s="226"/>
      <c r="AS857" s="225"/>
      <c r="AT857" s="225"/>
      <c r="AU857" s="225"/>
      <c r="AV857" s="225"/>
      <c r="AW857" s="225"/>
      <c r="AX857" s="226"/>
      <c r="AY857" s="225"/>
      <c r="AZ857" s="225"/>
      <c r="BA857" s="226"/>
      <c r="BB857" s="225"/>
      <c r="BC857" s="225"/>
      <c r="BD857" s="225"/>
      <c r="BE857" s="225"/>
      <c r="BF857" s="225"/>
      <c r="BG857" s="225"/>
      <c r="BH857" s="225"/>
      <c r="BI857" s="225"/>
      <c r="BJ857" s="225"/>
      <c r="BK857" s="225"/>
      <c r="BL857" s="225"/>
      <c r="BM857" s="225"/>
      <c r="BN857" s="225"/>
      <c r="BO857" s="225"/>
      <c r="BP857" s="225"/>
      <c r="BQ857" s="225"/>
      <c r="BR857" s="225"/>
      <c r="BS857" s="225"/>
      <c r="BT857" s="226"/>
      <c r="BU857" s="225"/>
      <c r="BV857" s="225"/>
      <c r="BW857" s="225"/>
      <c r="BX857" s="225"/>
      <c r="BY857" s="225"/>
      <c r="BZ857" s="225"/>
    </row>
    <row r="858">
      <c r="A858" s="225"/>
      <c r="B858" s="225"/>
      <c r="C858" s="225"/>
      <c r="D858" s="226"/>
      <c r="E858" s="225"/>
      <c r="F858" s="225"/>
      <c r="G858" s="225"/>
      <c r="H858" s="225"/>
      <c r="I858" s="225"/>
      <c r="J858" s="225"/>
      <c r="K858" s="244"/>
      <c r="L858" s="225"/>
      <c r="M858" s="225"/>
      <c r="N858" s="225"/>
      <c r="O858" s="225"/>
      <c r="P858" s="225"/>
      <c r="Q858" s="227"/>
      <c r="R858" s="234"/>
      <c r="S858" s="225"/>
      <c r="T858" s="225"/>
      <c r="U858" s="225"/>
      <c r="V858" s="225"/>
      <c r="W858" s="225"/>
      <c r="X858" s="225"/>
      <c r="Y858" s="229"/>
      <c r="Z858" s="257"/>
      <c r="AA858" s="225"/>
      <c r="AB858" s="257"/>
      <c r="AC858" s="257"/>
      <c r="AD858" s="226"/>
      <c r="AE858" s="259"/>
      <c r="AF858" s="347"/>
      <c r="AG858" s="232"/>
      <c r="AH858" s="257"/>
      <c r="AI858" s="225"/>
      <c r="AJ858" s="267"/>
      <c r="AK858" s="259"/>
      <c r="AL858" s="226"/>
      <c r="AM858" s="225"/>
      <c r="AN858" s="225"/>
      <c r="AO858" s="254"/>
      <c r="AP858" s="225"/>
      <c r="AQ858" s="225"/>
      <c r="AR858" s="226"/>
      <c r="AS858" s="225"/>
      <c r="AT858" s="225"/>
      <c r="AU858" s="225"/>
      <c r="AV858" s="225"/>
      <c r="AW858" s="225"/>
      <c r="AX858" s="226"/>
      <c r="AY858" s="225"/>
      <c r="AZ858" s="225"/>
      <c r="BA858" s="226"/>
      <c r="BB858" s="225"/>
      <c r="BC858" s="225"/>
      <c r="BD858" s="225"/>
      <c r="BE858" s="225"/>
      <c r="BF858" s="225"/>
      <c r="BG858" s="225"/>
      <c r="BH858" s="225"/>
      <c r="BI858" s="225"/>
      <c r="BJ858" s="225"/>
      <c r="BK858" s="225"/>
      <c r="BL858" s="225"/>
      <c r="BM858" s="225"/>
      <c r="BN858" s="225"/>
      <c r="BO858" s="225"/>
      <c r="BP858" s="225"/>
      <c r="BQ858" s="225"/>
      <c r="BR858" s="225"/>
      <c r="BS858" s="225"/>
      <c r="BT858" s="226"/>
      <c r="BU858" s="225"/>
      <c r="BV858" s="225"/>
      <c r="BW858" s="225"/>
      <c r="BX858" s="225"/>
      <c r="BY858" s="225"/>
      <c r="BZ858" s="225"/>
    </row>
    <row r="859">
      <c r="A859" s="225"/>
      <c r="B859" s="225"/>
      <c r="C859" s="225"/>
      <c r="D859" s="226"/>
      <c r="E859" s="225"/>
      <c r="F859" s="225"/>
      <c r="G859" s="225"/>
      <c r="H859" s="225"/>
      <c r="I859" s="225"/>
      <c r="J859" s="225"/>
      <c r="K859" s="244"/>
      <c r="L859" s="225"/>
      <c r="M859" s="225"/>
      <c r="N859" s="225"/>
      <c r="O859" s="225"/>
      <c r="P859" s="225"/>
      <c r="Q859" s="227"/>
      <c r="R859" s="234"/>
      <c r="S859" s="225"/>
      <c r="T859" s="225"/>
      <c r="U859" s="225"/>
      <c r="V859" s="225"/>
      <c r="W859" s="225"/>
      <c r="X859" s="225"/>
      <c r="Y859" s="229"/>
      <c r="Z859" s="257"/>
      <c r="AA859" s="225"/>
      <c r="AB859" s="257"/>
      <c r="AC859" s="257"/>
      <c r="AD859" s="226"/>
      <c r="AE859" s="259"/>
      <c r="AF859" s="347"/>
      <c r="AG859" s="232"/>
      <c r="AH859" s="257"/>
      <c r="AI859" s="225"/>
      <c r="AJ859" s="267"/>
      <c r="AK859" s="259"/>
      <c r="AL859" s="226"/>
      <c r="AM859" s="225"/>
      <c r="AN859" s="225"/>
      <c r="AO859" s="254"/>
      <c r="AP859" s="225"/>
      <c r="AQ859" s="225"/>
      <c r="AR859" s="226"/>
      <c r="AS859" s="225"/>
      <c r="AT859" s="225"/>
      <c r="AU859" s="225"/>
      <c r="AV859" s="225"/>
      <c r="AW859" s="225"/>
      <c r="AX859" s="226"/>
      <c r="AY859" s="225"/>
      <c r="AZ859" s="225"/>
      <c r="BA859" s="226"/>
      <c r="BB859" s="225"/>
      <c r="BC859" s="225"/>
      <c r="BD859" s="225"/>
      <c r="BE859" s="225"/>
      <c r="BF859" s="225"/>
      <c r="BG859" s="225"/>
      <c r="BH859" s="225"/>
      <c r="BI859" s="225"/>
      <c r="BJ859" s="225"/>
      <c r="BK859" s="225"/>
      <c r="BL859" s="225"/>
      <c r="BM859" s="225"/>
      <c r="BN859" s="225"/>
      <c r="BO859" s="225"/>
      <c r="BP859" s="225"/>
      <c r="BQ859" s="225"/>
      <c r="BR859" s="225"/>
      <c r="BS859" s="225"/>
      <c r="BT859" s="226"/>
      <c r="BU859" s="225"/>
      <c r="BV859" s="225"/>
      <c r="BW859" s="225"/>
      <c r="BX859" s="225"/>
      <c r="BY859" s="225"/>
      <c r="BZ859" s="225"/>
    </row>
    <row r="860">
      <c r="A860" s="225"/>
      <c r="B860" s="225"/>
      <c r="C860" s="225"/>
      <c r="D860" s="226"/>
      <c r="E860" s="225"/>
      <c r="F860" s="225"/>
      <c r="G860" s="225"/>
      <c r="H860" s="225"/>
      <c r="I860" s="225"/>
      <c r="J860" s="225"/>
      <c r="K860" s="244"/>
      <c r="L860" s="225"/>
      <c r="M860" s="225"/>
      <c r="N860" s="225"/>
      <c r="O860" s="225"/>
      <c r="P860" s="225"/>
      <c r="Q860" s="227"/>
      <c r="R860" s="234"/>
      <c r="S860" s="225"/>
      <c r="T860" s="225"/>
      <c r="U860" s="225"/>
      <c r="V860" s="225"/>
      <c r="W860" s="225"/>
      <c r="X860" s="225"/>
      <c r="Y860" s="229"/>
      <c r="Z860" s="257"/>
      <c r="AA860" s="225"/>
      <c r="AB860" s="257"/>
      <c r="AC860" s="257"/>
      <c r="AD860" s="226"/>
      <c r="AE860" s="259"/>
      <c r="AF860" s="347"/>
      <c r="AG860" s="232"/>
      <c r="AH860" s="257"/>
      <c r="AI860" s="225"/>
      <c r="AJ860" s="267"/>
      <c r="AK860" s="259"/>
      <c r="AL860" s="226"/>
      <c r="AM860" s="225"/>
      <c r="AN860" s="225"/>
      <c r="AO860" s="254"/>
      <c r="AP860" s="225"/>
      <c r="AQ860" s="225"/>
      <c r="AR860" s="226"/>
      <c r="AS860" s="225"/>
      <c r="AT860" s="225"/>
      <c r="AU860" s="225"/>
      <c r="AV860" s="225"/>
      <c r="AW860" s="225"/>
      <c r="AX860" s="226"/>
      <c r="AY860" s="225"/>
      <c r="AZ860" s="225"/>
      <c r="BA860" s="226"/>
      <c r="BB860" s="225"/>
      <c r="BC860" s="225"/>
      <c r="BD860" s="225"/>
      <c r="BE860" s="225"/>
      <c r="BF860" s="225"/>
      <c r="BG860" s="225"/>
      <c r="BH860" s="225"/>
      <c r="BI860" s="225"/>
      <c r="BJ860" s="225"/>
      <c r="BK860" s="225"/>
      <c r="BL860" s="225"/>
      <c r="BM860" s="225"/>
      <c r="BN860" s="225"/>
      <c r="BO860" s="225"/>
      <c r="BP860" s="225"/>
      <c r="BQ860" s="225"/>
      <c r="BR860" s="225"/>
      <c r="BS860" s="225"/>
      <c r="BT860" s="226"/>
      <c r="BU860" s="225"/>
      <c r="BV860" s="225"/>
      <c r="BW860" s="225"/>
      <c r="BX860" s="225"/>
      <c r="BY860" s="225"/>
      <c r="BZ860" s="225"/>
    </row>
    <row r="861">
      <c r="A861" s="225"/>
      <c r="B861" s="225"/>
      <c r="C861" s="225"/>
      <c r="D861" s="226"/>
      <c r="E861" s="225"/>
      <c r="F861" s="225"/>
      <c r="G861" s="225"/>
      <c r="H861" s="225"/>
      <c r="I861" s="225"/>
      <c r="J861" s="225"/>
      <c r="K861" s="244"/>
      <c r="L861" s="225"/>
      <c r="M861" s="225"/>
      <c r="N861" s="225"/>
      <c r="O861" s="225"/>
      <c r="P861" s="225"/>
      <c r="Q861" s="227"/>
      <c r="R861" s="234"/>
      <c r="S861" s="225"/>
      <c r="T861" s="225"/>
      <c r="U861" s="225"/>
      <c r="V861" s="225"/>
      <c r="W861" s="225"/>
      <c r="X861" s="225"/>
      <c r="Y861" s="229"/>
      <c r="Z861" s="257"/>
      <c r="AA861" s="225"/>
      <c r="AB861" s="257"/>
      <c r="AC861" s="257"/>
      <c r="AD861" s="226"/>
      <c r="AE861" s="259"/>
      <c r="AF861" s="347"/>
      <c r="AG861" s="232"/>
      <c r="AH861" s="257"/>
      <c r="AI861" s="225"/>
      <c r="AJ861" s="267"/>
      <c r="AK861" s="259"/>
      <c r="AL861" s="226"/>
      <c r="AM861" s="225"/>
      <c r="AN861" s="225"/>
      <c r="AO861" s="254"/>
      <c r="AP861" s="225"/>
      <c r="AQ861" s="225"/>
      <c r="AR861" s="226"/>
      <c r="AS861" s="225"/>
      <c r="AT861" s="225"/>
      <c r="AU861" s="225"/>
      <c r="AV861" s="225"/>
      <c r="AW861" s="225"/>
      <c r="AX861" s="226"/>
      <c r="AY861" s="225"/>
      <c r="AZ861" s="225"/>
      <c r="BA861" s="226"/>
      <c r="BB861" s="225"/>
      <c r="BC861" s="225"/>
      <c r="BD861" s="225"/>
      <c r="BE861" s="225"/>
      <c r="BF861" s="225"/>
      <c r="BG861" s="225"/>
      <c r="BH861" s="225"/>
      <c r="BI861" s="225"/>
      <c r="BJ861" s="225"/>
      <c r="BK861" s="225"/>
      <c r="BL861" s="225"/>
      <c r="BM861" s="225"/>
      <c r="BN861" s="225"/>
      <c r="BO861" s="225"/>
      <c r="BP861" s="225"/>
      <c r="BQ861" s="225"/>
      <c r="BR861" s="225"/>
      <c r="BS861" s="225"/>
      <c r="BT861" s="226"/>
      <c r="BU861" s="225"/>
      <c r="BV861" s="225"/>
      <c r="BW861" s="225"/>
      <c r="BX861" s="225"/>
      <c r="BY861" s="225"/>
      <c r="BZ861" s="225"/>
    </row>
    <row r="862">
      <c r="A862" s="225"/>
      <c r="B862" s="225"/>
      <c r="C862" s="225"/>
      <c r="D862" s="226"/>
      <c r="E862" s="225"/>
      <c r="F862" s="225"/>
      <c r="G862" s="225"/>
      <c r="H862" s="225"/>
      <c r="I862" s="225"/>
      <c r="J862" s="225"/>
      <c r="K862" s="244"/>
      <c r="L862" s="225"/>
      <c r="M862" s="225"/>
      <c r="N862" s="225"/>
      <c r="O862" s="225"/>
      <c r="P862" s="225"/>
      <c r="Q862" s="227"/>
      <c r="R862" s="234"/>
      <c r="S862" s="225"/>
      <c r="T862" s="225"/>
      <c r="U862" s="225"/>
      <c r="V862" s="225"/>
      <c r="W862" s="225"/>
      <c r="X862" s="225"/>
      <c r="Y862" s="229"/>
      <c r="Z862" s="257"/>
      <c r="AA862" s="225"/>
      <c r="AB862" s="257"/>
      <c r="AC862" s="257"/>
      <c r="AD862" s="226"/>
      <c r="AE862" s="259"/>
      <c r="AF862" s="347"/>
      <c r="AG862" s="232"/>
      <c r="AH862" s="257"/>
      <c r="AI862" s="225"/>
      <c r="AJ862" s="267"/>
      <c r="AK862" s="259"/>
      <c r="AL862" s="226"/>
      <c r="AM862" s="225"/>
      <c r="AN862" s="225"/>
      <c r="AO862" s="254"/>
      <c r="AP862" s="225"/>
      <c r="AQ862" s="225"/>
      <c r="AR862" s="226"/>
      <c r="AS862" s="225"/>
      <c r="AT862" s="225"/>
      <c r="AU862" s="225"/>
      <c r="AV862" s="225"/>
      <c r="AW862" s="225"/>
      <c r="AX862" s="226"/>
      <c r="AY862" s="225"/>
      <c r="AZ862" s="225"/>
      <c r="BA862" s="226"/>
      <c r="BB862" s="225"/>
      <c r="BC862" s="225"/>
      <c r="BD862" s="225"/>
      <c r="BE862" s="225"/>
      <c r="BF862" s="225"/>
      <c r="BG862" s="225"/>
      <c r="BH862" s="225"/>
      <c r="BI862" s="225"/>
      <c r="BJ862" s="225"/>
      <c r="BK862" s="225"/>
      <c r="BL862" s="225"/>
      <c r="BM862" s="225"/>
      <c r="BN862" s="225"/>
      <c r="BO862" s="225"/>
      <c r="BP862" s="225"/>
      <c r="BQ862" s="225"/>
      <c r="BR862" s="225"/>
      <c r="BS862" s="225"/>
      <c r="BT862" s="226"/>
      <c r="BU862" s="225"/>
      <c r="BV862" s="225"/>
      <c r="BW862" s="225"/>
      <c r="BX862" s="225"/>
      <c r="BY862" s="225"/>
      <c r="BZ862" s="225"/>
    </row>
    <row r="863">
      <c r="A863" s="225"/>
      <c r="B863" s="225"/>
      <c r="C863" s="225"/>
      <c r="D863" s="226"/>
      <c r="E863" s="225"/>
      <c r="F863" s="225"/>
      <c r="G863" s="225"/>
      <c r="H863" s="225"/>
      <c r="I863" s="225"/>
      <c r="J863" s="225"/>
      <c r="K863" s="244"/>
      <c r="L863" s="225"/>
      <c r="M863" s="225"/>
      <c r="N863" s="225"/>
      <c r="O863" s="225"/>
      <c r="P863" s="225"/>
      <c r="Q863" s="227"/>
      <c r="R863" s="234"/>
      <c r="S863" s="225"/>
      <c r="T863" s="225"/>
      <c r="U863" s="225"/>
      <c r="V863" s="225"/>
      <c r="W863" s="225"/>
      <c r="X863" s="225"/>
      <c r="Y863" s="229"/>
      <c r="Z863" s="257"/>
      <c r="AA863" s="225"/>
      <c r="AB863" s="257"/>
      <c r="AC863" s="257"/>
      <c r="AD863" s="226"/>
      <c r="AE863" s="259"/>
      <c r="AF863" s="347"/>
      <c r="AG863" s="232"/>
      <c r="AH863" s="257"/>
      <c r="AI863" s="225"/>
      <c r="AJ863" s="267"/>
      <c r="AK863" s="259"/>
      <c r="AL863" s="226"/>
      <c r="AM863" s="225"/>
      <c r="AN863" s="225"/>
      <c r="AO863" s="254"/>
      <c r="AP863" s="225"/>
      <c r="AQ863" s="225"/>
      <c r="AR863" s="226"/>
      <c r="AS863" s="225"/>
      <c r="AT863" s="225"/>
      <c r="AU863" s="225"/>
      <c r="AV863" s="225"/>
      <c r="AW863" s="225"/>
      <c r="AX863" s="226"/>
      <c r="AY863" s="225"/>
      <c r="AZ863" s="225"/>
      <c r="BA863" s="226"/>
      <c r="BB863" s="225"/>
      <c r="BC863" s="225"/>
      <c r="BD863" s="225"/>
      <c r="BE863" s="225"/>
      <c r="BF863" s="225"/>
      <c r="BG863" s="225"/>
      <c r="BH863" s="225"/>
      <c r="BI863" s="225"/>
      <c r="BJ863" s="225"/>
      <c r="BK863" s="225"/>
      <c r="BL863" s="225"/>
      <c r="BM863" s="225"/>
      <c r="BN863" s="225"/>
      <c r="BO863" s="225"/>
      <c r="BP863" s="225"/>
      <c r="BQ863" s="225"/>
      <c r="BR863" s="225"/>
      <c r="BS863" s="225"/>
      <c r="BT863" s="226"/>
      <c r="BU863" s="225"/>
      <c r="BV863" s="225"/>
      <c r="BW863" s="225"/>
      <c r="BX863" s="225"/>
      <c r="BY863" s="225"/>
      <c r="BZ863" s="225"/>
    </row>
    <row r="864">
      <c r="A864" s="225"/>
      <c r="B864" s="225"/>
      <c r="C864" s="225"/>
      <c r="D864" s="226"/>
      <c r="E864" s="225"/>
      <c r="F864" s="225"/>
      <c r="G864" s="225"/>
      <c r="H864" s="225"/>
      <c r="I864" s="225"/>
      <c r="J864" s="225"/>
      <c r="K864" s="244"/>
      <c r="L864" s="225"/>
      <c r="M864" s="225"/>
      <c r="N864" s="225"/>
      <c r="O864" s="225"/>
      <c r="P864" s="225"/>
      <c r="Q864" s="227"/>
      <c r="R864" s="234"/>
      <c r="S864" s="225"/>
      <c r="T864" s="225"/>
      <c r="U864" s="225"/>
      <c r="V864" s="225"/>
      <c r="W864" s="225"/>
      <c r="X864" s="225"/>
      <c r="Y864" s="229"/>
      <c r="Z864" s="257"/>
      <c r="AA864" s="225"/>
      <c r="AB864" s="257"/>
      <c r="AC864" s="257"/>
      <c r="AD864" s="226"/>
      <c r="AE864" s="259"/>
      <c r="AF864" s="347"/>
      <c r="AG864" s="232"/>
      <c r="AH864" s="257"/>
      <c r="AI864" s="225"/>
      <c r="AJ864" s="267"/>
      <c r="AK864" s="259"/>
      <c r="AL864" s="226"/>
      <c r="AM864" s="225"/>
      <c r="AN864" s="225"/>
      <c r="AO864" s="254"/>
      <c r="AP864" s="225"/>
      <c r="AQ864" s="225"/>
      <c r="AR864" s="226"/>
      <c r="AS864" s="225"/>
      <c r="AT864" s="225"/>
      <c r="AU864" s="225"/>
      <c r="AV864" s="225"/>
      <c r="AW864" s="225"/>
      <c r="AX864" s="226"/>
      <c r="AY864" s="225"/>
      <c r="AZ864" s="225"/>
      <c r="BA864" s="226"/>
      <c r="BB864" s="225"/>
      <c r="BC864" s="225"/>
      <c r="BD864" s="225"/>
      <c r="BE864" s="225"/>
      <c r="BF864" s="225"/>
      <c r="BG864" s="225"/>
      <c r="BH864" s="225"/>
      <c r="BI864" s="225"/>
      <c r="BJ864" s="225"/>
      <c r="BK864" s="225"/>
      <c r="BL864" s="225"/>
      <c r="BM864" s="225"/>
      <c r="BN864" s="225"/>
      <c r="BO864" s="225"/>
      <c r="BP864" s="225"/>
      <c r="BQ864" s="225"/>
      <c r="BR864" s="225"/>
      <c r="BS864" s="225"/>
      <c r="BT864" s="226"/>
      <c r="BU864" s="225"/>
      <c r="BV864" s="225"/>
      <c r="BW864" s="225"/>
      <c r="BX864" s="225"/>
      <c r="BY864" s="225"/>
      <c r="BZ864" s="225"/>
    </row>
    <row r="865">
      <c r="A865" s="225"/>
      <c r="B865" s="225"/>
      <c r="C865" s="225"/>
      <c r="D865" s="226"/>
      <c r="E865" s="225"/>
      <c r="F865" s="225"/>
      <c r="G865" s="225"/>
      <c r="H865" s="225"/>
      <c r="I865" s="225"/>
      <c r="J865" s="225"/>
      <c r="K865" s="244"/>
      <c r="L865" s="225"/>
      <c r="M865" s="225"/>
      <c r="N865" s="225"/>
      <c r="O865" s="225"/>
      <c r="P865" s="225"/>
      <c r="Q865" s="227"/>
      <c r="R865" s="234"/>
      <c r="S865" s="225"/>
      <c r="T865" s="225"/>
      <c r="U865" s="225"/>
      <c r="V865" s="225"/>
      <c r="W865" s="225"/>
      <c r="X865" s="225"/>
      <c r="Y865" s="229"/>
      <c r="Z865" s="257"/>
      <c r="AA865" s="225"/>
      <c r="AB865" s="257"/>
      <c r="AC865" s="257"/>
      <c r="AD865" s="226"/>
      <c r="AE865" s="259"/>
      <c r="AF865" s="347"/>
      <c r="AG865" s="232"/>
      <c r="AH865" s="257"/>
      <c r="AI865" s="225"/>
      <c r="AJ865" s="267"/>
      <c r="AK865" s="259"/>
      <c r="AL865" s="226"/>
      <c r="AM865" s="225"/>
      <c r="AN865" s="225"/>
      <c r="AO865" s="254"/>
      <c r="AP865" s="225"/>
      <c r="AQ865" s="225"/>
      <c r="AR865" s="226"/>
      <c r="AS865" s="225"/>
      <c r="AT865" s="225"/>
      <c r="AU865" s="225"/>
      <c r="AV865" s="225"/>
      <c r="AW865" s="225"/>
      <c r="AX865" s="226"/>
      <c r="AY865" s="225"/>
      <c r="AZ865" s="225"/>
      <c r="BA865" s="226"/>
      <c r="BB865" s="225"/>
      <c r="BC865" s="225"/>
      <c r="BD865" s="225"/>
      <c r="BE865" s="225"/>
      <c r="BF865" s="225"/>
      <c r="BG865" s="225"/>
      <c r="BH865" s="225"/>
      <c r="BI865" s="225"/>
      <c r="BJ865" s="225"/>
      <c r="BK865" s="225"/>
      <c r="BL865" s="225"/>
      <c r="BM865" s="225"/>
      <c r="BN865" s="225"/>
      <c r="BO865" s="225"/>
      <c r="BP865" s="225"/>
      <c r="BQ865" s="225"/>
      <c r="BR865" s="225"/>
      <c r="BS865" s="225"/>
      <c r="BT865" s="226"/>
      <c r="BU865" s="225"/>
      <c r="BV865" s="225"/>
      <c r="BW865" s="225"/>
      <c r="BX865" s="225"/>
      <c r="BY865" s="225"/>
      <c r="BZ865" s="225"/>
    </row>
    <row r="866">
      <c r="A866" s="225"/>
      <c r="B866" s="225"/>
      <c r="C866" s="225"/>
      <c r="D866" s="226"/>
      <c r="E866" s="225"/>
      <c r="F866" s="225"/>
      <c r="G866" s="225"/>
      <c r="H866" s="225"/>
      <c r="I866" s="225"/>
      <c r="J866" s="225"/>
      <c r="K866" s="244"/>
      <c r="L866" s="225"/>
      <c r="M866" s="225"/>
      <c r="N866" s="225"/>
      <c r="O866" s="225"/>
      <c r="P866" s="225"/>
      <c r="Q866" s="227"/>
      <c r="R866" s="234"/>
      <c r="S866" s="225"/>
      <c r="T866" s="225"/>
      <c r="U866" s="225"/>
      <c r="V866" s="225"/>
      <c r="W866" s="225"/>
      <c r="X866" s="225"/>
      <c r="Y866" s="229"/>
      <c r="Z866" s="257"/>
      <c r="AA866" s="225"/>
      <c r="AB866" s="257"/>
      <c r="AC866" s="257"/>
      <c r="AD866" s="226"/>
      <c r="AE866" s="259"/>
      <c r="AF866" s="347"/>
      <c r="AG866" s="232"/>
      <c r="AH866" s="257"/>
      <c r="AI866" s="225"/>
      <c r="AJ866" s="267"/>
      <c r="AK866" s="259"/>
      <c r="AL866" s="226"/>
      <c r="AM866" s="225"/>
      <c r="AN866" s="225"/>
      <c r="AO866" s="254"/>
      <c r="AP866" s="225"/>
      <c r="AQ866" s="225"/>
      <c r="AR866" s="226"/>
      <c r="AS866" s="225"/>
      <c r="AT866" s="225"/>
      <c r="AU866" s="225"/>
      <c r="AV866" s="225"/>
      <c r="AW866" s="225"/>
      <c r="AX866" s="226"/>
      <c r="AY866" s="225"/>
      <c r="AZ866" s="225"/>
      <c r="BA866" s="226"/>
      <c r="BB866" s="225"/>
      <c r="BC866" s="225"/>
      <c r="BD866" s="225"/>
      <c r="BE866" s="225"/>
      <c r="BF866" s="225"/>
      <c r="BG866" s="225"/>
      <c r="BH866" s="225"/>
      <c r="BI866" s="225"/>
      <c r="BJ866" s="225"/>
      <c r="BK866" s="225"/>
      <c r="BL866" s="225"/>
      <c r="BM866" s="225"/>
      <c r="BN866" s="225"/>
      <c r="BO866" s="225"/>
      <c r="BP866" s="225"/>
      <c r="BQ866" s="225"/>
      <c r="BR866" s="225"/>
      <c r="BS866" s="225"/>
      <c r="BT866" s="226"/>
      <c r="BU866" s="225"/>
      <c r="BV866" s="225"/>
      <c r="BW866" s="225"/>
      <c r="BX866" s="225"/>
      <c r="BY866" s="225"/>
      <c r="BZ866" s="225"/>
    </row>
    <row r="867">
      <c r="A867" s="225"/>
      <c r="B867" s="225"/>
      <c r="C867" s="225"/>
      <c r="D867" s="226"/>
      <c r="E867" s="225"/>
      <c r="F867" s="225"/>
      <c r="G867" s="225"/>
      <c r="H867" s="225"/>
      <c r="I867" s="225"/>
      <c r="J867" s="225"/>
      <c r="K867" s="244"/>
      <c r="L867" s="225"/>
      <c r="M867" s="225"/>
      <c r="N867" s="225"/>
      <c r="O867" s="225"/>
      <c r="P867" s="225"/>
      <c r="Q867" s="227"/>
      <c r="R867" s="234"/>
      <c r="S867" s="225"/>
      <c r="T867" s="225"/>
      <c r="U867" s="225"/>
      <c r="V867" s="225"/>
      <c r="W867" s="225"/>
      <c r="X867" s="225"/>
      <c r="Y867" s="229"/>
      <c r="Z867" s="257"/>
      <c r="AA867" s="225"/>
      <c r="AB867" s="257"/>
      <c r="AC867" s="257"/>
      <c r="AD867" s="226"/>
      <c r="AE867" s="259"/>
      <c r="AF867" s="347"/>
      <c r="AG867" s="232"/>
      <c r="AH867" s="257"/>
      <c r="AI867" s="225"/>
      <c r="AJ867" s="267"/>
      <c r="AK867" s="259"/>
      <c r="AL867" s="226"/>
      <c r="AM867" s="225"/>
      <c r="AN867" s="225"/>
      <c r="AO867" s="254"/>
      <c r="AP867" s="225"/>
      <c r="AQ867" s="225"/>
      <c r="AR867" s="226"/>
      <c r="AS867" s="225"/>
      <c r="AT867" s="225"/>
      <c r="AU867" s="225"/>
      <c r="AV867" s="225"/>
      <c r="AW867" s="225"/>
      <c r="AX867" s="226"/>
      <c r="AY867" s="225"/>
      <c r="AZ867" s="225"/>
      <c r="BA867" s="226"/>
      <c r="BB867" s="225"/>
      <c r="BC867" s="225"/>
      <c r="BD867" s="225"/>
      <c r="BE867" s="225"/>
      <c r="BF867" s="225"/>
      <c r="BG867" s="225"/>
      <c r="BH867" s="225"/>
      <c r="BI867" s="225"/>
      <c r="BJ867" s="225"/>
      <c r="BK867" s="225"/>
      <c r="BL867" s="225"/>
      <c r="BM867" s="225"/>
      <c r="BN867" s="225"/>
      <c r="BO867" s="225"/>
      <c r="BP867" s="225"/>
      <c r="BQ867" s="225"/>
      <c r="BR867" s="225"/>
      <c r="BS867" s="225"/>
      <c r="BT867" s="226"/>
      <c r="BU867" s="225"/>
      <c r="BV867" s="225"/>
      <c r="BW867" s="225"/>
      <c r="BX867" s="225"/>
      <c r="BY867" s="225"/>
      <c r="BZ867" s="225"/>
    </row>
    <row r="868">
      <c r="A868" s="225"/>
      <c r="B868" s="225"/>
      <c r="C868" s="225"/>
      <c r="D868" s="226"/>
      <c r="E868" s="225"/>
      <c r="F868" s="225"/>
      <c r="G868" s="225"/>
      <c r="H868" s="225"/>
      <c r="I868" s="225"/>
      <c r="J868" s="225"/>
      <c r="K868" s="244"/>
      <c r="L868" s="225"/>
      <c r="M868" s="225"/>
      <c r="N868" s="225"/>
      <c r="O868" s="225"/>
      <c r="P868" s="225"/>
      <c r="Q868" s="227"/>
      <c r="R868" s="234"/>
      <c r="S868" s="225"/>
      <c r="T868" s="225"/>
      <c r="U868" s="225"/>
      <c r="V868" s="225"/>
      <c r="W868" s="225"/>
      <c r="X868" s="225"/>
      <c r="Y868" s="229"/>
      <c r="Z868" s="257"/>
      <c r="AA868" s="225"/>
      <c r="AB868" s="257"/>
      <c r="AC868" s="257"/>
      <c r="AD868" s="226"/>
      <c r="AE868" s="259"/>
      <c r="AF868" s="347"/>
      <c r="AG868" s="232"/>
      <c r="AH868" s="257"/>
      <c r="AI868" s="225"/>
      <c r="AJ868" s="267"/>
      <c r="AK868" s="259"/>
      <c r="AL868" s="226"/>
      <c r="AM868" s="225"/>
      <c r="AN868" s="225"/>
      <c r="AO868" s="254"/>
      <c r="AP868" s="225"/>
      <c r="AQ868" s="225"/>
      <c r="AR868" s="226"/>
      <c r="AS868" s="225"/>
      <c r="AT868" s="225"/>
      <c r="AU868" s="225"/>
      <c r="AV868" s="225"/>
      <c r="AW868" s="225"/>
      <c r="AX868" s="226"/>
      <c r="AY868" s="225"/>
      <c r="AZ868" s="225"/>
      <c r="BA868" s="226"/>
      <c r="BB868" s="225"/>
      <c r="BC868" s="225"/>
      <c r="BD868" s="225"/>
      <c r="BE868" s="225"/>
      <c r="BF868" s="225"/>
      <c r="BG868" s="225"/>
      <c r="BH868" s="225"/>
      <c r="BI868" s="225"/>
      <c r="BJ868" s="225"/>
      <c r="BK868" s="225"/>
      <c r="BL868" s="225"/>
      <c r="BM868" s="225"/>
      <c r="BN868" s="225"/>
      <c r="BO868" s="225"/>
      <c r="BP868" s="225"/>
      <c r="BQ868" s="225"/>
      <c r="BR868" s="225"/>
      <c r="BS868" s="225"/>
      <c r="BT868" s="226"/>
      <c r="BU868" s="225"/>
      <c r="BV868" s="225"/>
      <c r="BW868" s="225"/>
      <c r="BX868" s="225"/>
      <c r="BY868" s="225"/>
      <c r="BZ868" s="225"/>
    </row>
    <row r="869">
      <c r="A869" s="225"/>
      <c r="B869" s="225"/>
      <c r="C869" s="225"/>
      <c r="D869" s="226"/>
      <c r="E869" s="225"/>
      <c r="F869" s="225"/>
      <c r="G869" s="225"/>
      <c r="H869" s="225"/>
      <c r="I869" s="225"/>
      <c r="J869" s="225"/>
      <c r="K869" s="244"/>
      <c r="L869" s="225"/>
      <c r="M869" s="225"/>
      <c r="N869" s="225"/>
      <c r="O869" s="225"/>
      <c r="P869" s="225"/>
      <c r="Q869" s="227"/>
      <c r="R869" s="234"/>
      <c r="S869" s="225"/>
      <c r="T869" s="225"/>
      <c r="U869" s="225"/>
      <c r="V869" s="225"/>
      <c r="W869" s="225"/>
      <c r="X869" s="225"/>
      <c r="Y869" s="229"/>
      <c r="Z869" s="257"/>
      <c r="AA869" s="225"/>
      <c r="AB869" s="257"/>
      <c r="AC869" s="257"/>
      <c r="AD869" s="226"/>
      <c r="AE869" s="259"/>
      <c r="AF869" s="347"/>
      <c r="AG869" s="232"/>
      <c r="AH869" s="257"/>
      <c r="AI869" s="225"/>
      <c r="AJ869" s="267"/>
      <c r="AK869" s="259"/>
      <c r="AL869" s="226"/>
      <c r="AM869" s="225"/>
      <c r="AN869" s="225"/>
      <c r="AO869" s="254"/>
      <c r="AP869" s="225"/>
      <c r="AQ869" s="225"/>
      <c r="AR869" s="226"/>
      <c r="AS869" s="225"/>
      <c r="AT869" s="225"/>
      <c r="AU869" s="225"/>
      <c r="AV869" s="225"/>
      <c r="AW869" s="225"/>
      <c r="AX869" s="226"/>
      <c r="AY869" s="225"/>
      <c r="AZ869" s="225"/>
      <c r="BA869" s="226"/>
      <c r="BB869" s="225"/>
      <c r="BC869" s="225"/>
      <c r="BD869" s="225"/>
      <c r="BE869" s="225"/>
      <c r="BF869" s="225"/>
      <c r="BG869" s="225"/>
      <c r="BH869" s="225"/>
      <c r="BI869" s="225"/>
      <c r="BJ869" s="225"/>
      <c r="BK869" s="225"/>
      <c r="BL869" s="225"/>
      <c r="BM869" s="225"/>
      <c r="BN869" s="225"/>
      <c r="BO869" s="225"/>
      <c r="BP869" s="225"/>
      <c r="BQ869" s="225"/>
      <c r="BR869" s="225"/>
      <c r="BS869" s="225"/>
      <c r="BT869" s="226"/>
      <c r="BU869" s="225"/>
      <c r="BV869" s="225"/>
      <c r="BW869" s="225"/>
      <c r="BX869" s="225"/>
      <c r="BY869" s="225"/>
      <c r="BZ869" s="225"/>
    </row>
    <row r="870">
      <c r="A870" s="225"/>
      <c r="B870" s="225"/>
      <c r="C870" s="225"/>
      <c r="D870" s="226"/>
      <c r="E870" s="225"/>
      <c r="F870" s="225"/>
      <c r="G870" s="225"/>
      <c r="H870" s="225"/>
      <c r="I870" s="225"/>
      <c r="J870" s="225"/>
      <c r="K870" s="244"/>
      <c r="L870" s="225"/>
      <c r="M870" s="225"/>
      <c r="N870" s="225"/>
      <c r="O870" s="225"/>
      <c r="P870" s="225"/>
      <c r="Q870" s="227"/>
      <c r="R870" s="234"/>
      <c r="S870" s="225"/>
      <c r="T870" s="225"/>
      <c r="U870" s="225"/>
      <c r="V870" s="225"/>
      <c r="W870" s="225"/>
      <c r="X870" s="225"/>
      <c r="Y870" s="229"/>
      <c r="Z870" s="257"/>
      <c r="AA870" s="225"/>
      <c r="AB870" s="257"/>
      <c r="AC870" s="257"/>
      <c r="AD870" s="226"/>
      <c r="AE870" s="259"/>
      <c r="AF870" s="347"/>
      <c r="AG870" s="232"/>
      <c r="AH870" s="257"/>
      <c r="AI870" s="225"/>
      <c r="AJ870" s="267"/>
      <c r="AK870" s="259"/>
      <c r="AL870" s="226"/>
      <c r="AM870" s="225"/>
      <c r="AN870" s="225"/>
      <c r="AO870" s="254"/>
      <c r="AP870" s="225"/>
      <c r="AQ870" s="225"/>
      <c r="AR870" s="226"/>
      <c r="AS870" s="225"/>
      <c r="AT870" s="225"/>
      <c r="AU870" s="225"/>
      <c r="AV870" s="225"/>
      <c r="AW870" s="225"/>
      <c r="AX870" s="226"/>
      <c r="AY870" s="225"/>
      <c r="AZ870" s="225"/>
      <c r="BA870" s="226"/>
      <c r="BB870" s="225"/>
      <c r="BC870" s="225"/>
      <c r="BD870" s="225"/>
      <c r="BE870" s="225"/>
      <c r="BF870" s="225"/>
      <c r="BG870" s="225"/>
      <c r="BH870" s="225"/>
      <c r="BI870" s="225"/>
      <c r="BJ870" s="225"/>
      <c r="BK870" s="225"/>
      <c r="BL870" s="225"/>
      <c r="BM870" s="225"/>
      <c r="BN870" s="225"/>
      <c r="BO870" s="225"/>
      <c r="BP870" s="225"/>
      <c r="BQ870" s="225"/>
      <c r="BR870" s="225"/>
      <c r="BS870" s="225"/>
      <c r="BT870" s="226"/>
      <c r="BU870" s="225"/>
      <c r="BV870" s="225"/>
      <c r="BW870" s="225"/>
      <c r="BX870" s="225"/>
      <c r="BY870" s="225"/>
      <c r="BZ870" s="225"/>
    </row>
    <row r="871">
      <c r="A871" s="225"/>
      <c r="B871" s="225"/>
      <c r="C871" s="225"/>
      <c r="D871" s="226"/>
      <c r="E871" s="225"/>
      <c r="F871" s="225"/>
      <c r="G871" s="225"/>
      <c r="H871" s="225"/>
      <c r="I871" s="225"/>
      <c r="J871" s="225"/>
      <c r="K871" s="244"/>
      <c r="L871" s="225"/>
      <c r="M871" s="225"/>
      <c r="N871" s="225"/>
      <c r="O871" s="225"/>
      <c r="P871" s="225"/>
      <c r="Q871" s="227"/>
      <c r="R871" s="234"/>
      <c r="S871" s="225"/>
      <c r="T871" s="225"/>
      <c r="U871" s="225"/>
      <c r="V871" s="225"/>
      <c r="W871" s="225"/>
      <c r="X871" s="225"/>
      <c r="Y871" s="229"/>
      <c r="Z871" s="257"/>
      <c r="AA871" s="225"/>
      <c r="AB871" s="257"/>
      <c r="AC871" s="257"/>
      <c r="AD871" s="226"/>
      <c r="AE871" s="259"/>
      <c r="AF871" s="347"/>
      <c r="AG871" s="232"/>
      <c r="AH871" s="257"/>
      <c r="AI871" s="225"/>
      <c r="AJ871" s="267"/>
      <c r="AK871" s="259"/>
      <c r="AL871" s="226"/>
      <c r="AM871" s="225"/>
      <c r="AN871" s="225"/>
      <c r="AO871" s="254"/>
      <c r="AP871" s="225"/>
      <c r="AQ871" s="225"/>
      <c r="AR871" s="226"/>
      <c r="AS871" s="225"/>
      <c r="AT871" s="225"/>
      <c r="AU871" s="225"/>
      <c r="AV871" s="225"/>
      <c r="AW871" s="225"/>
      <c r="AX871" s="226"/>
      <c r="AY871" s="225"/>
      <c r="AZ871" s="225"/>
      <c r="BA871" s="226"/>
      <c r="BB871" s="225"/>
      <c r="BC871" s="225"/>
      <c r="BD871" s="225"/>
      <c r="BE871" s="225"/>
      <c r="BF871" s="225"/>
      <c r="BG871" s="225"/>
      <c r="BH871" s="225"/>
      <c r="BI871" s="225"/>
      <c r="BJ871" s="225"/>
      <c r="BK871" s="225"/>
      <c r="BL871" s="225"/>
      <c r="BM871" s="225"/>
      <c r="BN871" s="225"/>
      <c r="BO871" s="225"/>
      <c r="BP871" s="225"/>
      <c r="BQ871" s="225"/>
      <c r="BR871" s="225"/>
      <c r="BS871" s="225"/>
      <c r="BT871" s="226"/>
      <c r="BU871" s="225"/>
      <c r="BV871" s="225"/>
      <c r="BW871" s="225"/>
      <c r="BX871" s="225"/>
      <c r="BY871" s="225"/>
      <c r="BZ871" s="225"/>
    </row>
    <row r="872">
      <c r="A872" s="225"/>
      <c r="B872" s="225"/>
      <c r="C872" s="225"/>
      <c r="D872" s="226"/>
      <c r="E872" s="225"/>
      <c r="F872" s="225"/>
      <c r="G872" s="225"/>
      <c r="H872" s="225"/>
      <c r="I872" s="225"/>
      <c r="J872" s="225"/>
      <c r="K872" s="244"/>
      <c r="L872" s="225"/>
      <c r="M872" s="225"/>
      <c r="N872" s="225"/>
      <c r="O872" s="225"/>
      <c r="P872" s="225"/>
      <c r="Q872" s="227"/>
      <c r="R872" s="234"/>
      <c r="S872" s="225"/>
      <c r="T872" s="225"/>
      <c r="U872" s="225"/>
      <c r="V872" s="225"/>
      <c r="W872" s="225"/>
      <c r="X872" s="225"/>
      <c r="Y872" s="229"/>
      <c r="Z872" s="257"/>
      <c r="AA872" s="225"/>
      <c r="AB872" s="257"/>
      <c r="AC872" s="257"/>
      <c r="AD872" s="226"/>
      <c r="AE872" s="259"/>
      <c r="AF872" s="347"/>
      <c r="AG872" s="232"/>
      <c r="AH872" s="257"/>
      <c r="AI872" s="225"/>
      <c r="AJ872" s="267"/>
      <c r="AK872" s="259"/>
      <c r="AL872" s="226"/>
      <c r="AM872" s="225"/>
      <c r="AN872" s="225"/>
      <c r="AO872" s="254"/>
      <c r="AP872" s="225"/>
      <c r="AQ872" s="225"/>
      <c r="AR872" s="226"/>
      <c r="AS872" s="225"/>
      <c r="AT872" s="225"/>
      <c r="AU872" s="225"/>
      <c r="AV872" s="225"/>
      <c r="AW872" s="225"/>
      <c r="AX872" s="226"/>
      <c r="AY872" s="225"/>
      <c r="AZ872" s="225"/>
      <c r="BA872" s="226"/>
      <c r="BB872" s="225"/>
      <c r="BC872" s="225"/>
      <c r="BD872" s="225"/>
      <c r="BE872" s="225"/>
      <c r="BF872" s="225"/>
      <c r="BG872" s="225"/>
      <c r="BH872" s="225"/>
      <c r="BI872" s="225"/>
      <c r="BJ872" s="225"/>
      <c r="BK872" s="225"/>
      <c r="BL872" s="225"/>
      <c r="BM872" s="225"/>
      <c r="BN872" s="225"/>
      <c r="BO872" s="225"/>
      <c r="BP872" s="225"/>
      <c r="BQ872" s="225"/>
      <c r="BR872" s="225"/>
      <c r="BS872" s="225"/>
      <c r="BT872" s="226"/>
      <c r="BU872" s="225"/>
      <c r="BV872" s="225"/>
      <c r="BW872" s="225"/>
      <c r="BX872" s="225"/>
      <c r="BY872" s="225"/>
      <c r="BZ872" s="225"/>
    </row>
    <row r="873">
      <c r="A873" s="225"/>
      <c r="B873" s="225"/>
      <c r="C873" s="225"/>
      <c r="D873" s="226"/>
      <c r="E873" s="225"/>
      <c r="F873" s="225"/>
      <c r="G873" s="225"/>
      <c r="H873" s="225"/>
      <c r="I873" s="225"/>
      <c r="J873" s="225"/>
      <c r="K873" s="244"/>
      <c r="L873" s="225"/>
      <c r="M873" s="225"/>
      <c r="N873" s="225"/>
      <c r="O873" s="225"/>
      <c r="P873" s="225"/>
      <c r="Q873" s="227"/>
      <c r="R873" s="234"/>
      <c r="S873" s="225"/>
      <c r="T873" s="225"/>
      <c r="U873" s="225"/>
      <c r="V873" s="225"/>
      <c r="W873" s="225"/>
      <c r="X873" s="225"/>
      <c r="Y873" s="229"/>
      <c r="Z873" s="257"/>
      <c r="AA873" s="225"/>
      <c r="AB873" s="257"/>
      <c r="AC873" s="257"/>
      <c r="AD873" s="226"/>
      <c r="AE873" s="259"/>
      <c r="AF873" s="347"/>
      <c r="AG873" s="232"/>
      <c r="AH873" s="257"/>
      <c r="AI873" s="225"/>
      <c r="AJ873" s="267"/>
      <c r="AK873" s="259"/>
      <c r="AL873" s="226"/>
      <c r="AM873" s="225"/>
      <c r="AN873" s="225"/>
      <c r="AO873" s="254"/>
      <c r="AP873" s="225"/>
      <c r="AQ873" s="225"/>
      <c r="AR873" s="226"/>
      <c r="AS873" s="225"/>
      <c r="AT873" s="225"/>
      <c r="AU873" s="225"/>
      <c r="AV873" s="225"/>
      <c r="AW873" s="225"/>
      <c r="AX873" s="226"/>
      <c r="AY873" s="225"/>
      <c r="AZ873" s="225"/>
      <c r="BA873" s="226"/>
      <c r="BB873" s="225"/>
      <c r="BC873" s="225"/>
      <c r="BD873" s="225"/>
      <c r="BE873" s="225"/>
      <c r="BF873" s="225"/>
      <c r="BG873" s="225"/>
      <c r="BH873" s="225"/>
      <c r="BI873" s="225"/>
      <c r="BJ873" s="225"/>
      <c r="BK873" s="225"/>
      <c r="BL873" s="225"/>
      <c r="BM873" s="225"/>
      <c r="BN873" s="225"/>
      <c r="BO873" s="225"/>
      <c r="BP873" s="225"/>
      <c r="BQ873" s="225"/>
      <c r="BR873" s="225"/>
      <c r="BS873" s="225"/>
      <c r="BT873" s="226"/>
      <c r="BU873" s="225"/>
      <c r="BV873" s="225"/>
      <c r="BW873" s="225"/>
      <c r="BX873" s="225"/>
      <c r="BY873" s="225"/>
      <c r="BZ873" s="225"/>
    </row>
    <row r="874">
      <c r="A874" s="225"/>
      <c r="B874" s="225"/>
      <c r="C874" s="225"/>
      <c r="D874" s="226"/>
      <c r="E874" s="225"/>
      <c r="F874" s="225"/>
      <c r="G874" s="225"/>
      <c r="H874" s="225"/>
      <c r="I874" s="225"/>
      <c r="J874" s="225"/>
      <c r="K874" s="244"/>
      <c r="L874" s="225"/>
      <c r="M874" s="225"/>
      <c r="N874" s="225"/>
      <c r="O874" s="225"/>
      <c r="P874" s="225"/>
      <c r="Q874" s="227"/>
      <c r="R874" s="234"/>
      <c r="S874" s="225"/>
      <c r="T874" s="225"/>
      <c r="U874" s="225"/>
      <c r="V874" s="225"/>
      <c r="W874" s="225"/>
      <c r="X874" s="225"/>
      <c r="Y874" s="229"/>
      <c r="Z874" s="257"/>
      <c r="AA874" s="225"/>
      <c r="AB874" s="257"/>
      <c r="AC874" s="257"/>
      <c r="AD874" s="226"/>
      <c r="AE874" s="259"/>
      <c r="AF874" s="347"/>
      <c r="AG874" s="232"/>
      <c r="AH874" s="257"/>
      <c r="AI874" s="225"/>
      <c r="AJ874" s="267"/>
      <c r="AK874" s="259"/>
      <c r="AL874" s="226"/>
      <c r="AM874" s="225"/>
      <c r="AN874" s="225"/>
      <c r="AO874" s="254"/>
      <c r="AP874" s="225"/>
      <c r="AQ874" s="225"/>
      <c r="AR874" s="226"/>
      <c r="AS874" s="225"/>
      <c r="AT874" s="225"/>
      <c r="AU874" s="225"/>
      <c r="AV874" s="225"/>
      <c r="AW874" s="225"/>
      <c r="AX874" s="226"/>
      <c r="AY874" s="225"/>
      <c r="AZ874" s="225"/>
      <c r="BA874" s="226"/>
      <c r="BB874" s="225"/>
      <c r="BC874" s="225"/>
      <c r="BD874" s="225"/>
      <c r="BE874" s="225"/>
      <c r="BF874" s="225"/>
      <c r="BG874" s="225"/>
      <c r="BH874" s="225"/>
      <c r="BI874" s="225"/>
      <c r="BJ874" s="225"/>
      <c r="BK874" s="225"/>
      <c r="BL874" s="225"/>
      <c r="BM874" s="225"/>
      <c r="BN874" s="225"/>
      <c r="BO874" s="225"/>
      <c r="BP874" s="225"/>
      <c r="BQ874" s="225"/>
      <c r="BR874" s="225"/>
      <c r="BS874" s="225"/>
      <c r="BT874" s="226"/>
      <c r="BU874" s="225"/>
      <c r="BV874" s="225"/>
      <c r="BW874" s="225"/>
      <c r="BX874" s="225"/>
      <c r="BY874" s="225"/>
      <c r="BZ874" s="225"/>
    </row>
    <row r="875">
      <c r="A875" s="225"/>
      <c r="B875" s="225"/>
      <c r="C875" s="225"/>
      <c r="D875" s="226"/>
      <c r="E875" s="225"/>
      <c r="F875" s="225"/>
      <c r="G875" s="225"/>
      <c r="H875" s="225"/>
      <c r="I875" s="225"/>
      <c r="J875" s="225"/>
      <c r="K875" s="244"/>
      <c r="L875" s="225"/>
      <c r="M875" s="225"/>
      <c r="N875" s="225"/>
      <c r="O875" s="225"/>
      <c r="P875" s="225"/>
      <c r="Q875" s="227"/>
      <c r="R875" s="234"/>
      <c r="S875" s="225"/>
      <c r="T875" s="225"/>
      <c r="U875" s="225"/>
      <c r="V875" s="225"/>
      <c r="W875" s="225"/>
      <c r="X875" s="225"/>
      <c r="Y875" s="229"/>
      <c r="Z875" s="257"/>
      <c r="AA875" s="225"/>
      <c r="AB875" s="257"/>
      <c r="AC875" s="257"/>
      <c r="AD875" s="226"/>
      <c r="AE875" s="259"/>
      <c r="AF875" s="347"/>
      <c r="AG875" s="232"/>
      <c r="AH875" s="257"/>
      <c r="AI875" s="225"/>
      <c r="AJ875" s="267"/>
      <c r="AK875" s="259"/>
      <c r="AL875" s="226"/>
      <c r="AM875" s="225"/>
      <c r="AN875" s="225"/>
      <c r="AO875" s="254"/>
      <c r="AP875" s="225"/>
      <c r="AQ875" s="225"/>
      <c r="AR875" s="226"/>
      <c r="AS875" s="225"/>
      <c r="AT875" s="225"/>
      <c r="AU875" s="225"/>
      <c r="AV875" s="225"/>
      <c r="AW875" s="225"/>
      <c r="AX875" s="226"/>
      <c r="AY875" s="225"/>
      <c r="AZ875" s="225"/>
      <c r="BA875" s="226"/>
      <c r="BB875" s="225"/>
      <c r="BC875" s="225"/>
      <c r="BD875" s="225"/>
      <c r="BE875" s="225"/>
      <c r="BF875" s="225"/>
      <c r="BG875" s="225"/>
      <c r="BH875" s="225"/>
      <c r="BI875" s="225"/>
      <c r="BJ875" s="225"/>
      <c r="BK875" s="225"/>
      <c r="BL875" s="225"/>
      <c r="BM875" s="225"/>
      <c r="BN875" s="225"/>
      <c r="BO875" s="225"/>
      <c r="BP875" s="225"/>
      <c r="BQ875" s="225"/>
      <c r="BR875" s="225"/>
      <c r="BS875" s="225"/>
      <c r="BT875" s="226"/>
      <c r="BU875" s="225"/>
      <c r="BV875" s="225"/>
      <c r="BW875" s="225"/>
      <c r="BX875" s="225"/>
      <c r="BY875" s="225"/>
      <c r="BZ875" s="225"/>
    </row>
    <row r="876">
      <c r="A876" s="225"/>
      <c r="B876" s="225"/>
      <c r="C876" s="225"/>
      <c r="D876" s="226"/>
      <c r="E876" s="225"/>
      <c r="F876" s="225"/>
      <c r="G876" s="225"/>
      <c r="H876" s="225"/>
      <c r="I876" s="225"/>
      <c r="J876" s="225"/>
      <c r="K876" s="244"/>
      <c r="L876" s="225"/>
      <c r="M876" s="225"/>
      <c r="N876" s="225"/>
      <c r="O876" s="225"/>
      <c r="P876" s="225"/>
      <c r="Q876" s="227"/>
      <c r="R876" s="234"/>
      <c r="S876" s="225"/>
      <c r="T876" s="225"/>
      <c r="U876" s="225"/>
      <c r="V876" s="225"/>
      <c r="W876" s="225"/>
      <c r="X876" s="225"/>
      <c r="Y876" s="229"/>
      <c r="Z876" s="257"/>
      <c r="AA876" s="225"/>
      <c r="AB876" s="257"/>
      <c r="AC876" s="257"/>
      <c r="AD876" s="226"/>
      <c r="AE876" s="259"/>
      <c r="AF876" s="347"/>
      <c r="AG876" s="232"/>
      <c r="AH876" s="257"/>
      <c r="AI876" s="225"/>
      <c r="AJ876" s="267"/>
      <c r="AK876" s="259"/>
      <c r="AL876" s="226"/>
      <c r="AM876" s="225"/>
      <c r="AN876" s="225"/>
      <c r="AO876" s="254"/>
      <c r="AP876" s="225"/>
      <c r="AQ876" s="225"/>
      <c r="AR876" s="226"/>
      <c r="AS876" s="225"/>
      <c r="AT876" s="225"/>
      <c r="AU876" s="225"/>
      <c r="AV876" s="225"/>
      <c r="AW876" s="225"/>
      <c r="AX876" s="226"/>
      <c r="AY876" s="225"/>
      <c r="AZ876" s="225"/>
      <c r="BA876" s="226"/>
      <c r="BB876" s="225"/>
      <c r="BC876" s="225"/>
      <c r="BD876" s="225"/>
      <c r="BE876" s="225"/>
      <c r="BF876" s="225"/>
      <c r="BG876" s="225"/>
      <c r="BH876" s="225"/>
      <c r="BI876" s="225"/>
      <c r="BJ876" s="225"/>
      <c r="BK876" s="225"/>
      <c r="BL876" s="225"/>
      <c r="BM876" s="225"/>
      <c r="BN876" s="225"/>
      <c r="BO876" s="225"/>
      <c r="BP876" s="225"/>
      <c r="BQ876" s="225"/>
      <c r="BR876" s="225"/>
      <c r="BS876" s="225"/>
      <c r="BT876" s="226"/>
      <c r="BU876" s="225"/>
      <c r="BV876" s="225"/>
      <c r="BW876" s="225"/>
      <c r="BX876" s="225"/>
      <c r="BY876" s="225"/>
      <c r="BZ876" s="225"/>
    </row>
    <row r="877">
      <c r="A877" s="225"/>
      <c r="B877" s="225"/>
      <c r="C877" s="225"/>
      <c r="D877" s="226"/>
      <c r="E877" s="225"/>
      <c r="F877" s="225"/>
      <c r="G877" s="225"/>
      <c r="H877" s="225"/>
      <c r="I877" s="225"/>
      <c r="J877" s="225"/>
      <c r="K877" s="244"/>
      <c r="L877" s="225"/>
      <c r="M877" s="225"/>
      <c r="N877" s="225"/>
      <c r="O877" s="225"/>
      <c r="P877" s="225"/>
      <c r="Q877" s="227"/>
      <c r="R877" s="234"/>
      <c r="S877" s="225"/>
      <c r="T877" s="225"/>
      <c r="U877" s="225"/>
      <c r="V877" s="225"/>
      <c r="W877" s="225"/>
      <c r="X877" s="225"/>
      <c r="Y877" s="229"/>
      <c r="Z877" s="257"/>
      <c r="AA877" s="225"/>
      <c r="AB877" s="257"/>
      <c r="AC877" s="257"/>
      <c r="AD877" s="226"/>
      <c r="AE877" s="259"/>
      <c r="AF877" s="347"/>
      <c r="AG877" s="232"/>
      <c r="AH877" s="257"/>
      <c r="AI877" s="225"/>
      <c r="AJ877" s="267"/>
      <c r="AK877" s="259"/>
      <c r="AL877" s="226"/>
      <c r="AM877" s="225"/>
      <c r="AN877" s="225"/>
      <c r="AO877" s="254"/>
      <c r="AP877" s="225"/>
      <c r="AQ877" s="225"/>
      <c r="AR877" s="226"/>
      <c r="AS877" s="225"/>
      <c r="AT877" s="225"/>
      <c r="AU877" s="225"/>
      <c r="AV877" s="225"/>
      <c r="AW877" s="225"/>
      <c r="AX877" s="226"/>
      <c r="AY877" s="225"/>
      <c r="AZ877" s="225"/>
      <c r="BA877" s="226"/>
      <c r="BB877" s="225"/>
      <c r="BC877" s="225"/>
      <c r="BD877" s="225"/>
      <c r="BE877" s="225"/>
      <c r="BF877" s="225"/>
      <c r="BG877" s="225"/>
      <c r="BH877" s="225"/>
      <c r="BI877" s="225"/>
      <c r="BJ877" s="225"/>
      <c r="BK877" s="225"/>
      <c r="BL877" s="225"/>
      <c r="BM877" s="225"/>
      <c r="BN877" s="225"/>
      <c r="BO877" s="225"/>
      <c r="BP877" s="225"/>
      <c r="BQ877" s="225"/>
      <c r="BR877" s="225"/>
      <c r="BS877" s="225"/>
      <c r="BT877" s="226"/>
      <c r="BU877" s="225"/>
      <c r="BV877" s="225"/>
      <c r="BW877" s="225"/>
      <c r="BX877" s="225"/>
      <c r="BY877" s="225"/>
      <c r="BZ877" s="225"/>
    </row>
    <row r="878">
      <c r="A878" s="225"/>
      <c r="B878" s="225"/>
      <c r="C878" s="225"/>
      <c r="D878" s="226"/>
      <c r="E878" s="225"/>
      <c r="F878" s="225"/>
      <c r="G878" s="225"/>
      <c r="H878" s="225"/>
      <c r="I878" s="225"/>
      <c r="J878" s="225"/>
      <c r="K878" s="244"/>
      <c r="L878" s="225"/>
      <c r="M878" s="225"/>
      <c r="N878" s="225"/>
      <c r="O878" s="225"/>
      <c r="P878" s="225"/>
      <c r="Q878" s="227"/>
      <c r="R878" s="234"/>
      <c r="S878" s="225"/>
      <c r="T878" s="225"/>
      <c r="U878" s="225"/>
      <c r="V878" s="225"/>
      <c r="W878" s="225"/>
      <c r="X878" s="225"/>
      <c r="Y878" s="229"/>
      <c r="Z878" s="257"/>
      <c r="AA878" s="225"/>
      <c r="AB878" s="257"/>
      <c r="AC878" s="257"/>
      <c r="AD878" s="226"/>
      <c r="AE878" s="259"/>
      <c r="AF878" s="347"/>
      <c r="AG878" s="232"/>
      <c r="AH878" s="257"/>
      <c r="AI878" s="225"/>
      <c r="AJ878" s="267"/>
      <c r="AK878" s="259"/>
      <c r="AL878" s="226"/>
      <c r="AM878" s="225"/>
      <c r="AN878" s="225"/>
      <c r="AO878" s="254"/>
      <c r="AP878" s="225"/>
      <c r="AQ878" s="225"/>
      <c r="AR878" s="226"/>
      <c r="AS878" s="225"/>
      <c r="AT878" s="225"/>
      <c r="AU878" s="225"/>
      <c r="AV878" s="225"/>
      <c r="AW878" s="225"/>
      <c r="AX878" s="226"/>
      <c r="AY878" s="225"/>
      <c r="AZ878" s="225"/>
      <c r="BA878" s="226"/>
      <c r="BB878" s="225"/>
      <c r="BC878" s="225"/>
      <c r="BD878" s="225"/>
      <c r="BE878" s="225"/>
      <c r="BF878" s="225"/>
      <c r="BG878" s="225"/>
      <c r="BH878" s="225"/>
      <c r="BI878" s="225"/>
      <c r="BJ878" s="225"/>
      <c r="BK878" s="225"/>
      <c r="BL878" s="225"/>
      <c r="BM878" s="225"/>
      <c r="BN878" s="225"/>
      <c r="BO878" s="225"/>
      <c r="BP878" s="225"/>
      <c r="BQ878" s="225"/>
      <c r="BR878" s="225"/>
      <c r="BS878" s="225"/>
      <c r="BT878" s="226"/>
      <c r="BU878" s="225"/>
      <c r="BV878" s="225"/>
      <c r="BW878" s="225"/>
      <c r="BX878" s="225"/>
      <c r="BY878" s="225"/>
      <c r="BZ878" s="225"/>
    </row>
    <row r="879">
      <c r="A879" s="225"/>
      <c r="B879" s="225"/>
      <c r="C879" s="225"/>
      <c r="D879" s="226"/>
      <c r="E879" s="225"/>
      <c r="F879" s="225"/>
      <c r="G879" s="225"/>
      <c r="H879" s="225"/>
      <c r="I879" s="225"/>
      <c r="J879" s="225"/>
      <c r="K879" s="244"/>
      <c r="L879" s="225"/>
      <c r="M879" s="225"/>
      <c r="N879" s="225"/>
      <c r="O879" s="225"/>
      <c r="P879" s="225"/>
      <c r="Q879" s="227"/>
      <c r="R879" s="234"/>
      <c r="S879" s="225"/>
      <c r="T879" s="225"/>
      <c r="U879" s="225"/>
      <c r="V879" s="225"/>
      <c r="W879" s="225"/>
      <c r="X879" s="225"/>
      <c r="Y879" s="229"/>
      <c r="Z879" s="257"/>
      <c r="AA879" s="225"/>
      <c r="AB879" s="257"/>
      <c r="AC879" s="257"/>
      <c r="AD879" s="226"/>
      <c r="AE879" s="259"/>
      <c r="AF879" s="347"/>
      <c r="AG879" s="232"/>
      <c r="AH879" s="257"/>
      <c r="AI879" s="225"/>
      <c r="AJ879" s="267"/>
      <c r="AK879" s="259"/>
      <c r="AL879" s="226"/>
      <c r="AM879" s="225"/>
      <c r="AN879" s="225"/>
      <c r="AO879" s="254"/>
      <c r="AP879" s="225"/>
      <c r="AQ879" s="225"/>
      <c r="AR879" s="226"/>
      <c r="AS879" s="225"/>
      <c r="AT879" s="225"/>
      <c r="AU879" s="225"/>
      <c r="AV879" s="225"/>
      <c r="AW879" s="225"/>
      <c r="AX879" s="226"/>
      <c r="AY879" s="225"/>
      <c r="AZ879" s="225"/>
      <c r="BA879" s="226"/>
      <c r="BB879" s="225"/>
      <c r="BC879" s="225"/>
      <c r="BD879" s="225"/>
      <c r="BE879" s="225"/>
      <c r="BF879" s="225"/>
      <c r="BG879" s="225"/>
      <c r="BH879" s="225"/>
      <c r="BI879" s="225"/>
      <c r="BJ879" s="225"/>
      <c r="BK879" s="225"/>
      <c r="BL879" s="225"/>
      <c r="BM879" s="225"/>
      <c r="BN879" s="225"/>
      <c r="BO879" s="225"/>
      <c r="BP879" s="225"/>
      <c r="BQ879" s="225"/>
      <c r="BR879" s="225"/>
      <c r="BS879" s="225"/>
      <c r="BT879" s="226"/>
      <c r="BU879" s="225"/>
      <c r="BV879" s="225"/>
      <c r="BW879" s="225"/>
      <c r="BX879" s="225"/>
      <c r="BY879" s="225"/>
      <c r="BZ879" s="225"/>
    </row>
    <row r="880">
      <c r="A880" s="225"/>
      <c r="B880" s="225"/>
      <c r="C880" s="225"/>
      <c r="D880" s="226"/>
      <c r="E880" s="225"/>
      <c r="F880" s="225"/>
      <c r="G880" s="225"/>
      <c r="H880" s="225"/>
      <c r="I880" s="225"/>
      <c r="J880" s="225"/>
      <c r="K880" s="244"/>
      <c r="L880" s="225"/>
      <c r="M880" s="225"/>
      <c r="N880" s="225"/>
      <c r="O880" s="225"/>
      <c r="P880" s="225"/>
      <c r="Q880" s="227"/>
      <c r="R880" s="234"/>
      <c r="S880" s="225"/>
      <c r="T880" s="225"/>
      <c r="U880" s="225"/>
      <c r="V880" s="225"/>
      <c r="W880" s="225"/>
      <c r="X880" s="225"/>
      <c r="Y880" s="229"/>
      <c r="Z880" s="257"/>
      <c r="AA880" s="225"/>
      <c r="AB880" s="257"/>
      <c r="AC880" s="257"/>
      <c r="AD880" s="226"/>
      <c r="AE880" s="259"/>
      <c r="AF880" s="347"/>
      <c r="AG880" s="232"/>
      <c r="AH880" s="257"/>
      <c r="AI880" s="225"/>
      <c r="AJ880" s="267"/>
      <c r="AK880" s="259"/>
      <c r="AL880" s="226"/>
      <c r="AM880" s="225"/>
      <c r="AN880" s="225"/>
      <c r="AO880" s="254"/>
      <c r="AP880" s="225"/>
      <c r="AQ880" s="225"/>
      <c r="AR880" s="226"/>
      <c r="AS880" s="225"/>
      <c r="AT880" s="225"/>
      <c r="AU880" s="225"/>
      <c r="AV880" s="225"/>
      <c r="AW880" s="225"/>
      <c r="AX880" s="226"/>
      <c r="AY880" s="225"/>
      <c r="AZ880" s="225"/>
      <c r="BA880" s="226"/>
      <c r="BB880" s="225"/>
      <c r="BC880" s="225"/>
      <c r="BD880" s="225"/>
      <c r="BE880" s="225"/>
      <c r="BF880" s="225"/>
      <c r="BG880" s="225"/>
      <c r="BH880" s="225"/>
      <c r="BI880" s="225"/>
      <c r="BJ880" s="225"/>
      <c r="BK880" s="225"/>
      <c r="BL880" s="225"/>
      <c r="BM880" s="225"/>
      <c r="BN880" s="225"/>
      <c r="BO880" s="225"/>
      <c r="BP880" s="225"/>
      <c r="BQ880" s="225"/>
      <c r="BR880" s="225"/>
      <c r="BS880" s="225"/>
      <c r="BT880" s="226"/>
      <c r="BU880" s="225"/>
      <c r="BV880" s="225"/>
      <c r="BW880" s="225"/>
      <c r="BX880" s="225"/>
      <c r="BY880" s="225"/>
      <c r="BZ880" s="225"/>
    </row>
    <row r="881">
      <c r="A881" s="225"/>
      <c r="B881" s="225"/>
      <c r="C881" s="225"/>
      <c r="D881" s="226"/>
      <c r="E881" s="225"/>
      <c r="F881" s="225"/>
      <c r="G881" s="225"/>
      <c r="H881" s="225"/>
      <c r="I881" s="225"/>
      <c r="J881" s="225"/>
      <c r="K881" s="244"/>
      <c r="L881" s="225"/>
      <c r="M881" s="225"/>
      <c r="N881" s="225"/>
      <c r="O881" s="225"/>
      <c r="P881" s="225"/>
      <c r="Q881" s="227"/>
      <c r="R881" s="234"/>
      <c r="S881" s="225"/>
      <c r="T881" s="225"/>
      <c r="U881" s="225"/>
      <c r="V881" s="225"/>
      <c r="W881" s="225"/>
      <c r="X881" s="225"/>
      <c r="Y881" s="229"/>
      <c r="Z881" s="257"/>
      <c r="AA881" s="225"/>
      <c r="AB881" s="257"/>
      <c r="AC881" s="257"/>
      <c r="AD881" s="226"/>
      <c r="AE881" s="259"/>
      <c r="AF881" s="347"/>
      <c r="AG881" s="232"/>
      <c r="AH881" s="257"/>
      <c r="AI881" s="225"/>
      <c r="AJ881" s="267"/>
      <c r="AK881" s="259"/>
      <c r="AL881" s="226"/>
      <c r="AM881" s="225"/>
      <c r="AN881" s="225"/>
      <c r="AO881" s="254"/>
      <c r="AP881" s="225"/>
      <c r="AQ881" s="225"/>
      <c r="AR881" s="226"/>
      <c r="AS881" s="225"/>
      <c r="AT881" s="225"/>
      <c r="AU881" s="225"/>
      <c r="AV881" s="225"/>
      <c r="AW881" s="225"/>
      <c r="AX881" s="226"/>
      <c r="AY881" s="225"/>
      <c r="AZ881" s="225"/>
      <c r="BA881" s="226"/>
      <c r="BB881" s="225"/>
      <c r="BC881" s="225"/>
      <c r="BD881" s="225"/>
      <c r="BE881" s="225"/>
      <c r="BF881" s="225"/>
      <c r="BG881" s="225"/>
      <c r="BH881" s="225"/>
      <c r="BI881" s="225"/>
      <c r="BJ881" s="225"/>
      <c r="BK881" s="225"/>
      <c r="BL881" s="225"/>
      <c r="BM881" s="225"/>
      <c r="BN881" s="225"/>
      <c r="BO881" s="225"/>
      <c r="BP881" s="225"/>
      <c r="BQ881" s="225"/>
      <c r="BR881" s="225"/>
      <c r="BS881" s="225"/>
      <c r="BT881" s="226"/>
      <c r="BU881" s="225"/>
      <c r="BV881" s="225"/>
      <c r="BW881" s="225"/>
      <c r="BX881" s="225"/>
      <c r="BY881" s="225"/>
      <c r="BZ881" s="225"/>
    </row>
    <row r="882">
      <c r="A882" s="225"/>
      <c r="B882" s="225"/>
      <c r="C882" s="225"/>
      <c r="D882" s="226"/>
      <c r="E882" s="225"/>
      <c r="F882" s="225"/>
      <c r="G882" s="225"/>
      <c r="H882" s="225"/>
      <c r="I882" s="225"/>
      <c r="J882" s="225"/>
      <c r="K882" s="244"/>
      <c r="L882" s="225"/>
      <c r="M882" s="225"/>
      <c r="N882" s="225"/>
      <c r="O882" s="225"/>
      <c r="P882" s="225"/>
      <c r="Q882" s="227"/>
      <c r="R882" s="234"/>
      <c r="S882" s="225"/>
      <c r="T882" s="225"/>
      <c r="U882" s="225"/>
      <c r="V882" s="225"/>
      <c r="W882" s="225"/>
      <c r="X882" s="225"/>
      <c r="Y882" s="229"/>
      <c r="Z882" s="257"/>
      <c r="AA882" s="225"/>
      <c r="AB882" s="257"/>
      <c r="AC882" s="257"/>
      <c r="AD882" s="226"/>
      <c r="AE882" s="259"/>
      <c r="AF882" s="347"/>
      <c r="AG882" s="232"/>
      <c r="AH882" s="257"/>
      <c r="AI882" s="225"/>
      <c r="AJ882" s="267"/>
      <c r="AK882" s="259"/>
      <c r="AL882" s="226"/>
      <c r="AM882" s="225"/>
      <c r="AN882" s="225"/>
      <c r="AO882" s="254"/>
      <c r="AP882" s="225"/>
      <c r="AQ882" s="225"/>
      <c r="AR882" s="226"/>
      <c r="AS882" s="225"/>
      <c r="AT882" s="225"/>
      <c r="AU882" s="225"/>
      <c r="AV882" s="225"/>
      <c r="AW882" s="225"/>
      <c r="AX882" s="226"/>
      <c r="AY882" s="225"/>
      <c r="AZ882" s="225"/>
      <c r="BA882" s="226"/>
      <c r="BB882" s="225"/>
      <c r="BC882" s="225"/>
      <c r="BD882" s="225"/>
      <c r="BE882" s="225"/>
      <c r="BF882" s="225"/>
      <c r="BG882" s="225"/>
      <c r="BH882" s="225"/>
      <c r="BI882" s="225"/>
      <c r="BJ882" s="225"/>
      <c r="BK882" s="225"/>
      <c r="BL882" s="225"/>
      <c r="BM882" s="225"/>
      <c r="BN882" s="225"/>
      <c r="BO882" s="225"/>
      <c r="BP882" s="225"/>
      <c r="BQ882" s="225"/>
      <c r="BR882" s="225"/>
      <c r="BS882" s="225"/>
      <c r="BT882" s="226"/>
      <c r="BU882" s="225"/>
      <c r="BV882" s="225"/>
      <c r="BW882" s="225"/>
      <c r="BX882" s="225"/>
      <c r="BY882" s="225"/>
      <c r="BZ882" s="225"/>
    </row>
    <row r="883">
      <c r="A883" s="225"/>
      <c r="B883" s="225"/>
      <c r="C883" s="225"/>
      <c r="D883" s="226"/>
      <c r="E883" s="225"/>
      <c r="F883" s="225"/>
      <c r="G883" s="225"/>
      <c r="H883" s="225"/>
      <c r="I883" s="225"/>
      <c r="J883" s="225"/>
      <c r="K883" s="244"/>
      <c r="L883" s="225"/>
      <c r="M883" s="225"/>
      <c r="N883" s="225"/>
      <c r="O883" s="225"/>
      <c r="P883" s="225"/>
      <c r="Q883" s="227"/>
      <c r="R883" s="234"/>
      <c r="S883" s="225"/>
      <c r="T883" s="225"/>
      <c r="U883" s="225"/>
      <c r="V883" s="225"/>
      <c r="W883" s="225"/>
      <c r="X883" s="225"/>
      <c r="Y883" s="229"/>
      <c r="Z883" s="257"/>
      <c r="AA883" s="225"/>
      <c r="AB883" s="257"/>
      <c r="AC883" s="257"/>
      <c r="AD883" s="226"/>
      <c r="AE883" s="259"/>
      <c r="AF883" s="347"/>
      <c r="AG883" s="232"/>
      <c r="AH883" s="257"/>
      <c r="AI883" s="225"/>
      <c r="AJ883" s="267"/>
      <c r="AK883" s="259"/>
      <c r="AL883" s="226"/>
      <c r="AM883" s="225"/>
      <c r="AN883" s="225"/>
      <c r="AO883" s="254"/>
      <c r="AP883" s="225"/>
      <c r="AQ883" s="225"/>
      <c r="AR883" s="226"/>
      <c r="AS883" s="225"/>
      <c r="AT883" s="225"/>
      <c r="AU883" s="225"/>
      <c r="AV883" s="225"/>
      <c r="AW883" s="225"/>
      <c r="AX883" s="226"/>
      <c r="AY883" s="225"/>
      <c r="AZ883" s="225"/>
      <c r="BA883" s="226"/>
      <c r="BB883" s="225"/>
      <c r="BC883" s="225"/>
      <c r="BD883" s="225"/>
      <c r="BE883" s="225"/>
      <c r="BF883" s="225"/>
      <c r="BG883" s="225"/>
      <c r="BH883" s="225"/>
      <c r="BI883" s="225"/>
      <c r="BJ883" s="225"/>
      <c r="BK883" s="225"/>
      <c r="BL883" s="225"/>
      <c r="BM883" s="225"/>
      <c r="BN883" s="225"/>
      <c r="BO883" s="225"/>
      <c r="BP883" s="225"/>
      <c r="BQ883" s="225"/>
      <c r="BR883" s="225"/>
      <c r="BS883" s="225"/>
      <c r="BT883" s="226"/>
      <c r="BU883" s="225"/>
      <c r="BV883" s="225"/>
      <c r="BW883" s="225"/>
      <c r="BX883" s="225"/>
      <c r="BY883" s="225"/>
      <c r="BZ883" s="225"/>
    </row>
    <row r="884">
      <c r="A884" s="225"/>
      <c r="B884" s="225"/>
      <c r="C884" s="225"/>
      <c r="D884" s="226"/>
      <c r="E884" s="225"/>
      <c r="F884" s="225"/>
      <c r="G884" s="225"/>
      <c r="H884" s="225"/>
      <c r="I884" s="225"/>
      <c r="J884" s="225"/>
      <c r="K884" s="244"/>
      <c r="L884" s="225"/>
      <c r="M884" s="225"/>
      <c r="N884" s="225"/>
      <c r="O884" s="225"/>
      <c r="P884" s="225"/>
      <c r="Q884" s="227"/>
      <c r="R884" s="234"/>
      <c r="S884" s="225"/>
      <c r="T884" s="225"/>
      <c r="U884" s="225"/>
      <c r="V884" s="225"/>
      <c r="W884" s="225"/>
      <c r="X884" s="225"/>
      <c r="Y884" s="229"/>
      <c r="Z884" s="257"/>
      <c r="AA884" s="225"/>
      <c r="AB884" s="257"/>
      <c r="AC884" s="257"/>
      <c r="AD884" s="226"/>
      <c r="AE884" s="259"/>
      <c r="AF884" s="347"/>
      <c r="AG884" s="232"/>
      <c r="AH884" s="257"/>
      <c r="AI884" s="225"/>
      <c r="AJ884" s="267"/>
      <c r="AK884" s="259"/>
      <c r="AL884" s="226"/>
      <c r="AM884" s="225"/>
      <c r="AN884" s="225"/>
      <c r="AO884" s="254"/>
      <c r="AP884" s="225"/>
      <c r="AQ884" s="225"/>
      <c r="AR884" s="226"/>
      <c r="AS884" s="225"/>
      <c r="AT884" s="225"/>
      <c r="AU884" s="225"/>
      <c r="AV884" s="225"/>
      <c r="AW884" s="225"/>
      <c r="AX884" s="226"/>
      <c r="AY884" s="225"/>
      <c r="AZ884" s="225"/>
      <c r="BA884" s="226"/>
      <c r="BB884" s="225"/>
      <c r="BC884" s="225"/>
      <c r="BD884" s="225"/>
      <c r="BE884" s="225"/>
      <c r="BF884" s="225"/>
      <c r="BG884" s="225"/>
      <c r="BH884" s="225"/>
      <c r="BI884" s="225"/>
      <c r="BJ884" s="225"/>
      <c r="BK884" s="225"/>
      <c r="BL884" s="225"/>
      <c r="BM884" s="225"/>
      <c r="BN884" s="225"/>
      <c r="BO884" s="225"/>
      <c r="BP884" s="225"/>
      <c r="BQ884" s="225"/>
      <c r="BR884" s="225"/>
      <c r="BS884" s="225"/>
      <c r="BT884" s="226"/>
      <c r="BU884" s="225"/>
      <c r="BV884" s="225"/>
      <c r="BW884" s="225"/>
      <c r="BX884" s="225"/>
      <c r="BY884" s="225"/>
      <c r="BZ884" s="225"/>
    </row>
    <row r="885">
      <c r="A885" s="225"/>
      <c r="B885" s="225"/>
      <c r="C885" s="225"/>
      <c r="D885" s="226"/>
      <c r="E885" s="225"/>
      <c r="F885" s="225"/>
      <c r="G885" s="225"/>
      <c r="H885" s="225"/>
      <c r="I885" s="225"/>
      <c r="J885" s="225"/>
      <c r="K885" s="244"/>
      <c r="L885" s="225"/>
      <c r="M885" s="225"/>
      <c r="N885" s="225"/>
      <c r="O885" s="225"/>
      <c r="P885" s="225"/>
      <c r="Q885" s="227"/>
      <c r="R885" s="234"/>
      <c r="S885" s="225"/>
      <c r="T885" s="225"/>
      <c r="U885" s="225"/>
      <c r="V885" s="225"/>
      <c r="W885" s="225"/>
      <c r="X885" s="225"/>
      <c r="Y885" s="229"/>
      <c r="Z885" s="257"/>
      <c r="AA885" s="225"/>
      <c r="AB885" s="257"/>
      <c r="AC885" s="257"/>
      <c r="AD885" s="226"/>
      <c r="AE885" s="259"/>
      <c r="AF885" s="347"/>
      <c r="AG885" s="232"/>
      <c r="AH885" s="257"/>
      <c r="AI885" s="225"/>
      <c r="AJ885" s="267"/>
      <c r="AK885" s="259"/>
      <c r="AL885" s="226"/>
      <c r="AM885" s="225"/>
      <c r="AN885" s="225"/>
      <c r="AO885" s="254"/>
      <c r="AP885" s="225"/>
      <c r="AQ885" s="225"/>
      <c r="AR885" s="226"/>
      <c r="AS885" s="225"/>
      <c r="AT885" s="225"/>
      <c r="AU885" s="225"/>
      <c r="AV885" s="225"/>
      <c r="AW885" s="225"/>
      <c r="AX885" s="226"/>
      <c r="AY885" s="225"/>
      <c r="AZ885" s="225"/>
      <c r="BA885" s="226"/>
      <c r="BB885" s="225"/>
      <c r="BC885" s="225"/>
      <c r="BD885" s="225"/>
      <c r="BE885" s="225"/>
      <c r="BF885" s="225"/>
      <c r="BG885" s="225"/>
      <c r="BH885" s="225"/>
      <c r="BI885" s="225"/>
      <c r="BJ885" s="225"/>
      <c r="BK885" s="225"/>
      <c r="BL885" s="225"/>
      <c r="BM885" s="225"/>
      <c r="BN885" s="225"/>
      <c r="BO885" s="225"/>
      <c r="BP885" s="225"/>
      <c r="BQ885" s="225"/>
      <c r="BR885" s="225"/>
      <c r="BS885" s="225"/>
      <c r="BT885" s="226"/>
      <c r="BU885" s="225"/>
      <c r="BV885" s="225"/>
      <c r="BW885" s="225"/>
      <c r="BX885" s="225"/>
      <c r="BY885" s="225"/>
      <c r="BZ885" s="225"/>
    </row>
    <row r="886">
      <c r="A886" s="225"/>
      <c r="B886" s="225"/>
      <c r="C886" s="225"/>
      <c r="D886" s="226"/>
      <c r="E886" s="225"/>
      <c r="F886" s="225"/>
      <c r="G886" s="225"/>
      <c r="H886" s="225"/>
      <c r="I886" s="225"/>
      <c r="J886" s="225"/>
      <c r="K886" s="244"/>
      <c r="L886" s="225"/>
      <c r="M886" s="225"/>
      <c r="N886" s="225"/>
      <c r="O886" s="225"/>
      <c r="P886" s="225"/>
      <c r="Q886" s="227"/>
      <c r="R886" s="234"/>
      <c r="S886" s="225"/>
      <c r="T886" s="225"/>
      <c r="U886" s="225"/>
      <c r="V886" s="225"/>
      <c r="W886" s="225"/>
      <c r="X886" s="225"/>
      <c r="Y886" s="229"/>
      <c r="Z886" s="257"/>
      <c r="AA886" s="225"/>
      <c r="AB886" s="257"/>
      <c r="AC886" s="257"/>
      <c r="AD886" s="226"/>
      <c r="AE886" s="259"/>
      <c r="AF886" s="347"/>
      <c r="AG886" s="232"/>
      <c r="AH886" s="257"/>
      <c r="AI886" s="225"/>
      <c r="AJ886" s="267"/>
      <c r="AK886" s="259"/>
      <c r="AL886" s="226"/>
      <c r="AM886" s="225"/>
      <c r="AN886" s="225"/>
      <c r="AO886" s="254"/>
      <c r="AP886" s="225"/>
      <c r="AQ886" s="225"/>
      <c r="AR886" s="226"/>
      <c r="AS886" s="225"/>
      <c r="AT886" s="225"/>
      <c r="AU886" s="225"/>
      <c r="AV886" s="225"/>
      <c r="AW886" s="225"/>
      <c r="AX886" s="226"/>
      <c r="AY886" s="225"/>
      <c r="AZ886" s="225"/>
      <c r="BA886" s="226"/>
      <c r="BB886" s="225"/>
      <c r="BC886" s="225"/>
      <c r="BD886" s="225"/>
      <c r="BE886" s="225"/>
      <c r="BF886" s="225"/>
      <c r="BG886" s="225"/>
      <c r="BH886" s="225"/>
      <c r="BI886" s="225"/>
      <c r="BJ886" s="225"/>
      <c r="BK886" s="225"/>
      <c r="BL886" s="225"/>
      <c r="BM886" s="225"/>
      <c r="BN886" s="225"/>
      <c r="BO886" s="225"/>
      <c r="BP886" s="225"/>
      <c r="BQ886" s="225"/>
      <c r="BR886" s="225"/>
      <c r="BS886" s="225"/>
      <c r="BT886" s="226"/>
      <c r="BU886" s="225"/>
      <c r="BV886" s="225"/>
      <c r="BW886" s="225"/>
      <c r="BX886" s="225"/>
      <c r="BY886" s="225"/>
      <c r="BZ886" s="225"/>
    </row>
    <row r="887">
      <c r="A887" s="225"/>
      <c r="B887" s="225"/>
      <c r="C887" s="225"/>
      <c r="D887" s="226"/>
      <c r="E887" s="225"/>
      <c r="F887" s="225"/>
      <c r="G887" s="225"/>
      <c r="H887" s="225"/>
      <c r="I887" s="225"/>
      <c r="J887" s="225"/>
      <c r="K887" s="244"/>
      <c r="L887" s="225"/>
      <c r="M887" s="225"/>
      <c r="N887" s="225"/>
      <c r="O887" s="225"/>
      <c r="P887" s="225"/>
      <c r="Q887" s="227"/>
      <c r="R887" s="234"/>
      <c r="S887" s="225"/>
      <c r="T887" s="225"/>
      <c r="U887" s="225"/>
      <c r="V887" s="225"/>
      <c r="W887" s="225"/>
      <c r="X887" s="225"/>
      <c r="Y887" s="229"/>
      <c r="Z887" s="257"/>
      <c r="AA887" s="225"/>
      <c r="AB887" s="257"/>
      <c r="AC887" s="257"/>
      <c r="AD887" s="226"/>
      <c r="AE887" s="259"/>
      <c r="AF887" s="347"/>
      <c r="AG887" s="232"/>
      <c r="AH887" s="257"/>
      <c r="AI887" s="225"/>
      <c r="AJ887" s="267"/>
      <c r="AK887" s="259"/>
      <c r="AL887" s="226"/>
      <c r="AM887" s="225"/>
      <c r="AN887" s="225"/>
      <c r="AO887" s="254"/>
      <c r="AP887" s="225"/>
      <c r="AQ887" s="225"/>
      <c r="AR887" s="226"/>
      <c r="AS887" s="225"/>
      <c r="AT887" s="225"/>
      <c r="AU887" s="225"/>
      <c r="AV887" s="225"/>
      <c r="AW887" s="225"/>
      <c r="AX887" s="226"/>
      <c r="AY887" s="225"/>
      <c r="AZ887" s="225"/>
      <c r="BA887" s="226"/>
      <c r="BB887" s="225"/>
      <c r="BC887" s="225"/>
      <c r="BD887" s="225"/>
      <c r="BE887" s="225"/>
      <c r="BF887" s="225"/>
      <c r="BG887" s="225"/>
      <c r="BH887" s="225"/>
      <c r="BI887" s="225"/>
      <c r="BJ887" s="225"/>
      <c r="BK887" s="225"/>
      <c r="BL887" s="225"/>
      <c r="BM887" s="225"/>
      <c r="BN887" s="225"/>
      <c r="BO887" s="225"/>
      <c r="BP887" s="225"/>
      <c r="BQ887" s="225"/>
      <c r="BR887" s="225"/>
      <c r="BS887" s="225"/>
      <c r="BT887" s="226"/>
      <c r="BU887" s="225"/>
      <c r="BV887" s="225"/>
      <c r="BW887" s="225"/>
      <c r="BX887" s="225"/>
      <c r="BY887" s="225"/>
      <c r="BZ887" s="225"/>
    </row>
    <row r="888">
      <c r="A888" s="225"/>
      <c r="B888" s="225"/>
      <c r="C888" s="225"/>
      <c r="D888" s="226"/>
      <c r="E888" s="225"/>
      <c r="F888" s="225"/>
      <c r="G888" s="225"/>
      <c r="H888" s="225"/>
      <c r="I888" s="225"/>
      <c r="J888" s="225"/>
      <c r="K888" s="244"/>
      <c r="L888" s="225"/>
      <c r="M888" s="225"/>
      <c r="N888" s="225"/>
      <c r="O888" s="225"/>
      <c r="P888" s="225"/>
      <c r="Q888" s="227"/>
      <c r="R888" s="234"/>
      <c r="S888" s="225"/>
      <c r="T888" s="225"/>
      <c r="U888" s="225"/>
      <c r="V888" s="225"/>
      <c r="W888" s="225"/>
      <c r="X888" s="225"/>
      <c r="Y888" s="229"/>
      <c r="Z888" s="257"/>
      <c r="AA888" s="225"/>
      <c r="AB888" s="257"/>
      <c r="AC888" s="257"/>
      <c r="AD888" s="226"/>
      <c r="AE888" s="259"/>
      <c r="AF888" s="347"/>
      <c r="AG888" s="232"/>
      <c r="AH888" s="257"/>
      <c r="AI888" s="225"/>
      <c r="AJ888" s="267"/>
      <c r="AK888" s="259"/>
      <c r="AL888" s="226"/>
      <c r="AM888" s="225"/>
      <c r="AN888" s="225"/>
      <c r="AO888" s="254"/>
      <c r="AP888" s="225"/>
      <c r="AQ888" s="225"/>
      <c r="AR888" s="226"/>
      <c r="AS888" s="225"/>
      <c r="AT888" s="225"/>
      <c r="AU888" s="225"/>
      <c r="AV888" s="225"/>
      <c r="AW888" s="225"/>
      <c r="AX888" s="226"/>
      <c r="AY888" s="225"/>
      <c r="AZ888" s="225"/>
      <c r="BA888" s="226"/>
      <c r="BB888" s="225"/>
      <c r="BC888" s="225"/>
      <c r="BD888" s="225"/>
      <c r="BE888" s="225"/>
      <c r="BF888" s="225"/>
      <c r="BG888" s="225"/>
      <c r="BH888" s="225"/>
      <c r="BI888" s="225"/>
      <c r="BJ888" s="225"/>
      <c r="BK888" s="225"/>
      <c r="BL888" s="225"/>
      <c r="BM888" s="225"/>
      <c r="BN888" s="225"/>
      <c r="BO888" s="225"/>
      <c r="BP888" s="225"/>
      <c r="BQ888" s="225"/>
      <c r="BR888" s="225"/>
      <c r="BS888" s="225"/>
      <c r="BT888" s="226"/>
      <c r="BU888" s="225"/>
      <c r="BV888" s="225"/>
      <c r="BW888" s="225"/>
      <c r="BX888" s="225"/>
      <c r="BY888" s="225"/>
      <c r="BZ888" s="225"/>
    </row>
    <row r="889">
      <c r="A889" s="225"/>
      <c r="B889" s="225"/>
      <c r="C889" s="225"/>
      <c r="D889" s="226"/>
      <c r="E889" s="225"/>
      <c r="F889" s="225"/>
      <c r="G889" s="225"/>
      <c r="H889" s="225"/>
      <c r="I889" s="225"/>
      <c r="J889" s="225"/>
      <c r="K889" s="244"/>
      <c r="L889" s="225"/>
      <c r="M889" s="225"/>
      <c r="N889" s="225"/>
      <c r="O889" s="225"/>
      <c r="P889" s="225"/>
      <c r="Q889" s="227"/>
      <c r="R889" s="234"/>
      <c r="S889" s="225"/>
      <c r="T889" s="225"/>
      <c r="U889" s="225"/>
      <c r="V889" s="225"/>
      <c r="W889" s="225"/>
      <c r="X889" s="225"/>
      <c r="Y889" s="229"/>
      <c r="Z889" s="257"/>
      <c r="AA889" s="225"/>
      <c r="AB889" s="257"/>
      <c r="AC889" s="257"/>
      <c r="AD889" s="226"/>
      <c r="AE889" s="259"/>
      <c r="AF889" s="347"/>
      <c r="AG889" s="232"/>
      <c r="AH889" s="257"/>
      <c r="AI889" s="225"/>
      <c r="AJ889" s="267"/>
      <c r="AK889" s="259"/>
      <c r="AL889" s="226"/>
      <c r="AM889" s="225"/>
      <c r="AN889" s="225"/>
      <c r="AO889" s="254"/>
      <c r="AP889" s="225"/>
      <c r="AQ889" s="225"/>
      <c r="AR889" s="226"/>
      <c r="AS889" s="225"/>
      <c r="AT889" s="225"/>
      <c r="AU889" s="225"/>
      <c r="AV889" s="225"/>
      <c r="AW889" s="225"/>
      <c r="AX889" s="226"/>
      <c r="AY889" s="225"/>
      <c r="AZ889" s="225"/>
      <c r="BA889" s="226"/>
      <c r="BB889" s="225"/>
      <c r="BC889" s="225"/>
      <c r="BD889" s="225"/>
      <c r="BE889" s="225"/>
      <c r="BF889" s="225"/>
      <c r="BG889" s="225"/>
      <c r="BH889" s="225"/>
      <c r="BI889" s="225"/>
      <c r="BJ889" s="225"/>
      <c r="BK889" s="225"/>
      <c r="BL889" s="225"/>
      <c r="BM889" s="225"/>
      <c r="BN889" s="225"/>
      <c r="BO889" s="225"/>
      <c r="BP889" s="225"/>
      <c r="BQ889" s="225"/>
      <c r="BR889" s="225"/>
      <c r="BS889" s="225"/>
      <c r="BT889" s="226"/>
      <c r="BU889" s="225"/>
      <c r="BV889" s="225"/>
      <c r="BW889" s="225"/>
      <c r="BX889" s="225"/>
      <c r="BY889" s="225"/>
      <c r="BZ889" s="225"/>
    </row>
    <row r="890">
      <c r="A890" s="225"/>
      <c r="B890" s="225"/>
      <c r="C890" s="225"/>
      <c r="D890" s="226"/>
      <c r="E890" s="225"/>
      <c r="F890" s="225"/>
      <c r="G890" s="225"/>
      <c r="H890" s="225"/>
      <c r="I890" s="225"/>
      <c r="J890" s="225"/>
      <c r="K890" s="244"/>
      <c r="L890" s="225"/>
      <c r="M890" s="225"/>
      <c r="N890" s="225"/>
      <c r="O890" s="225"/>
      <c r="P890" s="225"/>
      <c r="Q890" s="227"/>
      <c r="R890" s="234"/>
      <c r="S890" s="225"/>
      <c r="T890" s="225"/>
      <c r="U890" s="225"/>
      <c r="V890" s="225"/>
      <c r="W890" s="225"/>
      <c r="X890" s="225"/>
      <c r="Y890" s="229"/>
      <c r="Z890" s="257"/>
      <c r="AA890" s="225"/>
      <c r="AB890" s="257"/>
      <c r="AC890" s="257"/>
      <c r="AD890" s="226"/>
      <c r="AE890" s="259"/>
      <c r="AF890" s="347"/>
      <c r="AG890" s="232"/>
      <c r="AH890" s="257"/>
      <c r="AI890" s="225"/>
      <c r="AJ890" s="267"/>
      <c r="AK890" s="259"/>
      <c r="AL890" s="226"/>
      <c r="AM890" s="225"/>
      <c r="AN890" s="225"/>
      <c r="AO890" s="254"/>
      <c r="AP890" s="225"/>
      <c r="AQ890" s="225"/>
      <c r="AR890" s="226"/>
      <c r="AS890" s="225"/>
      <c r="AT890" s="225"/>
      <c r="AU890" s="225"/>
      <c r="AV890" s="225"/>
      <c r="AW890" s="225"/>
      <c r="AX890" s="226"/>
      <c r="AY890" s="225"/>
      <c r="AZ890" s="225"/>
      <c r="BA890" s="226"/>
      <c r="BB890" s="225"/>
      <c r="BC890" s="225"/>
      <c r="BD890" s="225"/>
      <c r="BE890" s="225"/>
      <c r="BF890" s="225"/>
      <c r="BG890" s="225"/>
      <c r="BH890" s="225"/>
      <c r="BI890" s="225"/>
      <c r="BJ890" s="225"/>
      <c r="BK890" s="225"/>
      <c r="BL890" s="225"/>
      <c r="BM890" s="225"/>
      <c r="BN890" s="225"/>
      <c r="BO890" s="225"/>
      <c r="BP890" s="225"/>
      <c r="BQ890" s="225"/>
      <c r="BR890" s="225"/>
      <c r="BS890" s="225"/>
      <c r="BT890" s="226"/>
      <c r="BU890" s="225"/>
      <c r="BV890" s="225"/>
      <c r="BW890" s="225"/>
      <c r="BX890" s="225"/>
      <c r="BY890" s="225"/>
      <c r="BZ890" s="225"/>
    </row>
    <row r="891">
      <c r="A891" s="225"/>
      <c r="B891" s="225"/>
      <c r="C891" s="225"/>
      <c r="D891" s="226"/>
      <c r="E891" s="225"/>
      <c r="F891" s="225"/>
      <c r="G891" s="225"/>
      <c r="H891" s="225"/>
      <c r="I891" s="225"/>
      <c r="J891" s="225"/>
      <c r="K891" s="244"/>
      <c r="L891" s="225"/>
      <c r="M891" s="225"/>
      <c r="N891" s="225"/>
      <c r="O891" s="225"/>
      <c r="P891" s="225"/>
      <c r="Q891" s="227"/>
      <c r="R891" s="234"/>
      <c r="S891" s="225"/>
      <c r="T891" s="225"/>
      <c r="U891" s="225"/>
      <c r="V891" s="225"/>
      <c r="W891" s="225"/>
      <c r="X891" s="225"/>
      <c r="Y891" s="229"/>
      <c r="Z891" s="257"/>
      <c r="AA891" s="225"/>
      <c r="AB891" s="257"/>
      <c r="AC891" s="257"/>
      <c r="AD891" s="226"/>
      <c r="AE891" s="259"/>
      <c r="AF891" s="347"/>
      <c r="AG891" s="232"/>
      <c r="AH891" s="257"/>
      <c r="AI891" s="225"/>
      <c r="AJ891" s="267"/>
      <c r="AK891" s="259"/>
      <c r="AL891" s="226"/>
      <c r="AM891" s="225"/>
      <c r="AN891" s="225"/>
      <c r="AO891" s="254"/>
      <c r="AP891" s="225"/>
      <c r="AQ891" s="225"/>
      <c r="AR891" s="226"/>
      <c r="AS891" s="225"/>
      <c r="AT891" s="225"/>
      <c r="AU891" s="225"/>
      <c r="AV891" s="225"/>
      <c r="AW891" s="225"/>
      <c r="AX891" s="226"/>
      <c r="AY891" s="225"/>
      <c r="AZ891" s="225"/>
      <c r="BA891" s="226"/>
      <c r="BB891" s="225"/>
      <c r="BC891" s="225"/>
      <c r="BD891" s="225"/>
      <c r="BE891" s="225"/>
      <c r="BF891" s="225"/>
      <c r="BG891" s="225"/>
      <c r="BH891" s="225"/>
      <c r="BI891" s="225"/>
      <c r="BJ891" s="225"/>
      <c r="BK891" s="225"/>
      <c r="BL891" s="225"/>
      <c r="BM891" s="225"/>
      <c r="BN891" s="225"/>
      <c r="BO891" s="225"/>
      <c r="BP891" s="225"/>
      <c r="BQ891" s="225"/>
      <c r="BR891" s="225"/>
      <c r="BS891" s="225"/>
      <c r="BT891" s="226"/>
      <c r="BU891" s="225"/>
      <c r="BV891" s="225"/>
      <c r="BW891" s="225"/>
      <c r="BX891" s="225"/>
      <c r="BY891" s="225"/>
      <c r="BZ891" s="225"/>
    </row>
    <row r="892">
      <c r="A892" s="284"/>
      <c r="B892" s="225"/>
      <c r="C892" s="225"/>
      <c r="D892" s="226"/>
      <c r="E892" s="225"/>
      <c r="F892" s="225"/>
      <c r="G892" s="225"/>
      <c r="H892" s="225"/>
      <c r="I892" s="225"/>
      <c r="J892" s="225"/>
      <c r="K892" s="244"/>
      <c r="L892" s="225"/>
      <c r="M892" s="225"/>
      <c r="N892" s="225"/>
      <c r="O892" s="225"/>
      <c r="P892" s="225"/>
      <c r="Q892" s="227"/>
      <c r="R892" s="234"/>
      <c r="S892" s="225"/>
      <c r="T892" s="225"/>
      <c r="U892" s="225"/>
      <c r="V892" s="225"/>
      <c r="W892" s="225"/>
      <c r="X892" s="225"/>
      <c r="Y892" s="229"/>
      <c r="Z892" s="257"/>
      <c r="AA892" s="225"/>
      <c r="AB892" s="257"/>
      <c r="AC892" s="257"/>
      <c r="AD892" s="226"/>
      <c r="AE892" s="259"/>
      <c r="AF892" s="347"/>
      <c r="AG892" s="232"/>
      <c r="AH892" s="257"/>
      <c r="AI892" s="225"/>
      <c r="AJ892" s="267"/>
      <c r="AK892" s="259"/>
      <c r="AL892" s="226"/>
      <c r="AM892" s="225"/>
      <c r="AN892" s="225"/>
      <c r="AO892" s="254"/>
      <c r="AP892" s="225"/>
      <c r="AQ892" s="225"/>
      <c r="AR892" s="226"/>
      <c r="AS892" s="225"/>
      <c r="AT892" s="225"/>
      <c r="AU892" s="225"/>
      <c r="AV892" s="225"/>
      <c r="AW892" s="225"/>
      <c r="AX892" s="226"/>
      <c r="AY892" s="225"/>
      <c r="AZ892" s="225"/>
      <c r="BA892" s="226"/>
      <c r="BB892" s="225"/>
      <c r="BC892" s="225"/>
      <c r="BD892" s="225"/>
      <c r="BE892" s="225"/>
      <c r="BF892" s="225"/>
      <c r="BG892" s="225"/>
      <c r="BH892" s="225"/>
      <c r="BI892" s="225"/>
      <c r="BJ892" s="225"/>
      <c r="BK892" s="225"/>
      <c r="BL892" s="225"/>
      <c r="BM892" s="225"/>
      <c r="BN892" s="225"/>
      <c r="BO892" s="225"/>
      <c r="BP892" s="225"/>
      <c r="BQ892" s="225"/>
      <c r="BR892" s="225"/>
      <c r="BS892" s="225"/>
      <c r="BT892" s="226"/>
      <c r="BU892" s="225"/>
      <c r="BV892" s="225"/>
      <c r="BW892" s="225"/>
      <c r="BX892" s="225"/>
      <c r="BY892" s="225"/>
      <c r="BZ892" s="225"/>
    </row>
    <row r="893">
      <c r="A893" s="225"/>
      <c r="B893" s="225"/>
      <c r="C893" s="225"/>
      <c r="D893" s="226"/>
      <c r="E893" s="225"/>
      <c r="F893" s="225"/>
      <c r="G893" s="225"/>
      <c r="H893" s="225"/>
      <c r="I893" s="225"/>
      <c r="J893" s="225"/>
      <c r="K893" s="244"/>
      <c r="L893" s="225"/>
      <c r="M893" s="225"/>
      <c r="N893" s="225"/>
      <c r="O893" s="225"/>
      <c r="P893" s="225"/>
      <c r="Q893" s="227"/>
      <c r="R893" s="234"/>
      <c r="S893" s="225"/>
      <c r="T893" s="225"/>
      <c r="U893" s="225"/>
      <c r="V893" s="225"/>
      <c r="W893" s="225"/>
      <c r="X893" s="225"/>
      <c r="Y893" s="229"/>
      <c r="Z893" s="257"/>
      <c r="AA893" s="225"/>
      <c r="AB893" s="257"/>
      <c r="AC893" s="257"/>
      <c r="AD893" s="226"/>
      <c r="AE893" s="259"/>
      <c r="AF893" s="347"/>
      <c r="AG893" s="232"/>
      <c r="AH893" s="257"/>
      <c r="AI893" s="225"/>
      <c r="AJ893" s="267"/>
      <c r="AK893" s="259"/>
      <c r="AL893" s="226"/>
      <c r="AM893" s="225"/>
      <c r="AN893" s="225"/>
      <c r="AO893" s="254"/>
      <c r="AP893" s="225"/>
      <c r="AQ893" s="225"/>
      <c r="AR893" s="226"/>
      <c r="AS893" s="225"/>
      <c r="AT893" s="225"/>
      <c r="AU893" s="225"/>
      <c r="AV893" s="225"/>
      <c r="AW893" s="225"/>
      <c r="AX893" s="226"/>
      <c r="AY893" s="225"/>
      <c r="AZ893" s="225"/>
      <c r="BA893" s="226"/>
      <c r="BB893" s="225"/>
      <c r="BC893" s="225"/>
      <c r="BD893" s="225"/>
      <c r="BE893" s="225"/>
      <c r="BF893" s="225"/>
      <c r="BG893" s="225"/>
      <c r="BH893" s="225"/>
      <c r="BI893" s="225"/>
      <c r="BJ893" s="225"/>
      <c r="BK893" s="225"/>
      <c r="BL893" s="225"/>
      <c r="BM893" s="225"/>
      <c r="BN893" s="225"/>
      <c r="BO893" s="225"/>
      <c r="BP893" s="225"/>
      <c r="BQ893" s="225"/>
      <c r="BR893" s="225"/>
      <c r="BS893" s="225"/>
      <c r="BT893" s="226"/>
      <c r="BU893" s="225"/>
      <c r="BV893" s="225"/>
      <c r="BW893" s="225"/>
      <c r="BX893" s="225"/>
      <c r="BY893" s="225"/>
      <c r="BZ893" s="225"/>
    </row>
    <row r="894">
      <c r="A894" s="225"/>
      <c r="B894" s="225"/>
      <c r="C894" s="225"/>
      <c r="D894" s="226"/>
      <c r="E894" s="225"/>
      <c r="F894" s="225"/>
      <c r="G894" s="225"/>
      <c r="H894" s="225"/>
      <c r="I894" s="225"/>
      <c r="J894" s="225"/>
      <c r="K894" s="244"/>
      <c r="L894" s="225"/>
      <c r="M894" s="225"/>
      <c r="N894" s="225"/>
      <c r="O894" s="225"/>
      <c r="P894" s="225"/>
      <c r="Q894" s="227"/>
      <c r="R894" s="234"/>
      <c r="S894" s="225"/>
      <c r="T894" s="225"/>
      <c r="U894" s="225"/>
      <c r="V894" s="225"/>
      <c r="W894" s="225"/>
      <c r="X894" s="225"/>
      <c r="Y894" s="229"/>
      <c r="Z894" s="257"/>
      <c r="AA894" s="225"/>
      <c r="AB894" s="257"/>
      <c r="AC894" s="257"/>
      <c r="AD894" s="226"/>
      <c r="AE894" s="259"/>
      <c r="AF894" s="347"/>
      <c r="AG894" s="232"/>
      <c r="AH894" s="257"/>
      <c r="AI894" s="225"/>
      <c r="AJ894" s="267"/>
      <c r="AK894" s="259"/>
      <c r="AL894" s="226"/>
      <c r="AM894" s="225"/>
      <c r="AN894" s="225"/>
      <c r="AO894" s="254"/>
      <c r="AP894" s="225"/>
      <c r="AQ894" s="225"/>
      <c r="AR894" s="226"/>
      <c r="AS894" s="225"/>
      <c r="AT894" s="225"/>
      <c r="AU894" s="225"/>
      <c r="AV894" s="225"/>
      <c r="AW894" s="225"/>
      <c r="AX894" s="226"/>
      <c r="AY894" s="225"/>
      <c r="AZ894" s="225"/>
      <c r="BA894" s="226"/>
      <c r="BB894" s="225"/>
      <c r="BC894" s="225"/>
      <c r="BD894" s="225"/>
      <c r="BE894" s="225"/>
      <c r="BF894" s="225"/>
      <c r="BG894" s="225"/>
      <c r="BH894" s="225"/>
      <c r="BI894" s="225"/>
      <c r="BJ894" s="225"/>
      <c r="BK894" s="225"/>
      <c r="BL894" s="225"/>
      <c r="BM894" s="225"/>
      <c r="BN894" s="225"/>
      <c r="BO894" s="225"/>
      <c r="BP894" s="225"/>
      <c r="BQ894" s="225"/>
      <c r="BR894" s="225"/>
      <c r="BS894" s="225"/>
      <c r="BT894" s="226"/>
      <c r="BU894" s="225"/>
      <c r="BV894" s="225"/>
      <c r="BW894" s="225"/>
      <c r="BX894" s="225"/>
      <c r="BY894" s="225"/>
      <c r="BZ894" s="225"/>
    </row>
    <row r="895">
      <c r="A895" s="225"/>
      <c r="B895" s="225"/>
      <c r="C895" s="225"/>
      <c r="D895" s="226"/>
      <c r="E895" s="225"/>
      <c r="F895" s="225"/>
      <c r="G895" s="225"/>
      <c r="H895" s="225"/>
      <c r="I895" s="225"/>
      <c r="J895" s="225"/>
      <c r="K895" s="244"/>
      <c r="L895" s="225"/>
      <c r="M895" s="225"/>
      <c r="N895" s="225"/>
      <c r="O895" s="225"/>
      <c r="P895" s="225"/>
      <c r="Q895" s="227"/>
      <c r="R895" s="234"/>
      <c r="S895" s="225"/>
      <c r="T895" s="225"/>
      <c r="U895" s="225"/>
      <c r="V895" s="225"/>
      <c r="W895" s="225"/>
      <c r="X895" s="225"/>
      <c r="Y895" s="229"/>
      <c r="Z895" s="257"/>
      <c r="AA895" s="225"/>
      <c r="AB895" s="257"/>
      <c r="AC895" s="257"/>
      <c r="AD895" s="226"/>
      <c r="AE895" s="259"/>
      <c r="AF895" s="347"/>
      <c r="AG895" s="232"/>
      <c r="AH895" s="257"/>
      <c r="AI895" s="225"/>
      <c r="AJ895" s="267"/>
      <c r="AK895" s="259"/>
      <c r="AL895" s="226"/>
      <c r="AM895" s="225"/>
      <c r="AN895" s="225"/>
      <c r="AO895" s="254"/>
      <c r="AP895" s="225"/>
      <c r="AQ895" s="225"/>
      <c r="AR895" s="226"/>
      <c r="AS895" s="225"/>
      <c r="AT895" s="225"/>
      <c r="AU895" s="225"/>
      <c r="AV895" s="225"/>
      <c r="AW895" s="225"/>
      <c r="AX895" s="226"/>
      <c r="AY895" s="225"/>
      <c r="AZ895" s="225"/>
      <c r="BA895" s="226"/>
      <c r="BB895" s="225"/>
      <c r="BC895" s="225"/>
      <c r="BD895" s="225"/>
      <c r="BE895" s="225"/>
      <c r="BF895" s="225"/>
      <c r="BG895" s="225"/>
      <c r="BH895" s="225"/>
      <c r="BI895" s="225"/>
      <c r="BJ895" s="225"/>
      <c r="BK895" s="225"/>
      <c r="BL895" s="225"/>
      <c r="BM895" s="225"/>
      <c r="BN895" s="225"/>
      <c r="BO895" s="225"/>
      <c r="BP895" s="225"/>
      <c r="BQ895" s="225"/>
      <c r="BR895" s="225"/>
      <c r="BS895" s="225"/>
      <c r="BT895" s="226"/>
      <c r="BU895" s="225"/>
      <c r="BV895" s="225"/>
      <c r="BW895" s="225"/>
      <c r="BX895" s="225"/>
      <c r="BY895" s="225"/>
      <c r="BZ895" s="225"/>
    </row>
    <row r="896">
      <c r="A896" s="225"/>
      <c r="B896" s="225"/>
      <c r="C896" s="225"/>
      <c r="D896" s="226"/>
      <c r="E896" s="225"/>
      <c r="F896" s="225"/>
      <c r="G896" s="225"/>
      <c r="H896" s="225"/>
      <c r="I896" s="225"/>
      <c r="J896" s="225"/>
      <c r="K896" s="244"/>
      <c r="L896" s="225"/>
      <c r="M896" s="225"/>
      <c r="N896" s="225"/>
      <c r="O896" s="225"/>
      <c r="P896" s="225"/>
      <c r="Q896" s="227"/>
      <c r="R896" s="234"/>
      <c r="S896" s="225"/>
      <c r="T896" s="225"/>
      <c r="U896" s="225"/>
      <c r="V896" s="225"/>
      <c r="W896" s="225"/>
      <c r="X896" s="225"/>
      <c r="Y896" s="229"/>
      <c r="Z896" s="257"/>
      <c r="AA896" s="225"/>
      <c r="AB896" s="257"/>
      <c r="AC896" s="257"/>
      <c r="AD896" s="226"/>
      <c r="AE896" s="259"/>
      <c r="AF896" s="347"/>
      <c r="AG896" s="232"/>
      <c r="AH896" s="257"/>
      <c r="AI896" s="225"/>
      <c r="AJ896" s="267"/>
      <c r="AK896" s="259"/>
      <c r="AL896" s="226"/>
      <c r="AM896" s="225"/>
      <c r="AN896" s="225"/>
      <c r="AO896" s="254"/>
      <c r="AP896" s="225"/>
      <c r="AQ896" s="225"/>
      <c r="AR896" s="226"/>
      <c r="AS896" s="225"/>
      <c r="AT896" s="225"/>
      <c r="AU896" s="225"/>
      <c r="AV896" s="225"/>
      <c r="AW896" s="225"/>
      <c r="AX896" s="226"/>
      <c r="AY896" s="225"/>
      <c r="AZ896" s="225"/>
      <c r="BA896" s="226"/>
      <c r="BB896" s="225"/>
      <c r="BC896" s="225"/>
      <c r="BD896" s="225"/>
      <c r="BE896" s="225"/>
      <c r="BF896" s="225"/>
      <c r="BG896" s="225"/>
      <c r="BH896" s="225"/>
      <c r="BI896" s="225"/>
      <c r="BJ896" s="225"/>
      <c r="BK896" s="225"/>
      <c r="BL896" s="225"/>
      <c r="BM896" s="225"/>
      <c r="BN896" s="225"/>
      <c r="BO896" s="225"/>
      <c r="BP896" s="225"/>
      <c r="BQ896" s="225"/>
      <c r="BR896" s="225"/>
      <c r="BS896" s="225"/>
      <c r="BT896" s="226"/>
      <c r="BU896" s="225"/>
      <c r="BV896" s="225"/>
      <c r="BW896" s="225"/>
      <c r="BX896" s="225"/>
      <c r="BY896" s="225"/>
      <c r="BZ896" s="225"/>
    </row>
    <row r="897">
      <c r="A897" s="225"/>
      <c r="B897" s="225"/>
      <c r="C897" s="225"/>
      <c r="D897" s="226"/>
      <c r="E897" s="225"/>
      <c r="F897" s="225"/>
      <c r="G897" s="225"/>
      <c r="H897" s="225"/>
      <c r="I897" s="225"/>
      <c r="J897" s="225"/>
      <c r="K897" s="244"/>
      <c r="L897" s="225"/>
      <c r="M897" s="225"/>
      <c r="N897" s="225"/>
      <c r="O897" s="225"/>
      <c r="P897" s="225"/>
      <c r="Q897" s="227"/>
      <c r="R897" s="234"/>
      <c r="S897" s="225"/>
      <c r="T897" s="225"/>
      <c r="U897" s="225"/>
      <c r="V897" s="225"/>
      <c r="W897" s="225"/>
      <c r="X897" s="225"/>
      <c r="Y897" s="229"/>
      <c r="Z897" s="257"/>
      <c r="AA897" s="225"/>
      <c r="AB897" s="257"/>
      <c r="AC897" s="257"/>
      <c r="AD897" s="226"/>
      <c r="AE897" s="259"/>
      <c r="AF897" s="347"/>
      <c r="AG897" s="232"/>
      <c r="AH897" s="257"/>
      <c r="AI897" s="225"/>
      <c r="AJ897" s="267"/>
      <c r="AK897" s="259"/>
      <c r="AL897" s="226"/>
      <c r="AM897" s="225"/>
      <c r="AN897" s="225"/>
      <c r="AO897" s="254"/>
      <c r="AP897" s="225"/>
      <c r="AQ897" s="225"/>
      <c r="AR897" s="226"/>
      <c r="AS897" s="225"/>
      <c r="AT897" s="225"/>
      <c r="AU897" s="225"/>
      <c r="AV897" s="225"/>
      <c r="AW897" s="225"/>
      <c r="AX897" s="226"/>
      <c r="AY897" s="225"/>
      <c r="AZ897" s="225"/>
      <c r="BA897" s="226"/>
      <c r="BB897" s="225"/>
      <c r="BC897" s="225"/>
      <c r="BD897" s="225"/>
      <c r="BE897" s="225"/>
      <c r="BF897" s="225"/>
      <c r="BG897" s="225"/>
      <c r="BH897" s="225"/>
      <c r="BI897" s="225"/>
      <c r="BJ897" s="225"/>
      <c r="BK897" s="225"/>
      <c r="BL897" s="225"/>
      <c r="BM897" s="225"/>
      <c r="BN897" s="225"/>
      <c r="BO897" s="225"/>
      <c r="BP897" s="225"/>
      <c r="BQ897" s="225"/>
      <c r="BR897" s="225"/>
      <c r="BS897" s="225"/>
      <c r="BT897" s="226"/>
      <c r="BU897" s="225"/>
      <c r="BV897" s="225"/>
      <c r="BW897" s="225"/>
      <c r="BX897" s="225"/>
      <c r="BY897" s="225"/>
      <c r="BZ897" s="225"/>
    </row>
    <row r="898">
      <c r="A898" s="225"/>
      <c r="B898" s="225"/>
      <c r="C898" s="225"/>
      <c r="D898" s="226"/>
      <c r="E898" s="225"/>
      <c r="F898" s="225"/>
      <c r="G898" s="225"/>
      <c r="H898" s="225"/>
      <c r="I898" s="225"/>
      <c r="J898" s="225"/>
      <c r="K898" s="244"/>
      <c r="L898" s="225"/>
      <c r="M898" s="225"/>
      <c r="N898" s="225"/>
      <c r="O898" s="225"/>
      <c r="P898" s="225"/>
      <c r="Q898" s="227"/>
      <c r="R898" s="234"/>
      <c r="S898" s="225"/>
      <c r="T898" s="225"/>
      <c r="U898" s="225"/>
      <c r="V898" s="225"/>
      <c r="W898" s="225"/>
      <c r="X898" s="225"/>
      <c r="Y898" s="229"/>
      <c r="Z898" s="257"/>
      <c r="AA898" s="225"/>
      <c r="AB898" s="257"/>
      <c r="AC898" s="257"/>
      <c r="AD898" s="226"/>
      <c r="AE898" s="259"/>
      <c r="AF898" s="347"/>
      <c r="AG898" s="232"/>
      <c r="AH898" s="257"/>
      <c r="AI898" s="225"/>
      <c r="AJ898" s="267"/>
      <c r="AK898" s="259"/>
      <c r="AL898" s="226"/>
      <c r="AM898" s="225"/>
      <c r="AN898" s="225"/>
      <c r="AO898" s="254"/>
      <c r="AP898" s="225"/>
      <c r="AQ898" s="225"/>
      <c r="AR898" s="226"/>
      <c r="AS898" s="225"/>
      <c r="AT898" s="225"/>
      <c r="AU898" s="225"/>
      <c r="AV898" s="225"/>
      <c r="AW898" s="225"/>
      <c r="AX898" s="226"/>
      <c r="AY898" s="225"/>
      <c r="AZ898" s="225"/>
      <c r="BA898" s="226"/>
      <c r="BB898" s="225"/>
      <c r="BC898" s="225"/>
      <c r="BD898" s="225"/>
      <c r="BE898" s="225"/>
      <c r="BF898" s="225"/>
      <c r="BG898" s="225"/>
      <c r="BH898" s="225"/>
      <c r="BI898" s="225"/>
      <c r="BJ898" s="225"/>
      <c r="BK898" s="225"/>
      <c r="BL898" s="225"/>
      <c r="BM898" s="225"/>
      <c r="BN898" s="225"/>
      <c r="BO898" s="225"/>
      <c r="BP898" s="225"/>
      <c r="BQ898" s="225"/>
      <c r="BR898" s="225"/>
      <c r="BS898" s="225"/>
      <c r="BT898" s="226"/>
      <c r="BU898" s="225"/>
      <c r="BV898" s="225"/>
      <c r="BW898" s="225"/>
      <c r="BX898" s="225"/>
      <c r="BY898" s="225"/>
      <c r="BZ898" s="225"/>
    </row>
    <row r="899">
      <c r="A899" s="225"/>
      <c r="B899" s="225"/>
      <c r="C899" s="225"/>
      <c r="D899" s="226"/>
      <c r="E899" s="225"/>
      <c r="F899" s="225"/>
      <c r="G899" s="225"/>
      <c r="H899" s="225"/>
      <c r="I899" s="225"/>
      <c r="J899" s="225"/>
      <c r="K899" s="244"/>
      <c r="L899" s="225"/>
      <c r="M899" s="225"/>
      <c r="N899" s="225"/>
      <c r="O899" s="225"/>
      <c r="P899" s="225"/>
      <c r="Q899" s="227"/>
      <c r="R899" s="234"/>
      <c r="S899" s="225"/>
      <c r="T899" s="225"/>
      <c r="U899" s="225"/>
      <c r="V899" s="225"/>
      <c r="W899" s="225"/>
      <c r="X899" s="225"/>
      <c r="Y899" s="229"/>
      <c r="Z899" s="257"/>
      <c r="AA899" s="225"/>
      <c r="AB899" s="257"/>
      <c r="AC899" s="257"/>
      <c r="AD899" s="226"/>
      <c r="AE899" s="259"/>
      <c r="AF899" s="347"/>
      <c r="AG899" s="232"/>
      <c r="AH899" s="257"/>
      <c r="AI899" s="225"/>
      <c r="AJ899" s="267"/>
      <c r="AK899" s="259"/>
      <c r="AL899" s="226"/>
      <c r="AM899" s="225"/>
      <c r="AN899" s="225"/>
      <c r="AO899" s="254"/>
      <c r="AP899" s="225"/>
      <c r="AQ899" s="225"/>
      <c r="AR899" s="226"/>
      <c r="AS899" s="225"/>
      <c r="AT899" s="225"/>
      <c r="AU899" s="225"/>
      <c r="AV899" s="225"/>
      <c r="AW899" s="225"/>
      <c r="AX899" s="226"/>
      <c r="AY899" s="225"/>
      <c r="AZ899" s="225"/>
      <c r="BA899" s="226"/>
      <c r="BB899" s="225"/>
      <c r="BC899" s="225"/>
      <c r="BD899" s="225"/>
      <c r="BE899" s="225"/>
      <c r="BF899" s="225"/>
      <c r="BG899" s="225"/>
      <c r="BH899" s="225"/>
      <c r="BI899" s="225"/>
      <c r="BJ899" s="225"/>
      <c r="BK899" s="225"/>
      <c r="BL899" s="225"/>
      <c r="BM899" s="225"/>
      <c r="BN899" s="225"/>
      <c r="BO899" s="225"/>
      <c r="BP899" s="225"/>
      <c r="BQ899" s="225"/>
      <c r="BR899" s="225"/>
      <c r="BS899" s="225"/>
      <c r="BT899" s="226"/>
      <c r="BU899" s="225"/>
      <c r="BV899" s="225"/>
      <c r="BW899" s="225"/>
      <c r="BX899" s="225"/>
      <c r="BY899" s="225"/>
      <c r="BZ899" s="225"/>
    </row>
    <row r="900">
      <c r="A900" s="225"/>
      <c r="B900" s="225"/>
      <c r="C900" s="225"/>
      <c r="D900" s="226"/>
      <c r="E900" s="225"/>
      <c r="F900" s="225"/>
      <c r="G900" s="225"/>
      <c r="H900" s="225"/>
      <c r="I900" s="225"/>
      <c r="J900" s="225"/>
      <c r="K900" s="244"/>
      <c r="L900" s="225"/>
      <c r="M900" s="225"/>
      <c r="N900" s="225"/>
      <c r="O900" s="225"/>
      <c r="P900" s="225"/>
      <c r="Q900" s="227"/>
      <c r="R900" s="234"/>
      <c r="S900" s="225"/>
      <c r="T900" s="225"/>
      <c r="U900" s="225"/>
      <c r="V900" s="225"/>
      <c r="W900" s="225"/>
      <c r="X900" s="225"/>
      <c r="Y900" s="229"/>
      <c r="Z900" s="257"/>
      <c r="AA900" s="225"/>
      <c r="AB900" s="257"/>
      <c r="AC900" s="257"/>
      <c r="AD900" s="226"/>
      <c r="AE900" s="259"/>
      <c r="AF900" s="347"/>
      <c r="AG900" s="232"/>
      <c r="AH900" s="257"/>
      <c r="AI900" s="225"/>
      <c r="AJ900" s="267"/>
      <c r="AK900" s="259"/>
      <c r="AL900" s="226"/>
      <c r="AM900" s="225"/>
      <c r="AN900" s="225"/>
      <c r="AO900" s="254"/>
      <c r="AP900" s="225"/>
      <c r="AQ900" s="225"/>
      <c r="AR900" s="226"/>
      <c r="AS900" s="225"/>
      <c r="AT900" s="225"/>
      <c r="AU900" s="225"/>
      <c r="AV900" s="225"/>
      <c r="AW900" s="225"/>
      <c r="AX900" s="226"/>
      <c r="AY900" s="225"/>
      <c r="AZ900" s="225"/>
      <c r="BA900" s="226"/>
      <c r="BB900" s="225"/>
      <c r="BC900" s="225"/>
      <c r="BD900" s="225"/>
      <c r="BE900" s="225"/>
      <c r="BF900" s="225"/>
      <c r="BG900" s="225"/>
      <c r="BH900" s="225"/>
      <c r="BI900" s="225"/>
      <c r="BJ900" s="225"/>
      <c r="BK900" s="225"/>
      <c r="BL900" s="225"/>
      <c r="BM900" s="225"/>
      <c r="BN900" s="225"/>
      <c r="BO900" s="225"/>
      <c r="BP900" s="225"/>
      <c r="BQ900" s="225"/>
      <c r="BR900" s="225"/>
      <c r="BS900" s="225"/>
      <c r="BT900" s="226"/>
      <c r="BU900" s="225"/>
      <c r="BV900" s="225"/>
      <c r="BW900" s="225"/>
      <c r="BX900" s="225"/>
      <c r="BY900" s="225"/>
      <c r="BZ900" s="225"/>
    </row>
    <row r="901">
      <c r="A901" s="225"/>
      <c r="B901" s="225"/>
      <c r="C901" s="225"/>
      <c r="D901" s="226"/>
      <c r="E901" s="225"/>
      <c r="F901" s="225"/>
      <c r="G901" s="225"/>
      <c r="H901" s="225"/>
      <c r="I901" s="225"/>
      <c r="J901" s="225"/>
      <c r="K901" s="244"/>
      <c r="L901" s="225"/>
      <c r="M901" s="225"/>
      <c r="N901" s="225"/>
      <c r="O901" s="225"/>
      <c r="P901" s="225"/>
      <c r="Q901" s="227"/>
      <c r="R901" s="234"/>
      <c r="S901" s="225"/>
      <c r="T901" s="225"/>
      <c r="U901" s="225"/>
      <c r="V901" s="225"/>
      <c r="W901" s="225"/>
      <c r="X901" s="225"/>
      <c r="Y901" s="229"/>
      <c r="Z901" s="257"/>
      <c r="AA901" s="225"/>
      <c r="AB901" s="257"/>
      <c r="AC901" s="257"/>
      <c r="AD901" s="226"/>
      <c r="AE901" s="259"/>
      <c r="AF901" s="347"/>
      <c r="AG901" s="232"/>
      <c r="AH901" s="257"/>
      <c r="AI901" s="225"/>
      <c r="AJ901" s="267"/>
      <c r="AK901" s="259"/>
      <c r="AL901" s="226"/>
      <c r="AM901" s="225"/>
      <c r="AN901" s="225"/>
      <c r="AO901" s="254"/>
      <c r="AP901" s="225"/>
      <c r="AQ901" s="225"/>
      <c r="AR901" s="226"/>
      <c r="AS901" s="225"/>
      <c r="AT901" s="225"/>
      <c r="AU901" s="225"/>
      <c r="AV901" s="225"/>
      <c r="AW901" s="225"/>
      <c r="AX901" s="226"/>
      <c r="AY901" s="225"/>
      <c r="AZ901" s="225"/>
      <c r="BA901" s="226"/>
      <c r="BB901" s="225"/>
      <c r="BC901" s="225"/>
      <c r="BD901" s="225"/>
      <c r="BE901" s="225"/>
      <c r="BF901" s="225"/>
      <c r="BG901" s="225"/>
      <c r="BH901" s="225"/>
      <c r="BI901" s="225"/>
      <c r="BJ901" s="225"/>
      <c r="BK901" s="225"/>
      <c r="BL901" s="225"/>
      <c r="BM901" s="225"/>
      <c r="BN901" s="225"/>
      <c r="BO901" s="225"/>
      <c r="BP901" s="225"/>
      <c r="BQ901" s="225"/>
      <c r="BR901" s="225"/>
      <c r="BS901" s="225"/>
      <c r="BT901" s="226"/>
      <c r="BU901" s="225"/>
      <c r="BV901" s="225"/>
      <c r="BW901" s="225"/>
      <c r="BX901" s="225"/>
      <c r="BY901" s="225"/>
      <c r="BZ901" s="225"/>
    </row>
    <row r="902">
      <c r="A902" s="225"/>
      <c r="B902" s="225"/>
      <c r="C902" s="225"/>
      <c r="D902" s="226"/>
      <c r="E902" s="225"/>
      <c r="F902" s="225"/>
      <c r="G902" s="225"/>
      <c r="H902" s="225"/>
      <c r="I902" s="225"/>
      <c r="J902" s="225"/>
      <c r="K902" s="244"/>
      <c r="L902" s="225"/>
      <c r="M902" s="225"/>
      <c r="N902" s="225"/>
      <c r="O902" s="225"/>
      <c r="P902" s="225"/>
      <c r="Q902" s="227"/>
      <c r="R902" s="234"/>
      <c r="S902" s="225"/>
      <c r="T902" s="225"/>
      <c r="U902" s="225"/>
      <c r="V902" s="225"/>
      <c r="W902" s="225"/>
      <c r="X902" s="225"/>
      <c r="Y902" s="229"/>
      <c r="Z902" s="257"/>
      <c r="AA902" s="225"/>
      <c r="AB902" s="257"/>
      <c r="AC902" s="257"/>
      <c r="AD902" s="226"/>
      <c r="AE902" s="259"/>
      <c r="AF902" s="347"/>
      <c r="AG902" s="232"/>
      <c r="AH902" s="257"/>
      <c r="AI902" s="225"/>
      <c r="AJ902" s="267"/>
      <c r="AK902" s="259"/>
      <c r="AL902" s="226"/>
      <c r="AM902" s="225"/>
      <c r="AN902" s="225"/>
      <c r="AO902" s="254"/>
      <c r="AP902" s="225"/>
      <c r="AQ902" s="225"/>
      <c r="AR902" s="226"/>
      <c r="AS902" s="225"/>
      <c r="AT902" s="225"/>
      <c r="AU902" s="225"/>
      <c r="AV902" s="225"/>
      <c r="AW902" s="225"/>
      <c r="AX902" s="226"/>
      <c r="AY902" s="225"/>
      <c r="AZ902" s="225"/>
      <c r="BA902" s="226"/>
      <c r="BB902" s="225"/>
      <c r="BC902" s="225"/>
      <c r="BD902" s="225"/>
      <c r="BE902" s="225"/>
      <c r="BF902" s="225"/>
      <c r="BG902" s="225"/>
      <c r="BH902" s="225"/>
      <c r="BI902" s="225"/>
      <c r="BJ902" s="225"/>
      <c r="BK902" s="225"/>
      <c r="BL902" s="225"/>
      <c r="BM902" s="225"/>
      <c r="BN902" s="225"/>
      <c r="BO902" s="225"/>
      <c r="BP902" s="225"/>
      <c r="BQ902" s="225"/>
      <c r="BR902" s="225"/>
      <c r="BS902" s="225"/>
      <c r="BT902" s="226"/>
      <c r="BU902" s="225"/>
      <c r="BV902" s="225"/>
      <c r="BW902" s="225"/>
      <c r="BX902" s="225"/>
      <c r="BY902" s="225"/>
      <c r="BZ902" s="225"/>
    </row>
    <row r="903">
      <c r="A903" s="225"/>
      <c r="B903" s="225"/>
      <c r="C903" s="225"/>
      <c r="D903" s="226"/>
      <c r="E903" s="225"/>
      <c r="F903" s="225"/>
      <c r="G903" s="225"/>
      <c r="H903" s="225"/>
      <c r="I903" s="225"/>
      <c r="J903" s="225"/>
      <c r="K903" s="244"/>
      <c r="L903" s="225"/>
      <c r="M903" s="225"/>
      <c r="N903" s="225"/>
      <c r="O903" s="225"/>
      <c r="P903" s="225"/>
      <c r="Q903" s="227"/>
      <c r="R903" s="234"/>
      <c r="S903" s="225"/>
      <c r="T903" s="225"/>
      <c r="U903" s="225"/>
      <c r="V903" s="225"/>
      <c r="W903" s="225"/>
      <c r="X903" s="225"/>
      <c r="Y903" s="229"/>
      <c r="Z903" s="257"/>
      <c r="AA903" s="225"/>
      <c r="AB903" s="257"/>
      <c r="AC903" s="257"/>
      <c r="AD903" s="226"/>
      <c r="AE903" s="259"/>
      <c r="AF903" s="347"/>
      <c r="AG903" s="232"/>
      <c r="AH903" s="257"/>
      <c r="AI903" s="225"/>
      <c r="AJ903" s="267"/>
      <c r="AK903" s="259"/>
      <c r="AL903" s="226"/>
      <c r="AM903" s="225"/>
      <c r="AN903" s="225"/>
      <c r="AO903" s="254"/>
      <c r="AP903" s="225"/>
      <c r="AQ903" s="225"/>
      <c r="AR903" s="226"/>
      <c r="AS903" s="225"/>
      <c r="AT903" s="225"/>
      <c r="AU903" s="225"/>
      <c r="AV903" s="225"/>
      <c r="AW903" s="225"/>
      <c r="AX903" s="226"/>
      <c r="AY903" s="225"/>
      <c r="AZ903" s="225"/>
      <c r="BA903" s="226"/>
      <c r="BB903" s="225"/>
      <c r="BC903" s="225"/>
      <c r="BD903" s="225"/>
      <c r="BE903" s="225"/>
      <c r="BF903" s="225"/>
      <c r="BG903" s="225"/>
      <c r="BH903" s="225"/>
      <c r="BI903" s="225"/>
      <c r="BJ903" s="225"/>
      <c r="BK903" s="225"/>
      <c r="BL903" s="225"/>
      <c r="BM903" s="225"/>
      <c r="BN903" s="225"/>
      <c r="BO903" s="225"/>
      <c r="BP903" s="225"/>
      <c r="BQ903" s="225"/>
      <c r="BR903" s="225"/>
      <c r="BS903" s="225"/>
      <c r="BT903" s="226"/>
      <c r="BU903" s="225"/>
      <c r="BV903" s="225"/>
      <c r="BW903" s="225"/>
      <c r="BX903" s="225"/>
      <c r="BY903" s="225"/>
      <c r="BZ903" s="225"/>
    </row>
    <row r="904">
      <c r="A904" s="225"/>
      <c r="B904" s="225"/>
      <c r="C904" s="225"/>
      <c r="D904" s="226"/>
      <c r="E904" s="225"/>
      <c r="F904" s="225"/>
      <c r="G904" s="225"/>
      <c r="H904" s="225"/>
      <c r="I904" s="225"/>
      <c r="J904" s="225"/>
      <c r="K904" s="244"/>
      <c r="L904" s="225"/>
      <c r="M904" s="225"/>
      <c r="N904" s="225"/>
      <c r="O904" s="225"/>
      <c r="P904" s="225"/>
      <c r="Q904" s="227"/>
      <c r="R904" s="234"/>
      <c r="S904" s="225"/>
      <c r="T904" s="225"/>
      <c r="U904" s="225"/>
      <c r="V904" s="225"/>
      <c r="W904" s="225"/>
      <c r="X904" s="225"/>
      <c r="Y904" s="229"/>
      <c r="Z904" s="257"/>
      <c r="AA904" s="225"/>
      <c r="AB904" s="257"/>
      <c r="AC904" s="257"/>
      <c r="AD904" s="226"/>
      <c r="AE904" s="259"/>
      <c r="AF904" s="347"/>
      <c r="AG904" s="232"/>
      <c r="AH904" s="257"/>
      <c r="AI904" s="225"/>
      <c r="AJ904" s="267"/>
      <c r="AK904" s="259"/>
      <c r="AL904" s="226"/>
      <c r="AM904" s="225"/>
      <c r="AN904" s="225"/>
      <c r="AO904" s="254"/>
      <c r="AP904" s="225"/>
      <c r="AQ904" s="225"/>
      <c r="AR904" s="226"/>
      <c r="AS904" s="225"/>
      <c r="AT904" s="225"/>
      <c r="AU904" s="225"/>
      <c r="AV904" s="225"/>
      <c r="AW904" s="225"/>
      <c r="AX904" s="226"/>
      <c r="AY904" s="225"/>
      <c r="AZ904" s="225"/>
      <c r="BA904" s="226"/>
      <c r="BB904" s="225"/>
      <c r="BC904" s="225"/>
      <c r="BD904" s="225"/>
      <c r="BE904" s="225"/>
      <c r="BF904" s="225"/>
      <c r="BG904" s="225"/>
      <c r="BH904" s="225"/>
      <c r="BI904" s="225"/>
      <c r="BJ904" s="225"/>
      <c r="BK904" s="225"/>
      <c r="BL904" s="225"/>
      <c r="BM904" s="225"/>
      <c r="BN904" s="225"/>
      <c r="BO904" s="225"/>
      <c r="BP904" s="225"/>
      <c r="BQ904" s="225"/>
      <c r="BR904" s="225"/>
      <c r="BS904" s="225"/>
      <c r="BT904" s="226"/>
      <c r="BU904" s="225"/>
      <c r="BV904" s="225"/>
      <c r="BW904" s="225"/>
      <c r="BX904" s="225"/>
      <c r="BY904" s="225"/>
      <c r="BZ904" s="225"/>
    </row>
    <row r="905">
      <c r="A905" s="225"/>
      <c r="B905" s="225"/>
      <c r="C905" s="225"/>
      <c r="D905" s="226"/>
      <c r="E905" s="225"/>
      <c r="F905" s="225"/>
      <c r="G905" s="225"/>
      <c r="H905" s="225"/>
      <c r="I905" s="225"/>
      <c r="J905" s="225"/>
      <c r="K905" s="244"/>
      <c r="L905" s="225"/>
      <c r="M905" s="225"/>
      <c r="N905" s="225"/>
      <c r="O905" s="225"/>
      <c r="P905" s="225"/>
      <c r="Q905" s="227"/>
      <c r="R905" s="234"/>
      <c r="S905" s="225"/>
      <c r="T905" s="225"/>
      <c r="U905" s="225"/>
      <c r="V905" s="225"/>
      <c r="W905" s="225"/>
      <c r="X905" s="225"/>
      <c r="Y905" s="229"/>
      <c r="Z905" s="257"/>
      <c r="AA905" s="225"/>
      <c r="AB905" s="257"/>
      <c r="AC905" s="257"/>
      <c r="AD905" s="226"/>
      <c r="AE905" s="259"/>
      <c r="AF905" s="347"/>
      <c r="AG905" s="232"/>
      <c r="AH905" s="257"/>
      <c r="AI905" s="225"/>
      <c r="AJ905" s="267"/>
      <c r="AK905" s="259"/>
      <c r="AL905" s="226"/>
      <c r="AM905" s="225"/>
      <c r="AN905" s="225"/>
      <c r="AO905" s="254"/>
      <c r="AP905" s="225"/>
      <c r="AQ905" s="225"/>
      <c r="AR905" s="226"/>
      <c r="AS905" s="225"/>
      <c r="AT905" s="225"/>
      <c r="AU905" s="225"/>
      <c r="AV905" s="225"/>
      <c r="AW905" s="225"/>
      <c r="AX905" s="226"/>
      <c r="AY905" s="225"/>
      <c r="AZ905" s="225"/>
      <c r="BA905" s="226"/>
      <c r="BB905" s="225"/>
      <c r="BC905" s="225"/>
      <c r="BD905" s="225"/>
      <c r="BE905" s="225"/>
      <c r="BF905" s="225"/>
      <c r="BG905" s="225"/>
      <c r="BH905" s="225"/>
      <c r="BI905" s="225"/>
      <c r="BJ905" s="225"/>
      <c r="BK905" s="225"/>
      <c r="BL905" s="225"/>
      <c r="BM905" s="225"/>
      <c r="BN905" s="225"/>
      <c r="BO905" s="225"/>
      <c r="BP905" s="225"/>
      <c r="BQ905" s="225"/>
      <c r="BR905" s="225"/>
      <c r="BS905" s="225"/>
      <c r="BT905" s="226"/>
      <c r="BU905" s="225"/>
      <c r="BV905" s="225"/>
      <c r="BW905" s="225"/>
      <c r="BX905" s="225"/>
      <c r="BY905" s="225"/>
      <c r="BZ905" s="225"/>
    </row>
    <row r="906">
      <c r="A906" s="225"/>
      <c r="B906" s="225"/>
      <c r="C906" s="225"/>
      <c r="D906" s="226"/>
      <c r="E906" s="225"/>
      <c r="F906" s="225"/>
      <c r="G906" s="225"/>
      <c r="H906" s="225"/>
      <c r="I906" s="225"/>
      <c r="J906" s="225"/>
      <c r="K906" s="244"/>
      <c r="L906" s="225"/>
      <c r="M906" s="225"/>
      <c r="N906" s="225"/>
      <c r="O906" s="225"/>
      <c r="P906" s="225"/>
      <c r="Q906" s="227"/>
      <c r="R906" s="234"/>
      <c r="S906" s="225"/>
      <c r="T906" s="225"/>
      <c r="U906" s="225"/>
      <c r="V906" s="225"/>
      <c r="W906" s="225"/>
      <c r="X906" s="225"/>
      <c r="Y906" s="229"/>
      <c r="Z906" s="257"/>
      <c r="AA906" s="225"/>
      <c r="AB906" s="257"/>
      <c r="AC906" s="257"/>
      <c r="AD906" s="226"/>
      <c r="AE906" s="259"/>
      <c r="AF906" s="347"/>
      <c r="AG906" s="232"/>
      <c r="AH906" s="257"/>
      <c r="AI906" s="225"/>
      <c r="AJ906" s="267"/>
      <c r="AK906" s="259"/>
      <c r="AL906" s="226"/>
      <c r="AM906" s="225"/>
      <c r="AN906" s="225"/>
      <c r="AO906" s="254"/>
      <c r="AP906" s="225"/>
      <c r="AQ906" s="225"/>
      <c r="AR906" s="226"/>
      <c r="AS906" s="225"/>
      <c r="AT906" s="225"/>
      <c r="AU906" s="225"/>
      <c r="AV906" s="225"/>
      <c r="AW906" s="225"/>
      <c r="AX906" s="226"/>
      <c r="AY906" s="225"/>
      <c r="AZ906" s="225"/>
      <c r="BA906" s="226"/>
      <c r="BB906" s="225"/>
      <c r="BC906" s="225"/>
      <c r="BD906" s="225"/>
      <c r="BE906" s="225"/>
      <c r="BF906" s="225"/>
      <c r="BG906" s="225"/>
      <c r="BH906" s="225"/>
      <c r="BI906" s="225"/>
      <c r="BJ906" s="225"/>
      <c r="BK906" s="225"/>
      <c r="BL906" s="225"/>
      <c r="BM906" s="225"/>
      <c r="BN906" s="225"/>
      <c r="BO906" s="225"/>
      <c r="BP906" s="225"/>
      <c r="BQ906" s="225"/>
      <c r="BR906" s="225"/>
      <c r="BS906" s="225"/>
      <c r="BT906" s="226"/>
      <c r="BU906" s="225"/>
      <c r="BV906" s="225"/>
      <c r="BW906" s="225"/>
      <c r="BX906" s="225"/>
      <c r="BY906" s="225"/>
      <c r="BZ906" s="225"/>
    </row>
    <row r="907">
      <c r="A907" s="225"/>
      <c r="B907" s="225"/>
      <c r="C907" s="225"/>
      <c r="D907" s="226"/>
      <c r="E907" s="225"/>
      <c r="F907" s="225"/>
      <c r="G907" s="225"/>
      <c r="H907" s="225"/>
      <c r="I907" s="225"/>
      <c r="J907" s="225"/>
      <c r="K907" s="244"/>
      <c r="L907" s="225"/>
      <c r="M907" s="225"/>
      <c r="N907" s="225"/>
      <c r="O907" s="225"/>
      <c r="P907" s="225"/>
      <c r="Q907" s="227"/>
      <c r="R907" s="234"/>
      <c r="S907" s="225"/>
      <c r="T907" s="225"/>
      <c r="U907" s="225"/>
      <c r="V907" s="225"/>
      <c r="W907" s="225"/>
      <c r="X907" s="225"/>
      <c r="Y907" s="229"/>
      <c r="Z907" s="257"/>
      <c r="AA907" s="225"/>
      <c r="AB907" s="257"/>
      <c r="AC907" s="257"/>
      <c r="AD907" s="226"/>
      <c r="AE907" s="259"/>
      <c r="AF907" s="347"/>
      <c r="AG907" s="232"/>
      <c r="AH907" s="257"/>
      <c r="AI907" s="225"/>
      <c r="AJ907" s="267"/>
      <c r="AK907" s="259"/>
      <c r="AL907" s="226"/>
      <c r="AM907" s="225"/>
      <c r="AN907" s="225"/>
      <c r="AO907" s="254"/>
      <c r="AP907" s="225"/>
      <c r="AQ907" s="225"/>
      <c r="AR907" s="226"/>
      <c r="AS907" s="225"/>
      <c r="AT907" s="225"/>
      <c r="AU907" s="225"/>
      <c r="AV907" s="225"/>
      <c r="AW907" s="225"/>
      <c r="AX907" s="226"/>
      <c r="AY907" s="225"/>
      <c r="AZ907" s="225"/>
      <c r="BA907" s="226"/>
      <c r="BB907" s="225"/>
      <c r="BC907" s="225"/>
      <c r="BD907" s="225"/>
      <c r="BE907" s="225"/>
      <c r="BF907" s="225"/>
      <c r="BG907" s="225"/>
      <c r="BH907" s="225"/>
      <c r="BI907" s="225"/>
      <c r="BJ907" s="225"/>
      <c r="BK907" s="225"/>
      <c r="BL907" s="225"/>
      <c r="BM907" s="225"/>
      <c r="BN907" s="225"/>
      <c r="BO907" s="225"/>
      <c r="BP907" s="225"/>
      <c r="BQ907" s="225"/>
      <c r="BR907" s="225"/>
      <c r="BS907" s="225"/>
      <c r="BT907" s="226"/>
      <c r="BU907" s="225"/>
      <c r="BV907" s="225"/>
      <c r="BW907" s="225"/>
      <c r="BX907" s="225"/>
      <c r="BY907" s="225"/>
      <c r="BZ907" s="225"/>
    </row>
    <row r="908">
      <c r="A908" s="225"/>
      <c r="B908" s="225"/>
      <c r="C908" s="225"/>
      <c r="D908" s="226"/>
      <c r="E908" s="225"/>
      <c r="F908" s="225"/>
      <c r="G908" s="225"/>
      <c r="H908" s="225"/>
      <c r="I908" s="225"/>
      <c r="J908" s="225"/>
      <c r="K908" s="244"/>
      <c r="L908" s="225"/>
      <c r="M908" s="225"/>
      <c r="N908" s="225"/>
      <c r="O908" s="225"/>
      <c r="P908" s="225"/>
      <c r="Q908" s="227"/>
      <c r="R908" s="234"/>
      <c r="S908" s="225"/>
      <c r="T908" s="225"/>
      <c r="U908" s="225"/>
      <c r="V908" s="225"/>
      <c r="W908" s="225"/>
      <c r="X908" s="225"/>
      <c r="Y908" s="229"/>
      <c r="Z908" s="257"/>
      <c r="AA908" s="225"/>
      <c r="AB908" s="257"/>
      <c r="AC908" s="257"/>
      <c r="AD908" s="226"/>
      <c r="AE908" s="259"/>
      <c r="AF908" s="347"/>
      <c r="AG908" s="232"/>
      <c r="AH908" s="257"/>
      <c r="AI908" s="225"/>
      <c r="AJ908" s="267"/>
      <c r="AK908" s="259"/>
      <c r="AL908" s="226"/>
      <c r="AM908" s="225"/>
      <c r="AN908" s="225"/>
      <c r="AO908" s="254"/>
      <c r="AP908" s="225"/>
      <c r="AQ908" s="225"/>
      <c r="AR908" s="226"/>
      <c r="AS908" s="225"/>
      <c r="AT908" s="225"/>
      <c r="AU908" s="225"/>
      <c r="AV908" s="225"/>
      <c r="AW908" s="225"/>
      <c r="AX908" s="226"/>
      <c r="AY908" s="225"/>
      <c r="AZ908" s="225"/>
      <c r="BA908" s="226"/>
      <c r="BB908" s="225"/>
      <c r="BC908" s="225"/>
      <c r="BD908" s="225"/>
      <c r="BE908" s="225"/>
      <c r="BF908" s="225"/>
      <c r="BG908" s="225"/>
      <c r="BH908" s="225"/>
      <c r="BI908" s="225"/>
      <c r="BJ908" s="225"/>
      <c r="BK908" s="225"/>
      <c r="BL908" s="225"/>
      <c r="BM908" s="225"/>
      <c r="BN908" s="225"/>
      <c r="BO908" s="225"/>
      <c r="BP908" s="225"/>
      <c r="BQ908" s="225"/>
      <c r="BR908" s="225"/>
      <c r="BS908" s="225"/>
      <c r="BT908" s="226"/>
      <c r="BU908" s="225"/>
      <c r="BV908" s="225"/>
      <c r="BW908" s="225"/>
      <c r="BX908" s="225"/>
      <c r="BY908" s="225"/>
      <c r="BZ908" s="225"/>
    </row>
    <row r="909">
      <c r="A909" s="225"/>
      <c r="B909" s="225"/>
      <c r="C909" s="225"/>
      <c r="D909" s="226"/>
      <c r="E909" s="225"/>
      <c r="F909" s="225"/>
      <c r="G909" s="225"/>
      <c r="H909" s="225"/>
      <c r="I909" s="225"/>
      <c r="J909" s="225"/>
      <c r="K909" s="244"/>
      <c r="L909" s="225"/>
      <c r="M909" s="225"/>
      <c r="N909" s="225"/>
      <c r="O909" s="225"/>
      <c r="P909" s="225"/>
      <c r="Q909" s="227"/>
      <c r="R909" s="234"/>
      <c r="S909" s="225"/>
      <c r="T909" s="225"/>
      <c r="U909" s="225"/>
      <c r="V909" s="225"/>
      <c r="W909" s="225"/>
      <c r="X909" s="225"/>
      <c r="Y909" s="229"/>
      <c r="Z909" s="257"/>
      <c r="AA909" s="225"/>
      <c r="AB909" s="257"/>
      <c r="AC909" s="257"/>
      <c r="AD909" s="226"/>
      <c r="AE909" s="259"/>
      <c r="AF909" s="347"/>
      <c r="AG909" s="232"/>
      <c r="AH909" s="257"/>
      <c r="AI909" s="225"/>
      <c r="AJ909" s="267"/>
      <c r="AK909" s="259"/>
      <c r="AL909" s="226"/>
      <c r="AM909" s="225"/>
      <c r="AN909" s="225"/>
      <c r="AO909" s="254"/>
      <c r="AP909" s="225"/>
      <c r="AQ909" s="225"/>
      <c r="AR909" s="226"/>
      <c r="AS909" s="225"/>
      <c r="AT909" s="225"/>
      <c r="AU909" s="225"/>
      <c r="AV909" s="225"/>
      <c r="AW909" s="225"/>
      <c r="AX909" s="226"/>
      <c r="AY909" s="225"/>
      <c r="AZ909" s="225"/>
      <c r="BA909" s="226"/>
      <c r="BB909" s="225"/>
      <c r="BC909" s="225"/>
      <c r="BD909" s="225"/>
      <c r="BE909" s="225"/>
      <c r="BF909" s="225"/>
      <c r="BG909" s="225"/>
      <c r="BH909" s="225"/>
      <c r="BI909" s="225"/>
      <c r="BJ909" s="225"/>
      <c r="BK909" s="225"/>
      <c r="BL909" s="225"/>
      <c r="BM909" s="225"/>
      <c r="BN909" s="225"/>
      <c r="BO909" s="225"/>
      <c r="BP909" s="225"/>
      <c r="BQ909" s="225"/>
      <c r="BR909" s="225"/>
      <c r="BS909" s="225"/>
      <c r="BT909" s="226"/>
      <c r="BU909" s="225"/>
      <c r="BV909" s="225"/>
      <c r="BW909" s="225"/>
      <c r="BX909" s="225"/>
      <c r="BY909" s="225"/>
      <c r="BZ909" s="225"/>
    </row>
    <row r="910">
      <c r="A910" s="225"/>
      <c r="B910" s="225"/>
      <c r="C910" s="225"/>
      <c r="D910" s="226"/>
      <c r="E910" s="225"/>
      <c r="F910" s="225"/>
      <c r="G910" s="225"/>
      <c r="H910" s="225"/>
      <c r="I910" s="225"/>
      <c r="J910" s="225"/>
      <c r="K910" s="244"/>
      <c r="L910" s="225"/>
      <c r="M910" s="225"/>
      <c r="N910" s="225"/>
      <c r="O910" s="225"/>
      <c r="P910" s="225"/>
      <c r="Q910" s="227"/>
      <c r="R910" s="234"/>
      <c r="S910" s="225"/>
      <c r="T910" s="225"/>
      <c r="U910" s="225"/>
      <c r="V910" s="225"/>
      <c r="W910" s="225"/>
      <c r="X910" s="225"/>
      <c r="Y910" s="229"/>
      <c r="Z910" s="257"/>
      <c r="AA910" s="225"/>
      <c r="AB910" s="257"/>
      <c r="AC910" s="257"/>
      <c r="AD910" s="226"/>
      <c r="AE910" s="259"/>
      <c r="AF910" s="347"/>
      <c r="AG910" s="232"/>
      <c r="AH910" s="257"/>
      <c r="AI910" s="225"/>
      <c r="AJ910" s="267"/>
      <c r="AK910" s="259"/>
      <c r="AL910" s="226"/>
      <c r="AM910" s="225"/>
      <c r="AN910" s="225"/>
      <c r="AO910" s="254"/>
      <c r="AP910" s="225"/>
      <c r="AQ910" s="225"/>
      <c r="AR910" s="226"/>
      <c r="AS910" s="225"/>
      <c r="AT910" s="225"/>
      <c r="AU910" s="225"/>
      <c r="AV910" s="225"/>
      <c r="AW910" s="225"/>
      <c r="AX910" s="226"/>
      <c r="AY910" s="225"/>
      <c r="AZ910" s="225"/>
      <c r="BA910" s="226"/>
      <c r="BB910" s="225"/>
      <c r="BC910" s="225"/>
      <c r="BD910" s="225"/>
      <c r="BE910" s="225"/>
      <c r="BF910" s="225"/>
      <c r="BG910" s="225"/>
      <c r="BH910" s="225"/>
      <c r="BI910" s="225"/>
      <c r="BJ910" s="225"/>
      <c r="BK910" s="225"/>
      <c r="BL910" s="225"/>
      <c r="BM910" s="225"/>
      <c r="BN910" s="225"/>
      <c r="BO910" s="225"/>
      <c r="BP910" s="225"/>
      <c r="BQ910" s="225"/>
      <c r="BR910" s="225"/>
      <c r="BS910" s="225"/>
      <c r="BT910" s="226"/>
      <c r="BU910" s="225"/>
      <c r="BV910" s="225"/>
      <c r="BW910" s="225"/>
      <c r="BX910" s="225"/>
      <c r="BY910" s="225"/>
      <c r="BZ910" s="225"/>
    </row>
    <row r="911">
      <c r="A911" s="225"/>
      <c r="B911" s="225"/>
      <c r="C911" s="225"/>
      <c r="D911" s="226"/>
      <c r="E911" s="225"/>
      <c r="F911" s="225"/>
      <c r="G911" s="225"/>
      <c r="H911" s="225"/>
      <c r="I911" s="225"/>
      <c r="J911" s="225"/>
      <c r="K911" s="244"/>
      <c r="L911" s="225"/>
      <c r="M911" s="225"/>
      <c r="N911" s="225"/>
      <c r="O911" s="225"/>
      <c r="P911" s="225"/>
      <c r="Q911" s="227"/>
      <c r="R911" s="234"/>
      <c r="S911" s="225"/>
      <c r="T911" s="225"/>
      <c r="U911" s="225"/>
      <c r="V911" s="225"/>
      <c r="W911" s="225"/>
      <c r="X911" s="225"/>
      <c r="Y911" s="229"/>
      <c r="Z911" s="257"/>
      <c r="AA911" s="225"/>
      <c r="AB911" s="257"/>
      <c r="AC911" s="257"/>
      <c r="AD911" s="226"/>
      <c r="AE911" s="259"/>
      <c r="AF911" s="347"/>
      <c r="AG911" s="232"/>
      <c r="AH911" s="257"/>
      <c r="AI911" s="225"/>
      <c r="AJ911" s="267"/>
      <c r="AK911" s="259"/>
      <c r="AL911" s="226"/>
      <c r="AM911" s="225"/>
      <c r="AN911" s="225"/>
      <c r="AO911" s="254"/>
      <c r="AP911" s="225"/>
      <c r="AQ911" s="225"/>
      <c r="AR911" s="226"/>
      <c r="AS911" s="225"/>
      <c r="AT911" s="225"/>
      <c r="AU911" s="225"/>
      <c r="AV911" s="225"/>
      <c r="AW911" s="225"/>
      <c r="AX911" s="226"/>
      <c r="AY911" s="225"/>
      <c r="AZ911" s="225"/>
      <c r="BA911" s="226"/>
      <c r="BB911" s="225"/>
      <c r="BC911" s="225"/>
      <c r="BD911" s="225"/>
      <c r="BE911" s="225"/>
      <c r="BF911" s="225"/>
      <c r="BG911" s="225"/>
      <c r="BH911" s="225"/>
      <c r="BI911" s="225"/>
      <c r="BJ911" s="225"/>
      <c r="BK911" s="225"/>
      <c r="BL911" s="225"/>
      <c r="BM911" s="225"/>
      <c r="BN911" s="225"/>
      <c r="BO911" s="225"/>
      <c r="BP911" s="225"/>
      <c r="BQ911" s="225"/>
      <c r="BR911" s="225"/>
      <c r="BS911" s="225"/>
      <c r="BT911" s="226"/>
      <c r="BU911" s="225"/>
      <c r="BV911" s="225"/>
      <c r="BW911" s="225"/>
      <c r="BX911" s="225"/>
      <c r="BY911" s="225"/>
      <c r="BZ911" s="225"/>
    </row>
    <row r="912">
      <c r="A912" s="225"/>
      <c r="B912" s="225"/>
      <c r="C912" s="225"/>
      <c r="D912" s="226"/>
      <c r="E912" s="225"/>
      <c r="F912" s="225"/>
      <c r="G912" s="225"/>
      <c r="H912" s="225"/>
      <c r="I912" s="225"/>
      <c r="J912" s="225"/>
      <c r="K912" s="244"/>
      <c r="L912" s="225"/>
      <c r="M912" s="225"/>
      <c r="N912" s="225"/>
      <c r="O912" s="225"/>
      <c r="P912" s="225"/>
      <c r="Q912" s="227"/>
      <c r="R912" s="234"/>
      <c r="S912" s="225"/>
      <c r="T912" s="225"/>
      <c r="U912" s="225"/>
      <c r="V912" s="225"/>
      <c r="W912" s="225"/>
      <c r="X912" s="225"/>
      <c r="Y912" s="229"/>
      <c r="Z912" s="257"/>
      <c r="AA912" s="225"/>
      <c r="AB912" s="257"/>
      <c r="AC912" s="257"/>
      <c r="AD912" s="226"/>
      <c r="AE912" s="259"/>
      <c r="AF912" s="347"/>
      <c r="AG912" s="232"/>
      <c r="AH912" s="257"/>
      <c r="AI912" s="225"/>
      <c r="AJ912" s="267"/>
      <c r="AK912" s="259"/>
      <c r="AL912" s="226"/>
      <c r="AM912" s="225"/>
      <c r="AN912" s="225"/>
      <c r="AO912" s="254"/>
      <c r="AP912" s="225"/>
      <c r="AQ912" s="225"/>
      <c r="AR912" s="226"/>
      <c r="AS912" s="225"/>
      <c r="AT912" s="225"/>
      <c r="AU912" s="225"/>
      <c r="AV912" s="225"/>
      <c r="AW912" s="225"/>
      <c r="AX912" s="226"/>
      <c r="AY912" s="225"/>
      <c r="AZ912" s="225"/>
      <c r="BA912" s="226"/>
      <c r="BB912" s="225"/>
      <c r="BC912" s="225"/>
      <c r="BD912" s="225"/>
      <c r="BE912" s="225"/>
      <c r="BF912" s="225"/>
      <c r="BG912" s="225"/>
      <c r="BH912" s="225"/>
      <c r="BI912" s="225"/>
      <c r="BJ912" s="225"/>
      <c r="BK912" s="225"/>
      <c r="BL912" s="225"/>
      <c r="BM912" s="225"/>
      <c r="BN912" s="225"/>
      <c r="BO912" s="225"/>
      <c r="BP912" s="225"/>
      <c r="BQ912" s="225"/>
      <c r="BR912" s="225"/>
      <c r="BS912" s="225"/>
      <c r="BT912" s="226"/>
      <c r="BU912" s="225"/>
      <c r="BV912" s="225"/>
      <c r="BW912" s="225"/>
      <c r="BX912" s="225"/>
      <c r="BY912" s="225"/>
      <c r="BZ912" s="225"/>
    </row>
    <row r="913">
      <c r="A913" s="225"/>
      <c r="B913" s="225"/>
      <c r="C913" s="225"/>
      <c r="D913" s="226"/>
      <c r="E913" s="225"/>
      <c r="F913" s="225"/>
      <c r="G913" s="225"/>
      <c r="H913" s="225"/>
      <c r="I913" s="225"/>
      <c r="J913" s="225"/>
      <c r="K913" s="244"/>
      <c r="L913" s="225"/>
      <c r="M913" s="225"/>
      <c r="N913" s="225"/>
      <c r="O913" s="225"/>
      <c r="P913" s="225"/>
      <c r="Q913" s="227"/>
      <c r="R913" s="234"/>
      <c r="S913" s="225"/>
      <c r="T913" s="225"/>
      <c r="U913" s="225"/>
      <c r="V913" s="225"/>
      <c r="W913" s="225"/>
      <c r="X913" s="225"/>
      <c r="Y913" s="229"/>
      <c r="Z913" s="257"/>
      <c r="AA913" s="225"/>
      <c r="AB913" s="257"/>
      <c r="AC913" s="257"/>
      <c r="AD913" s="226"/>
      <c r="AE913" s="259"/>
      <c r="AF913" s="347"/>
      <c r="AG913" s="232"/>
      <c r="AH913" s="257"/>
      <c r="AI913" s="225"/>
      <c r="AJ913" s="267"/>
      <c r="AK913" s="259"/>
      <c r="AL913" s="226"/>
      <c r="AM913" s="225"/>
      <c r="AN913" s="225"/>
      <c r="AO913" s="254"/>
      <c r="AP913" s="225"/>
      <c r="AQ913" s="225"/>
      <c r="AR913" s="226"/>
      <c r="AS913" s="225"/>
      <c r="AT913" s="225"/>
      <c r="AU913" s="225"/>
      <c r="AV913" s="225"/>
      <c r="AW913" s="225"/>
      <c r="AX913" s="226"/>
      <c r="AY913" s="225"/>
      <c r="AZ913" s="225"/>
      <c r="BA913" s="226"/>
      <c r="BB913" s="225"/>
      <c r="BC913" s="225"/>
      <c r="BD913" s="225"/>
      <c r="BE913" s="225"/>
      <c r="BF913" s="225"/>
      <c r="BG913" s="225"/>
      <c r="BH913" s="225"/>
      <c r="BI913" s="225"/>
      <c r="BJ913" s="225"/>
      <c r="BK913" s="225"/>
      <c r="BL913" s="225"/>
      <c r="BM913" s="225"/>
      <c r="BN913" s="225"/>
      <c r="BO913" s="225"/>
      <c r="BP913" s="225"/>
      <c r="BQ913" s="225"/>
      <c r="BR913" s="225"/>
      <c r="BS913" s="225"/>
      <c r="BT913" s="226"/>
      <c r="BU913" s="225"/>
      <c r="BV913" s="225"/>
      <c r="BW913" s="225"/>
      <c r="BX913" s="225"/>
      <c r="BY913" s="225"/>
      <c r="BZ913" s="225"/>
    </row>
    <row r="914">
      <c r="A914" s="225"/>
      <c r="B914" s="225"/>
      <c r="C914" s="225"/>
      <c r="D914" s="226"/>
      <c r="E914" s="225"/>
      <c r="F914" s="225"/>
      <c r="G914" s="225"/>
      <c r="H914" s="225"/>
      <c r="I914" s="225"/>
      <c r="J914" s="225"/>
      <c r="K914" s="244"/>
      <c r="L914" s="225"/>
      <c r="M914" s="225"/>
      <c r="N914" s="225"/>
      <c r="O914" s="225"/>
      <c r="P914" s="225"/>
      <c r="Q914" s="227"/>
      <c r="R914" s="234"/>
      <c r="S914" s="225"/>
      <c r="T914" s="225"/>
      <c r="U914" s="225"/>
      <c r="V914" s="225"/>
      <c r="W914" s="225"/>
      <c r="X914" s="225"/>
      <c r="Y914" s="229"/>
      <c r="Z914" s="257"/>
      <c r="AA914" s="225"/>
      <c r="AB914" s="257"/>
      <c r="AC914" s="257"/>
      <c r="AD914" s="226"/>
      <c r="AE914" s="259"/>
      <c r="AF914" s="347"/>
      <c r="AG914" s="232"/>
      <c r="AH914" s="257"/>
      <c r="AI914" s="225"/>
      <c r="AJ914" s="267"/>
      <c r="AK914" s="259"/>
      <c r="AL914" s="226"/>
      <c r="AM914" s="225"/>
      <c r="AN914" s="225"/>
      <c r="AO914" s="254"/>
      <c r="AP914" s="225"/>
      <c r="AQ914" s="225"/>
      <c r="AR914" s="226"/>
      <c r="AS914" s="225"/>
      <c r="AT914" s="225"/>
      <c r="AU914" s="225"/>
      <c r="AV914" s="225"/>
      <c r="AW914" s="225"/>
      <c r="AX914" s="226"/>
      <c r="AY914" s="225"/>
      <c r="AZ914" s="225"/>
      <c r="BA914" s="226"/>
      <c r="BB914" s="225"/>
      <c r="BC914" s="225"/>
      <c r="BD914" s="225"/>
      <c r="BE914" s="225"/>
      <c r="BF914" s="225"/>
      <c r="BG914" s="225"/>
      <c r="BH914" s="225"/>
      <c r="BI914" s="225"/>
      <c r="BJ914" s="225"/>
      <c r="BK914" s="225"/>
      <c r="BL914" s="225"/>
      <c r="BM914" s="225"/>
      <c r="BN914" s="225"/>
      <c r="BO914" s="225"/>
      <c r="BP914" s="225"/>
      <c r="BQ914" s="225"/>
      <c r="BR914" s="225"/>
      <c r="BS914" s="225"/>
      <c r="BT914" s="226"/>
      <c r="BU914" s="225"/>
      <c r="BV914" s="225"/>
      <c r="BW914" s="225"/>
      <c r="BX914" s="225"/>
      <c r="BY914" s="225"/>
      <c r="BZ914" s="225"/>
    </row>
    <row r="915">
      <c r="A915" s="225"/>
      <c r="B915" s="225"/>
      <c r="C915" s="225"/>
      <c r="D915" s="226"/>
      <c r="E915" s="225"/>
      <c r="F915" s="225"/>
      <c r="G915" s="225"/>
      <c r="H915" s="225"/>
      <c r="I915" s="225"/>
      <c r="J915" s="225"/>
      <c r="K915" s="244"/>
      <c r="L915" s="225"/>
      <c r="M915" s="225"/>
      <c r="N915" s="225"/>
      <c r="O915" s="225"/>
      <c r="P915" s="225"/>
      <c r="Q915" s="227"/>
      <c r="R915" s="234"/>
      <c r="S915" s="225"/>
      <c r="T915" s="225"/>
      <c r="U915" s="225"/>
      <c r="V915" s="225"/>
      <c r="W915" s="225"/>
      <c r="X915" s="225"/>
      <c r="Y915" s="229"/>
      <c r="Z915" s="257"/>
      <c r="AA915" s="225"/>
      <c r="AB915" s="257"/>
      <c r="AC915" s="257"/>
      <c r="AD915" s="226"/>
      <c r="AE915" s="259"/>
      <c r="AF915" s="347"/>
      <c r="AG915" s="232"/>
      <c r="AH915" s="257"/>
      <c r="AI915" s="225"/>
      <c r="AJ915" s="267"/>
      <c r="AK915" s="259"/>
      <c r="AL915" s="226"/>
      <c r="AM915" s="225"/>
      <c r="AN915" s="225"/>
      <c r="AO915" s="254"/>
      <c r="AP915" s="225"/>
      <c r="AQ915" s="225"/>
      <c r="AR915" s="226"/>
      <c r="AS915" s="225"/>
      <c r="AT915" s="225"/>
      <c r="AU915" s="225"/>
      <c r="AV915" s="225"/>
      <c r="AW915" s="225"/>
      <c r="AX915" s="226"/>
      <c r="AY915" s="225"/>
      <c r="AZ915" s="225"/>
      <c r="BA915" s="226"/>
      <c r="BB915" s="225"/>
      <c r="BC915" s="225"/>
      <c r="BD915" s="225"/>
      <c r="BE915" s="225"/>
      <c r="BF915" s="225"/>
      <c r="BG915" s="225"/>
      <c r="BH915" s="225"/>
      <c r="BI915" s="225"/>
      <c r="BJ915" s="225"/>
      <c r="BK915" s="225"/>
      <c r="BL915" s="225"/>
      <c r="BM915" s="225"/>
      <c r="BN915" s="225"/>
      <c r="BO915" s="225"/>
      <c r="BP915" s="225"/>
      <c r="BQ915" s="225"/>
      <c r="BR915" s="225"/>
      <c r="BS915" s="225"/>
      <c r="BT915" s="226"/>
      <c r="BU915" s="225"/>
      <c r="BV915" s="225"/>
      <c r="BW915" s="225"/>
      <c r="BX915" s="225"/>
      <c r="BY915" s="225"/>
      <c r="BZ915" s="225"/>
    </row>
    <row r="916">
      <c r="A916" s="225"/>
      <c r="B916" s="225"/>
      <c r="C916" s="225"/>
      <c r="D916" s="226"/>
      <c r="E916" s="225"/>
      <c r="F916" s="225"/>
      <c r="G916" s="225"/>
      <c r="H916" s="225"/>
      <c r="I916" s="225"/>
      <c r="J916" s="225"/>
      <c r="K916" s="244"/>
      <c r="L916" s="225"/>
      <c r="M916" s="225"/>
      <c r="N916" s="225"/>
      <c r="O916" s="225"/>
      <c r="P916" s="225"/>
      <c r="Q916" s="227"/>
      <c r="R916" s="234"/>
      <c r="S916" s="225"/>
      <c r="T916" s="225"/>
      <c r="U916" s="225"/>
      <c r="V916" s="225"/>
      <c r="W916" s="225"/>
      <c r="X916" s="225"/>
      <c r="Y916" s="229"/>
      <c r="Z916" s="257"/>
      <c r="AA916" s="225"/>
      <c r="AB916" s="257"/>
      <c r="AC916" s="257"/>
      <c r="AD916" s="226"/>
      <c r="AE916" s="259"/>
      <c r="AF916" s="347"/>
      <c r="AG916" s="232"/>
      <c r="AH916" s="257"/>
      <c r="AI916" s="225"/>
      <c r="AJ916" s="267"/>
      <c r="AK916" s="259"/>
      <c r="AL916" s="226"/>
      <c r="AM916" s="225"/>
      <c r="AN916" s="225"/>
      <c r="AO916" s="254"/>
      <c r="AP916" s="225"/>
      <c r="AQ916" s="225"/>
      <c r="AR916" s="226"/>
      <c r="AS916" s="225"/>
      <c r="AT916" s="225"/>
      <c r="AU916" s="225"/>
      <c r="AV916" s="225"/>
      <c r="AW916" s="225"/>
      <c r="AX916" s="226"/>
      <c r="AY916" s="225"/>
      <c r="AZ916" s="225"/>
      <c r="BA916" s="226"/>
      <c r="BB916" s="225"/>
      <c r="BC916" s="225"/>
      <c r="BD916" s="225"/>
      <c r="BE916" s="225"/>
      <c r="BF916" s="225"/>
      <c r="BG916" s="225"/>
      <c r="BH916" s="225"/>
      <c r="BI916" s="225"/>
      <c r="BJ916" s="225"/>
      <c r="BK916" s="225"/>
      <c r="BL916" s="225"/>
      <c r="BM916" s="225"/>
      <c r="BN916" s="225"/>
      <c r="BO916" s="225"/>
      <c r="BP916" s="225"/>
      <c r="BQ916" s="225"/>
      <c r="BR916" s="225"/>
      <c r="BS916" s="225"/>
      <c r="BT916" s="226"/>
      <c r="BU916" s="225"/>
      <c r="BV916" s="225"/>
      <c r="BW916" s="225"/>
      <c r="BX916" s="225"/>
      <c r="BY916" s="225"/>
      <c r="BZ916" s="225"/>
    </row>
    <row r="917">
      <c r="A917" s="225"/>
      <c r="B917" s="225"/>
      <c r="C917" s="225"/>
      <c r="D917" s="226"/>
      <c r="E917" s="225"/>
      <c r="F917" s="225"/>
      <c r="G917" s="225"/>
      <c r="H917" s="225"/>
      <c r="I917" s="225"/>
      <c r="J917" s="225"/>
      <c r="K917" s="244"/>
      <c r="L917" s="225"/>
      <c r="M917" s="225"/>
      <c r="N917" s="225"/>
      <c r="O917" s="225"/>
      <c r="P917" s="225"/>
      <c r="Q917" s="227"/>
      <c r="R917" s="234"/>
      <c r="S917" s="225"/>
      <c r="T917" s="225"/>
      <c r="U917" s="225"/>
      <c r="V917" s="225"/>
      <c r="W917" s="225"/>
      <c r="X917" s="225"/>
      <c r="Y917" s="229"/>
      <c r="Z917" s="257"/>
      <c r="AA917" s="225"/>
      <c r="AB917" s="257"/>
      <c r="AC917" s="257"/>
      <c r="AD917" s="226"/>
      <c r="AE917" s="259"/>
      <c r="AF917" s="347"/>
      <c r="AG917" s="232"/>
      <c r="AH917" s="257"/>
      <c r="AI917" s="225"/>
      <c r="AJ917" s="267"/>
      <c r="AK917" s="259"/>
      <c r="AL917" s="226"/>
      <c r="AM917" s="225"/>
      <c r="AN917" s="225"/>
      <c r="AO917" s="254"/>
      <c r="AP917" s="225"/>
      <c r="AQ917" s="225"/>
      <c r="AR917" s="226"/>
      <c r="AS917" s="225"/>
      <c r="AT917" s="225"/>
      <c r="AU917" s="225"/>
      <c r="AV917" s="225"/>
      <c r="AW917" s="225"/>
      <c r="AX917" s="226"/>
      <c r="AY917" s="225"/>
      <c r="AZ917" s="225"/>
      <c r="BA917" s="226"/>
      <c r="BB917" s="225"/>
      <c r="BC917" s="225"/>
      <c r="BD917" s="225"/>
      <c r="BE917" s="225"/>
      <c r="BF917" s="225"/>
      <c r="BG917" s="225"/>
      <c r="BH917" s="225"/>
      <c r="BI917" s="225"/>
      <c r="BJ917" s="225"/>
      <c r="BK917" s="225"/>
      <c r="BL917" s="225"/>
      <c r="BM917" s="225"/>
      <c r="BN917" s="225"/>
      <c r="BO917" s="225"/>
      <c r="BP917" s="225"/>
      <c r="BQ917" s="225"/>
      <c r="BR917" s="225"/>
      <c r="BS917" s="225"/>
      <c r="BT917" s="226"/>
      <c r="BU917" s="225"/>
      <c r="BV917" s="225"/>
      <c r="BW917" s="225"/>
      <c r="BX917" s="225"/>
      <c r="BY917" s="225"/>
      <c r="BZ917" s="225"/>
    </row>
    <row r="918">
      <c r="A918" s="225"/>
      <c r="B918" s="225"/>
      <c r="C918" s="225"/>
      <c r="D918" s="226"/>
      <c r="E918" s="225"/>
      <c r="F918" s="225"/>
      <c r="G918" s="225"/>
      <c r="H918" s="225"/>
      <c r="I918" s="225"/>
      <c r="J918" s="225"/>
      <c r="K918" s="244"/>
      <c r="L918" s="225"/>
      <c r="M918" s="225"/>
      <c r="N918" s="225"/>
      <c r="O918" s="225"/>
      <c r="P918" s="225"/>
      <c r="Q918" s="227"/>
      <c r="R918" s="234"/>
      <c r="S918" s="225"/>
      <c r="T918" s="225"/>
      <c r="U918" s="225"/>
      <c r="V918" s="225"/>
      <c r="W918" s="225"/>
      <c r="X918" s="225"/>
      <c r="Y918" s="229"/>
      <c r="Z918" s="257"/>
      <c r="AA918" s="225"/>
      <c r="AB918" s="257"/>
      <c r="AC918" s="257"/>
      <c r="AD918" s="226"/>
      <c r="AE918" s="259"/>
      <c r="AF918" s="347"/>
      <c r="AG918" s="232"/>
      <c r="AH918" s="257"/>
      <c r="AI918" s="225"/>
      <c r="AJ918" s="267"/>
      <c r="AK918" s="259"/>
      <c r="AL918" s="226"/>
      <c r="AM918" s="225"/>
      <c r="AN918" s="225"/>
      <c r="AO918" s="254"/>
      <c r="AP918" s="225"/>
      <c r="AQ918" s="225"/>
      <c r="AR918" s="226"/>
      <c r="AS918" s="225"/>
      <c r="AT918" s="225"/>
      <c r="AU918" s="225"/>
      <c r="AV918" s="225"/>
      <c r="AW918" s="225"/>
      <c r="AX918" s="226"/>
      <c r="AY918" s="225"/>
      <c r="AZ918" s="225"/>
      <c r="BA918" s="226"/>
      <c r="BB918" s="225"/>
      <c r="BC918" s="225"/>
      <c r="BD918" s="225"/>
      <c r="BE918" s="225"/>
      <c r="BF918" s="225"/>
      <c r="BG918" s="225"/>
      <c r="BH918" s="225"/>
      <c r="BI918" s="225"/>
      <c r="BJ918" s="225"/>
      <c r="BK918" s="225"/>
      <c r="BL918" s="225"/>
      <c r="BM918" s="225"/>
      <c r="BN918" s="225"/>
      <c r="BO918" s="225"/>
      <c r="BP918" s="225"/>
      <c r="BQ918" s="225"/>
      <c r="BR918" s="225"/>
      <c r="BS918" s="225"/>
      <c r="BT918" s="226"/>
      <c r="BU918" s="225"/>
      <c r="BV918" s="225"/>
      <c r="BW918" s="225"/>
      <c r="BX918" s="225"/>
      <c r="BY918" s="225"/>
      <c r="BZ918" s="225"/>
    </row>
    <row r="919">
      <c r="A919" s="225"/>
      <c r="B919" s="225"/>
      <c r="C919" s="225"/>
      <c r="D919" s="226"/>
      <c r="E919" s="225"/>
      <c r="F919" s="225"/>
      <c r="G919" s="225"/>
      <c r="H919" s="225"/>
      <c r="I919" s="225"/>
      <c r="J919" s="225"/>
      <c r="K919" s="244"/>
      <c r="L919" s="225"/>
      <c r="M919" s="225"/>
      <c r="N919" s="225"/>
      <c r="O919" s="225"/>
      <c r="P919" s="225"/>
      <c r="Q919" s="227"/>
      <c r="R919" s="234"/>
      <c r="S919" s="225"/>
      <c r="T919" s="225"/>
      <c r="U919" s="225"/>
      <c r="V919" s="225"/>
      <c r="W919" s="225"/>
      <c r="X919" s="225"/>
      <c r="Y919" s="229"/>
      <c r="Z919" s="257"/>
      <c r="AA919" s="225"/>
      <c r="AB919" s="257"/>
      <c r="AC919" s="257"/>
      <c r="AD919" s="226"/>
      <c r="AE919" s="259"/>
      <c r="AF919" s="347"/>
      <c r="AG919" s="232"/>
      <c r="AH919" s="257"/>
      <c r="AI919" s="225"/>
      <c r="AJ919" s="267"/>
      <c r="AK919" s="259"/>
      <c r="AL919" s="226"/>
      <c r="AM919" s="225"/>
      <c r="AN919" s="225"/>
      <c r="AO919" s="254"/>
      <c r="AP919" s="225"/>
      <c r="AQ919" s="225"/>
      <c r="AR919" s="226"/>
      <c r="AS919" s="225"/>
      <c r="AT919" s="225"/>
      <c r="AU919" s="225"/>
      <c r="AV919" s="225"/>
      <c r="AW919" s="225"/>
      <c r="AX919" s="226"/>
      <c r="AY919" s="225"/>
      <c r="AZ919" s="225"/>
      <c r="BA919" s="226"/>
      <c r="BB919" s="225"/>
      <c r="BC919" s="225"/>
      <c r="BD919" s="225"/>
      <c r="BE919" s="225"/>
      <c r="BF919" s="225"/>
      <c r="BG919" s="225"/>
      <c r="BH919" s="225"/>
      <c r="BI919" s="225"/>
      <c r="BJ919" s="225"/>
      <c r="BK919" s="225"/>
      <c r="BL919" s="225"/>
      <c r="BM919" s="225"/>
      <c r="BN919" s="225"/>
      <c r="BO919" s="225"/>
      <c r="BP919" s="225"/>
      <c r="BQ919" s="225"/>
      <c r="BR919" s="225"/>
      <c r="BS919" s="225"/>
      <c r="BT919" s="226"/>
      <c r="BU919" s="225"/>
      <c r="BV919" s="225"/>
      <c r="BW919" s="225"/>
      <c r="BX919" s="225"/>
      <c r="BY919" s="225"/>
      <c r="BZ919" s="225"/>
    </row>
    <row r="920">
      <c r="A920" s="225"/>
      <c r="B920" s="225"/>
      <c r="C920" s="225"/>
      <c r="D920" s="226"/>
      <c r="E920" s="225"/>
      <c r="F920" s="225"/>
      <c r="G920" s="225"/>
      <c r="H920" s="225"/>
      <c r="I920" s="225"/>
      <c r="J920" s="225"/>
      <c r="K920" s="244"/>
      <c r="L920" s="225"/>
      <c r="M920" s="225"/>
      <c r="N920" s="225"/>
      <c r="O920" s="225"/>
      <c r="P920" s="225"/>
      <c r="Q920" s="227"/>
      <c r="R920" s="234"/>
      <c r="S920" s="225"/>
      <c r="T920" s="225"/>
      <c r="U920" s="225"/>
      <c r="V920" s="225"/>
      <c r="W920" s="225"/>
      <c r="X920" s="225"/>
      <c r="Y920" s="229"/>
      <c r="Z920" s="257"/>
      <c r="AA920" s="225"/>
      <c r="AB920" s="257"/>
      <c r="AC920" s="257"/>
      <c r="AD920" s="226"/>
      <c r="AE920" s="259"/>
      <c r="AF920" s="347"/>
      <c r="AG920" s="232"/>
      <c r="AH920" s="257"/>
      <c r="AI920" s="225"/>
      <c r="AJ920" s="267"/>
      <c r="AK920" s="259"/>
      <c r="AL920" s="226"/>
      <c r="AM920" s="225"/>
      <c r="AN920" s="225"/>
      <c r="AO920" s="254"/>
      <c r="AP920" s="225"/>
      <c r="AQ920" s="225"/>
      <c r="AR920" s="226"/>
      <c r="AS920" s="225"/>
      <c r="AT920" s="225"/>
      <c r="AU920" s="225"/>
      <c r="AV920" s="225"/>
      <c r="AW920" s="225"/>
      <c r="AX920" s="226"/>
      <c r="AY920" s="225"/>
      <c r="AZ920" s="225"/>
      <c r="BA920" s="226"/>
      <c r="BB920" s="225"/>
      <c r="BC920" s="225"/>
      <c r="BD920" s="225"/>
      <c r="BE920" s="225"/>
      <c r="BF920" s="225"/>
      <c r="BG920" s="225"/>
      <c r="BH920" s="225"/>
      <c r="BI920" s="225"/>
      <c r="BJ920" s="225"/>
      <c r="BK920" s="225"/>
      <c r="BL920" s="225"/>
      <c r="BM920" s="225"/>
      <c r="BN920" s="225"/>
      <c r="BO920" s="225"/>
      <c r="BP920" s="225"/>
      <c r="BQ920" s="225"/>
      <c r="BR920" s="225"/>
      <c r="BS920" s="225"/>
      <c r="BT920" s="226"/>
      <c r="BU920" s="225"/>
      <c r="BV920" s="225"/>
      <c r="BW920" s="225"/>
      <c r="BX920" s="225"/>
      <c r="BY920" s="225"/>
      <c r="BZ920" s="225"/>
    </row>
    <row r="921">
      <c r="A921" s="225"/>
      <c r="B921" s="225"/>
      <c r="C921" s="225"/>
      <c r="D921" s="226"/>
      <c r="E921" s="225"/>
      <c r="F921" s="225"/>
      <c r="G921" s="225"/>
      <c r="H921" s="225"/>
      <c r="I921" s="225"/>
      <c r="J921" s="225"/>
      <c r="K921" s="244"/>
      <c r="L921" s="225"/>
      <c r="M921" s="225"/>
      <c r="N921" s="225"/>
      <c r="O921" s="225"/>
      <c r="P921" s="225"/>
      <c r="Q921" s="227"/>
      <c r="R921" s="234"/>
      <c r="S921" s="225"/>
      <c r="T921" s="225"/>
      <c r="U921" s="225"/>
      <c r="V921" s="225"/>
      <c r="W921" s="225"/>
      <c r="X921" s="225"/>
      <c r="Y921" s="229"/>
      <c r="Z921" s="257"/>
      <c r="AA921" s="225"/>
      <c r="AB921" s="257"/>
      <c r="AC921" s="257"/>
      <c r="AD921" s="226"/>
      <c r="AE921" s="259"/>
      <c r="AF921" s="347"/>
      <c r="AG921" s="232"/>
      <c r="AH921" s="257"/>
      <c r="AI921" s="225"/>
      <c r="AJ921" s="267"/>
      <c r="AK921" s="259"/>
      <c r="AL921" s="226"/>
      <c r="AM921" s="225"/>
      <c r="AN921" s="225"/>
      <c r="AO921" s="254"/>
      <c r="AP921" s="225"/>
      <c r="AQ921" s="225"/>
      <c r="AR921" s="226"/>
      <c r="AS921" s="225"/>
      <c r="AT921" s="225"/>
      <c r="AU921" s="225"/>
      <c r="AV921" s="225"/>
      <c r="AW921" s="225"/>
      <c r="AX921" s="226"/>
      <c r="AY921" s="225"/>
      <c r="AZ921" s="225"/>
      <c r="BA921" s="226"/>
      <c r="BB921" s="225"/>
      <c r="BC921" s="225"/>
      <c r="BD921" s="225"/>
      <c r="BE921" s="225"/>
      <c r="BF921" s="225"/>
      <c r="BG921" s="225"/>
      <c r="BH921" s="225"/>
      <c r="BI921" s="225"/>
      <c r="BJ921" s="225"/>
      <c r="BK921" s="225"/>
      <c r="BL921" s="225"/>
      <c r="BM921" s="225"/>
      <c r="BN921" s="225"/>
      <c r="BO921" s="225"/>
      <c r="BP921" s="225"/>
      <c r="BQ921" s="225"/>
      <c r="BR921" s="225"/>
      <c r="BS921" s="225"/>
      <c r="BT921" s="226"/>
      <c r="BU921" s="225"/>
      <c r="BV921" s="225"/>
      <c r="BW921" s="225"/>
      <c r="BX921" s="225"/>
      <c r="BY921" s="225"/>
      <c r="BZ921" s="225"/>
    </row>
    <row r="922">
      <c r="A922" s="225"/>
      <c r="B922" s="225"/>
      <c r="C922" s="225"/>
      <c r="D922" s="226"/>
      <c r="E922" s="225"/>
      <c r="F922" s="225"/>
      <c r="G922" s="225"/>
      <c r="H922" s="225"/>
      <c r="I922" s="225"/>
      <c r="J922" s="225"/>
      <c r="K922" s="244"/>
      <c r="L922" s="225"/>
      <c r="M922" s="225"/>
      <c r="N922" s="225"/>
      <c r="O922" s="225"/>
      <c r="P922" s="225"/>
      <c r="Q922" s="227"/>
      <c r="R922" s="234"/>
      <c r="S922" s="225"/>
      <c r="T922" s="225"/>
      <c r="U922" s="225"/>
      <c r="V922" s="225"/>
      <c r="W922" s="225"/>
      <c r="X922" s="225"/>
      <c r="Y922" s="229"/>
      <c r="Z922" s="257"/>
      <c r="AA922" s="225"/>
      <c r="AB922" s="257"/>
      <c r="AC922" s="257"/>
      <c r="AD922" s="226"/>
      <c r="AE922" s="259"/>
      <c r="AF922" s="347"/>
      <c r="AG922" s="232"/>
      <c r="AH922" s="257"/>
      <c r="AI922" s="225"/>
      <c r="AJ922" s="267"/>
      <c r="AK922" s="259"/>
      <c r="AL922" s="226"/>
      <c r="AM922" s="225"/>
      <c r="AN922" s="225"/>
      <c r="AO922" s="254"/>
      <c r="AP922" s="225"/>
      <c r="AQ922" s="225"/>
      <c r="AR922" s="226"/>
      <c r="AS922" s="225"/>
      <c r="AT922" s="225"/>
      <c r="AU922" s="225"/>
      <c r="AV922" s="225"/>
      <c r="AW922" s="225"/>
      <c r="AX922" s="226"/>
      <c r="AY922" s="225"/>
      <c r="AZ922" s="225"/>
      <c r="BA922" s="226"/>
      <c r="BB922" s="225"/>
      <c r="BC922" s="225"/>
      <c r="BD922" s="225"/>
      <c r="BE922" s="225"/>
      <c r="BF922" s="225"/>
      <c r="BG922" s="225"/>
      <c r="BH922" s="225"/>
      <c r="BI922" s="225"/>
      <c r="BJ922" s="225"/>
      <c r="BK922" s="225"/>
      <c r="BL922" s="225"/>
      <c r="BM922" s="225"/>
      <c r="BN922" s="225"/>
      <c r="BO922" s="225"/>
      <c r="BP922" s="225"/>
      <c r="BQ922" s="225"/>
      <c r="BR922" s="225"/>
      <c r="BS922" s="225"/>
      <c r="BT922" s="226"/>
      <c r="BU922" s="225"/>
      <c r="BV922" s="225"/>
      <c r="BW922" s="225"/>
      <c r="BX922" s="225"/>
      <c r="BY922" s="225"/>
      <c r="BZ922" s="225"/>
    </row>
    <row r="923">
      <c r="A923" s="225"/>
      <c r="B923" s="225"/>
      <c r="C923" s="225"/>
      <c r="D923" s="226"/>
      <c r="E923" s="225"/>
      <c r="F923" s="225"/>
      <c r="G923" s="225"/>
      <c r="H923" s="225"/>
      <c r="I923" s="225"/>
      <c r="J923" s="225"/>
      <c r="K923" s="244"/>
      <c r="L923" s="225"/>
      <c r="M923" s="225"/>
      <c r="N923" s="225"/>
      <c r="O923" s="225"/>
      <c r="P923" s="225"/>
      <c r="Q923" s="227"/>
      <c r="R923" s="234"/>
      <c r="S923" s="225"/>
      <c r="T923" s="225"/>
      <c r="U923" s="225"/>
      <c r="V923" s="225"/>
      <c r="W923" s="225"/>
      <c r="X923" s="225"/>
      <c r="Y923" s="229"/>
      <c r="Z923" s="257"/>
      <c r="AA923" s="225"/>
      <c r="AB923" s="257"/>
      <c r="AC923" s="257"/>
      <c r="AD923" s="226"/>
      <c r="AE923" s="259"/>
      <c r="AF923" s="347"/>
      <c r="AG923" s="232"/>
      <c r="AH923" s="257"/>
      <c r="AI923" s="225"/>
      <c r="AJ923" s="267"/>
      <c r="AK923" s="259"/>
      <c r="AL923" s="226"/>
      <c r="AM923" s="225"/>
      <c r="AN923" s="225"/>
      <c r="AO923" s="254"/>
      <c r="AP923" s="225"/>
      <c r="AQ923" s="225"/>
      <c r="AR923" s="226"/>
      <c r="AS923" s="225"/>
      <c r="AT923" s="225"/>
      <c r="AU923" s="225"/>
      <c r="AV923" s="225"/>
      <c r="AW923" s="225"/>
      <c r="AX923" s="226"/>
      <c r="AY923" s="225"/>
      <c r="AZ923" s="225"/>
      <c r="BA923" s="226"/>
      <c r="BB923" s="225"/>
      <c r="BC923" s="225"/>
      <c r="BD923" s="225"/>
      <c r="BE923" s="225"/>
      <c r="BF923" s="225"/>
      <c r="BG923" s="225"/>
      <c r="BH923" s="225"/>
      <c r="BI923" s="225"/>
      <c r="BJ923" s="225"/>
      <c r="BK923" s="225"/>
      <c r="BL923" s="225"/>
      <c r="BM923" s="225"/>
      <c r="BN923" s="225"/>
      <c r="BO923" s="225"/>
      <c r="BP923" s="225"/>
      <c r="BQ923" s="225"/>
      <c r="BR923" s="225"/>
      <c r="BS923" s="225"/>
      <c r="BT923" s="226"/>
      <c r="BU923" s="225"/>
      <c r="BV923" s="225"/>
      <c r="BW923" s="225"/>
      <c r="BX923" s="225"/>
      <c r="BY923" s="225"/>
      <c r="BZ923" s="225"/>
    </row>
    <row r="924">
      <c r="A924" s="225"/>
      <c r="B924" s="225"/>
      <c r="C924" s="225"/>
      <c r="D924" s="226"/>
      <c r="E924" s="225"/>
      <c r="F924" s="225"/>
      <c r="G924" s="225"/>
      <c r="H924" s="225"/>
      <c r="I924" s="225"/>
      <c r="J924" s="225"/>
      <c r="K924" s="244"/>
      <c r="L924" s="225"/>
      <c r="M924" s="225"/>
      <c r="N924" s="225"/>
      <c r="O924" s="225"/>
      <c r="P924" s="225"/>
      <c r="Q924" s="227"/>
      <c r="R924" s="234"/>
      <c r="S924" s="225"/>
      <c r="T924" s="225"/>
      <c r="U924" s="225"/>
      <c r="V924" s="225"/>
      <c r="W924" s="225"/>
      <c r="X924" s="225"/>
      <c r="Y924" s="229"/>
      <c r="Z924" s="257"/>
      <c r="AA924" s="225"/>
      <c r="AB924" s="257"/>
      <c r="AC924" s="257"/>
      <c r="AD924" s="226"/>
      <c r="AE924" s="259"/>
      <c r="AF924" s="347"/>
      <c r="AG924" s="232"/>
      <c r="AH924" s="257"/>
      <c r="AI924" s="225"/>
      <c r="AJ924" s="267"/>
      <c r="AK924" s="259"/>
      <c r="AL924" s="226"/>
      <c r="AM924" s="225"/>
      <c r="AN924" s="225"/>
      <c r="AO924" s="254"/>
      <c r="AP924" s="225"/>
      <c r="AQ924" s="225"/>
      <c r="AR924" s="226"/>
      <c r="AS924" s="225"/>
      <c r="AT924" s="225"/>
      <c r="AU924" s="225"/>
      <c r="AV924" s="225"/>
      <c r="AW924" s="225"/>
      <c r="AX924" s="226"/>
      <c r="AY924" s="225"/>
      <c r="AZ924" s="225"/>
      <c r="BA924" s="226"/>
      <c r="BB924" s="225"/>
      <c r="BC924" s="225"/>
      <c r="BD924" s="225"/>
      <c r="BE924" s="225"/>
      <c r="BF924" s="225"/>
      <c r="BG924" s="225"/>
      <c r="BH924" s="225"/>
      <c r="BI924" s="225"/>
      <c r="BJ924" s="225"/>
      <c r="BK924" s="225"/>
      <c r="BL924" s="225"/>
      <c r="BM924" s="225"/>
      <c r="BN924" s="225"/>
      <c r="BO924" s="225"/>
      <c r="BP924" s="225"/>
      <c r="BQ924" s="225"/>
      <c r="BR924" s="225"/>
      <c r="BS924" s="225"/>
      <c r="BT924" s="226"/>
      <c r="BU924" s="225"/>
      <c r="BV924" s="225"/>
      <c r="BW924" s="225"/>
      <c r="BX924" s="225"/>
      <c r="BY924" s="225"/>
      <c r="BZ924" s="225"/>
    </row>
    <row r="925">
      <c r="A925" s="225"/>
      <c r="B925" s="225"/>
      <c r="C925" s="225"/>
      <c r="D925" s="226"/>
      <c r="E925" s="225"/>
      <c r="F925" s="225"/>
      <c r="G925" s="225"/>
      <c r="H925" s="225"/>
      <c r="I925" s="225"/>
      <c r="J925" s="225"/>
      <c r="K925" s="244"/>
      <c r="L925" s="225"/>
      <c r="M925" s="225"/>
      <c r="N925" s="225"/>
      <c r="O925" s="225"/>
      <c r="P925" s="225"/>
      <c r="Q925" s="227"/>
      <c r="R925" s="234"/>
      <c r="S925" s="225"/>
      <c r="T925" s="225"/>
      <c r="U925" s="225"/>
      <c r="V925" s="225"/>
      <c r="W925" s="225"/>
      <c r="X925" s="225"/>
      <c r="Y925" s="229"/>
      <c r="Z925" s="257"/>
      <c r="AA925" s="225"/>
      <c r="AB925" s="257"/>
      <c r="AC925" s="257"/>
      <c r="AD925" s="226"/>
      <c r="AE925" s="259"/>
      <c r="AF925" s="347"/>
      <c r="AG925" s="232"/>
      <c r="AH925" s="257"/>
      <c r="AI925" s="225"/>
      <c r="AJ925" s="267"/>
      <c r="AK925" s="259"/>
      <c r="AL925" s="226"/>
      <c r="AM925" s="225"/>
      <c r="AN925" s="225"/>
      <c r="AO925" s="254"/>
      <c r="AP925" s="225"/>
      <c r="AQ925" s="225"/>
      <c r="AR925" s="226"/>
      <c r="AS925" s="225"/>
      <c r="AT925" s="225"/>
      <c r="AU925" s="225"/>
      <c r="AV925" s="225"/>
      <c r="AW925" s="225"/>
      <c r="AX925" s="226"/>
      <c r="AY925" s="225"/>
      <c r="AZ925" s="225"/>
      <c r="BA925" s="226"/>
      <c r="BB925" s="225"/>
      <c r="BC925" s="225"/>
      <c r="BD925" s="225"/>
      <c r="BE925" s="225"/>
      <c r="BF925" s="225"/>
      <c r="BG925" s="225"/>
      <c r="BH925" s="225"/>
      <c r="BI925" s="225"/>
      <c r="BJ925" s="225"/>
      <c r="BK925" s="225"/>
      <c r="BL925" s="225"/>
      <c r="BM925" s="225"/>
      <c r="BN925" s="225"/>
      <c r="BO925" s="225"/>
      <c r="BP925" s="225"/>
      <c r="BQ925" s="225"/>
      <c r="BR925" s="225"/>
      <c r="BS925" s="225"/>
      <c r="BT925" s="226"/>
      <c r="BU925" s="225"/>
      <c r="BV925" s="225"/>
      <c r="BW925" s="225"/>
      <c r="BX925" s="225"/>
      <c r="BY925" s="225"/>
      <c r="BZ925" s="225"/>
    </row>
    <row r="926">
      <c r="A926" s="225"/>
      <c r="B926" s="225"/>
      <c r="C926" s="225"/>
      <c r="D926" s="226"/>
      <c r="E926" s="225"/>
      <c r="F926" s="225"/>
      <c r="G926" s="225"/>
      <c r="H926" s="225"/>
      <c r="I926" s="225"/>
      <c r="J926" s="225"/>
      <c r="K926" s="244"/>
      <c r="L926" s="225"/>
      <c r="M926" s="225"/>
      <c r="N926" s="225"/>
      <c r="O926" s="225"/>
      <c r="P926" s="225"/>
      <c r="Q926" s="227"/>
      <c r="R926" s="234"/>
      <c r="S926" s="225"/>
      <c r="T926" s="225"/>
      <c r="U926" s="225"/>
      <c r="V926" s="225"/>
      <c r="W926" s="225"/>
      <c r="X926" s="225"/>
      <c r="Y926" s="229"/>
      <c r="Z926" s="257"/>
      <c r="AA926" s="225"/>
      <c r="AB926" s="257"/>
      <c r="AC926" s="257"/>
      <c r="AD926" s="226"/>
      <c r="AE926" s="259"/>
      <c r="AF926" s="347"/>
      <c r="AG926" s="232"/>
      <c r="AH926" s="257"/>
      <c r="AI926" s="225"/>
      <c r="AJ926" s="267"/>
      <c r="AK926" s="259"/>
      <c r="AL926" s="226"/>
      <c r="AM926" s="225"/>
      <c r="AN926" s="225"/>
      <c r="AO926" s="254"/>
      <c r="AP926" s="225"/>
      <c r="AQ926" s="225"/>
      <c r="AR926" s="226"/>
      <c r="AS926" s="225"/>
      <c r="AT926" s="225"/>
      <c r="AU926" s="225"/>
      <c r="AV926" s="225"/>
      <c r="AW926" s="225"/>
      <c r="AX926" s="226"/>
      <c r="AY926" s="225"/>
      <c r="AZ926" s="225"/>
      <c r="BA926" s="226"/>
      <c r="BB926" s="225"/>
      <c r="BC926" s="225"/>
      <c r="BD926" s="225"/>
      <c r="BE926" s="225"/>
      <c r="BF926" s="225"/>
      <c r="BG926" s="225"/>
      <c r="BH926" s="225"/>
      <c r="BI926" s="225"/>
      <c r="BJ926" s="225"/>
      <c r="BK926" s="225"/>
      <c r="BL926" s="225"/>
      <c r="BM926" s="225"/>
      <c r="BN926" s="225"/>
      <c r="BO926" s="225"/>
      <c r="BP926" s="225"/>
      <c r="BQ926" s="225"/>
      <c r="BR926" s="225"/>
      <c r="BS926" s="225"/>
      <c r="BT926" s="226"/>
      <c r="BU926" s="225"/>
      <c r="BV926" s="225"/>
      <c r="BW926" s="225"/>
      <c r="BX926" s="225"/>
      <c r="BY926" s="225"/>
      <c r="BZ926" s="225"/>
    </row>
    <row r="927">
      <c r="A927" s="225"/>
      <c r="B927" s="225"/>
      <c r="C927" s="225"/>
      <c r="D927" s="226"/>
      <c r="E927" s="225"/>
      <c r="F927" s="225"/>
      <c r="G927" s="225"/>
      <c r="H927" s="225"/>
      <c r="I927" s="225"/>
      <c r="J927" s="225"/>
      <c r="K927" s="244"/>
      <c r="L927" s="225"/>
      <c r="M927" s="225"/>
      <c r="N927" s="225"/>
      <c r="O927" s="225"/>
      <c r="P927" s="225"/>
      <c r="Q927" s="227"/>
      <c r="R927" s="234"/>
      <c r="S927" s="225"/>
      <c r="T927" s="225"/>
      <c r="U927" s="225"/>
      <c r="V927" s="225"/>
      <c r="W927" s="225"/>
      <c r="X927" s="225"/>
      <c r="Y927" s="229"/>
      <c r="Z927" s="257"/>
      <c r="AA927" s="225"/>
      <c r="AB927" s="257"/>
      <c r="AC927" s="257"/>
      <c r="AD927" s="226"/>
      <c r="AE927" s="259"/>
      <c r="AF927" s="347"/>
      <c r="AG927" s="232"/>
      <c r="AH927" s="257"/>
      <c r="AI927" s="225"/>
      <c r="AJ927" s="267"/>
      <c r="AK927" s="259"/>
      <c r="AL927" s="226"/>
      <c r="AM927" s="225"/>
      <c r="AN927" s="225"/>
      <c r="AO927" s="254"/>
      <c r="AP927" s="225"/>
      <c r="AQ927" s="225"/>
      <c r="AR927" s="226"/>
      <c r="AS927" s="225"/>
      <c r="AT927" s="225"/>
      <c r="AU927" s="225"/>
      <c r="AV927" s="225"/>
      <c r="AW927" s="225"/>
      <c r="AX927" s="226"/>
      <c r="AY927" s="225"/>
      <c r="AZ927" s="225"/>
      <c r="BA927" s="226"/>
      <c r="BB927" s="225"/>
      <c r="BC927" s="225"/>
      <c r="BD927" s="225"/>
      <c r="BE927" s="225"/>
      <c r="BF927" s="225"/>
      <c r="BG927" s="225"/>
      <c r="BH927" s="225"/>
      <c r="BI927" s="225"/>
      <c r="BJ927" s="225"/>
      <c r="BK927" s="225"/>
      <c r="BL927" s="225"/>
      <c r="BM927" s="225"/>
      <c r="BN927" s="225"/>
      <c r="BO927" s="225"/>
      <c r="BP927" s="225"/>
      <c r="BQ927" s="225"/>
      <c r="BR927" s="225"/>
      <c r="BS927" s="225"/>
      <c r="BT927" s="226"/>
      <c r="BU927" s="225"/>
      <c r="BV927" s="225"/>
      <c r="BW927" s="225"/>
      <c r="BX927" s="225"/>
      <c r="BY927" s="225"/>
      <c r="BZ927" s="225"/>
    </row>
    <row r="928">
      <c r="A928" s="225"/>
      <c r="B928" s="225"/>
      <c r="C928" s="225"/>
      <c r="D928" s="226"/>
      <c r="E928" s="225"/>
      <c r="F928" s="225"/>
      <c r="G928" s="225"/>
      <c r="H928" s="225"/>
      <c r="I928" s="225"/>
      <c r="J928" s="225"/>
      <c r="K928" s="244"/>
      <c r="L928" s="225"/>
      <c r="M928" s="225"/>
      <c r="N928" s="225"/>
      <c r="O928" s="225"/>
      <c r="P928" s="225"/>
      <c r="Q928" s="227"/>
      <c r="R928" s="234"/>
      <c r="S928" s="225"/>
      <c r="T928" s="225"/>
      <c r="U928" s="225"/>
      <c r="V928" s="225"/>
      <c r="W928" s="225"/>
      <c r="X928" s="225"/>
      <c r="Y928" s="229"/>
      <c r="Z928" s="257"/>
      <c r="AA928" s="225"/>
      <c r="AB928" s="257"/>
      <c r="AC928" s="257"/>
      <c r="AD928" s="226"/>
      <c r="AE928" s="259"/>
      <c r="AF928" s="347"/>
      <c r="AG928" s="232"/>
      <c r="AH928" s="257"/>
      <c r="AI928" s="225"/>
      <c r="AJ928" s="267"/>
      <c r="AK928" s="259"/>
      <c r="AL928" s="226"/>
      <c r="AM928" s="225"/>
      <c r="AN928" s="225"/>
      <c r="AO928" s="254"/>
      <c r="AP928" s="225"/>
      <c r="AQ928" s="225"/>
      <c r="AR928" s="226"/>
      <c r="AS928" s="225"/>
      <c r="AT928" s="225"/>
      <c r="AU928" s="225"/>
      <c r="AV928" s="225"/>
      <c r="AW928" s="225"/>
      <c r="AX928" s="226"/>
      <c r="AY928" s="225"/>
      <c r="AZ928" s="225"/>
      <c r="BA928" s="226"/>
      <c r="BB928" s="225"/>
      <c r="BC928" s="225"/>
      <c r="BD928" s="225"/>
      <c r="BE928" s="225"/>
      <c r="BF928" s="225"/>
      <c r="BG928" s="225"/>
      <c r="BH928" s="225"/>
      <c r="BI928" s="225"/>
      <c r="BJ928" s="225"/>
      <c r="BK928" s="225"/>
      <c r="BL928" s="225"/>
      <c r="BM928" s="225"/>
      <c r="BN928" s="225"/>
      <c r="BO928" s="225"/>
      <c r="BP928" s="225"/>
      <c r="BQ928" s="225"/>
      <c r="BR928" s="225"/>
      <c r="BS928" s="225"/>
      <c r="BT928" s="226"/>
      <c r="BU928" s="225"/>
      <c r="BV928" s="225"/>
      <c r="BW928" s="225"/>
      <c r="BX928" s="225"/>
      <c r="BY928" s="225"/>
      <c r="BZ928" s="225"/>
    </row>
    <row r="929">
      <c r="A929" s="225"/>
      <c r="B929" s="225"/>
      <c r="C929" s="225"/>
      <c r="D929" s="226"/>
      <c r="E929" s="225"/>
      <c r="F929" s="225"/>
      <c r="G929" s="225"/>
      <c r="H929" s="225"/>
      <c r="I929" s="225"/>
      <c r="J929" s="225"/>
      <c r="K929" s="244"/>
      <c r="L929" s="225"/>
      <c r="M929" s="225"/>
      <c r="N929" s="225"/>
      <c r="O929" s="225"/>
      <c r="P929" s="225"/>
      <c r="Q929" s="227"/>
      <c r="R929" s="234"/>
      <c r="S929" s="225"/>
      <c r="T929" s="225"/>
      <c r="U929" s="225"/>
      <c r="V929" s="225"/>
      <c r="W929" s="225"/>
      <c r="X929" s="225"/>
      <c r="Y929" s="229"/>
      <c r="Z929" s="257"/>
      <c r="AA929" s="225"/>
      <c r="AB929" s="257"/>
      <c r="AC929" s="257"/>
      <c r="AD929" s="226"/>
      <c r="AE929" s="259"/>
      <c r="AF929" s="347"/>
      <c r="AG929" s="232"/>
      <c r="AH929" s="257"/>
      <c r="AI929" s="225"/>
      <c r="AJ929" s="267"/>
      <c r="AK929" s="259"/>
      <c r="AL929" s="226"/>
      <c r="AM929" s="225"/>
      <c r="AN929" s="225"/>
      <c r="AO929" s="254"/>
      <c r="AP929" s="225"/>
      <c r="AQ929" s="225"/>
      <c r="AR929" s="226"/>
      <c r="AS929" s="225"/>
      <c r="AT929" s="225"/>
      <c r="AU929" s="225"/>
      <c r="AV929" s="225"/>
      <c r="AW929" s="225"/>
      <c r="AX929" s="226"/>
      <c r="AY929" s="225"/>
      <c r="AZ929" s="225"/>
      <c r="BA929" s="226"/>
      <c r="BB929" s="225"/>
      <c r="BC929" s="225"/>
      <c r="BD929" s="225"/>
      <c r="BE929" s="225"/>
      <c r="BF929" s="225"/>
      <c r="BG929" s="225"/>
      <c r="BH929" s="225"/>
      <c r="BI929" s="225"/>
      <c r="BJ929" s="225"/>
      <c r="BK929" s="225"/>
      <c r="BL929" s="225"/>
      <c r="BM929" s="225"/>
      <c r="BN929" s="225"/>
      <c r="BO929" s="225"/>
      <c r="BP929" s="225"/>
      <c r="BQ929" s="225"/>
      <c r="BR929" s="225"/>
      <c r="BS929" s="225"/>
      <c r="BT929" s="226"/>
      <c r="BU929" s="225"/>
      <c r="BV929" s="225"/>
      <c r="BW929" s="225"/>
      <c r="BX929" s="225"/>
      <c r="BY929" s="225"/>
      <c r="BZ929" s="225"/>
    </row>
    <row r="930">
      <c r="A930" s="225"/>
      <c r="B930" s="225"/>
      <c r="C930" s="225"/>
      <c r="D930" s="226"/>
      <c r="E930" s="225"/>
      <c r="F930" s="225"/>
      <c r="G930" s="225"/>
      <c r="H930" s="225"/>
      <c r="I930" s="225"/>
      <c r="J930" s="225"/>
      <c r="K930" s="244"/>
      <c r="L930" s="225"/>
      <c r="M930" s="225"/>
      <c r="N930" s="225"/>
      <c r="O930" s="225"/>
      <c r="P930" s="225"/>
      <c r="Q930" s="227"/>
      <c r="R930" s="234"/>
      <c r="S930" s="225"/>
      <c r="T930" s="225"/>
      <c r="U930" s="225"/>
      <c r="V930" s="225"/>
      <c r="W930" s="225"/>
      <c r="X930" s="225"/>
      <c r="Y930" s="229"/>
      <c r="Z930" s="257"/>
      <c r="AA930" s="225"/>
      <c r="AB930" s="257"/>
      <c r="AC930" s="257"/>
      <c r="AD930" s="226"/>
      <c r="AE930" s="259"/>
      <c r="AF930" s="347"/>
      <c r="AG930" s="232"/>
      <c r="AH930" s="257"/>
      <c r="AI930" s="225"/>
      <c r="AJ930" s="267"/>
      <c r="AK930" s="259"/>
      <c r="AL930" s="226"/>
      <c r="AM930" s="225"/>
      <c r="AN930" s="225"/>
      <c r="AO930" s="254"/>
      <c r="AP930" s="225"/>
      <c r="AQ930" s="225"/>
      <c r="AR930" s="226"/>
      <c r="AS930" s="225"/>
      <c r="AT930" s="225"/>
      <c r="AU930" s="225"/>
      <c r="AV930" s="225"/>
      <c r="AW930" s="225"/>
      <c r="AX930" s="226"/>
      <c r="AY930" s="225"/>
      <c r="AZ930" s="225"/>
      <c r="BA930" s="226"/>
      <c r="BB930" s="225"/>
      <c r="BC930" s="225"/>
      <c r="BD930" s="225"/>
      <c r="BE930" s="225"/>
      <c r="BF930" s="225"/>
      <c r="BG930" s="225"/>
      <c r="BH930" s="225"/>
      <c r="BI930" s="225"/>
      <c r="BJ930" s="225"/>
      <c r="BK930" s="225"/>
      <c r="BL930" s="225"/>
      <c r="BM930" s="225"/>
      <c r="BN930" s="225"/>
      <c r="BO930" s="225"/>
      <c r="BP930" s="225"/>
      <c r="BQ930" s="225"/>
      <c r="BR930" s="225"/>
      <c r="BS930" s="225"/>
      <c r="BT930" s="226"/>
      <c r="BU930" s="225"/>
      <c r="BV930" s="225"/>
      <c r="BW930" s="225"/>
      <c r="BX930" s="225"/>
      <c r="BY930" s="225"/>
      <c r="BZ930" s="225"/>
    </row>
    <row r="931">
      <c r="A931" s="225"/>
      <c r="B931" s="225"/>
      <c r="C931" s="225"/>
      <c r="D931" s="226"/>
      <c r="E931" s="225"/>
      <c r="F931" s="225"/>
      <c r="G931" s="225"/>
      <c r="H931" s="225"/>
      <c r="I931" s="225"/>
      <c r="J931" s="225"/>
      <c r="K931" s="244"/>
      <c r="L931" s="225"/>
      <c r="M931" s="225"/>
      <c r="N931" s="225"/>
      <c r="O931" s="225"/>
      <c r="P931" s="225"/>
      <c r="Q931" s="227"/>
      <c r="R931" s="234"/>
      <c r="S931" s="225"/>
      <c r="T931" s="225"/>
      <c r="U931" s="225"/>
      <c r="V931" s="225"/>
      <c r="W931" s="225"/>
      <c r="X931" s="225"/>
      <c r="Y931" s="229"/>
      <c r="Z931" s="257"/>
      <c r="AA931" s="225"/>
      <c r="AB931" s="257"/>
      <c r="AC931" s="257"/>
      <c r="AD931" s="226"/>
      <c r="AE931" s="259"/>
      <c r="AF931" s="347"/>
      <c r="AG931" s="232"/>
      <c r="AH931" s="257"/>
      <c r="AI931" s="225"/>
      <c r="AJ931" s="267"/>
      <c r="AK931" s="259"/>
      <c r="AL931" s="226"/>
      <c r="AM931" s="225"/>
      <c r="AN931" s="225"/>
      <c r="AO931" s="254"/>
      <c r="AP931" s="225"/>
      <c r="AQ931" s="225"/>
      <c r="AR931" s="226"/>
      <c r="AS931" s="225"/>
      <c r="AT931" s="225"/>
      <c r="AU931" s="225"/>
      <c r="AV931" s="225"/>
      <c r="AW931" s="225"/>
      <c r="AX931" s="226"/>
      <c r="AY931" s="225"/>
      <c r="AZ931" s="225"/>
      <c r="BA931" s="226"/>
      <c r="BB931" s="225"/>
      <c r="BC931" s="225"/>
      <c r="BD931" s="225"/>
      <c r="BE931" s="225"/>
      <c r="BF931" s="225"/>
      <c r="BG931" s="225"/>
      <c r="BH931" s="225"/>
      <c r="BI931" s="225"/>
      <c r="BJ931" s="225"/>
      <c r="BK931" s="225"/>
      <c r="BL931" s="225"/>
      <c r="BM931" s="225"/>
      <c r="BN931" s="225"/>
      <c r="BO931" s="225"/>
      <c r="BP931" s="225"/>
      <c r="BQ931" s="225"/>
      <c r="BR931" s="225"/>
      <c r="BS931" s="225"/>
      <c r="BT931" s="226"/>
      <c r="BU931" s="225"/>
      <c r="BV931" s="225"/>
      <c r="BW931" s="225"/>
      <c r="BX931" s="225"/>
      <c r="BY931" s="225"/>
      <c r="BZ931" s="225"/>
    </row>
    <row r="932">
      <c r="A932" s="225"/>
      <c r="B932" s="225"/>
      <c r="C932" s="225"/>
      <c r="D932" s="226"/>
      <c r="E932" s="225"/>
      <c r="F932" s="225"/>
      <c r="G932" s="225"/>
      <c r="H932" s="225"/>
      <c r="I932" s="225"/>
      <c r="J932" s="225"/>
      <c r="K932" s="244"/>
      <c r="L932" s="225"/>
      <c r="M932" s="225"/>
      <c r="N932" s="225"/>
      <c r="O932" s="225"/>
      <c r="P932" s="225"/>
      <c r="Q932" s="227"/>
      <c r="R932" s="234"/>
      <c r="S932" s="225"/>
      <c r="T932" s="225"/>
      <c r="U932" s="225"/>
      <c r="V932" s="225"/>
      <c r="W932" s="225"/>
      <c r="X932" s="225"/>
      <c r="Y932" s="229"/>
      <c r="Z932" s="257"/>
      <c r="AA932" s="225"/>
      <c r="AB932" s="257"/>
      <c r="AC932" s="257"/>
      <c r="AD932" s="226"/>
      <c r="AE932" s="259"/>
      <c r="AF932" s="347"/>
      <c r="AG932" s="232"/>
      <c r="AH932" s="257"/>
      <c r="AI932" s="225"/>
      <c r="AJ932" s="267"/>
      <c r="AK932" s="259"/>
      <c r="AL932" s="226"/>
      <c r="AM932" s="225"/>
      <c r="AN932" s="225"/>
      <c r="AO932" s="254"/>
      <c r="AP932" s="225"/>
      <c r="AQ932" s="225"/>
      <c r="AR932" s="226"/>
      <c r="AS932" s="225"/>
      <c r="AT932" s="225"/>
      <c r="AU932" s="225"/>
      <c r="AV932" s="225"/>
      <c r="AW932" s="225"/>
      <c r="AX932" s="226"/>
      <c r="AY932" s="225"/>
      <c r="AZ932" s="225"/>
      <c r="BA932" s="226"/>
      <c r="BB932" s="225"/>
      <c r="BC932" s="225"/>
      <c r="BD932" s="225"/>
      <c r="BE932" s="225"/>
      <c r="BF932" s="225"/>
      <c r="BG932" s="225"/>
      <c r="BH932" s="225"/>
      <c r="BI932" s="225"/>
      <c r="BJ932" s="225"/>
      <c r="BK932" s="225"/>
      <c r="BL932" s="225"/>
      <c r="BM932" s="225"/>
      <c r="BN932" s="225"/>
      <c r="BO932" s="225"/>
      <c r="BP932" s="225"/>
      <c r="BQ932" s="225"/>
      <c r="BR932" s="225"/>
      <c r="BS932" s="225"/>
      <c r="BT932" s="226"/>
      <c r="BU932" s="225"/>
      <c r="BV932" s="225"/>
      <c r="BW932" s="225"/>
      <c r="BX932" s="225"/>
      <c r="BY932" s="225"/>
      <c r="BZ932" s="225"/>
    </row>
    <row r="933">
      <c r="A933" s="225"/>
      <c r="B933" s="225"/>
      <c r="C933" s="225"/>
      <c r="D933" s="226"/>
      <c r="E933" s="225"/>
      <c r="F933" s="225"/>
      <c r="G933" s="225"/>
      <c r="H933" s="225"/>
      <c r="I933" s="225"/>
      <c r="J933" s="225"/>
      <c r="K933" s="244"/>
      <c r="L933" s="225"/>
      <c r="M933" s="225"/>
      <c r="N933" s="225"/>
      <c r="O933" s="225"/>
      <c r="P933" s="225"/>
      <c r="Q933" s="227"/>
      <c r="R933" s="234"/>
      <c r="S933" s="225"/>
      <c r="T933" s="225"/>
      <c r="U933" s="225"/>
      <c r="V933" s="225"/>
      <c r="W933" s="225"/>
      <c r="X933" s="225"/>
      <c r="Y933" s="229"/>
      <c r="Z933" s="257"/>
      <c r="AA933" s="225"/>
      <c r="AB933" s="257"/>
      <c r="AC933" s="257"/>
      <c r="AD933" s="226"/>
      <c r="AE933" s="259"/>
      <c r="AF933" s="347"/>
      <c r="AG933" s="232"/>
      <c r="AH933" s="257"/>
      <c r="AI933" s="225"/>
      <c r="AJ933" s="267"/>
      <c r="AK933" s="259"/>
      <c r="AL933" s="226"/>
      <c r="AM933" s="225"/>
      <c r="AN933" s="225"/>
      <c r="AO933" s="254"/>
      <c r="AP933" s="225"/>
      <c r="AQ933" s="225"/>
      <c r="AR933" s="226"/>
      <c r="AS933" s="225"/>
      <c r="AT933" s="225"/>
      <c r="AU933" s="225"/>
      <c r="AV933" s="225"/>
      <c r="AW933" s="225"/>
      <c r="AX933" s="226"/>
      <c r="AY933" s="225"/>
      <c r="AZ933" s="225"/>
      <c r="BA933" s="226"/>
      <c r="BB933" s="225"/>
      <c r="BC933" s="225"/>
      <c r="BD933" s="225"/>
      <c r="BE933" s="225"/>
      <c r="BF933" s="225"/>
      <c r="BG933" s="225"/>
      <c r="BH933" s="225"/>
      <c r="BI933" s="225"/>
      <c r="BJ933" s="225"/>
      <c r="BK933" s="225"/>
      <c r="BL933" s="225"/>
      <c r="BM933" s="225"/>
      <c r="BN933" s="225"/>
      <c r="BO933" s="225"/>
      <c r="BP933" s="225"/>
      <c r="BQ933" s="225"/>
      <c r="BR933" s="225"/>
      <c r="BS933" s="225"/>
      <c r="BT933" s="226"/>
      <c r="BU933" s="225"/>
      <c r="BV933" s="225"/>
      <c r="BW933" s="225"/>
      <c r="BX933" s="225"/>
      <c r="BY933" s="225"/>
      <c r="BZ933" s="225"/>
    </row>
    <row r="934">
      <c r="A934" s="225"/>
      <c r="B934" s="225"/>
      <c r="C934" s="225"/>
      <c r="D934" s="226"/>
      <c r="E934" s="225"/>
      <c r="F934" s="225"/>
      <c r="G934" s="225"/>
      <c r="H934" s="225"/>
      <c r="I934" s="225"/>
      <c r="J934" s="225"/>
      <c r="K934" s="244"/>
      <c r="L934" s="225"/>
      <c r="M934" s="225"/>
      <c r="N934" s="225"/>
      <c r="O934" s="225"/>
      <c r="P934" s="225"/>
      <c r="Q934" s="227"/>
      <c r="R934" s="234"/>
      <c r="S934" s="225"/>
      <c r="T934" s="225"/>
      <c r="U934" s="225"/>
      <c r="V934" s="225"/>
      <c r="W934" s="225"/>
      <c r="X934" s="225"/>
      <c r="Y934" s="229"/>
      <c r="Z934" s="257"/>
      <c r="AA934" s="225"/>
      <c r="AB934" s="257"/>
      <c r="AC934" s="257"/>
      <c r="AD934" s="226"/>
      <c r="AE934" s="259"/>
      <c r="AF934" s="347"/>
      <c r="AG934" s="232"/>
      <c r="AH934" s="257"/>
      <c r="AI934" s="225"/>
      <c r="AJ934" s="267"/>
      <c r="AK934" s="259"/>
      <c r="AL934" s="226"/>
      <c r="AM934" s="225"/>
      <c r="AN934" s="225"/>
      <c r="AO934" s="254"/>
      <c r="AP934" s="225"/>
      <c r="AQ934" s="225"/>
      <c r="AR934" s="226"/>
      <c r="AS934" s="225"/>
      <c r="AT934" s="225"/>
      <c r="AU934" s="225"/>
      <c r="AV934" s="225"/>
      <c r="AW934" s="225"/>
      <c r="AX934" s="226"/>
      <c r="AY934" s="225"/>
      <c r="AZ934" s="225"/>
      <c r="BA934" s="226"/>
      <c r="BB934" s="225"/>
      <c r="BC934" s="225"/>
      <c r="BD934" s="225"/>
      <c r="BE934" s="225"/>
      <c r="BF934" s="225"/>
      <c r="BG934" s="225"/>
      <c r="BH934" s="225"/>
      <c r="BI934" s="225"/>
      <c r="BJ934" s="225"/>
      <c r="BK934" s="225"/>
      <c r="BL934" s="225"/>
      <c r="BM934" s="225"/>
      <c r="BN934" s="225"/>
      <c r="BO934" s="225"/>
      <c r="BP934" s="225"/>
      <c r="BQ934" s="225"/>
      <c r="BR934" s="225"/>
      <c r="BS934" s="225"/>
      <c r="BT934" s="226"/>
      <c r="BU934" s="225"/>
      <c r="BV934" s="225"/>
      <c r="BW934" s="225"/>
      <c r="BX934" s="225"/>
      <c r="BY934" s="225"/>
      <c r="BZ934" s="225"/>
    </row>
    <row r="935">
      <c r="A935" s="225"/>
      <c r="B935" s="225"/>
      <c r="C935" s="225"/>
      <c r="D935" s="226"/>
      <c r="E935" s="225"/>
      <c r="F935" s="225"/>
      <c r="G935" s="225"/>
      <c r="H935" s="225"/>
      <c r="I935" s="225"/>
      <c r="J935" s="225"/>
      <c r="K935" s="244"/>
      <c r="L935" s="225"/>
      <c r="M935" s="225"/>
      <c r="N935" s="225"/>
      <c r="O935" s="225"/>
      <c r="P935" s="225"/>
      <c r="Q935" s="227"/>
      <c r="R935" s="234"/>
      <c r="S935" s="225"/>
      <c r="T935" s="225"/>
      <c r="U935" s="225"/>
      <c r="V935" s="225"/>
      <c r="W935" s="225"/>
      <c r="X935" s="225"/>
      <c r="Y935" s="229"/>
      <c r="Z935" s="257"/>
      <c r="AA935" s="225"/>
      <c r="AB935" s="257"/>
      <c r="AC935" s="257"/>
      <c r="AD935" s="226"/>
      <c r="AE935" s="259"/>
      <c r="AF935" s="347"/>
      <c r="AG935" s="232"/>
      <c r="AH935" s="257"/>
      <c r="AI935" s="225"/>
      <c r="AJ935" s="267"/>
      <c r="AK935" s="259"/>
      <c r="AL935" s="226"/>
      <c r="AM935" s="225"/>
      <c r="AN935" s="225"/>
      <c r="AO935" s="254"/>
      <c r="AP935" s="225"/>
      <c r="AQ935" s="225"/>
      <c r="AR935" s="226"/>
      <c r="AS935" s="225"/>
      <c r="AT935" s="225"/>
      <c r="AU935" s="225"/>
      <c r="AV935" s="225"/>
      <c r="AW935" s="225"/>
      <c r="AX935" s="226"/>
      <c r="AY935" s="225"/>
      <c r="AZ935" s="225"/>
      <c r="BA935" s="226"/>
      <c r="BB935" s="225"/>
      <c r="BC935" s="225"/>
      <c r="BD935" s="225"/>
      <c r="BE935" s="225"/>
      <c r="BF935" s="225"/>
      <c r="BG935" s="225"/>
      <c r="BH935" s="225"/>
      <c r="BI935" s="225"/>
      <c r="BJ935" s="225"/>
      <c r="BK935" s="225"/>
      <c r="BL935" s="225"/>
      <c r="BM935" s="225"/>
      <c r="BN935" s="225"/>
      <c r="BO935" s="225"/>
      <c r="BP935" s="225"/>
      <c r="BQ935" s="225"/>
      <c r="BR935" s="225"/>
      <c r="BS935" s="225"/>
      <c r="BT935" s="226"/>
      <c r="BU935" s="225"/>
      <c r="BV935" s="225"/>
      <c r="BW935" s="225"/>
      <c r="BX935" s="225"/>
      <c r="BY935" s="225"/>
      <c r="BZ935" s="225"/>
    </row>
    <row r="936">
      <c r="A936" s="225"/>
      <c r="B936" s="225"/>
      <c r="C936" s="225"/>
      <c r="D936" s="226"/>
      <c r="E936" s="225"/>
      <c r="F936" s="225"/>
      <c r="G936" s="225"/>
      <c r="H936" s="225"/>
      <c r="I936" s="225"/>
      <c r="J936" s="225"/>
      <c r="K936" s="244"/>
      <c r="L936" s="225"/>
      <c r="M936" s="225"/>
      <c r="N936" s="225"/>
      <c r="O936" s="225"/>
      <c r="P936" s="225"/>
      <c r="Q936" s="227"/>
      <c r="R936" s="234"/>
      <c r="S936" s="225"/>
      <c r="T936" s="225"/>
      <c r="U936" s="225"/>
      <c r="V936" s="225"/>
      <c r="W936" s="225"/>
      <c r="X936" s="225"/>
      <c r="Y936" s="229"/>
      <c r="Z936" s="257"/>
      <c r="AA936" s="225"/>
      <c r="AB936" s="257"/>
      <c r="AC936" s="257"/>
      <c r="AD936" s="226"/>
      <c r="AE936" s="259"/>
      <c r="AF936" s="347"/>
      <c r="AG936" s="232"/>
      <c r="AH936" s="257"/>
      <c r="AI936" s="225"/>
      <c r="AJ936" s="267"/>
      <c r="AK936" s="259"/>
      <c r="AL936" s="226"/>
      <c r="AM936" s="225"/>
      <c r="AN936" s="225"/>
      <c r="AO936" s="254"/>
      <c r="AP936" s="225"/>
      <c r="AQ936" s="225"/>
      <c r="AR936" s="226"/>
      <c r="AS936" s="225"/>
      <c r="AT936" s="225"/>
      <c r="AU936" s="225"/>
      <c r="AV936" s="225"/>
      <c r="AW936" s="225"/>
      <c r="AX936" s="226"/>
      <c r="AY936" s="225"/>
      <c r="AZ936" s="225"/>
      <c r="BA936" s="226"/>
      <c r="BB936" s="225"/>
      <c r="BC936" s="225"/>
      <c r="BD936" s="225"/>
      <c r="BE936" s="225"/>
      <c r="BF936" s="225"/>
      <c r="BG936" s="225"/>
      <c r="BH936" s="225"/>
      <c r="BI936" s="225"/>
      <c r="BJ936" s="225"/>
      <c r="BK936" s="225"/>
      <c r="BL936" s="225"/>
      <c r="BM936" s="225"/>
      <c r="BN936" s="225"/>
      <c r="BO936" s="225"/>
      <c r="BP936" s="225"/>
      <c r="BQ936" s="225"/>
      <c r="BR936" s="225"/>
      <c r="BS936" s="225"/>
      <c r="BT936" s="226"/>
      <c r="BU936" s="225"/>
      <c r="BV936" s="225"/>
      <c r="BW936" s="225"/>
      <c r="BX936" s="225"/>
      <c r="BY936" s="225"/>
      <c r="BZ936" s="225"/>
    </row>
    <row r="937">
      <c r="A937" s="225"/>
      <c r="B937" s="225"/>
      <c r="C937" s="225"/>
      <c r="D937" s="226"/>
      <c r="E937" s="225"/>
      <c r="F937" s="225"/>
      <c r="G937" s="225"/>
      <c r="H937" s="225"/>
      <c r="I937" s="225"/>
      <c r="J937" s="225"/>
      <c r="K937" s="244"/>
      <c r="L937" s="225"/>
      <c r="M937" s="225"/>
      <c r="N937" s="225"/>
      <c r="O937" s="225"/>
      <c r="P937" s="225"/>
      <c r="Q937" s="227"/>
      <c r="R937" s="234"/>
      <c r="S937" s="225"/>
      <c r="T937" s="225"/>
      <c r="U937" s="225"/>
      <c r="V937" s="225"/>
      <c r="W937" s="225"/>
      <c r="X937" s="225"/>
      <c r="Y937" s="229"/>
      <c r="Z937" s="257"/>
      <c r="AA937" s="225"/>
      <c r="AB937" s="257"/>
      <c r="AC937" s="257"/>
      <c r="AD937" s="226"/>
      <c r="AE937" s="259"/>
      <c r="AF937" s="347"/>
      <c r="AG937" s="232"/>
      <c r="AH937" s="257"/>
      <c r="AI937" s="225"/>
      <c r="AJ937" s="267"/>
      <c r="AK937" s="259"/>
      <c r="AL937" s="226"/>
      <c r="AM937" s="225"/>
      <c r="AN937" s="225"/>
      <c r="AO937" s="254"/>
      <c r="AP937" s="225"/>
      <c r="AQ937" s="225"/>
      <c r="AR937" s="226"/>
      <c r="AS937" s="225"/>
      <c r="AT937" s="225"/>
      <c r="AU937" s="225"/>
      <c r="AV937" s="225"/>
      <c r="AW937" s="225"/>
      <c r="AX937" s="226"/>
      <c r="AY937" s="225"/>
      <c r="AZ937" s="225"/>
      <c r="BA937" s="226"/>
      <c r="BB937" s="225"/>
      <c r="BC937" s="225"/>
      <c r="BD937" s="225"/>
      <c r="BE937" s="225"/>
      <c r="BF937" s="225"/>
      <c r="BG937" s="225"/>
      <c r="BH937" s="225"/>
      <c r="BI937" s="225"/>
      <c r="BJ937" s="225"/>
      <c r="BK937" s="225"/>
      <c r="BL937" s="225"/>
      <c r="BM937" s="225"/>
      <c r="BN937" s="225"/>
      <c r="BO937" s="225"/>
      <c r="BP937" s="225"/>
      <c r="BQ937" s="225"/>
      <c r="BR937" s="225"/>
      <c r="BS937" s="225"/>
      <c r="BT937" s="226"/>
      <c r="BU937" s="225"/>
      <c r="BV937" s="225"/>
      <c r="BW937" s="225"/>
      <c r="BX937" s="225"/>
      <c r="BY937" s="225"/>
      <c r="BZ937" s="225"/>
    </row>
    <row r="938">
      <c r="A938" s="225"/>
      <c r="B938" s="225"/>
      <c r="C938" s="225"/>
      <c r="D938" s="226"/>
      <c r="E938" s="225"/>
      <c r="F938" s="225"/>
      <c r="G938" s="225"/>
      <c r="H938" s="225"/>
      <c r="I938" s="225"/>
      <c r="J938" s="225"/>
      <c r="K938" s="244"/>
      <c r="L938" s="225"/>
      <c r="M938" s="225"/>
      <c r="N938" s="225"/>
      <c r="O938" s="225"/>
      <c r="P938" s="225"/>
      <c r="Q938" s="227"/>
      <c r="R938" s="234"/>
      <c r="S938" s="225"/>
      <c r="T938" s="225"/>
      <c r="U938" s="225"/>
      <c r="V938" s="225"/>
      <c r="W938" s="225"/>
      <c r="X938" s="225"/>
      <c r="Y938" s="229"/>
      <c r="Z938" s="257"/>
      <c r="AA938" s="225"/>
      <c r="AB938" s="257"/>
      <c r="AC938" s="257"/>
      <c r="AD938" s="226"/>
      <c r="AE938" s="259"/>
      <c r="AF938" s="347"/>
      <c r="AG938" s="232"/>
      <c r="AH938" s="257"/>
      <c r="AI938" s="225"/>
      <c r="AJ938" s="267"/>
      <c r="AK938" s="259"/>
      <c r="AL938" s="226"/>
      <c r="AM938" s="225"/>
      <c r="AN938" s="225"/>
      <c r="AO938" s="254"/>
      <c r="AP938" s="225"/>
      <c r="AQ938" s="225"/>
      <c r="AR938" s="226"/>
      <c r="AS938" s="225"/>
      <c r="AT938" s="225"/>
      <c r="AU938" s="225"/>
      <c r="AV938" s="225"/>
      <c r="AW938" s="225"/>
      <c r="AX938" s="226"/>
      <c r="AY938" s="225"/>
      <c r="AZ938" s="225"/>
      <c r="BA938" s="226"/>
      <c r="BB938" s="225"/>
      <c r="BC938" s="225"/>
      <c r="BD938" s="225"/>
      <c r="BE938" s="225"/>
      <c r="BF938" s="225"/>
      <c r="BG938" s="225"/>
      <c r="BH938" s="225"/>
      <c r="BI938" s="225"/>
      <c r="BJ938" s="225"/>
      <c r="BK938" s="225"/>
      <c r="BL938" s="225"/>
      <c r="BM938" s="225"/>
      <c r="BN938" s="225"/>
      <c r="BO938" s="225"/>
      <c r="BP938" s="225"/>
      <c r="BQ938" s="225"/>
      <c r="BR938" s="225"/>
      <c r="BS938" s="225"/>
      <c r="BT938" s="226"/>
      <c r="BU938" s="225"/>
      <c r="BV938" s="225"/>
      <c r="BW938" s="225"/>
      <c r="BX938" s="225"/>
      <c r="BY938" s="225"/>
      <c r="BZ938" s="225"/>
    </row>
    <row r="939">
      <c r="A939" s="225"/>
      <c r="B939" s="225"/>
      <c r="C939" s="225"/>
      <c r="D939" s="226"/>
      <c r="E939" s="225"/>
      <c r="F939" s="225"/>
      <c r="G939" s="225"/>
      <c r="H939" s="225"/>
      <c r="I939" s="225"/>
      <c r="J939" s="225"/>
      <c r="K939" s="244"/>
      <c r="L939" s="225"/>
      <c r="M939" s="225"/>
      <c r="N939" s="225"/>
      <c r="O939" s="225"/>
      <c r="P939" s="225"/>
      <c r="Q939" s="227"/>
      <c r="R939" s="234"/>
      <c r="S939" s="225"/>
      <c r="T939" s="225"/>
      <c r="U939" s="225"/>
      <c r="V939" s="225"/>
      <c r="W939" s="225"/>
      <c r="X939" s="225"/>
      <c r="Y939" s="229"/>
      <c r="Z939" s="257"/>
      <c r="AA939" s="225"/>
      <c r="AB939" s="257"/>
      <c r="AC939" s="257"/>
      <c r="AD939" s="226"/>
      <c r="AE939" s="259"/>
      <c r="AF939" s="347"/>
      <c r="AG939" s="232"/>
      <c r="AH939" s="257"/>
      <c r="AI939" s="225"/>
      <c r="AJ939" s="267"/>
      <c r="AK939" s="259"/>
      <c r="AL939" s="226"/>
      <c r="AM939" s="225"/>
      <c r="AN939" s="225"/>
      <c r="AO939" s="254"/>
      <c r="AP939" s="225"/>
      <c r="AQ939" s="225"/>
      <c r="AR939" s="226"/>
      <c r="AS939" s="225"/>
      <c r="AT939" s="225"/>
      <c r="AU939" s="225"/>
      <c r="AV939" s="225"/>
      <c r="AW939" s="225"/>
      <c r="AX939" s="226"/>
      <c r="AY939" s="225"/>
      <c r="AZ939" s="225"/>
      <c r="BA939" s="226"/>
      <c r="BB939" s="225"/>
      <c r="BC939" s="225"/>
      <c r="BD939" s="225"/>
      <c r="BE939" s="225"/>
      <c r="BF939" s="225"/>
      <c r="BG939" s="225"/>
      <c r="BH939" s="225"/>
      <c r="BI939" s="225"/>
      <c r="BJ939" s="225"/>
      <c r="BK939" s="225"/>
      <c r="BL939" s="225"/>
      <c r="BM939" s="225"/>
      <c r="BN939" s="225"/>
      <c r="BO939" s="225"/>
      <c r="BP939" s="225"/>
      <c r="BQ939" s="225"/>
      <c r="BR939" s="225"/>
      <c r="BS939" s="225"/>
      <c r="BT939" s="226"/>
      <c r="BU939" s="225"/>
      <c r="BV939" s="225"/>
      <c r="BW939" s="225"/>
      <c r="BX939" s="225"/>
      <c r="BY939" s="225"/>
      <c r="BZ939" s="225"/>
    </row>
    <row r="940">
      <c r="A940" s="225"/>
      <c r="B940" s="225"/>
      <c r="C940" s="225"/>
      <c r="D940" s="226"/>
      <c r="E940" s="225"/>
      <c r="F940" s="225"/>
      <c r="G940" s="225"/>
      <c r="H940" s="225"/>
      <c r="I940" s="225"/>
      <c r="J940" s="225"/>
      <c r="K940" s="244"/>
      <c r="L940" s="225"/>
      <c r="M940" s="225"/>
      <c r="N940" s="225"/>
      <c r="O940" s="225"/>
      <c r="P940" s="225"/>
      <c r="Q940" s="227"/>
      <c r="R940" s="234"/>
      <c r="S940" s="225"/>
      <c r="T940" s="225"/>
      <c r="U940" s="225"/>
      <c r="V940" s="225"/>
      <c r="W940" s="225"/>
      <c r="X940" s="225"/>
      <c r="Y940" s="229"/>
      <c r="Z940" s="257"/>
      <c r="AA940" s="225"/>
      <c r="AB940" s="257"/>
      <c r="AC940" s="257"/>
      <c r="AD940" s="226"/>
      <c r="AE940" s="259"/>
      <c r="AF940" s="347"/>
      <c r="AG940" s="232"/>
      <c r="AH940" s="257"/>
      <c r="AI940" s="225"/>
      <c r="AJ940" s="267"/>
      <c r="AK940" s="259"/>
      <c r="AL940" s="226"/>
      <c r="AM940" s="225"/>
      <c r="AN940" s="225"/>
      <c r="AO940" s="254"/>
      <c r="AP940" s="225"/>
      <c r="AQ940" s="225"/>
      <c r="AR940" s="226"/>
      <c r="AS940" s="225"/>
      <c r="AT940" s="225"/>
      <c r="AU940" s="225"/>
      <c r="AV940" s="225"/>
      <c r="AW940" s="225"/>
      <c r="AX940" s="226"/>
      <c r="AY940" s="225"/>
      <c r="AZ940" s="225"/>
      <c r="BA940" s="226"/>
      <c r="BB940" s="225"/>
      <c r="BC940" s="225"/>
      <c r="BD940" s="225"/>
      <c r="BE940" s="225"/>
      <c r="BF940" s="225"/>
      <c r="BG940" s="225"/>
      <c r="BH940" s="225"/>
      <c r="BI940" s="225"/>
      <c r="BJ940" s="225"/>
      <c r="BK940" s="225"/>
      <c r="BL940" s="225"/>
      <c r="BM940" s="225"/>
      <c r="BN940" s="225"/>
      <c r="BO940" s="225"/>
      <c r="BP940" s="225"/>
      <c r="BQ940" s="225"/>
      <c r="BR940" s="225"/>
      <c r="BS940" s="225"/>
      <c r="BT940" s="226"/>
      <c r="BU940" s="225"/>
      <c r="BV940" s="225"/>
      <c r="BW940" s="225"/>
      <c r="BX940" s="225"/>
      <c r="BY940" s="225"/>
      <c r="BZ940" s="225"/>
    </row>
    <row r="941">
      <c r="A941" s="225"/>
      <c r="B941" s="225"/>
      <c r="C941" s="225"/>
      <c r="D941" s="226"/>
      <c r="E941" s="225"/>
      <c r="F941" s="225"/>
      <c r="G941" s="225"/>
      <c r="H941" s="225"/>
      <c r="I941" s="225"/>
      <c r="J941" s="225"/>
      <c r="K941" s="244"/>
      <c r="L941" s="225"/>
      <c r="M941" s="225"/>
      <c r="N941" s="225"/>
      <c r="O941" s="225"/>
      <c r="P941" s="225"/>
      <c r="Q941" s="227"/>
      <c r="R941" s="234"/>
      <c r="S941" s="225"/>
      <c r="T941" s="225"/>
      <c r="U941" s="225"/>
      <c r="V941" s="225"/>
      <c r="W941" s="225"/>
      <c r="X941" s="225"/>
      <c r="Y941" s="229"/>
      <c r="Z941" s="257"/>
      <c r="AA941" s="225"/>
      <c r="AB941" s="257"/>
      <c r="AC941" s="257"/>
      <c r="AD941" s="226"/>
      <c r="AE941" s="259"/>
      <c r="AF941" s="347"/>
      <c r="AG941" s="232"/>
      <c r="AH941" s="257"/>
      <c r="AI941" s="225"/>
      <c r="AJ941" s="267"/>
      <c r="AK941" s="259"/>
      <c r="AL941" s="226"/>
      <c r="AM941" s="225"/>
      <c r="AN941" s="225"/>
      <c r="AO941" s="254"/>
      <c r="AP941" s="225"/>
      <c r="AQ941" s="225"/>
      <c r="AR941" s="226"/>
      <c r="AS941" s="225"/>
      <c r="AT941" s="225"/>
      <c r="AU941" s="225"/>
      <c r="AV941" s="225"/>
      <c r="AW941" s="225"/>
      <c r="AX941" s="226"/>
      <c r="AY941" s="225"/>
      <c r="AZ941" s="225"/>
      <c r="BA941" s="226"/>
      <c r="BB941" s="225"/>
      <c r="BC941" s="225"/>
      <c r="BD941" s="225"/>
      <c r="BE941" s="225"/>
      <c r="BF941" s="225"/>
      <c r="BG941" s="225"/>
      <c r="BH941" s="225"/>
      <c r="BI941" s="225"/>
      <c r="BJ941" s="225"/>
      <c r="BK941" s="225"/>
      <c r="BL941" s="225"/>
      <c r="BM941" s="225"/>
      <c r="BN941" s="225"/>
      <c r="BO941" s="225"/>
      <c r="BP941" s="225"/>
      <c r="BQ941" s="225"/>
      <c r="BR941" s="225"/>
      <c r="BS941" s="225"/>
      <c r="BT941" s="226"/>
      <c r="BU941" s="225"/>
      <c r="BV941" s="225"/>
      <c r="BW941" s="225"/>
      <c r="BX941" s="225"/>
      <c r="BY941" s="225"/>
      <c r="BZ941" s="225"/>
    </row>
    <row r="942">
      <c r="A942" s="225"/>
      <c r="B942" s="225"/>
      <c r="C942" s="225"/>
      <c r="D942" s="226"/>
      <c r="E942" s="225"/>
      <c r="F942" s="225"/>
      <c r="G942" s="225"/>
      <c r="H942" s="225"/>
      <c r="I942" s="225"/>
      <c r="J942" s="225"/>
      <c r="K942" s="244"/>
      <c r="L942" s="225"/>
      <c r="M942" s="225"/>
      <c r="N942" s="225"/>
      <c r="O942" s="225"/>
      <c r="P942" s="225"/>
      <c r="Q942" s="227"/>
      <c r="R942" s="234"/>
      <c r="S942" s="225"/>
      <c r="T942" s="225"/>
      <c r="U942" s="225"/>
      <c r="V942" s="225"/>
      <c r="W942" s="225"/>
      <c r="X942" s="225"/>
      <c r="Y942" s="229"/>
      <c r="Z942" s="257"/>
      <c r="AA942" s="225"/>
      <c r="AB942" s="257"/>
      <c r="AC942" s="257"/>
      <c r="AD942" s="226"/>
      <c r="AE942" s="259"/>
      <c r="AF942" s="347"/>
      <c r="AG942" s="232"/>
      <c r="AH942" s="257"/>
      <c r="AI942" s="225"/>
      <c r="AJ942" s="267"/>
      <c r="AK942" s="259"/>
      <c r="AL942" s="226"/>
      <c r="AM942" s="225"/>
      <c r="AN942" s="225"/>
      <c r="AO942" s="254"/>
      <c r="AP942" s="225"/>
      <c r="AQ942" s="225"/>
      <c r="AR942" s="226"/>
      <c r="AS942" s="225"/>
      <c r="AT942" s="225"/>
      <c r="AU942" s="225"/>
      <c r="AV942" s="225"/>
      <c r="AW942" s="225"/>
      <c r="AX942" s="226"/>
      <c r="AY942" s="225"/>
      <c r="AZ942" s="225"/>
      <c r="BA942" s="226"/>
      <c r="BB942" s="225"/>
      <c r="BC942" s="225"/>
      <c r="BD942" s="225"/>
      <c r="BE942" s="225"/>
      <c r="BF942" s="225"/>
      <c r="BG942" s="225"/>
      <c r="BH942" s="225"/>
      <c r="BI942" s="225"/>
      <c r="BJ942" s="225"/>
      <c r="BK942" s="225"/>
      <c r="BL942" s="225"/>
      <c r="BM942" s="225"/>
      <c r="BN942" s="225"/>
      <c r="BO942" s="225"/>
      <c r="BP942" s="225"/>
      <c r="BQ942" s="225"/>
      <c r="BR942" s="225"/>
      <c r="BS942" s="225"/>
      <c r="BT942" s="226"/>
      <c r="BU942" s="225"/>
      <c r="BV942" s="225"/>
      <c r="BW942" s="225"/>
      <c r="BX942" s="225"/>
      <c r="BY942" s="225"/>
      <c r="BZ942" s="225"/>
    </row>
    <row r="943">
      <c r="A943" s="225"/>
      <c r="B943" s="225"/>
      <c r="C943" s="225"/>
      <c r="D943" s="226"/>
      <c r="E943" s="225"/>
      <c r="F943" s="225"/>
      <c r="G943" s="225"/>
      <c r="H943" s="225"/>
      <c r="I943" s="225"/>
      <c r="J943" s="225"/>
      <c r="K943" s="244"/>
      <c r="L943" s="225"/>
      <c r="M943" s="225"/>
      <c r="N943" s="225"/>
      <c r="O943" s="225"/>
      <c r="P943" s="225"/>
      <c r="Q943" s="227"/>
      <c r="R943" s="234"/>
      <c r="S943" s="225"/>
      <c r="T943" s="225"/>
      <c r="U943" s="225"/>
      <c r="V943" s="225"/>
      <c r="W943" s="225"/>
      <c r="X943" s="225"/>
      <c r="Y943" s="229"/>
      <c r="Z943" s="257"/>
      <c r="AA943" s="225"/>
      <c r="AB943" s="257"/>
      <c r="AC943" s="257"/>
      <c r="AD943" s="226"/>
      <c r="AE943" s="259"/>
      <c r="AF943" s="347"/>
      <c r="AG943" s="232"/>
      <c r="AH943" s="257"/>
      <c r="AI943" s="225"/>
      <c r="AJ943" s="267"/>
      <c r="AK943" s="259"/>
      <c r="AL943" s="226"/>
      <c r="AM943" s="225"/>
      <c r="AN943" s="225"/>
      <c r="AO943" s="254"/>
      <c r="AP943" s="225"/>
      <c r="AQ943" s="225"/>
      <c r="AR943" s="226"/>
      <c r="AS943" s="225"/>
      <c r="AT943" s="225"/>
      <c r="AU943" s="225"/>
      <c r="AV943" s="225"/>
      <c r="AW943" s="225"/>
      <c r="AX943" s="226"/>
      <c r="AY943" s="225"/>
      <c r="AZ943" s="225"/>
      <c r="BA943" s="226"/>
      <c r="BB943" s="225"/>
      <c r="BC943" s="225"/>
      <c r="BD943" s="225"/>
      <c r="BE943" s="225"/>
      <c r="BF943" s="225"/>
      <c r="BG943" s="225"/>
      <c r="BH943" s="225"/>
      <c r="BI943" s="225"/>
      <c r="BJ943" s="225"/>
      <c r="BK943" s="225"/>
      <c r="BL943" s="225"/>
      <c r="BM943" s="225"/>
      <c r="BN943" s="225"/>
      <c r="BO943" s="225"/>
      <c r="BP943" s="225"/>
      <c r="BQ943" s="225"/>
      <c r="BR943" s="225"/>
      <c r="BS943" s="225"/>
      <c r="BT943" s="226"/>
      <c r="BU943" s="225"/>
      <c r="BV943" s="225"/>
      <c r="BW943" s="225"/>
      <c r="BX943" s="225"/>
      <c r="BY943" s="225"/>
      <c r="BZ943" s="225"/>
    </row>
    <row r="944">
      <c r="A944" s="225"/>
      <c r="B944" s="225"/>
      <c r="C944" s="225"/>
      <c r="D944" s="226"/>
      <c r="E944" s="225"/>
      <c r="F944" s="225"/>
      <c r="G944" s="225"/>
      <c r="H944" s="225"/>
      <c r="I944" s="225"/>
      <c r="J944" s="225"/>
      <c r="K944" s="244"/>
      <c r="L944" s="225"/>
      <c r="M944" s="225"/>
      <c r="N944" s="225"/>
      <c r="O944" s="225"/>
      <c r="P944" s="225"/>
      <c r="Q944" s="227"/>
      <c r="R944" s="234"/>
      <c r="S944" s="225"/>
      <c r="T944" s="225"/>
      <c r="U944" s="225"/>
      <c r="V944" s="225"/>
      <c r="W944" s="225"/>
      <c r="X944" s="225"/>
      <c r="Y944" s="229"/>
      <c r="Z944" s="257"/>
      <c r="AA944" s="225"/>
      <c r="AB944" s="257"/>
      <c r="AC944" s="257"/>
      <c r="AD944" s="226"/>
      <c r="AE944" s="259"/>
      <c r="AF944" s="347"/>
      <c r="AG944" s="232"/>
      <c r="AH944" s="257"/>
      <c r="AI944" s="225"/>
      <c r="AJ944" s="267"/>
      <c r="AK944" s="259"/>
      <c r="AL944" s="226"/>
      <c r="AM944" s="225"/>
      <c r="AN944" s="225"/>
      <c r="AO944" s="254"/>
      <c r="AP944" s="225"/>
      <c r="AQ944" s="225"/>
      <c r="AR944" s="226"/>
      <c r="AS944" s="225"/>
      <c r="AT944" s="225"/>
      <c r="AU944" s="225"/>
      <c r="AV944" s="225"/>
      <c r="AW944" s="225"/>
      <c r="AX944" s="226"/>
      <c r="AY944" s="225"/>
      <c r="AZ944" s="225"/>
      <c r="BA944" s="226"/>
      <c r="BB944" s="225"/>
      <c r="BC944" s="225"/>
      <c r="BD944" s="225"/>
      <c r="BE944" s="225"/>
      <c r="BF944" s="225"/>
      <c r="BG944" s="225"/>
      <c r="BH944" s="225"/>
      <c r="BI944" s="225"/>
      <c r="BJ944" s="225"/>
      <c r="BK944" s="225"/>
      <c r="BL944" s="225"/>
      <c r="BM944" s="225"/>
      <c r="BN944" s="225"/>
      <c r="BO944" s="225"/>
      <c r="BP944" s="225"/>
      <c r="BQ944" s="225"/>
      <c r="BR944" s="225"/>
      <c r="BS944" s="225"/>
      <c r="BT944" s="226"/>
      <c r="BU944" s="225"/>
      <c r="BV944" s="225"/>
      <c r="BW944" s="225"/>
      <c r="BX944" s="225"/>
      <c r="BY944" s="225"/>
      <c r="BZ944" s="225"/>
    </row>
    <row r="945">
      <c r="A945" s="284"/>
      <c r="B945" s="225"/>
      <c r="C945" s="225"/>
      <c r="D945" s="226"/>
      <c r="E945" s="225"/>
      <c r="F945" s="225"/>
      <c r="G945" s="225"/>
      <c r="H945" s="225"/>
      <c r="I945" s="225"/>
      <c r="J945" s="225"/>
      <c r="K945" s="244"/>
      <c r="L945" s="225"/>
      <c r="M945" s="225"/>
      <c r="N945" s="225"/>
      <c r="O945" s="225"/>
      <c r="P945" s="225"/>
      <c r="Q945" s="227"/>
      <c r="R945" s="234"/>
      <c r="S945" s="225"/>
      <c r="T945" s="225"/>
      <c r="U945" s="225"/>
      <c r="V945" s="225"/>
      <c r="W945" s="225"/>
      <c r="X945" s="225"/>
      <c r="Y945" s="229"/>
      <c r="Z945" s="257"/>
      <c r="AA945" s="225"/>
      <c r="AB945" s="257"/>
      <c r="AC945" s="257"/>
      <c r="AD945" s="226"/>
      <c r="AE945" s="259"/>
      <c r="AF945" s="347"/>
      <c r="AG945" s="232"/>
      <c r="AH945" s="257"/>
      <c r="AI945" s="225"/>
      <c r="AJ945" s="267"/>
      <c r="AK945" s="259"/>
      <c r="AL945" s="226"/>
      <c r="AM945" s="225"/>
      <c r="AN945" s="225"/>
      <c r="AO945" s="254"/>
      <c r="AP945" s="225"/>
      <c r="AQ945" s="225"/>
      <c r="AR945" s="226"/>
      <c r="AS945" s="225"/>
      <c r="AT945" s="225"/>
      <c r="AU945" s="225"/>
      <c r="AV945" s="225"/>
      <c r="AW945" s="225"/>
      <c r="AX945" s="226"/>
      <c r="AY945" s="225"/>
      <c r="AZ945" s="225"/>
      <c r="BA945" s="226"/>
      <c r="BB945" s="225"/>
      <c r="BC945" s="225"/>
      <c r="BD945" s="225"/>
      <c r="BE945" s="225"/>
      <c r="BF945" s="225"/>
      <c r="BG945" s="225"/>
      <c r="BH945" s="225"/>
      <c r="BI945" s="225"/>
      <c r="BJ945" s="225"/>
      <c r="BK945" s="225"/>
      <c r="BL945" s="225"/>
      <c r="BM945" s="225"/>
      <c r="BN945" s="225"/>
      <c r="BO945" s="225"/>
      <c r="BP945" s="225"/>
      <c r="BQ945" s="225"/>
      <c r="BR945" s="225"/>
      <c r="BS945" s="225"/>
      <c r="BT945" s="226"/>
      <c r="BU945" s="225"/>
      <c r="BV945" s="225"/>
      <c r="BW945" s="225"/>
      <c r="BX945" s="225"/>
      <c r="BY945" s="225"/>
      <c r="BZ945" s="225"/>
    </row>
    <row r="946">
      <c r="A946" s="284"/>
      <c r="B946" s="225"/>
      <c r="C946" s="225"/>
      <c r="D946" s="226"/>
      <c r="E946" s="225"/>
      <c r="F946" s="225"/>
      <c r="G946" s="225"/>
      <c r="H946" s="225"/>
      <c r="I946" s="225"/>
      <c r="J946" s="225"/>
      <c r="K946" s="244"/>
      <c r="L946" s="225"/>
      <c r="M946" s="225"/>
      <c r="N946" s="225"/>
      <c r="O946" s="225"/>
      <c r="P946" s="225"/>
      <c r="Q946" s="227"/>
      <c r="R946" s="234"/>
      <c r="S946" s="225"/>
      <c r="T946" s="225"/>
      <c r="U946" s="225"/>
      <c r="V946" s="225"/>
      <c r="W946" s="225"/>
      <c r="X946" s="225"/>
      <c r="Y946" s="229"/>
      <c r="Z946" s="257"/>
      <c r="AA946" s="225"/>
      <c r="AB946" s="257"/>
      <c r="AC946" s="257"/>
      <c r="AD946" s="226"/>
      <c r="AE946" s="259"/>
      <c r="AF946" s="347"/>
      <c r="AG946" s="232"/>
      <c r="AH946" s="257"/>
      <c r="AI946" s="225"/>
      <c r="AJ946" s="267"/>
      <c r="AK946" s="259"/>
      <c r="AL946" s="226"/>
      <c r="AM946" s="225"/>
      <c r="AN946" s="225"/>
      <c r="AO946" s="254"/>
      <c r="AP946" s="225"/>
      <c r="AQ946" s="225"/>
      <c r="AR946" s="226"/>
      <c r="AS946" s="225"/>
      <c r="AT946" s="225"/>
      <c r="AU946" s="225"/>
      <c r="AV946" s="225"/>
      <c r="AW946" s="225"/>
      <c r="AX946" s="226"/>
      <c r="AY946" s="225"/>
      <c r="AZ946" s="225"/>
      <c r="BA946" s="226"/>
      <c r="BB946" s="225"/>
      <c r="BC946" s="225"/>
      <c r="BD946" s="225"/>
      <c r="BE946" s="225"/>
      <c r="BF946" s="225"/>
      <c r="BG946" s="225"/>
      <c r="BH946" s="225"/>
      <c r="BI946" s="225"/>
      <c r="BJ946" s="225"/>
      <c r="BK946" s="225"/>
      <c r="BL946" s="225"/>
      <c r="BM946" s="225"/>
      <c r="BN946" s="225"/>
      <c r="BO946" s="225"/>
      <c r="BP946" s="225"/>
      <c r="BQ946" s="225"/>
      <c r="BR946" s="225"/>
      <c r="BS946" s="225"/>
      <c r="BT946" s="226"/>
      <c r="BU946" s="225"/>
      <c r="BV946" s="225"/>
      <c r="BW946" s="225"/>
      <c r="BX946" s="225"/>
      <c r="BY946" s="225"/>
      <c r="BZ946" s="225"/>
    </row>
    <row r="947">
      <c r="A947" s="284"/>
      <c r="B947" s="225"/>
      <c r="C947" s="225"/>
      <c r="D947" s="226"/>
      <c r="E947" s="225"/>
      <c r="F947" s="225"/>
      <c r="G947" s="225"/>
      <c r="H947" s="225"/>
      <c r="I947" s="225"/>
      <c r="J947" s="225"/>
      <c r="K947" s="244"/>
      <c r="L947" s="225"/>
      <c r="M947" s="225"/>
      <c r="N947" s="225"/>
      <c r="O947" s="225"/>
      <c r="P947" s="225"/>
      <c r="Q947" s="227"/>
      <c r="R947" s="234"/>
      <c r="S947" s="225"/>
      <c r="T947" s="225"/>
      <c r="U947" s="225"/>
      <c r="V947" s="225"/>
      <c r="W947" s="225"/>
      <c r="X947" s="225"/>
      <c r="Y947" s="229"/>
      <c r="Z947" s="257"/>
      <c r="AA947" s="225"/>
      <c r="AB947" s="257"/>
      <c r="AC947" s="257"/>
      <c r="AD947" s="226"/>
      <c r="AE947" s="259"/>
      <c r="AF947" s="347"/>
      <c r="AG947" s="232"/>
      <c r="AH947" s="257"/>
      <c r="AI947" s="225"/>
      <c r="AJ947" s="267"/>
      <c r="AK947" s="259"/>
      <c r="AL947" s="226"/>
      <c r="AM947" s="225"/>
      <c r="AN947" s="225"/>
      <c r="AO947" s="254"/>
      <c r="AP947" s="225"/>
      <c r="AQ947" s="225"/>
      <c r="AR947" s="226"/>
      <c r="AS947" s="225"/>
      <c r="AT947" s="225"/>
      <c r="AU947" s="225"/>
      <c r="AV947" s="225"/>
      <c r="AW947" s="225"/>
      <c r="AX947" s="226"/>
      <c r="AY947" s="225"/>
      <c r="AZ947" s="225"/>
      <c r="BA947" s="226"/>
      <c r="BB947" s="225"/>
      <c r="BC947" s="225"/>
      <c r="BD947" s="225"/>
      <c r="BE947" s="225"/>
      <c r="BF947" s="225"/>
      <c r="BG947" s="225"/>
      <c r="BH947" s="225"/>
      <c r="BI947" s="225"/>
      <c r="BJ947" s="225"/>
      <c r="BK947" s="225"/>
      <c r="BL947" s="225"/>
      <c r="BM947" s="225"/>
      <c r="BN947" s="225"/>
      <c r="BO947" s="225"/>
      <c r="BP947" s="225"/>
      <c r="BQ947" s="225"/>
      <c r="BR947" s="225"/>
      <c r="BS947" s="225"/>
      <c r="BT947" s="226"/>
      <c r="BU947" s="225"/>
      <c r="BV947" s="225"/>
      <c r="BW947" s="225"/>
      <c r="BX947" s="225"/>
      <c r="BY947" s="225"/>
      <c r="BZ947" s="225"/>
    </row>
    <row r="948">
      <c r="A948" s="284"/>
      <c r="B948" s="225"/>
      <c r="C948" s="225"/>
      <c r="D948" s="226"/>
      <c r="E948" s="225"/>
      <c r="F948" s="225"/>
      <c r="G948" s="225"/>
      <c r="H948" s="225"/>
      <c r="I948" s="225"/>
      <c r="J948" s="225"/>
      <c r="K948" s="244"/>
      <c r="L948" s="225"/>
      <c r="M948" s="225"/>
      <c r="N948" s="225"/>
      <c r="O948" s="225"/>
      <c r="P948" s="225"/>
      <c r="Q948" s="227"/>
      <c r="R948" s="234"/>
      <c r="S948" s="225"/>
      <c r="T948" s="225"/>
      <c r="U948" s="225"/>
      <c r="V948" s="225"/>
      <c r="W948" s="225"/>
      <c r="X948" s="225"/>
      <c r="Y948" s="229"/>
      <c r="Z948" s="257"/>
      <c r="AA948" s="225"/>
      <c r="AB948" s="257"/>
      <c r="AC948" s="257"/>
      <c r="AD948" s="226"/>
      <c r="AE948" s="259"/>
      <c r="AF948" s="347"/>
      <c r="AG948" s="232"/>
      <c r="AH948" s="257"/>
      <c r="AI948" s="225"/>
      <c r="AJ948" s="267"/>
      <c r="AK948" s="259"/>
      <c r="AL948" s="226"/>
      <c r="AM948" s="225"/>
      <c r="AN948" s="225"/>
      <c r="AO948" s="254"/>
      <c r="AP948" s="225"/>
      <c r="AQ948" s="225"/>
      <c r="AR948" s="226"/>
      <c r="AS948" s="225"/>
      <c r="AT948" s="225"/>
      <c r="AU948" s="225"/>
      <c r="AV948" s="225"/>
      <c r="AW948" s="225"/>
      <c r="AX948" s="226"/>
      <c r="AY948" s="225"/>
      <c r="AZ948" s="225"/>
      <c r="BA948" s="226"/>
      <c r="BB948" s="225"/>
      <c r="BC948" s="225"/>
      <c r="BD948" s="225"/>
      <c r="BE948" s="225"/>
      <c r="BF948" s="225"/>
      <c r="BG948" s="225"/>
      <c r="BH948" s="225"/>
      <c r="BI948" s="225"/>
      <c r="BJ948" s="225"/>
      <c r="BK948" s="225"/>
      <c r="BL948" s="225"/>
      <c r="BM948" s="225"/>
      <c r="BN948" s="225"/>
      <c r="BO948" s="225"/>
      <c r="BP948" s="225"/>
      <c r="BQ948" s="225"/>
      <c r="BR948" s="225"/>
      <c r="BS948" s="225"/>
      <c r="BT948" s="226"/>
      <c r="BU948" s="225"/>
      <c r="BV948" s="225"/>
      <c r="BW948" s="225"/>
      <c r="BX948" s="225"/>
      <c r="BY948" s="225"/>
      <c r="BZ948" s="225"/>
    </row>
    <row r="949">
      <c r="A949" s="284"/>
      <c r="B949" s="225"/>
      <c r="C949" s="225"/>
      <c r="D949" s="226"/>
      <c r="E949" s="225"/>
      <c r="F949" s="225"/>
      <c r="G949" s="225"/>
      <c r="H949" s="225"/>
      <c r="I949" s="225"/>
      <c r="J949" s="225"/>
      <c r="K949" s="244"/>
      <c r="L949" s="225"/>
      <c r="M949" s="225"/>
      <c r="N949" s="225"/>
      <c r="O949" s="225"/>
      <c r="P949" s="225"/>
      <c r="Q949" s="227"/>
      <c r="R949" s="234"/>
      <c r="S949" s="225"/>
      <c r="T949" s="225"/>
      <c r="U949" s="225"/>
      <c r="V949" s="225"/>
      <c r="W949" s="225"/>
      <c r="X949" s="225"/>
      <c r="Y949" s="229"/>
      <c r="Z949" s="257"/>
      <c r="AA949" s="225"/>
      <c r="AB949" s="257"/>
      <c r="AC949" s="257"/>
      <c r="AD949" s="226"/>
      <c r="AE949" s="259"/>
      <c r="AF949" s="347"/>
      <c r="AG949" s="232"/>
      <c r="AH949" s="257"/>
      <c r="AI949" s="225"/>
      <c r="AJ949" s="267"/>
      <c r="AK949" s="259"/>
      <c r="AL949" s="226"/>
      <c r="AM949" s="225"/>
      <c r="AN949" s="225"/>
      <c r="AO949" s="254"/>
      <c r="AP949" s="225"/>
      <c r="AQ949" s="225"/>
      <c r="AR949" s="226"/>
      <c r="AS949" s="225"/>
      <c r="AT949" s="225"/>
      <c r="AU949" s="225"/>
      <c r="AV949" s="225"/>
      <c r="AW949" s="225"/>
      <c r="AX949" s="226"/>
      <c r="AY949" s="225"/>
      <c r="AZ949" s="225"/>
      <c r="BA949" s="226"/>
      <c r="BB949" s="225"/>
      <c r="BC949" s="225"/>
      <c r="BD949" s="225"/>
      <c r="BE949" s="225"/>
      <c r="BF949" s="225"/>
      <c r="BG949" s="225"/>
      <c r="BH949" s="225"/>
      <c r="BI949" s="225"/>
      <c r="BJ949" s="225"/>
      <c r="BK949" s="225"/>
      <c r="BL949" s="225"/>
      <c r="BM949" s="225"/>
      <c r="BN949" s="225"/>
      <c r="BO949" s="225"/>
      <c r="BP949" s="225"/>
      <c r="BQ949" s="225"/>
      <c r="BR949" s="225"/>
      <c r="BS949" s="225"/>
      <c r="BT949" s="226"/>
      <c r="BU949" s="225"/>
      <c r="BV949" s="225"/>
      <c r="BW949" s="225"/>
      <c r="BX949" s="225"/>
      <c r="BY949" s="225"/>
      <c r="BZ949" s="225"/>
    </row>
    <row r="950">
      <c r="A950" s="284"/>
      <c r="B950" s="225"/>
      <c r="C950" s="225"/>
      <c r="D950" s="226"/>
      <c r="E950" s="225"/>
      <c r="F950" s="225"/>
      <c r="G950" s="225"/>
      <c r="H950" s="225"/>
      <c r="I950" s="225"/>
      <c r="J950" s="225"/>
      <c r="K950" s="244"/>
      <c r="L950" s="225"/>
      <c r="M950" s="225"/>
      <c r="N950" s="225"/>
      <c r="O950" s="225"/>
      <c r="P950" s="225"/>
      <c r="Q950" s="227"/>
      <c r="R950" s="234"/>
      <c r="S950" s="225"/>
      <c r="T950" s="225"/>
      <c r="U950" s="225"/>
      <c r="V950" s="225"/>
      <c r="W950" s="225"/>
      <c r="X950" s="225"/>
      <c r="Y950" s="229"/>
      <c r="Z950" s="257"/>
      <c r="AA950" s="225"/>
      <c r="AB950" s="257"/>
      <c r="AC950" s="257"/>
      <c r="AD950" s="226"/>
      <c r="AE950" s="259"/>
      <c r="AF950" s="347"/>
      <c r="AG950" s="232"/>
      <c r="AH950" s="257"/>
      <c r="AI950" s="225"/>
      <c r="AJ950" s="267"/>
      <c r="AK950" s="259"/>
      <c r="AL950" s="226"/>
      <c r="AM950" s="225"/>
      <c r="AN950" s="225"/>
      <c r="AO950" s="254"/>
      <c r="AP950" s="225"/>
      <c r="AQ950" s="225"/>
      <c r="AR950" s="226"/>
      <c r="AS950" s="225"/>
      <c r="AT950" s="225"/>
      <c r="AU950" s="225"/>
      <c r="AV950" s="225"/>
      <c r="AW950" s="225"/>
      <c r="AX950" s="226"/>
      <c r="AY950" s="225"/>
      <c r="AZ950" s="225"/>
      <c r="BA950" s="226"/>
      <c r="BB950" s="225"/>
      <c r="BC950" s="225"/>
      <c r="BD950" s="225"/>
      <c r="BE950" s="225"/>
      <c r="BF950" s="225"/>
      <c r="BG950" s="225"/>
      <c r="BH950" s="225"/>
      <c r="BI950" s="225"/>
      <c r="BJ950" s="225"/>
      <c r="BK950" s="225"/>
      <c r="BL950" s="225"/>
      <c r="BM950" s="225"/>
      <c r="BN950" s="225"/>
      <c r="BO950" s="225"/>
      <c r="BP950" s="225"/>
      <c r="BQ950" s="225"/>
      <c r="BR950" s="225"/>
      <c r="BS950" s="225"/>
      <c r="BT950" s="226"/>
      <c r="BU950" s="225"/>
      <c r="BV950" s="225"/>
      <c r="BW950" s="225"/>
      <c r="BX950" s="225"/>
      <c r="BY950" s="225"/>
      <c r="BZ950" s="225"/>
    </row>
    <row r="951">
      <c r="A951" s="284"/>
      <c r="B951" s="225"/>
      <c r="C951" s="225"/>
      <c r="D951" s="226"/>
      <c r="E951" s="225"/>
      <c r="F951" s="225"/>
      <c r="G951" s="225"/>
      <c r="H951" s="225"/>
      <c r="I951" s="225"/>
      <c r="J951" s="225"/>
      <c r="K951" s="244"/>
      <c r="L951" s="225"/>
      <c r="M951" s="225"/>
      <c r="N951" s="225"/>
      <c r="O951" s="225"/>
      <c r="P951" s="225"/>
      <c r="Q951" s="227"/>
      <c r="R951" s="234"/>
      <c r="S951" s="225"/>
      <c r="T951" s="225"/>
      <c r="U951" s="225"/>
      <c r="V951" s="225"/>
      <c r="W951" s="225"/>
      <c r="X951" s="225"/>
      <c r="Y951" s="229"/>
      <c r="Z951" s="257"/>
      <c r="AA951" s="225"/>
      <c r="AB951" s="257"/>
      <c r="AC951" s="257"/>
      <c r="AD951" s="226"/>
      <c r="AE951" s="259"/>
      <c r="AF951" s="347"/>
      <c r="AG951" s="232"/>
      <c r="AH951" s="257"/>
      <c r="AI951" s="225"/>
      <c r="AJ951" s="267"/>
      <c r="AK951" s="259"/>
      <c r="AL951" s="226"/>
      <c r="AM951" s="225"/>
      <c r="AN951" s="225"/>
      <c r="AO951" s="254"/>
      <c r="AP951" s="225"/>
      <c r="AQ951" s="225"/>
      <c r="AR951" s="226"/>
      <c r="AS951" s="225"/>
      <c r="AT951" s="225"/>
      <c r="AU951" s="225"/>
      <c r="AV951" s="225"/>
      <c r="AW951" s="225"/>
      <c r="AX951" s="226"/>
      <c r="AY951" s="225"/>
      <c r="AZ951" s="225"/>
      <c r="BA951" s="226"/>
      <c r="BB951" s="225"/>
      <c r="BC951" s="225"/>
      <c r="BD951" s="225"/>
      <c r="BE951" s="225"/>
      <c r="BF951" s="225"/>
      <c r="BG951" s="225"/>
      <c r="BH951" s="225"/>
      <c r="BI951" s="225"/>
      <c r="BJ951" s="225"/>
      <c r="BK951" s="225"/>
      <c r="BL951" s="225"/>
      <c r="BM951" s="225"/>
      <c r="BN951" s="225"/>
      <c r="BO951" s="225"/>
      <c r="BP951" s="225"/>
      <c r="BQ951" s="225"/>
      <c r="BR951" s="225"/>
      <c r="BS951" s="225"/>
      <c r="BT951" s="226"/>
      <c r="BU951" s="225"/>
      <c r="BV951" s="225"/>
      <c r="BW951" s="225"/>
      <c r="BX951" s="225"/>
      <c r="BY951" s="225"/>
      <c r="BZ951" s="225"/>
    </row>
    <row r="952">
      <c r="A952" s="284"/>
      <c r="B952" s="225"/>
      <c r="C952" s="225"/>
      <c r="D952" s="226"/>
      <c r="E952" s="225"/>
      <c r="F952" s="225"/>
      <c r="G952" s="225"/>
      <c r="H952" s="225"/>
      <c r="I952" s="225"/>
      <c r="J952" s="225"/>
      <c r="K952" s="244"/>
      <c r="L952" s="225"/>
      <c r="M952" s="225"/>
      <c r="N952" s="225"/>
      <c r="O952" s="225"/>
      <c r="P952" s="225"/>
      <c r="Q952" s="227"/>
      <c r="R952" s="234"/>
      <c r="S952" s="225"/>
      <c r="T952" s="225"/>
      <c r="U952" s="225"/>
      <c r="V952" s="225"/>
      <c r="W952" s="225"/>
      <c r="X952" s="225"/>
      <c r="Y952" s="229"/>
      <c r="Z952" s="257"/>
      <c r="AA952" s="225"/>
      <c r="AB952" s="257"/>
      <c r="AC952" s="257"/>
      <c r="AD952" s="226"/>
      <c r="AE952" s="259"/>
      <c r="AF952" s="347"/>
      <c r="AG952" s="232"/>
      <c r="AH952" s="257"/>
      <c r="AI952" s="225"/>
      <c r="AJ952" s="267"/>
      <c r="AK952" s="259"/>
      <c r="AL952" s="226"/>
      <c r="AM952" s="225"/>
      <c r="AN952" s="225"/>
      <c r="AO952" s="254"/>
      <c r="AP952" s="225"/>
      <c r="AQ952" s="225"/>
      <c r="AR952" s="226"/>
      <c r="AS952" s="225"/>
      <c r="AT952" s="225"/>
      <c r="AU952" s="225"/>
      <c r="AV952" s="225"/>
      <c r="AW952" s="225"/>
      <c r="AX952" s="226"/>
      <c r="AY952" s="225"/>
      <c r="AZ952" s="225"/>
      <c r="BA952" s="226"/>
      <c r="BB952" s="225"/>
      <c r="BC952" s="225"/>
      <c r="BD952" s="225"/>
      <c r="BE952" s="225"/>
      <c r="BF952" s="225"/>
      <c r="BG952" s="225"/>
      <c r="BH952" s="225"/>
      <c r="BI952" s="225"/>
      <c r="BJ952" s="225"/>
      <c r="BK952" s="225"/>
      <c r="BL952" s="225"/>
      <c r="BM952" s="225"/>
      <c r="BN952" s="225"/>
      <c r="BO952" s="225"/>
      <c r="BP952" s="225"/>
      <c r="BQ952" s="225"/>
      <c r="BR952" s="225"/>
      <c r="BS952" s="225"/>
      <c r="BT952" s="226"/>
      <c r="BU952" s="225"/>
      <c r="BV952" s="225"/>
      <c r="BW952" s="225"/>
      <c r="BX952" s="225"/>
      <c r="BY952" s="225"/>
      <c r="BZ952" s="225"/>
    </row>
    <row r="953">
      <c r="A953" s="284"/>
      <c r="B953" s="225"/>
      <c r="C953" s="225"/>
      <c r="D953" s="226"/>
      <c r="E953" s="225"/>
      <c r="F953" s="225"/>
      <c r="G953" s="225"/>
      <c r="H953" s="225"/>
      <c r="I953" s="225"/>
      <c r="J953" s="225"/>
      <c r="K953" s="244"/>
      <c r="L953" s="225"/>
      <c r="M953" s="225"/>
      <c r="N953" s="225"/>
      <c r="O953" s="225"/>
      <c r="P953" s="225"/>
      <c r="Q953" s="227"/>
      <c r="R953" s="234"/>
      <c r="S953" s="225"/>
      <c r="T953" s="225"/>
      <c r="U953" s="225"/>
      <c r="V953" s="225"/>
      <c r="W953" s="225"/>
      <c r="X953" s="225"/>
      <c r="Y953" s="229"/>
      <c r="Z953" s="257"/>
      <c r="AA953" s="225"/>
      <c r="AB953" s="257"/>
      <c r="AC953" s="257"/>
      <c r="AD953" s="226"/>
      <c r="AE953" s="259"/>
      <c r="AF953" s="347"/>
      <c r="AG953" s="232"/>
      <c r="AH953" s="257"/>
      <c r="AI953" s="225"/>
      <c r="AJ953" s="267"/>
      <c r="AK953" s="259"/>
      <c r="AL953" s="226"/>
      <c r="AM953" s="225"/>
      <c r="AN953" s="225"/>
      <c r="AO953" s="254"/>
      <c r="AP953" s="225"/>
      <c r="AQ953" s="225"/>
      <c r="AR953" s="226"/>
      <c r="AS953" s="225"/>
      <c r="AT953" s="225"/>
      <c r="AU953" s="225"/>
      <c r="AV953" s="225"/>
      <c r="AW953" s="225"/>
      <c r="AX953" s="226"/>
      <c r="AY953" s="225"/>
      <c r="AZ953" s="225"/>
      <c r="BA953" s="226"/>
      <c r="BB953" s="225"/>
      <c r="BC953" s="225"/>
      <c r="BD953" s="225"/>
      <c r="BE953" s="225"/>
      <c r="BF953" s="225"/>
      <c r="BG953" s="225"/>
      <c r="BH953" s="225"/>
      <c r="BI953" s="225"/>
      <c r="BJ953" s="225"/>
      <c r="BK953" s="225"/>
      <c r="BL953" s="225"/>
      <c r="BM953" s="225"/>
      <c r="BN953" s="225"/>
      <c r="BO953" s="225"/>
      <c r="BP953" s="225"/>
      <c r="BQ953" s="225"/>
      <c r="BR953" s="225"/>
      <c r="BS953" s="225"/>
      <c r="BT953" s="226"/>
      <c r="BU953" s="225"/>
      <c r="BV953" s="225"/>
      <c r="BW953" s="225"/>
      <c r="BX953" s="225"/>
      <c r="BY953" s="225"/>
      <c r="BZ953" s="225"/>
    </row>
    <row r="954">
      <c r="A954" s="284"/>
      <c r="B954" s="225"/>
      <c r="C954" s="225"/>
      <c r="D954" s="226"/>
      <c r="E954" s="225"/>
      <c r="F954" s="225"/>
      <c r="G954" s="225"/>
      <c r="H954" s="225"/>
      <c r="I954" s="225"/>
      <c r="J954" s="225"/>
      <c r="K954" s="244"/>
      <c r="L954" s="225"/>
      <c r="M954" s="225"/>
      <c r="N954" s="225"/>
      <c r="O954" s="225"/>
      <c r="P954" s="225"/>
      <c r="Q954" s="227"/>
      <c r="R954" s="234"/>
      <c r="S954" s="225"/>
      <c r="T954" s="225"/>
      <c r="U954" s="225"/>
      <c r="V954" s="225"/>
      <c r="W954" s="225"/>
      <c r="X954" s="225"/>
      <c r="Y954" s="229"/>
      <c r="Z954" s="257"/>
      <c r="AA954" s="225"/>
      <c r="AB954" s="257"/>
      <c r="AC954" s="257"/>
      <c r="AD954" s="226"/>
      <c r="AE954" s="259"/>
      <c r="AF954" s="347"/>
      <c r="AG954" s="232"/>
      <c r="AH954" s="257"/>
      <c r="AI954" s="225"/>
      <c r="AJ954" s="267"/>
      <c r="AK954" s="259"/>
      <c r="AL954" s="226"/>
      <c r="AM954" s="225"/>
      <c r="AN954" s="225"/>
      <c r="AO954" s="254"/>
      <c r="AP954" s="225"/>
      <c r="AQ954" s="225"/>
      <c r="AR954" s="226"/>
      <c r="AS954" s="225"/>
      <c r="AT954" s="225"/>
      <c r="AU954" s="225"/>
      <c r="AV954" s="225"/>
      <c r="AW954" s="225"/>
      <c r="AX954" s="226"/>
      <c r="AY954" s="225"/>
      <c r="AZ954" s="225"/>
      <c r="BA954" s="226"/>
      <c r="BB954" s="225"/>
      <c r="BC954" s="225"/>
      <c r="BD954" s="225"/>
      <c r="BE954" s="225"/>
      <c r="BF954" s="225"/>
      <c r="BG954" s="225"/>
      <c r="BH954" s="225"/>
      <c r="BI954" s="225"/>
      <c r="BJ954" s="225"/>
      <c r="BK954" s="225"/>
      <c r="BL954" s="225"/>
      <c r="BM954" s="225"/>
      <c r="BN954" s="225"/>
      <c r="BO954" s="225"/>
      <c r="BP954" s="225"/>
      <c r="BQ954" s="225"/>
      <c r="BR954" s="225"/>
      <c r="BS954" s="225"/>
      <c r="BT954" s="226"/>
      <c r="BU954" s="225"/>
      <c r="BV954" s="225"/>
      <c r="BW954" s="225"/>
      <c r="BX954" s="225"/>
      <c r="BY954" s="225"/>
      <c r="BZ954" s="225"/>
    </row>
    <row r="955">
      <c r="A955" s="284"/>
      <c r="B955" s="225"/>
      <c r="C955" s="225"/>
      <c r="D955" s="226"/>
      <c r="E955" s="225"/>
      <c r="F955" s="225"/>
      <c r="G955" s="225"/>
      <c r="H955" s="225"/>
      <c r="I955" s="225"/>
      <c r="J955" s="225"/>
      <c r="K955" s="244"/>
      <c r="L955" s="225"/>
      <c r="M955" s="225"/>
      <c r="N955" s="225"/>
      <c r="O955" s="225"/>
      <c r="P955" s="225"/>
      <c r="Q955" s="227"/>
      <c r="R955" s="234"/>
      <c r="S955" s="225"/>
      <c r="T955" s="225"/>
      <c r="U955" s="225"/>
      <c r="V955" s="225"/>
      <c r="W955" s="225"/>
      <c r="X955" s="225"/>
      <c r="Y955" s="229"/>
      <c r="Z955" s="257"/>
      <c r="AA955" s="225"/>
      <c r="AB955" s="257"/>
      <c r="AC955" s="257"/>
      <c r="AD955" s="226"/>
      <c r="AE955" s="259"/>
      <c r="AF955" s="347"/>
      <c r="AG955" s="232"/>
      <c r="AH955" s="257"/>
      <c r="AI955" s="225"/>
      <c r="AJ955" s="267"/>
      <c r="AK955" s="259"/>
      <c r="AL955" s="226"/>
      <c r="AM955" s="225"/>
      <c r="AN955" s="225"/>
      <c r="AO955" s="254"/>
      <c r="AP955" s="225"/>
      <c r="AQ955" s="225"/>
      <c r="AR955" s="226"/>
      <c r="AS955" s="225"/>
      <c r="AT955" s="225"/>
      <c r="AU955" s="225"/>
      <c r="AV955" s="225"/>
      <c r="AW955" s="225"/>
      <c r="AX955" s="226"/>
      <c r="AY955" s="225"/>
      <c r="AZ955" s="225"/>
      <c r="BA955" s="226"/>
      <c r="BB955" s="225"/>
      <c r="BC955" s="225"/>
      <c r="BD955" s="225"/>
      <c r="BE955" s="225"/>
      <c r="BF955" s="225"/>
      <c r="BG955" s="225"/>
      <c r="BH955" s="225"/>
      <c r="BI955" s="225"/>
      <c r="BJ955" s="225"/>
      <c r="BK955" s="225"/>
      <c r="BL955" s="225"/>
      <c r="BM955" s="225"/>
      <c r="BN955" s="225"/>
      <c r="BO955" s="225"/>
      <c r="BP955" s="225"/>
      <c r="BQ955" s="225"/>
      <c r="BR955" s="225"/>
      <c r="BS955" s="225"/>
      <c r="BT955" s="226"/>
      <c r="BU955" s="225"/>
      <c r="BV955" s="225"/>
      <c r="BW955" s="225"/>
      <c r="BX955" s="225"/>
      <c r="BY955" s="225"/>
      <c r="BZ955" s="225"/>
    </row>
    <row r="956">
      <c r="A956" s="284"/>
      <c r="B956" s="225"/>
      <c r="C956" s="225"/>
      <c r="D956" s="226"/>
      <c r="E956" s="225"/>
      <c r="F956" s="225"/>
      <c r="G956" s="225"/>
      <c r="H956" s="225"/>
      <c r="I956" s="225"/>
      <c r="J956" s="225"/>
      <c r="K956" s="244"/>
      <c r="L956" s="225"/>
      <c r="M956" s="225"/>
      <c r="N956" s="225"/>
      <c r="O956" s="225"/>
      <c r="P956" s="225"/>
      <c r="Q956" s="227"/>
      <c r="R956" s="234"/>
      <c r="S956" s="225"/>
      <c r="T956" s="225"/>
      <c r="U956" s="225"/>
      <c r="V956" s="225"/>
      <c r="W956" s="225"/>
      <c r="X956" s="225"/>
      <c r="Y956" s="229"/>
      <c r="Z956" s="257"/>
      <c r="AA956" s="225"/>
      <c r="AB956" s="257"/>
      <c r="AC956" s="257"/>
      <c r="AD956" s="226"/>
      <c r="AE956" s="259"/>
      <c r="AF956" s="347"/>
      <c r="AG956" s="232"/>
      <c r="AH956" s="257"/>
      <c r="AI956" s="225"/>
      <c r="AJ956" s="267"/>
      <c r="AK956" s="259"/>
      <c r="AL956" s="226"/>
      <c r="AM956" s="225"/>
      <c r="AN956" s="225"/>
      <c r="AO956" s="254"/>
      <c r="AP956" s="225"/>
      <c r="AQ956" s="225"/>
      <c r="AR956" s="226"/>
      <c r="AS956" s="225"/>
      <c r="AT956" s="225"/>
      <c r="AU956" s="225"/>
      <c r="AV956" s="225"/>
      <c r="AW956" s="225"/>
      <c r="AX956" s="226"/>
      <c r="AY956" s="225"/>
      <c r="AZ956" s="225"/>
      <c r="BA956" s="226"/>
      <c r="BB956" s="225"/>
      <c r="BC956" s="225"/>
      <c r="BD956" s="225"/>
      <c r="BE956" s="225"/>
      <c r="BF956" s="225"/>
      <c r="BG956" s="225"/>
      <c r="BH956" s="225"/>
      <c r="BI956" s="225"/>
      <c r="BJ956" s="225"/>
      <c r="BK956" s="225"/>
      <c r="BL956" s="225"/>
      <c r="BM956" s="225"/>
      <c r="BN956" s="225"/>
      <c r="BO956" s="225"/>
      <c r="BP956" s="225"/>
      <c r="BQ956" s="225"/>
      <c r="BR956" s="225"/>
      <c r="BS956" s="225"/>
      <c r="BT956" s="226"/>
      <c r="BU956" s="225"/>
      <c r="BV956" s="225"/>
      <c r="BW956" s="225"/>
      <c r="BX956" s="225"/>
      <c r="BY956" s="225"/>
      <c r="BZ956" s="225"/>
    </row>
    <row r="957">
      <c r="A957" s="284"/>
      <c r="B957" s="225"/>
      <c r="C957" s="225"/>
      <c r="D957" s="226"/>
      <c r="E957" s="225"/>
      <c r="F957" s="225"/>
      <c r="G957" s="225"/>
      <c r="H957" s="225"/>
      <c r="I957" s="225"/>
      <c r="J957" s="225"/>
      <c r="K957" s="244"/>
      <c r="L957" s="225"/>
      <c r="M957" s="225"/>
      <c r="N957" s="225"/>
      <c r="O957" s="225"/>
      <c r="P957" s="225"/>
      <c r="Q957" s="227"/>
      <c r="R957" s="234"/>
      <c r="S957" s="225"/>
      <c r="T957" s="225"/>
      <c r="U957" s="225"/>
      <c r="V957" s="225"/>
      <c r="W957" s="225"/>
      <c r="X957" s="225"/>
      <c r="Y957" s="229"/>
      <c r="Z957" s="257"/>
      <c r="AA957" s="225"/>
      <c r="AB957" s="257"/>
      <c r="AC957" s="257"/>
      <c r="AD957" s="226"/>
      <c r="AE957" s="259"/>
      <c r="AF957" s="347"/>
      <c r="AG957" s="232"/>
      <c r="AH957" s="257"/>
      <c r="AI957" s="225"/>
      <c r="AJ957" s="267"/>
      <c r="AK957" s="259"/>
      <c r="AL957" s="226"/>
      <c r="AM957" s="225"/>
      <c r="AN957" s="225"/>
      <c r="AO957" s="254"/>
      <c r="AP957" s="225"/>
      <c r="AQ957" s="225"/>
      <c r="AR957" s="226"/>
      <c r="AS957" s="225"/>
      <c r="AT957" s="225"/>
      <c r="AU957" s="225"/>
      <c r="AV957" s="225"/>
      <c r="AW957" s="225"/>
      <c r="AX957" s="226"/>
      <c r="AY957" s="225"/>
      <c r="AZ957" s="225"/>
      <c r="BA957" s="226"/>
      <c r="BB957" s="225"/>
      <c r="BC957" s="225"/>
      <c r="BD957" s="225"/>
      <c r="BE957" s="225"/>
      <c r="BF957" s="225"/>
      <c r="BG957" s="225"/>
      <c r="BH957" s="225"/>
      <c r="BI957" s="225"/>
      <c r="BJ957" s="225"/>
      <c r="BK957" s="225"/>
      <c r="BL957" s="225"/>
      <c r="BM957" s="225"/>
      <c r="BN957" s="225"/>
      <c r="BO957" s="225"/>
      <c r="BP957" s="225"/>
      <c r="BQ957" s="225"/>
      <c r="BR957" s="225"/>
      <c r="BS957" s="225"/>
      <c r="BT957" s="226"/>
      <c r="BU957" s="225"/>
      <c r="BV957" s="225"/>
      <c r="BW957" s="225"/>
      <c r="BX957" s="225"/>
      <c r="BY957" s="225"/>
      <c r="BZ957" s="225"/>
    </row>
    <row r="958">
      <c r="A958" s="284"/>
      <c r="B958" s="225"/>
      <c r="C958" s="225"/>
      <c r="D958" s="226"/>
      <c r="E958" s="225"/>
      <c r="F958" s="225"/>
      <c r="G958" s="225"/>
      <c r="H958" s="225"/>
      <c r="I958" s="225"/>
      <c r="J958" s="225"/>
      <c r="K958" s="244"/>
      <c r="L958" s="225"/>
      <c r="M958" s="225"/>
      <c r="N958" s="225"/>
      <c r="O958" s="225"/>
      <c r="P958" s="225"/>
      <c r="Q958" s="227"/>
      <c r="R958" s="234"/>
      <c r="S958" s="225"/>
      <c r="T958" s="225"/>
      <c r="U958" s="225"/>
      <c r="V958" s="225"/>
      <c r="W958" s="225"/>
      <c r="X958" s="225"/>
      <c r="Y958" s="229"/>
      <c r="Z958" s="257"/>
      <c r="AA958" s="225"/>
      <c r="AB958" s="257"/>
      <c r="AC958" s="257"/>
      <c r="AD958" s="226"/>
      <c r="AE958" s="259"/>
      <c r="AF958" s="347"/>
      <c r="AG958" s="232"/>
      <c r="AH958" s="257"/>
      <c r="AI958" s="225"/>
      <c r="AJ958" s="267"/>
      <c r="AK958" s="259"/>
      <c r="AL958" s="226"/>
      <c r="AM958" s="225"/>
      <c r="AN958" s="225"/>
      <c r="AO958" s="254"/>
      <c r="AP958" s="225"/>
      <c r="AQ958" s="225"/>
      <c r="AR958" s="226"/>
      <c r="AS958" s="225"/>
      <c r="AT958" s="225"/>
      <c r="AU958" s="225"/>
      <c r="AV958" s="225"/>
      <c r="AW958" s="225"/>
      <c r="AX958" s="226"/>
      <c r="AY958" s="225"/>
      <c r="AZ958" s="225"/>
      <c r="BA958" s="226"/>
      <c r="BB958" s="225"/>
      <c r="BC958" s="225"/>
      <c r="BD958" s="225"/>
      <c r="BE958" s="225"/>
      <c r="BF958" s="225"/>
      <c r="BG958" s="225"/>
      <c r="BH958" s="225"/>
      <c r="BI958" s="225"/>
      <c r="BJ958" s="225"/>
      <c r="BK958" s="225"/>
      <c r="BL958" s="225"/>
      <c r="BM958" s="225"/>
      <c r="BN958" s="225"/>
      <c r="BO958" s="225"/>
      <c r="BP958" s="225"/>
      <c r="BQ958" s="225"/>
      <c r="BR958" s="225"/>
      <c r="BS958" s="225"/>
      <c r="BT958" s="226"/>
      <c r="BU958" s="225"/>
      <c r="BV958" s="225"/>
      <c r="BW958" s="225"/>
      <c r="BX958" s="225"/>
      <c r="BY958" s="225"/>
      <c r="BZ958" s="225"/>
    </row>
    <row r="959">
      <c r="A959" s="284"/>
      <c r="B959" s="225"/>
      <c r="C959" s="225"/>
      <c r="D959" s="226"/>
      <c r="E959" s="225"/>
      <c r="F959" s="225"/>
      <c r="G959" s="225"/>
      <c r="H959" s="225"/>
      <c r="I959" s="225"/>
      <c r="J959" s="225"/>
      <c r="K959" s="244"/>
      <c r="L959" s="225"/>
      <c r="M959" s="225"/>
      <c r="N959" s="225"/>
      <c r="O959" s="225"/>
      <c r="P959" s="225"/>
      <c r="Q959" s="227"/>
      <c r="R959" s="234"/>
      <c r="S959" s="225"/>
      <c r="T959" s="225"/>
      <c r="U959" s="225"/>
      <c r="V959" s="225"/>
      <c r="W959" s="225"/>
      <c r="X959" s="225"/>
      <c r="Y959" s="229"/>
      <c r="Z959" s="257"/>
      <c r="AA959" s="225"/>
      <c r="AB959" s="257"/>
      <c r="AC959" s="257"/>
      <c r="AD959" s="226"/>
      <c r="AE959" s="259"/>
      <c r="AF959" s="347"/>
      <c r="AG959" s="232"/>
      <c r="AH959" s="257"/>
      <c r="AI959" s="225"/>
      <c r="AJ959" s="267"/>
      <c r="AK959" s="259"/>
      <c r="AL959" s="226"/>
      <c r="AM959" s="225"/>
      <c r="AN959" s="225"/>
      <c r="AO959" s="254"/>
      <c r="AP959" s="225"/>
      <c r="AQ959" s="225"/>
      <c r="AR959" s="226"/>
      <c r="AS959" s="225"/>
      <c r="AT959" s="225"/>
      <c r="AU959" s="225"/>
      <c r="AV959" s="225"/>
      <c r="AW959" s="225"/>
      <c r="AX959" s="226"/>
      <c r="AY959" s="225"/>
      <c r="AZ959" s="225"/>
      <c r="BA959" s="226"/>
      <c r="BB959" s="225"/>
      <c r="BC959" s="225"/>
      <c r="BD959" s="225"/>
      <c r="BE959" s="225"/>
      <c r="BF959" s="225"/>
      <c r="BG959" s="225"/>
      <c r="BH959" s="225"/>
      <c r="BI959" s="225"/>
      <c r="BJ959" s="225"/>
      <c r="BK959" s="225"/>
      <c r="BL959" s="225"/>
      <c r="BM959" s="225"/>
      <c r="BN959" s="225"/>
      <c r="BO959" s="225"/>
      <c r="BP959" s="225"/>
      <c r="BQ959" s="225"/>
      <c r="BR959" s="225"/>
      <c r="BS959" s="225"/>
      <c r="BT959" s="226"/>
      <c r="BU959" s="225"/>
      <c r="BV959" s="225"/>
      <c r="BW959" s="225"/>
      <c r="BX959" s="225"/>
      <c r="BY959" s="225"/>
      <c r="BZ959" s="225"/>
    </row>
    <row r="960">
      <c r="A960" s="284"/>
      <c r="B960" s="225"/>
      <c r="C960" s="225"/>
      <c r="D960" s="226"/>
      <c r="E960" s="225"/>
      <c r="F960" s="225"/>
      <c r="G960" s="225"/>
      <c r="H960" s="225"/>
      <c r="I960" s="225"/>
      <c r="J960" s="225"/>
      <c r="K960" s="244"/>
      <c r="L960" s="225"/>
      <c r="M960" s="225"/>
      <c r="N960" s="225"/>
      <c r="O960" s="225"/>
      <c r="P960" s="225"/>
      <c r="Q960" s="227"/>
      <c r="R960" s="234"/>
      <c r="S960" s="225"/>
      <c r="T960" s="225"/>
      <c r="U960" s="225"/>
      <c r="V960" s="225"/>
      <c r="W960" s="225"/>
      <c r="X960" s="225"/>
      <c r="Y960" s="229"/>
      <c r="Z960" s="257"/>
      <c r="AA960" s="225"/>
      <c r="AB960" s="257"/>
      <c r="AC960" s="257"/>
      <c r="AD960" s="226"/>
      <c r="AE960" s="259"/>
      <c r="AF960" s="347"/>
      <c r="AG960" s="232"/>
      <c r="AH960" s="257"/>
      <c r="AI960" s="225"/>
      <c r="AJ960" s="267"/>
      <c r="AK960" s="259"/>
      <c r="AL960" s="226"/>
      <c r="AM960" s="225"/>
      <c r="AN960" s="225"/>
      <c r="AO960" s="254"/>
      <c r="AP960" s="225"/>
      <c r="AQ960" s="225"/>
      <c r="AR960" s="226"/>
      <c r="AS960" s="225"/>
      <c r="AT960" s="225"/>
      <c r="AU960" s="225"/>
      <c r="AV960" s="225"/>
      <c r="AW960" s="225"/>
      <c r="AX960" s="226"/>
      <c r="AY960" s="225"/>
      <c r="AZ960" s="225"/>
      <c r="BA960" s="226"/>
      <c r="BB960" s="225"/>
      <c r="BC960" s="225"/>
      <c r="BD960" s="225"/>
      <c r="BE960" s="225"/>
      <c r="BF960" s="225"/>
      <c r="BG960" s="225"/>
      <c r="BH960" s="225"/>
      <c r="BI960" s="225"/>
      <c r="BJ960" s="225"/>
      <c r="BK960" s="225"/>
      <c r="BL960" s="225"/>
      <c r="BM960" s="225"/>
      <c r="BN960" s="225"/>
      <c r="BO960" s="225"/>
      <c r="BP960" s="225"/>
      <c r="BQ960" s="225"/>
      <c r="BR960" s="225"/>
      <c r="BS960" s="225"/>
      <c r="BT960" s="226"/>
      <c r="BU960" s="225"/>
      <c r="BV960" s="225"/>
      <c r="BW960" s="225"/>
      <c r="BX960" s="225"/>
      <c r="BY960" s="225"/>
      <c r="BZ960" s="225"/>
    </row>
    <row r="961">
      <c r="A961" s="284"/>
      <c r="B961" s="225"/>
      <c r="C961" s="225"/>
      <c r="D961" s="226"/>
      <c r="E961" s="225"/>
      <c r="F961" s="225"/>
      <c r="G961" s="225"/>
      <c r="H961" s="225"/>
      <c r="I961" s="225"/>
      <c r="J961" s="225"/>
      <c r="K961" s="244"/>
      <c r="L961" s="225"/>
      <c r="M961" s="225"/>
      <c r="N961" s="225"/>
      <c r="O961" s="225"/>
      <c r="P961" s="225"/>
      <c r="Q961" s="227"/>
      <c r="R961" s="234"/>
      <c r="S961" s="225"/>
      <c r="T961" s="225"/>
      <c r="U961" s="225"/>
      <c r="V961" s="225"/>
      <c r="W961" s="225"/>
      <c r="X961" s="225"/>
      <c r="Y961" s="229"/>
      <c r="Z961" s="257"/>
      <c r="AA961" s="225"/>
      <c r="AB961" s="257"/>
      <c r="AC961" s="257"/>
      <c r="AD961" s="226"/>
      <c r="AE961" s="259"/>
      <c r="AF961" s="347"/>
      <c r="AG961" s="232"/>
      <c r="AH961" s="257"/>
      <c r="AI961" s="225"/>
      <c r="AJ961" s="267"/>
      <c r="AK961" s="259"/>
      <c r="AL961" s="226"/>
      <c r="AM961" s="225"/>
      <c r="AN961" s="225"/>
      <c r="AO961" s="254"/>
      <c r="AP961" s="225"/>
      <c r="AQ961" s="225"/>
      <c r="AR961" s="226"/>
      <c r="AS961" s="225"/>
      <c r="AT961" s="225"/>
      <c r="AU961" s="225"/>
      <c r="AV961" s="225"/>
      <c r="AW961" s="225"/>
      <c r="AX961" s="226"/>
      <c r="AY961" s="225"/>
      <c r="AZ961" s="225"/>
      <c r="BA961" s="226"/>
      <c r="BB961" s="225"/>
      <c r="BC961" s="225"/>
      <c r="BD961" s="225"/>
      <c r="BE961" s="225"/>
      <c r="BF961" s="225"/>
      <c r="BG961" s="225"/>
      <c r="BH961" s="225"/>
      <c r="BI961" s="225"/>
      <c r="BJ961" s="225"/>
      <c r="BK961" s="225"/>
      <c r="BL961" s="225"/>
      <c r="BM961" s="225"/>
      <c r="BN961" s="225"/>
      <c r="BO961" s="225"/>
      <c r="BP961" s="225"/>
      <c r="BQ961" s="225"/>
      <c r="BR961" s="225"/>
      <c r="BS961" s="225"/>
      <c r="BT961" s="226"/>
      <c r="BU961" s="225"/>
      <c r="BV961" s="225"/>
      <c r="BW961" s="225"/>
      <c r="BX961" s="225"/>
      <c r="BY961" s="225"/>
      <c r="BZ961" s="225"/>
    </row>
    <row r="962">
      <c r="A962" s="284"/>
      <c r="B962" s="225"/>
      <c r="C962" s="225"/>
      <c r="D962" s="226"/>
      <c r="E962" s="225"/>
      <c r="F962" s="225"/>
      <c r="G962" s="225"/>
      <c r="H962" s="225"/>
      <c r="I962" s="225"/>
      <c r="J962" s="225"/>
      <c r="K962" s="244"/>
      <c r="L962" s="225"/>
      <c r="M962" s="225"/>
      <c r="N962" s="225"/>
      <c r="O962" s="225"/>
      <c r="P962" s="225"/>
      <c r="Q962" s="227"/>
      <c r="R962" s="234"/>
      <c r="S962" s="225"/>
      <c r="T962" s="225"/>
      <c r="U962" s="225"/>
      <c r="V962" s="225"/>
      <c r="W962" s="225"/>
      <c r="X962" s="225"/>
      <c r="Y962" s="229"/>
      <c r="Z962" s="257"/>
      <c r="AA962" s="225"/>
      <c r="AB962" s="257"/>
      <c r="AC962" s="257"/>
      <c r="AD962" s="226"/>
      <c r="AE962" s="259"/>
      <c r="AF962" s="347"/>
      <c r="AG962" s="232"/>
      <c r="AH962" s="257"/>
      <c r="AI962" s="225"/>
      <c r="AJ962" s="267"/>
      <c r="AK962" s="259"/>
      <c r="AL962" s="226"/>
      <c r="AM962" s="225"/>
      <c r="AN962" s="225"/>
      <c r="AO962" s="254"/>
      <c r="AP962" s="225"/>
      <c r="AQ962" s="225"/>
      <c r="AR962" s="226"/>
      <c r="AS962" s="225"/>
      <c r="AT962" s="225"/>
      <c r="AU962" s="225"/>
      <c r="AV962" s="225"/>
      <c r="AW962" s="225"/>
      <c r="AX962" s="226"/>
      <c r="AY962" s="225"/>
      <c r="AZ962" s="225"/>
      <c r="BA962" s="226"/>
      <c r="BB962" s="225"/>
      <c r="BC962" s="225"/>
      <c r="BD962" s="225"/>
      <c r="BE962" s="225"/>
      <c r="BF962" s="225"/>
      <c r="BG962" s="225"/>
      <c r="BH962" s="225"/>
      <c r="BI962" s="225"/>
      <c r="BJ962" s="225"/>
      <c r="BK962" s="225"/>
      <c r="BL962" s="225"/>
      <c r="BM962" s="225"/>
      <c r="BN962" s="225"/>
      <c r="BO962" s="225"/>
      <c r="BP962" s="225"/>
      <c r="BQ962" s="225"/>
      <c r="BR962" s="225"/>
      <c r="BS962" s="225"/>
      <c r="BT962" s="226"/>
      <c r="BU962" s="225"/>
      <c r="BV962" s="225"/>
      <c r="BW962" s="225"/>
      <c r="BX962" s="225"/>
      <c r="BY962" s="225"/>
      <c r="BZ962" s="225"/>
    </row>
    <row r="963">
      <c r="A963" s="284"/>
      <c r="B963" s="225"/>
      <c r="C963" s="225"/>
      <c r="D963" s="226"/>
      <c r="E963" s="225"/>
      <c r="F963" s="225"/>
      <c r="G963" s="225"/>
      <c r="H963" s="225"/>
      <c r="I963" s="225"/>
      <c r="J963" s="225"/>
      <c r="K963" s="244"/>
      <c r="L963" s="225"/>
      <c r="M963" s="225"/>
      <c r="N963" s="225"/>
      <c r="O963" s="225"/>
      <c r="P963" s="225"/>
      <c r="Q963" s="227"/>
      <c r="R963" s="234"/>
      <c r="S963" s="225"/>
      <c r="T963" s="225"/>
      <c r="U963" s="225"/>
      <c r="V963" s="225"/>
      <c r="W963" s="225"/>
      <c r="X963" s="225"/>
      <c r="Y963" s="229"/>
      <c r="Z963" s="257"/>
      <c r="AA963" s="225"/>
      <c r="AB963" s="257"/>
      <c r="AC963" s="257"/>
      <c r="AD963" s="226"/>
      <c r="AE963" s="259"/>
      <c r="AF963" s="347"/>
      <c r="AG963" s="232"/>
      <c r="AH963" s="257"/>
      <c r="AI963" s="225"/>
      <c r="AJ963" s="267"/>
      <c r="AK963" s="259"/>
      <c r="AL963" s="226"/>
      <c r="AM963" s="225"/>
      <c r="AN963" s="225"/>
      <c r="AO963" s="254"/>
      <c r="AP963" s="225"/>
      <c r="AQ963" s="225"/>
      <c r="AR963" s="226"/>
      <c r="AS963" s="225"/>
      <c r="AT963" s="225"/>
      <c r="AU963" s="225"/>
      <c r="AV963" s="225"/>
      <c r="AW963" s="225"/>
      <c r="AX963" s="226"/>
      <c r="AY963" s="225"/>
      <c r="AZ963" s="225"/>
      <c r="BA963" s="226"/>
      <c r="BB963" s="225"/>
      <c r="BC963" s="225"/>
      <c r="BD963" s="225"/>
      <c r="BE963" s="225"/>
      <c r="BF963" s="225"/>
      <c r="BG963" s="225"/>
      <c r="BH963" s="225"/>
      <c r="BI963" s="225"/>
      <c r="BJ963" s="225"/>
      <c r="BK963" s="225"/>
      <c r="BL963" s="225"/>
      <c r="BM963" s="225"/>
      <c r="BN963" s="225"/>
      <c r="BO963" s="225"/>
      <c r="BP963" s="225"/>
      <c r="BQ963" s="225"/>
      <c r="BR963" s="225"/>
      <c r="BS963" s="225"/>
      <c r="BT963" s="226"/>
      <c r="BU963" s="225"/>
      <c r="BV963" s="225"/>
      <c r="BW963" s="225"/>
      <c r="BX963" s="225"/>
      <c r="BY963" s="225"/>
      <c r="BZ963" s="225"/>
    </row>
    <row r="964">
      <c r="A964" s="284"/>
      <c r="B964" s="225"/>
      <c r="C964" s="225"/>
      <c r="D964" s="226"/>
      <c r="E964" s="225"/>
      <c r="F964" s="225"/>
      <c r="G964" s="225"/>
      <c r="H964" s="225"/>
      <c r="I964" s="225"/>
      <c r="J964" s="225"/>
      <c r="K964" s="244"/>
      <c r="L964" s="225"/>
      <c r="M964" s="225"/>
      <c r="N964" s="225"/>
      <c r="O964" s="225"/>
      <c r="P964" s="225"/>
      <c r="Q964" s="227"/>
      <c r="R964" s="234"/>
      <c r="S964" s="225"/>
      <c r="T964" s="225"/>
      <c r="U964" s="225"/>
      <c r="V964" s="225"/>
      <c r="W964" s="225"/>
      <c r="X964" s="225"/>
      <c r="Y964" s="229"/>
      <c r="Z964" s="257"/>
      <c r="AA964" s="225"/>
      <c r="AB964" s="257"/>
      <c r="AC964" s="257"/>
      <c r="AD964" s="226"/>
      <c r="AE964" s="259"/>
      <c r="AF964" s="347"/>
      <c r="AG964" s="232"/>
      <c r="AH964" s="257"/>
      <c r="AI964" s="225"/>
      <c r="AJ964" s="267"/>
      <c r="AK964" s="259"/>
      <c r="AL964" s="226"/>
      <c r="AM964" s="225"/>
      <c r="AN964" s="225"/>
      <c r="AO964" s="254"/>
      <c r="AP964" s="225"/>
      <c r="AQ964" s="225"/>
      <c r="AR964" s="226"/>
      <c r="AS964" s="225"/>
      <c r="AT964" s="225"/>
      <c r="AU964" s="225"/>
      <c r="AV964" s="225"/>
      <c r="AW964" s="225"/>
      <c r="AX964" s="226"/>
      <c r="AY964" s="225"/>
      <c r="AZ964" s="225"/>
      <c r="BA964" s="226"/>
      <c r="BB964" s="225"/>
      <c r="BC964" s="225"/>
      <c r="BD964" s="225"/>
      <c r="BE964" s="225"/>
      <c r="BF964" s="225"/>
      <c r="BG964" s="225"/>
      <c r="BH964" s="225"/>
      <c r="BI964" s="225"/>
      <c r="BJ964" s="225"/>
      <c r="BK964" s="225"/>
      <c r="BL964" s="225"/>
      <c r="BM964" s="225"/>
      <c r="BN964" s="225"/>
      <c r="BO964" s="225"/>
      <c r="BP964" s="225"/>
      <c r="BQ964" s="225"/>
      <c r="BR964" s="225"/>
      <c r="BS964" s="225"/>
      <c r="BT964" s="226"/>
      <c r="BU964" s="225"/>
      <c r="BV964" s="225"/>
      <c r="BW964" s="225"/>
      <c r="BX964" s="225"/>
      <c r="BY964" s="225"/>
      <c r="BZ964" s="225"/>
    </row>
    <row r="965">
      <c r="A965" s="284"/>
      <c r="B965" s="225"/>
      <c r="C965" s="225"/>
      <c r="D965" s="226"/>
      <c r="E965" s="225"/>
      <c r="F965" s="225"/>
      <c r="G965" s="225"/>
      <c r="H965" s="225"/>
      <c r="I965" s="225"/>
      <c r="J965" s="225"/>
      <c r="K965" s="244"/>
      <c r="L965" s="225"/>
      <c r="M965" s="225"/>
      <c r="N965" s="225"/>
      <c r="O965" s="225"/>
      <c r="P965" s="225"/>
      <c r="Q965" s="227"/>
      <c r="R965" s="234"/>
      <c r="S965" s="225"/>
      <c r="T965" s="225"/>
      <c r="U965" s="225"/>
      <c r="V965" s="225"/>
      <c r="W965" s="225"/>
      <c r="X965" s="225"/>
      <c r="Y965" s="229"/>
      <c r="Z965" s="257"/>
      <c r="AA965" s="225"/>
      <c r="AB965" s="257"/>
      <c r="AC965" s="257"/>
      <c r="AD965" s="226"/>
      <c r="AE965" s="259"/>
      <c r="AF965" s="347"/>
      <c r="AG965" s="232"/>
      <c r="AH965" s="257"/>
      <c r="AI965" s="225"/>
      <c r="AJ965" s="267"/>
      <c r="AK965" s="259"/>
      <c r="AL965" s="226"/>
      <c r="AM965" s="225"/>
      <c r="AN965" s="225"/>
      <c r="AO965" s="254"/>
      <c r="AP965" s="225"/>
      <c r="AQ965" s="225"/>
      <c r="AR965" s="226"/>
      <c r="AS965" s="225"/>
      <c r="AT965" s="225"/>
      <c r="AU965" s="225"/>
      <c r="AV965" s="225"/>
      <c r="AW965" s="225"/>
      <c r="AX965" s="226"/>
      <c r="AY965" s="225"/>
      <c r="AZ965" s="225"/>
      <c r="BA965" s="226"/>
      <c r="BB965" s="225"/>
      <c r="BC965" s="225"/>
      <c r="BD965" s="225"/>
      <c r="BE965" s="225"/>
      <c r="BF965" s="225"/>
      <c r="BG965" s="225"/>
      <c r="BH965" s="225"/>
      <c r="BI965" s="225"/>
      <c r="BJ965" s="225"/>
      <c r="BK965" s="225"/>
      <c r="BL965" s="225"/>
      <c r="BM965" s="225"/>
      <c r="BN965" s="225"/>
      <c r="BO965" s="225"/>
      <c r="BP965" s="225"/>
      <c r="BQ965" s="225"/>
      <c r="BR965" s="225"/>
      <c r="BS965" s="225"/>
      <c r="BT965" s="226"/>
      <c r="BU965" s="225"/>
      <c r="BV965" s="225"/>
      <c r="BW965" s="225"/>
      <c r="BX965" s="225"/>
      <c r="BY965" s="225"/>
      <c r="BZ965" s="225"/>
    </row>
    <row r="966">
      <c r="A966" s="284"/>
      <c r="B966" s="225"/>
      <c r="C966" s="225"/>
      <c r="D966" s="226"/>
      <c r="E966" s="225"/>
      <c r="F966" s="225"/>
      <c r="G966" s="225"/>
      <c r="H966" s="225"/>
      <c r="I966" s="225"/>
      <c r="J966" s="225"/>
      <c r="K966" s="244"/>
      <c r="L966" s="225"/>
      <c r="M966" s="225"/>
      <c r="N966" s="225"/>
      <c r="O966" s="225"/>
      <c r="P966" s="225"/>
      <c r="Q966" s="227"/>
      <c r="R966" s="234"/>
      <c r="S966" s="225"/>
      <c r="T966" s="225"/>
      <c r="U966" s="225"/>
      <c r="V966" s="225"/>
      <c r="W966" s="225"/>
      <c r="X966" s="225"/>
      <c r="Y966" s="229"/>
      <c r="Z966" s="257"/>
      <c r="AA966" s="225"/>
      <c r="AB966" s="257"/>
      <c r="AC966" s="257"/>
      <c r="AD966" s="226"/>
      <c r="AE966" s="259"/>
      <c r="AF966" s="347"/>
      <c r="AG966" s="232"/>
      <c r="AH966" s="257"/>
      <c r="AI966" s="225"/>
      <c r="AJ966" s="267"/>
      <c r="AK966" s="259"/>
      <c r="AL966" s="226"/>
      <c r="AM966" s="225"/>
      <c r="AN966" s="225"/>
      <c r="AO966" s="254"/>
      <c r="AP966" s="225"/>
      <c r="AQ966" s="225"/>
      <c r="AR966" s="226"/>
      <c r="AS966" s="225"/>
      <c r="AT966" s="225"/>
      <c r="AU966" s="225"/>
      <c r="AV966" s="225"/>
      <c r="AW966" s="225"/>
      <c r="AX966" s="226"/>
      <c r="AY966" s="225"/>
      <c r="AZ966" s="225"/>
      <c r="BA966" s="226"/>
      <c r="BB966" s="225"/>
      <c r="BC966" s="225"/>
      <c r="BD966" s="225"/>
      <c r="BE966" s="225"/>
      <c r="BF966" s="225"/>
      <c r="BG966" s="225"/>
      <c r="BH966" s="225"/>
      <c r="BI966" s="225"/>
      <c r="BJ966" s="225"/>
      <c r="BK966" s="225"/>
      <c r="BL966" s="225"/>
      <c r="BM966" s="225"/>
      <c r="BN966" s="225"/>
      <c r="BO966" s="225"/>
      <c r="BP966" s="225"/>
      <c r="BQ966" s="225"/>
      <c r="BR966" s="225"/>
      <c r="BS966" s="225"/>
      <c r="BT966" s="226"/>
      <c r="BU966" s="225"/>
      <c r="BV966" s="225"/>
      <c r="BW966" s="225"/>
      <c r="BX966" s="225"/>
      <c r="BY966" s="225"/>
      <c r="BZ966" s="225"/>
    </row>
    <row r="967">
      <c r="A967" s="284"/>
      <c r="B967" s="225"/>
      <c r="C967" s="225"/>
      <c r="D967" s="226"/>
      <c r="E967" s="225"/>
      <c r="F967" s="225"/>
      <c r="G967" s="225"/>
      <c r="H967" s="225"/>
      <c r="I967" s="225"/>
      <c r="J967" s="225"/>
      <c r="K967" s="244"/>
      <c r="L967" s="225"/>
      <c r="M967" s="225"/>
      <c r="N967" s="225"/>
      <c r="O967" s="225"/>
      <c r="P967" s="225"/>
      <c r="Q967" s="227"/>
      <c r="R967" s="234"/>
      <c r="S967" s="225"/>
      <c r="T967" s="225"/>
      <c r="U967" s="225"/>
      <c r="V967" s="225"/>
      <c r="W967" s="225"/>
      <c r="X967" s="225"/>
      <c r="Y967" s="229"/>
      <c r="Z967" s="257"/>
      <c r="AA967" s="225"/>
      <c r="AB967" s="257"/>
      <c r="AC967" s="257"/>
      <c r="AD967" s="226"/>
      <c r="AE967" s="259"/>
      <c r="AF967" s="347"/>
      <c r="AG967" s="232"/>
      <c r="AH967" s="257"/>
      <c r="AI967" s="225"/>
      <c r="AJ967" s="267"/>
      <c r="AK967" s="259"/>
      <c r="AL967" s="226"/>
      <c r="AM967" s="225"/>
      <c r="AN967" s="225"/>
      <c r="AO967" s="254"/>
      <c r="AP967" s="225"/>
      <c r="AQ967" s="225"/>
      <c r="AR967" s="226"/>
      <c r="AS967" s="225"/>
      <c r="AT967" s="225"/>
      <c r="AU967" s="225"/>
      <c r="AV967" s="225"/>
      <c r="AW967" s="225"/>
      <c r="AX967" s="226"/>
      <c r="AY967" s="225"/>
      <c r="AZ967" s="225"/>
      <c r="BA967" s="226"/>
      <c r="BB967" s="225"/>
      <c r="BC967" s="225"/>
      <c r="BD967" s="225"/>
      <c r="BE967" s="225"/>
      <c r="BF967" s="225"/>
      <c r="BG967" s="225"/>
      <c r="BH967" s="225"/>
      <c r="BI967" s="225"/>
      <c r="BJ967" s="225"/>
      <c r="BK967" s="225"/>
      <c r="BL967" s="225"/>
      <c r="BM967" s="225"/>
      <c r="BN967" s="225"/>
      <c r="BO967" s="225"/>
      <c r="BP967" s="225"/>
      <c r="BQ967" s="225"/>
      <c r="BR967" s="225"/>
      <c r="BS967" s="225"/>
      <c r="BT967" s="226"/>
      <c r="BU967" s="225"/>
      <c r="BV967" s="225"/>
      <c r="BW967" s="225"/>
      <c r="BX967" s="225"/>
      <c r="BY967" s="225"/>
      <c r="BZ967" s="225"/>
    </row>
    <row r="968">
      <c r="A968" s="284"/>
      <c r="B968" s="225"/>
      <c r="C968" s="225"/>
      <c r="D968" s="226"/>
      <c r="E968" s="225"/>
      <c r="F968" s="225"/>
      <c r="G968" s="225"/>
      <c r="H968" s="225"/>
      <c r="I968" s="225"/>
      <c r="J968" s="225"/>
      <c r="K968" s="244"/>
      <c r="L968" s="225"/>
      <c r="M968" s="225"/>
      <c r="N968" s="225"/>
      <c r="O968" s="225"/>
      <c r="P968" s="225"/>
      <c r="Q968" s="227"/>
      <c r="R968" s="234"/>
      <c r="S968" s="225"/>
      <c r="T968" s="225"/>
      <c r="U968" s="225"/>
      <c r="V968" s="225"/>
      <c r="W968" s="225"/>
      <c r="X968" s="225"/>
      <c r="Y968" s="229"/>
      <c r="Z968" s="257"/>
      <c r="AA968" s="225"/>
      <c r="AB968" s="257"/>
      <c r="AC968" s="257"/>
      <c r="AD968" s="226"/>
      <c r="AE968" s="259"/>
      <c r="AF968" s="347"/>
      <c r="AG968" s="232"/>
      <c r="AH968" s="257"/>
      <c r="AI968" s="225"/>
      <c r="AJ968" s="267"/>
      <c r="AK968" s="259"/>
      <c r="AL968" s="226"/>
      <c r="AM968" s="225"/>
      <c r="AN968" s="225"/>
      <c r="AO968" s="254"/>
      <c r="AP968" s="225"/>
      <c r="AQ968" s="225"/>
      <c r="AR968" s="226"/>
      <c r="AS968" s="225"/>
      <c r="AT968" s="225"/>
      <c r="AU968" s="225"/>
      <c r="AV968" s="225"/>
      <c r="AW968" s="225"/>
      <c r="AX968" s="226"/>
      <c r="AY968" s="225"/>
      <c r="AZ968" s="225"/>
      <c r="BA968" s="226"/>
      <c r="BB968" s="225"/>
      <c r="BC968" s="225"/>
      <c r="BD968" s="225"/>
      <c r="BE968" s="225"/>
      <c r="BF968" s="225"/>
      <c r="BG968" s="225"/>
      <c r="BH968" s="225"/>
      <c r="BI968" s="225"/>
      <c r="BJ968" s="225"/>
      <c r="BK968" s="225"/>
      <c r="BL968" s="225"/>
      <c r="BM968" s="225"/>
      <c r="BN968" s="225"/>
      <c r="BO968" s="225"/>
      <c r="BP968" s="225"/>
      <c r="BQ968" s="225"/>
      <c r="BR968" s="225"/>
      <c r="BS968" s="225"/>
      <c r="BT968" s="226"/>
      <c r="BU968" s="225"/>
      <c r="BV968" s="225"/>
      <c r="BW968" s="225"/>
      <c r="BX968" s="225"/>
      <c r="BY968" s="225"/>
      <c r="BZ968" s="225"/>
    </row>
    <row r="969">
      <c r="A969" s="284"/>
      <c r="B969" s="225"/>
      <c r="C969" s="225"/>
      <c r="D969" s="226"/>
      <c r="E969" s="225"/>
      <c r="F969" s="225"/>
      <c r="G969" s="225"/>
      <c r="H969" s="225"/>
      <c r="I969" s="225"/>
      <c r="J969" s="225"/>
      <c r="K969" s="244"/>
      <c r="L969" s="225"/>
      <c r="M969" s="225"/>
      <c r="N969" s="225"/>
      <c r="O969" s="225"/>
      <c r="P969" s="225"/>
      <c r="Q969" s="227"/>
      <c r="R969" s="234"/>
      <c r="S969" s="225"/>
      <c r="T969" s="225"/>
      <c r="U969" s="225"/>
      <c r="V969" s="225"/>
      <c r="W969" s="225"/>
      <c r="X969" s="225"/>
      <c r="Y969" s="229"/>
      <c r="Z969" s="257"/>
      <c r="AA969" s="225"/>
      <c r="AB969" s="257"/>
      <c r="AC969" s="257"/>
      <c r="AD969" s="226"/>
      <c r="AE969" s="259"/>
      <c r="AF969" s="347"/>
      <c r="AG969" s="232"/>
      <c r="AH969" s="257"/>
      <c r="AI969" s="225"/>
      <c r="AJ969" s="267"/>
      <c r="AK969" s="259"/>
      <c r="AL969" s="226"/>
      <c r="AM969" s="225"/>
      <c r="AN969" s="225"/>
      <c r="AO969" s="254"/>
      <c r="AP969" s="225"/>
      <c r="AQ969" s="225"/>
      <c r="AR969" s="226"/>
      <c r="AS969" s="225"/>
      <c r="AT969" s="225"/>
      <c r="AU969" s="225"/>
      <c r="AV969" s="225"/>
      <c r="AW969" s="225"/>
      <c r="AX969" s="226"/>
      <c r="AY969" s="225"/>
      <c r="AZ969" s="225"/>
      <c r="BA969" s="226"/>
      <c r="BB969" s="225"/>
      <c r="BC969" s="225"/>
      <c r="BD969" s="225"/>
      <c r="BE969" s="225"/>
      <c r="BF969" s="225"/>
      <c r="BG969" s="225"/>
      <c r="BH969" s="225"/>
      <c r="BI969" s="225"/>
      <c r="BJ969" s="225"/>
      <c r="BK969" s="225"/>
      <c r="BL969" s="225"/>
      <c r="BM969" s="225"/>
      <c r="BN969" s="225"/>
      <c r="BO969" s="225"/>
      <c r="BP969" s="225"/>
      <c r="BQ969" s="225"/>
      <c r="BR969" s="225"/>
      <c r="BS969" s="225"/>
      <c r="BT969" s="226"/>
      <c r="BU969" s="225"/>
      <c r="BV969" s="225"/>
      <c r="BW969" s="225"/>
      <c r="BX969" s="225"/>
      <c r="BY969" s="225"/>
      <c r="BZ969" s="225"/>
    </row>
    <row r="970">
      <c r="A970" s="284"/>
      <c r="B970" s="225"/>
      <c r="C970" s="225"/>
      <c r="D970" s="226"/>
      <c r="E970" s="225"/>
      <c r="F970" s="225"/>
      <c r="G970" s="225"/>
      <c r="H970" s="225"/>
      <c r="I970" s="225"/>
      <c r="J970" s="225"/>
      <c r="K970" s="244"/>
      <c r="L970" s="225"/>
      <c r="M970" s="225"/>
      <c r="N970" s="225"/>
      <c r="O970" s="225"/>
      <c r="P970" s="225"/>
      <c r="Q970" s="227"/>
      <c r="R970" s="234"/>
      <c r="S970" s="225"/>
      <c r="T970" s="225"/>
      <c r="U970" s="225"/>
      <c r="V970" s="225"/>
      <c r="W970" s="225"/>
      <c r="X970" s="225"/>
      <c r="Y970" s="229"/>
      <c r="Z970" s="257"/>
      <c r="AA970" s="225"/>
      <c r="AB970" s="257"/>
      <c r="AC970" s="257"/>
      <c r="AD970" s="226"/>
      <c r="AE970" s="259"/>
      <c r="AF970" s="347"/>
      <c r="AG970" s="232"/>
      <c r="AH970" s="257"/>
      <c r="AI970" s="225"/>
      <c r="AJ970" s="267"/>
      <c r="AK970" s="259"/>
      <c r="AL970" s="226"/>
      <c r="AM970" s="225"/>
      <c r="AN970" s="225"/>
      <c r="AO970" s="254"/>
      <c r="AP970" s="225"/>
      <c r="AQ970" s="225"/>
      <c r="AR970" s="226"/>
      <c r="AS970" s="225"/>
      <c r="AT970" s="225"/>
      <c r="AU970" s="225"/>
      <c r="AV970" s="225"/>
      <c r="AW970" s="225"/>
      <c r="AX970" s="226"/>
      <c r="AY970" s="225"/>
      <c r="AZ970" s="225"/>
      <c r="BA970" s="226"/>
      <c r="BB970" s="225"/>
      <c r="BC970" s="225"/>
      <c r="BD970" s="225"/>
      <c r="BE970" s="225"/>
      <c r="BF970" s="225"/>
      <c r="BG970" s="225"/>
      <c r="BH970" s="225"/>
      <c r="BI970" s="225"/>
      <c r="BJ970" s="225"/>
      <c r="BK970" s="225"/>
      <c r="BL970" s="225"/>
      <c r="BM970" s="225"/>
      <c r="BN970" s="225"/>
      <c r="BO970" s="225"/>
      <c r="BP970" s="225"/>
      <c r="BQ970" s="225"/>
      <c r="BR970" s="225"/>
      <c r="BS970" s="225"/>
      <c r="BT970" s="226"/>
      <c r="BU970" s="225"/>
      <c r="BV970" s="225"/>
      <c r="BW970" s="225"/>
      <c r="BX970" s="225"/>
      <c r="BY970" s="225"/>
      <c r="BZ970" s="225"/>
    </row>
    <row r="971">
      <c r="A971" s="284"/>
      <c r="B971" s="225"/>
      <c r="C971" s="225"/>
      <c r="D971" s="226"/>
      <c r="E971" s="225"/>
      <c r="F971" s="225"/>
      <c r="G971" s="225"/>
      <c r="H971" s="225"/>
      <c r="I971" s="225"/>
      <c r="J971" s="225"/>
      <c r="K971" s="244"/>
      <c r="L971" s="225"/>
      <c r="M971" s="225"/>
      <c r="N971" s="225"/>
      <c r="O971" s="225"/>
      <c r="P971" s="225"/>
      <c r="Q971" s="227"/>
      <c r="R971" s="234"/>
      <c r="S971" s="225"/>
      <c r="T971" s="225"/>
      <c r="U971" s="225"/>
      <c r="V971" s="225"/>
      <c r="W971" s="225"/>
      <c r="X971" s="225"/>
      <c r="Y971" s="229"/>
      <c r="Z971" s="257"/>
      <c r="AA971" s="225"/>
      <c r="AB971" s="257"/>
      <c r="AC971" s="257"/>
      <c r="AD971" s="226"/>
      <c r="AE971" s="259"/>
      <c r="AF971" s="347"/>
      <c r="AG971" s="232"/>
      <c r="AH971" s="257"/>
      <c r="AI971" s="225"/>
      <c r="AJ971" s="267"/>
      <c r="AK971" s="259"/>
      <c r="AL971" s="226"/>
      <c r="AM971" s="225"/>
      <c r="AN971" s="225"/>
      <c r="AO971" s="254"/>
      <c r="AP971" s="225"/>
      <c r="AQ971" s="225"/>
      <c r="AR971" s="226"/>
      <c r="AS971" s="225"/>
      <c r="AT971" s="225"/>
      <c r="AU971" s="225"/>
      <c r="AV971" s="225"/>
      <c r="AW971" s="225"/>
      <c r="AX971" s="226"/>
      <c r="AY971" s="225"/>
      <c r="AZ971" s="225"/>
      <c r="BA971" s="226"/>
      <c r="BB971" s="225"/>
      <c r="BC971" s="225"/>
      <c r="BD971" s="225"/>
      <c r="BE971" s="225"/>
      <c r="BF971" s="225"/>
      <c r="BG971" s="225"/>
      <c r="BH971" s="225"/>
      <c r="BI971" s="225"/>
      <c r="BJ971" s="225"/>
      <c r="BK971" s="225"/>
      <c r="BL971" s="225"/>
      <c r="BM971" s="225"/>
      <c r="BN971" s="225"/>
      <c r="BO971" s="225"/>
      <c r="BP971" s="225"/>
      <c r="BQ971" s="225"/>
      <c r="BR971" s="225"/>
      <c r="BS971" s="225"/>
      <c r="BT971" s="226"/>
      <c r="BU971" s="225"/>
      <c r="BV971" s="225"/>
      <c r="BW971" s="225"/>
      <c r="BX971" s="225"/>
      <c r="BY971" s="225"/>
      <c r="BZ971" s="225"/>
    </row>
    <row r="972">
      <c r="A972" s="284"/>
      <c r="B972" s="225"/>
      <c r="C972" s="225"/>
      <c r="D972" s="226"/>
      <c r="E972" s="225"/>
      <c r="F972" s="225"/>
      <c r="G972" s="225"/>
      <c r="H972" s="225"/>
      <c r="I972" s="225"/>
      <c r="J972" s="225"/>
      <c r="K972" s="244"/>
      <c r="L972" s="225"/>
      <c r="M972" s="225"/>
      <c r="N972" s="225"/>
      <c r="O972" s="225"/>
      <c r="P972" s="225"/>
      <c r="Q972" s="227"/>
      <c r="R972" s="234"/>
      <c r="S972" s="225"/>
      <c r="T972" s="225"/>
      <c r="U972" s="225"/>
      <c r="V972" s="225"/>
      <c r="W972" s="225"/>
      <c r="X972" s="225"/>
      <c r="Y972" s="229"/>
      <c r="Z972" s="257"/>
      <c r="AA972" s="225"/>
      <c r="AB972" s="257"/>
      <c r="AC972" s="257"/>
      <c r="AD972" s="226"/>
      <c r="AE972" s="259"/>
      <c r="AF972" s="347"/>
      <c r="AG972" s="232"/>
      <c r="AH972" s="257"/>
      <c r="AI972" s="225"/>
      <c r="AJ972" s="267"/>
      <c r="AK972" s="259"/>
      <c r="AL972" s="226"/>
      <c r="AM972" s="225"/>
      <c r="AN972" s="225"/>
      <c r="AO972" s="254"/>
      <c r="AP972" s="225"/>
      <c r="AQ972" s="225"/>
      <c r="AR972" s="226"/>
      <c r="AS972" s="225"/>
      <c r="AT972" s="225"/>
      <c r="AU972" s="225"/>
      <c r="AV972" s="225"/>
      <c r="AW972" s="225"/>
      <c r="AX972" s="226"/>
      <c r="AY972" s="225"/>
      <c r="AZ972" s="225"/>
      <c r="BA972" s="226"/>
      <c r="BB972" s="225"/>
      <c r="BC972" s="225"/>
      <c r="BD972" s="225"/>
      <c r="BE972" s="225"/>
      <c r="BF972" s="225"/>
      <c r="BG972" s="225"/>
      <c r="BH972" s="225"/>
      <c r="BI972" s="225"/>
      <c r="BJ972" s="225"/>
      <c r="BK972" s="225"/>
      <c r="BL972" s="225"/>
      <c r="BM972" s="225"/>
      <c r="BN972" s="225"/>
      <c r="BO972" s="225"/>
      <c r="BP972" s="225"/>
      <c r="BQ972" s="225"/>
      <c r="BR972" s="225"/>
      <c r="BS972" s="225"/>
      <c r="BT972" s="226"/>
      <c r="BU972" s="225"/>
      <c r="BV972" s="225"/>
      <c r="BW972" s="225"/>
      <c r="BX972" s="225"/>
      <c r="BY972" s="225"/>
      <c r="BZ972" s="225"/>
    </row>
    <row r="973">
      <c r="A973" s="284"/>
      <c r="B973" s="225"/>
      <c r="C973" s="225"/>
      <c r="D973" s="226"/>
      <c r="E973" s="225"/>
      <c r="F973" s="225"/>
      <c r="G973" s="225"/>
      <c r="H973" s="225"/>
      <c r="I973" s="225"/>
      <c r="J973" s="225"/>
      <c r="K973" s="244"/>
      <c r="L973" s="225"/>
      <c r="M973" s="225"/>
      <c r="N973" s="225"/>
      <c r="O973" s="225"/>
      <c r="P973" s="225"/>
      <c r="Q973" s="227"/>
      <c r="R973" s="234"/>
      <c r="S973" s="225"/>
      <c r="T973" s="225"/>
      <c r="U973" s="225"/>
      <c r="V973" s="225"/>
      <c r="W973" s="225"/>
      <c r="X973" s="225"/>
      <c r="Y973" s="229"/>
      <c r="Z973" s="257"/>
      <c r="AA973" s="225"/>
      <c r="AB973" s="257"/>
      <c r="AC973" s="257"/>
      <c r="AD973" s="226"/>
      <c r="AE973" s="259"/>
      <c r="AF973" s="347"/>
      <c r="AG973" s="232"/>
      <c r="AH973" s="257"/>
      <c r="AI973" s="225"/>
      <c r="AJ973" s="267"/>
      <c r="AK973" s="259"/>
      <c r="AL973" s="226"/>
      <c r="AM973" s="225"/>
      <c r="AN973" s="225"/>
      <c r="AO973" s="254"/>
      <c r="AP973" s="225"/>
      <c r="AQ973" s="225"/>
      <c r="AR973" s="226"/>
      <c r="AS973" s="225"/>
      <c r="AT973" s="225"/>
      <c r="AU973" s="225"/>
      <c r="AV973" s="225"/>
      <c r="AW973" s="225"/>
      <c r="AX973" s="226"/>
      <c r="AY973" s="225"/>
      <c r="AZ973" s="225"/>
      <c r="BA973" s="226"/>
      <c r="BB973" s="225"/>
      <c r="BC973" s="225"/>
      <c r="BD973" s="225"/>
      <c r="BE973" s="225"/>
      <c r="BF973" s="225"/>
      <c r="BG973" s="225"/>
      <c r="BH973" s="225"/>
      <c r="BI973" s="225"/>
      <c r="BJ973" s="225"/>
      <c r="BK973" s="225"/>
      <c r="BL973" s="225"/>
      <c r="BM973" s="225"/>
      <c r="BN973" s="225"/>
      <c r="BO973" s="225"/>
      <c r="BP973" s="225"/>
      <c r="BQ973" s="225"/>
      <c r="BR973" s="225"/>
      <c r="BS973" s="225"/>
      <c r="BT973" s="226"/>
      <c r="BU973" s="225"/>
      <c r="BV973" s="225"/>
      <c r="BW973" s="225"/>
      <c r="BX973" s="225"/>
      <c r="BY973" s="225"/>
      <c r="BZ973" s="225"/>
    </row>
    <row r="974">
      <c r="A974" s="284"/>
      <c r="B974" s="225"/>
      <c r="C974" s="225"/>
      <c r="D974" s="226"/>
      <c r="E974" s="225"/>
      <c r="F974" s="225"/>
      <c r="G974" s="225"/>
      <c r="H974" s="225"/>
      <c r="I974" s="225"/>
      <c r="J974" s="225"/>
      <c r="K974" s="244"/>
      <c r="L974" s="225"/>
      <c r="M974" s="225"/>
      <c r="N974" s="225"/>
      <c r="O974" s="225"/>
      <c r="P974" s="225"/>
      <c r="Q974" s="227"/>
      <c r="R974" s="234"/>
      <c r="S974" s="225"/>
      <c r="T974" s="225"/>
      <c r="U974" s="225"/>
      <c r="V974" s="225"/>
      <c r="W974" s="225"/>
      <c r="X974" s="225"/>
      <c r="Y974" s="229"/>
      <c r="Z974" s="257"/>
      <c r="AA974" s="225"/>
      <c r="AB974" s="257"/>
      <c r="AC974" s="257"/>
      <c r="AD974" s="226"/>
      <c r="AE974" s="259"/>
      <c r="AF974" s="347"/>
      <c r="AG974" s="232"/>
      <c r="AH974" s="257"/>
      <c r="AI974" s="225"/>
      <c r="AJ974" s="267"/>
      <c r="AK974" s="259"/>
      <c r="AL974" s="226"/>
      <c r="AM974" s="225"/>
      <c r="AN974" s="225"/>
      <c r="AO974" s="254"/>
      <c r="AP974" s="225"/>
      <c r="AQ974" s="225"/>
      <c r="AR974" s="226"/>
      <c r="AS974" s="225"/>
      <c r="AT974" s="225"/>
      <c r="AU974" s="225"/>
      <c r="AV974" s="225"/>
      <c r="AW974" s="225"/>
      <c r="AX974" s="226"/>
      <c r="AY974" s="225"/>
      <c r="AZ974" s="225"/>
      <c r="BA974" s="226"/>
      <c r="BB974" s="225"/>
      <c r="BC974" s="225"/>
      <c r="BD974" s="225"/>
      <c r="BE974" s="225"/>
      <c r="BF974" s="225"/>
      <c r="BG974" s="225"/>
      <c r="BH974" s="225"/>
      <c r="BI974" s="225"/>
      <c r="BJ974" s="225"/>
      <c r="BK974" s="225"/>
      <c r="BL974" s="225"/>
      <c r="BM974" s="225"/>
      <c r="BN974" s="225"/>
      <c r="BO974" s="225"/>
      <c r="BP974" s="225"/>
      <c r="BQ974" s="225"/>
      <c r="BR974" s="225"/>
      <c r="BS974" s="225"/>
      <c r="BT974" s="226"/>
      <c r="BU974" s="225"/>
      <c r="BV974" s="225"/>
      <c r="BW974" s="225"/>
      <c r="BX974" s="225"/>
      <c r="BY974" s="225"/>
      <c r="BZ974" s="225"/>
    </row>
    <row r="975">
      <c r="A975" s="225"/>
      <c r="B975" s="225"/>
      <c r="C975" s="225"/>
      <c r="D975" s="226"/>
      <c r="E975" s="225"/>
      <c r="F975" s="225"/>
      <c r="G975" s="225"/>
      <c r="H975" s="225"/>
      <c r="I975" s="225"/>
      <c r="J975" s="225"/>
      <c r="K975" s="244"/>
      <c r="L975" s="225"/>
      <c r="M975" s="225"/>
      <c r="N975" s="225"/>
      <c r="O975" s="225"/>
      <c r="P975" s="225"/>
      <c r="Q975" s="227"/>
      <c r="R975" s="234"/>
      <c r="S975" s="225"/>
      <c r="T975" s="225"/>
      <c r="U975" s="225"/>
      <c r="V975" s="225"/>
      <c r="W975" s="225"/>
      <c r="X975" s="225"/>
      <c r="Y975" s="229"/>
      <c r="Z975" s="257"/>
      <c r="AA975" s="225"/>
      <c r="AB975" s="257"/>
      <c r="AC975" s="257"/>
      <c r="AD975" s="226"/>
      <c r="AE975" s="259"/>
      <c r="AF975" s="347"/>
      <c r="AG975" s="232"/>
      <c r="AH975" s="257"/>
      <c r="AI975" s="225"/>
      <c r="AJ975" s="267"/>
      <c r="AK975" s="259"/>
      <c r="AL975" s="226"/>
      <c r="AM975" s="225"/>
      <c r="AN975" s="225"/>
      <c r="AO975" s="254"/>
      <c r="AP975" s="225"/>
      <c r="AQ975" s="225"/>
      <c r="AR975" s="226"/>
      <c r="AS975" s="225"/>
      <c r="AT975" s="225"/>
      <c r="AU975" s="225"/>
      <c r="AV975" s="225"/>
      <c r="AW975" s="225"/>
      <c r="AX975" s="226"/>
      <c r="AY975" s="225"/>
      <c r="AZ975" s="225"/>
      <c r="BA975" s="226"/>
      <c r="BB975" s="225"/>
      <c r="BC975" s="225"/>
      <c r="BD975" s="225"/>
      <c r="BE975" s="225"/>
      <c r="BF975" s="225"/>
      <c r="BG975" s="225"/>
      <c r="BH975" s="225"/>
      <c r="BI975" s="225"/>
      <c r="BJ975" s="225"/>
      <c r="BK975" s="225"/>
      <c r="BL975" s="225"/>
      <c r="BM975" s="225"/>
      <c r="BN975" s="225"/>
      <c r="BO975" s="225"/>
      <c r="BP975" s="225"/>
      <c r="BQ975" s="225"/>
      <c r="BR975" s="225"/>
      <c r="BS975" s="225"/>
      <c r="BT975" s="226"/>
      <c r="BU975" s="225"/>
      <c r="BV975" s="225"/>
      <c r="BW975" s="225"/>
      <c r="BX975" s="225"/>
      <c r="BY975" s="225"/>
      <c r="BZ975" s="225"/>
    </row>
    <row r="976">
      <c r="A976" s="225"/>
      <c r="B976" s="225"/>
      <c r="C976" s="225"/>
      <c r="D976" s="226"/>
      <c r="E976" s="225"/>
      <c r="F976" s="225"/>
      <c r="G976" s="225"/>
      <c r="H976" s="225"/>
      <c r="I976" s="225"/>
      <c r="J976" s="225"/>
      <c r="K976" s="244"/>
      <c r="L976" s="225"/>
      <c r="M976" s="225"/>
      <c r="N976" s="225"/>
      <c r="O976" s="225"/>
      <c r="P976" s="225"/>
      <c r="Q976" s="227"/>
      <c r="R976" s="234"/>
      <c r="S976" s="225"/>
      <c r="T976" s="225"/>
      <c r="U976" s="225"/>
      <c r="V976" s="225"/>
      <c r="W976" s="225"/>
      <c r="X976" s="225"/>
      <c r="Y976" s="229"/>
      <c r="Z976" s="257"/>
      <c r="AA976" s="225"/>
      <c r="AB976" s="257"/>
      <c r="AC976" s="257"/>
      <c r="AD976" s="226"/>
      <c r="AE976" s="259"/>
      <c r="AF976" s="347"/>
      <c r="AG976" s="232"/>
      <c r="AH976" s="257"/>
      <c r="AI976" s="225"/>
      <c r="AJ976" s="267"/>
      <c r="AK976" s="259"/>
      <c r="AL976" s="226"/>
      <c r="AM976" s="225"/>
      <c r="AN976" s="225"/>
      <c r="AO976" s="254"/>
      <c r="AP976" s="225"/>
      <c r="AQ976" s="225"/>
      <c r="AR976" s="226"/>
      <c r="AS976" s="225"/>
      <c r="AT976" s="225"/>
      <c r="AU976" s="225"/>
      <c r="AV976" s="225"/>
      <c r="AW976" s="225"/>
      <c r="AX976" s="226"/>
      <c r="AY976" s="225"/>
      <c r="AZ976" s="225"/>
      <c r="BA976" s="226"/>
      <c r="BB976" s="225"/>
      <c r="BC976" s="225"/>
      <c r="BD976" s="225"/>
      <c r="BE976" s="225"/>
      <c r="BF976" s="225"/>
      <c r="BG976" s="225"/>
      <c r="BH976" s="225"/>
      <c r="BI976" s="225"/>
      <c r="BJ976" s="225"/>
      <c r="BK976" s="225"/>
      <c r="BL976" s="225"/>
      <c r="BM976" s="225"/>
      <c r="BN976" s="225"/>
      <c r="BO976" s="225"/>
      <c r="BP976" s="225"/>
      <c r="BQ976" s="225"/>
      <c r="BR976" s="225"/>
      <c r="BS976" s="225"/>
      <c r="BT976" s="226"/>
      <c r="BU976" s="225"/>
      <c r="BV976" s="225"/>
      <c r="BW976" s="225"/>
      <c r="BX976" s="225"/>
      <c r="BY976" s="225"/>
      <c r="BZ976" s="225"/>
    </row>
    <row r="977">
      <c r="A977" s="225"/>
      <c r="B977" s="225"/>
      <c r="C977" s="225"/>
      <c r="D977" s="226"/>
      <c r="E977" s="225"/>
      <c r="F977" s="225"/>
      <c r="G977" s="225"/>
      <c r="H977" s="225"/>
      <c r="I977" s="225"/>
      <c r="J977" s="225"/>
      <c r="K977" s="244"/>
      <c r="L977" s="225"/>
      <c r="M977" s="225"/>
      <c r="N977" s="225"/>
      <c r="O977" s="225"/>
      <c r="P977" s="225"/>
      <c r="Q977" s="227"/>
      <c r="R977" s="234"/>
      <c r="S977" s="225"/>
      <c r="T977" s="225"/>
      <c r="U977" s="225"/>
      <c r="V977" s="225"/>
      <c r="W977" s="225"/>
      <c r="X977" s="225"/>
      <c r="Y977" s="229"/>
      <c r="Z977" s="257"/>
      <c r="AA977" s="225"/>
      <c r="AB977" s="257"/>
      <c r="AC977" s="257"/>
      <c r="AD977" s="226"/>
      <c r="AE977" s="259"/>
      <c r="AF977" s="347"/>
      <c r="AG977" s="232"/>
      <c r="AH977" s="257"/>
      <c r="AI977" s="225"/>
      <c r="AJ977" s="267"/>
      <c r="AK977" s="259"/>
      <c r="AL977" s="226"/>
      <c r="AM977" s="225"/>
      <c r="AN977" s="225"/>
      <c r="AO977" s="254"/>
      <c r="AP977" s="225"/>
      <c r="AQ977" s="225"/>
      <c r="AR977" s="226"/>
      <c r="AS977" s="225"/>
      <c r="AT977" s="225"/>
      <c r="AU977" s="225"/>
      <c r="AV977" s="225"/>
      <c r="AW977" s="225"/>
      <c r="AX977" s="226"/>
      <c r="AY977" s="225"/>
      <c r="AZ977" s="225"/>
      <c r="BA977" s="226"/>
      <c r="BB977" s="225"/>
      <c r="BC977" s="225"/>
      <c r="BD977" s="225"/>
      <c r="BE977" s="225"/>
      <c r="BF977" s="225"/>
      <c r="BG977" s="225"/>
      <c r="BH977" s="225"/>
      <c r="BI977" s="225"/>
      <c r="BJ977" s="225"/>
      <c r="BK977" s="225"/>
      <c r="BL977" s="225"/>
      <c r="BM977" s="225"/>
      <c r="BN977" s="225"/>
      <c r="BO977" s="225"/>
      <c r="BP977" s="225"/>
      <c r="BQ977" s="225"/>
      <c r="BR977" s="225"/>
      <c r="BS977" s="225"/>
      <c r="BT977" s="226"/>
      <c r="BU977" s="225"/>
      <c r="BV977" s="225"/>
      <c r="BW977" s="225"/>
      <c r="BX977" s="225"/>
      <c r="BY977" s="225"/>
      <c r="BZ977" s="225"/>
    </row>
    <row r="978">
      <c r="A978" s="225"/>
      <c r="B978" s="225"/>
      <c r="C978" s="225"/>
      <c r="D978" s="226"/>
      <c r="E978" s="225"/>
      <c r="F978" s="225"/>
      <c r="G978" s="225"/>
      <c r="H978" s="225"/>
      <c r="I978" s="225"/>
      <c r="J978" s="225"/>
      <c r="K978" s="244"/>
      <c r="L978" s="225"/>
      <c r="M978" s="225"/>
      <c r="N978" s="225"/>
      <c r="O978" s="225"/>
      <c r="P978" s="225"/>
      <c r="Q978" s="227"/>
      <c r="R978" s="234"/>
      <c r="S978" s="225"/>
      <c r="T978" s="225"/>
      <c r="U978" s="225"/>
      <c r="V978" s="225"/>
      <c r="W978" s="225"/>
      <c r="X978" s="225"/>
      <c r="Y978" s="229"/>
      <c r="Z978" s="257"/>
      <c r="AA978" s="225"/>
      <c r="AB978" s="257"/>
      <c r="AC978" s="257"/>
      <c r="AD978" s="226"/>
      <c r="AE978" s="259"/>
      <c r="AF978" s="347"/>
      <c r="AG978" s="232"/>
      <c r="AH978" s="257"/>
      <c r="AI978" s="225"/>
      <c r="AJ978" s="267"/>
      <c r="AK978" s="259"/>
      <c r="AL978" s="226"/>
      <c r="AM978" s="225"/>
      <c r="AN978" s="225"/>
      <c r="AO978" s="254"/>
      <c r="AP978" s="225"/>
      <c r="AQ978" s="225"/>
      <c r="AR978" s="226"/>
      <c r="AS978" s="225"/>
      <c r="AT978" s="225"/>
      <c r="AU978" s="225"/>
      <c r="AV978" s="225"/>
      <c r="AW978" s="225"/>
      <c r="AX978" s="226"/>
      <c r="AY978" s="225"/>
      <c r="AZ978" s="225"/>
      <c r="BA978" s="226"/>
      <c r="BB978" s="225"/>
      <c r="BC978" s="225"/>
      <c r="BD978" s="225"/>
      <c r="BE978" s="225"/>
      <c r="BF978" s="225"/>
      <c r="BG978" s="225"/>
      <c r="BH978" s="225"/>
      <c r="BI978" s="225"/>
      <c r="BJ978" s="225"/>
      <c r="BK978" s="225"/>
      <c r="BL978" s="225"/>
      <c r="BM978" s="225"/>
      <c r="BN978" s="225"/>
      <c r="BO978" s="225"/>
      <c r="BP978" s="225"/>
      <c r="BQ978" s="225"/>
      <c r="BR978" s="225"/>
      <c r="BS978" s="225"/>
      <c r="BT978" s="226"/>
      <c r="BU978" s="225"/>
      <c r="BV978" s="225"/>
      <c r="BW978" s="225"/>
      <c r="BX978" s="225"/>
      <c r="BY978" s="225"/>
      <c r="BZ978" s="225"/>
    </row>
    <row r="979">
      <c r="A979" s="225"/>
      <c r="B979" s="225"/>
      <c r="C979" s="225"/>
      <c r="D979" s="226"/>
      <c r="E979" s="225"/>
      <c r="F979" s="225"/>
      <c r="G979" s="225"/>
      <c r="H979" s="225"/>
      <c r="I979" s="225"/>
      <c r="J979" s="225"/>
      <c r="K979" s="244"/>
      <c r="L979" s="225"/>
      <c r="M979" s="225"/>
      <c r="N979" s="225"/>
      <c r="O979" s="225"/>
      <c r="P979" s="225"/>
      <c r="Q979" s="227"/>
      <c r="R979" s="234"/>
      <c r="S979" s="225"/>
      <c r="T979" s="225"/>
      <c r="U979" s="225"/>
      <c r="V979" s="225"/>
      <c r="W979" s="225"/>
      <c r="X979" s="225"/>
      <c r="Y979" s="229"/>
      <c r="Z979" s="257"/>
      <c r="AA979" s="225"/>
      <c r="AB979" s="257"/>
      <c r="AC979" s="257"/>
      <c r="AD979" s="226"/>
      <c r="AE979" s="259"/>
      <c r="AF979" s="347"/>
      <c r="AG979" s="232"/>
      <c r="AH979" s="257"/>
      <c r="AI979" s="225"/>
      <c r="AJ979" s="267"/>
      <c r="AK979" s="259"/>
      <c r="AL979" s="226"/>
      <c r="AM979" s="225"/>
      <c r="AN979" s="225"/>
      <c r="AO979" s="254"/>
      <c r="AP979" s="225"/>
      <c r="AQ979" s="225"/>
      <c r="AR979" s="226"/>
      <c r="AS979" s="225"/>
      <c r="AT979" s="225"/>
      <c r="AU979" s="225"/>
      <c r="AV979" s="225"/>
      <c r="AW979" s="225"/>
      <c r="AX979" s="226"/>
      <c r="AY979" s="225"/>
      <c r="AZ979" s="225"/>
      <c r="BA979" s="226"/>
      <c r="BB979" s="225"/>
      <c r="BC979" s="225"/>
      <c r="BD979" s="225"/>
      <c r="BE979" s="225"/>
      <c r="BF979" s="225"/>
      <c r="BG979" s="225"/>
      <c r="BH979" s="225"/>
      <c r="BI979" s="225"/>
      <c r="BJ979" s="225"/>
      <c r="BK979" s="225"/>
      <c r="BL979" s="225"/>
      <c r="BM979" s="225"/>
      <c r="BN979" s="225"/>
      <c r="BO979" s="225"/>
      <c r="BP979" s="225"/>
      <c r="BQ979" s="225"/>
      <c r="BR979" s="225"/>
      <c r="BS979" s="225"/>
      <c r="BT979" s="226"/>
      <c r="BU979" s="225"/>
      <c r="BV979" s="225"/>
      <c r="BW979" s="225"/>
      <c r="BX979" s="225"/>
      <c r="BY979" s="225"/>
      <c r="BZ979" s="225"/>
    </row>
    <row r="980">
      <c r="A980" s="225"/>
      <c r="B980" s="225"/>
      <c r="C980" s="225"/>
      <c r="D980" s="226"/>
      <c r="E980" s="225"/>
      <c r="F980" s="225"/>
      <c r="G980" s="225"/>
      <c r="H980" s="225"/>
      <c r="I980" s="225"/>
      <c r="J980" s="225"/>
      <c r="K980" s="244"/>
      <c r="L980" s="225"/>
      <c r="M980" s="225"/>
      <c r="N980" s="225"/>
      <c r="O980" s="225"/>
      <c r="P980" s="225"/>
      <c r="Q980" s="227"/>
      <c r="R980" s="234"/>
      <c r="S980" s="225"/>
      <c r="T980" s="225"/>
      <c r="U980" s="225"/>
      <c r="V980" s="225"/>
      <c r="W980" s="225"/>
      <c r="X980" s="225"/>
      <c r="Y980" s="229"/>
      <c r="Z980" s="257"/>
      <c r="AA980" s="225"/>
      <c r="AB980" s="257"/>
      <c r="AC980" s="257"/>
      <c r="AD980" s="226"/>
      <c r="AE980" s="259"/>
      <c r="AF980" s="347"/>
      <c r="AG980" s="232"/>
      <c r="AH980" s="257"/>
      <c r="AI980" s="225"/>
      <c r="AJ980" s="267"/>
      <c r="AK980" s="259"/>
      <c r="AL980" s="226"/>
      <c r="AM980" s="225"/>
      <c r="AN980" s="225"/>
      <c r="AO980" s="254"/>
      <c r="AP980" s="225"/>
      <c r="AQ980" s="225"/>
      <c r="AR980" s="226"/>
      <c r="AS980" s="225"/>
      <c r="AT980" s="225"/>
      <c r="AU980" s="225"/>
      <c r="AV980" s="225"/>
      <c r="AW980" s="225"/>
      <c r="AX980" s="226"/>
      <c r="AY980" s="225"/>
      <c r="AZ980" s="225"/>
      <c r="BA980" s="226"/>
      <c r="BB980" s="225"/>
      <c r="BC980" s="225"/>
      <c r="BD980" s="225"/>
      <c r="BE980" s="225"/>
      <c r="BF980" s="225"/>
      <c r="BG980" s="225"/>
      <c r="BH980" s="225"/>
      <c r="BI980" s="225"/>
      <c r="BJ980" s="225"/>
      <c r="BK980" s="225"/>
      <c r="BL980" s="225"/>
      <c r="BM980" s="225"/>
      <c r="BN980" s="225"/>
      <c r="BO980" s="225"/>
      <c r="BP980" s="225"/>
      <c r="BQ980" s="225"/>
      <c r="BR980" s="225"/>
      <c r="BS980" s="225"/>
      <c r="BT980" s="226"/>
      <c r="BU980" s="225"/>
      <c r="BV980" s="225"/>
      <c r="BW980" s="225"/>
      <c r="BX980" s="225"/>
      <c r="BY980" s="225"/>
      <c r="BZ980" s="225"/>
    </row>
    <row r="981">
      <c r="A981" s="225"/>
      <c r="B981" s="225"/>
      <c r="C981" s="225"/>
      <c r="D981" s="226"/>
      <c r="E981" s="225"/>
      <c r="F981" s="225"/>
      <c r="G981" s="225"/>
      <c r="H981" s="225"/>
      <c r="I981" s="225"/>
      <c r="J981" s="225"/>
      <c r="K981" s="244"/>
      <c r="L981" s="225"/>
      <c r="M981" s="225"/>
      <c r="N981" s="225"/>
      <c r="O981" s="225"/>
      <c r="P981" s="225"/>
      <c r="Q981" s="227"/>
      <c r="R981" s="234"/>
      <c r="S981" s="225"/>
      <c r="T981" s="225"/>
      <c r="U981" s="225"/>
      <c r="V981" s="225"/>
      <c r="W981" s="225"/>
      <c r="X981" s="225"/>
      <c r="Y981" s="229"/>
      <c r="Z981" s="257"/>
      <c r="AA981" s="225"/>
      <c r="AB981" s="257"/>
      <c r="AC981" s="257"/>
      <c r="AD981" s="226"/>
      <c r="AE981" s="259"/>
      <c r="AF981" s="347"/>
      <c r="AG981" s="232"/>
      <c r="AH981" s="257"/>
      <c r="AI981" s="225"/>
      <c r="AJ981" s="267"/>
      <c r="AK981" s="259"/>
      <c r="AL981" s="226"/>
      <c r="AM981" s="225"/>
      <c r="AN981" s="225"/>
      <c r="AO981" s="254"/>
      <c r="AP981" s="225"/>
      <c r="AQ981" s="225"/>
      <c r="AR981" s="226"/>
      <c r="AS981" s="225"/>
      <c r="AT981" s="225"/>
      <c r="AU981" s="225"/>
      <c r="AV981" s="225"/>
      <c r="AW981" s="225"/>
      <c r="AX981" s="226"/>
      <c r="AY981" s="225"/>
      <c r="AZ981" s="225"/>
      <c r="BA981" s="226"/>
      <c r="BB981" s="225"/>
      <c r="BC981" s="225"/>
      <c r="BD981" s="225"/>
      <c r="BE981" s="225"/>
      <c r="BF981" s="225"/>
      <c r="BG981" s="225"/>
      <c r="BH981" s="225"/>
      <c r="BI981" s="225"/>
      <c r="BJ981" s="225"/>
      <c r="BK981" s="225"/>
      <c r="BL981" s="225"/>
      <c r="BM981" s="225"/>
      <c r="BN981" s="225"/>
      <c r="BO981" s="225"/>
      <c r="BP981" s="225"/>
      <c r="BQ981" s="225"/>
      <c r="BR981" s="225"/>
      <c r="BS981" s="225"/>
      <c r="BT981" s="226"/>
      <c r="BU981" s="225"/>
      <c r="BV981" s="225"/>
      <c r="BW981" s="225"/>
      <c r="BX981" s="225"/>
      <c r="BY981" s="225"/>
      <c r="BZ981" s="225"/>
    </row>
    <row r="982">
      <c r="A982" s="225"/>
      <c r="B982" s="225"/>
      <c r="C982" s="225"/>
      <c r="D982" s="226"/>
      <c r="E982" s="225"/>
      <c r="F982" s="225"/>
      <c r="G982" s="225"/>
      <c r="H982" s="225"/>
      <c r="I982" s="225"/>
      <c r="J982" s="225"/>
      <c r="K982" s="244"/>
      <c r="L982" s="225"/>
      <c r="M982" s="225"/>
      <c r="N982" s="225"/>
      <c r="O982" s="225"/>
      <c r="P982" s="225"/>
      <c r="Q982" s="227"/>
      <c r="R982" s="234"/>
      <c r="S982" s="225"/>
      <c r="T982" s="225"/>
      <c r="U982" s="225"/>
      <c r="V982" s="225"/>
      <c r="W982" s="225"/>
      <c r="X982" s="225"/>
      <c r="Y982" s="229"/>
      <c r="Z982" s="257"/>
      <c r="AA982" s="225"/>
      <c r="AB982" s="257"/>
      <c r="AC982" s="257"/>
      <c r="AD982" s="226"/>
      <c r="AE982" s="259"/>
      <c r="AF982" s="347"/>
      <c r="AG982" s="232"/>
      <c r="AH982" s="257"/>
      <c r="AI982" s="225"/>
      <c r="AJ982" s="267"/>
      <c r="AK982" s="259"/>
      <c r="AL982" s="226"/>
      <c r="AM982" s="225"/>
      <c r="AN982" s="225"/>
      <c r="AO982" s="254"/>
      <c r="AP982" s="225"/>
      <c r="AQ982" s="225"/>
      <c r="AR982" s="226"/>
      <c r="AS982" s="225"/>
      <c r="AT982" s="225"/>
      <c r="AU982" s="225"/>
      <c r="AV982" s="225"/>
      <c r="AW982" s="225"/>
      <c r="AX982" s="226"/>
      <c r="AY982" s="225"/>
      <c r="AZ982" s="225"/>
      <c r="BA982" s="226"/>
      <c r="BB982" s="225"/>
      <c r="BC982" s="225"/>
      <c r="BD982" s="225"/>
      <c r="BE982" s="225"/>
      <c r="BF982" s="225"/>
      <c r="BG982" s="225"/>
      <c r="BH982" s="225"/>
      <c r="BI982" s="225"/>
      <c r="BJ982" s="225"/>
      <c r="BK982" s="225"/>
      <c r="BL982" s="225"/>
      <c r="BM982" s="225"/>
      <c r="BN982" s="225"/>
      <c r="BO982" s="225"/>
      <c r="BP982" s="225"/>
      <c r="BQ982" s="225"/>
      <c r="BR982" s="225"/>
      <c r="BS982" s="225"/>
      <c r="BT982" s="226"/>
      <c r="BU982" s="225"/>
      <c r="BV982" s="225"/>
      <c r="BW982" s="225"/>
      <c r="BX982" s="225"/>
      <c r="BY982" s="225"/>
      <c r="BZ982" s="225"/>
    </row>
    <row r="983">
      <c r="A983" s="225"/>
      <c r="B983" s="225"/>
      <c r="C983" s="225"/>
      <c r="D983" s="226"/>
      <c r="E983" s="225"/>
      <c r="F983" s="225"/>
      <c r="G983" s="225"/>
      <c r="H983" s="225"/>
      <c r="I983" s="225"/>
      <c r="J983" s="225"/>
      <c r="K983" s="244"/>
      <c r="L983" s="225"/>
      <c r="M983" s="225"/>
      <c r="N983" s="225"/>
      <c r="O983" s="225"/>
      <c r="P983" s="225"/>
      <c r="Q983" s="227"/>
      <c r="R983" s="234"/>
      <c r="S983" s="225"/>
      <c r="T983" s="225"/>
      <c r="U983" s="225"/>
      <c r="V983" s="225"/>
      <c r="W983" s="225"/>
      <c r="X983" s="225"/>
      <c r="Y983" s="229"/>
      <c r="Z983" s="257"/>
      <c r="AA983" s="225"/>
      <c r="AB983" s="257"/>
      <c r="AC983" s="257"/>
      <c r="AD983" s="226"/>
      <c r="AE983" s="259"/>
      <c r="AF983" s="347"/>
      <c r="AG983" s="232"/>
      <c r="AH983" s="257"/>
      <c r="AI983" s="225"/>
      <c r="AJ983" s="267"/>
      <c r="AK983" s="259"/>
      <c r="AL983" s="226"/>
      <c r="AM983" s="225"/>
      <c r="AN983" s="225"/>
      <c r="AO983" s="254"/>
      <c r="AP983" s="225"/>
      <c r="AQ983" s="225"/>
      <c r="AR983" s="226"/>
      <c r="AS983" s="225"/>
      <c r="AT983" s="225"/>
      <c r="AU983" s="225"/>
      <c r="AV983" s="225"/>
      <c r="AW983" s="225"/>
      <c r="AX983" s="226"/>
      <c r="AY983" s="225"/>
      <c r="AZ983" s="225"/>
      <c r="BA983" s="226"/>
      <c r="BB983" s="225"/>
      <c r="BC983" s="225"/>
      <c r="BD983" s="225"/>
      <c r="BE983" s="225"/>
      <c r="BF983" s="225"/>
      <c r="BG983" s="225"/>
      <c r="BH983" s="225"/>
      <c r="BI983" s="225"/>
      <c r="BJ983" s="225"/>
      <c r="BK983" s="225"/>
      <c r="BL983" s="225"/>
      <c r="BM983" s="225"/>
      <c r="BN983" s="225"/>
      <c r="BO983" s="225"/>
      <c r="BP983" s="225"/>
      <c r="BQ983" s="225"/>
      <c r="BR983" s="225"/>
      <c r="BS983" s="225"/>
      <c r="BT983" s="226"/>
      <c r="BU983" s="225"/>
      <c r="BV983" s="225"/>
      <c r="BW983" s="225"/>
      <c r="BX983" s="225"/>
      <c r="BY983" s="225"/>
      <c r="BZ983" s="225"/>
    </row>
    <row r="984">
      <c r="A984" s="225"/>
      <c r="B984" s="225"/>
      <c r="C984" s="225"/>
      <c r="D984" s="226"/>
      <c r="E984" s="225"/>
      <c r="F984" s="225"/>
      <c r="G984" s="225"/>
      <c r="H984" s="225"/>
      <c r="I984" s="225"/>
      <c r="J984" s="225"/>
      <c r="K984" s="244"/>
      <c r="L984" s="225"/>
      <c r="M984" s="225"/>
      <c r="N984" s="225"/>
      <c r="O984" s="225"/>
      <c r="P984" s="225"/>
      <c r="Q984" s="227"/>
      <c r="R984" s="234"/>
      <c r="S984" s="225"/>
      <c r="T984" s="225"/>
      <c r="U984" s="225"/>
      <c r="V984" s="225"/>
      <c r="W984" s="225"/>
      <c r="X984" s="225"/>
      <c r="Y984" s="229"/>
      <c r="Z984" s="257"/>
      <c r="AA984" s="225"/>
      <c r="AB984" s="257"/>
      <c r="AC984" s="257"/>
      <c r="AD984" s="226"/>
      <c r="AE984" s="259"/>
      <c r="AF984" s="347"/>
      <c r="AG984" s="232"/>
      <c r="AH984" s="257"/>
      <c r="AI984" s="225"/>
      <c r="AJ984" s="267"/>
      <c r="AK984" s="259"/>
      <c r="AL984" s="226"/>
      <c r="AM984" s="225"/>
      <c r="AN984" s="225"/>
      <c r="AO984" s="254"/>
      <c r="AP984" s="225"/>
      <c r="AQ984" s="225"/>
      <c r="AR984" s="226"/>
      <c r="AS984" s="225"/>
      <c r="AT984" s="225"/>
      <c r="AU984" s="225"/>
      <c r="AV984" s="225"/>
      <c r="AW984" s="225"/>
      <c r="AX984" s="226"/>
      <c r="AY984" s="225"/>
      <c r="AZ984" s="225"/>
      <c r="BA984" s="226"/>
      <c r="BB984" s="225"/>
      <c r="BC984" s="225"/>
      <c r="BD984" s="225"/>
      <c r="BE984" s="225"/>
      <c r="BF984" s="225"/>
      <c r="BG984" s="225"/>
      <c r="BH984" s="225"/>
      <c r="BI984" s="225"/>
      <c r="BJ984" s="225"/>
      <c r="BK984" s="225"/>
      <c r="BL984" s="225"/>
      <c r="BM984" s="225"/>
      <c r="BN984" s="225"/>
      <c r="BO984" s="225"/>
      <c r="BP984" s="225"/>
      <c r="BQ984" s="225"/>
      <c r="BR984" s="225"/>
      <c r="BS984" s="225"/>
      <c r="BT984" s="226"/>
      <c r="BU984" s="225"/>
      <c r="BV984" s="225"/>
      <c r="BW984" s="225"/>
      <c r="BX984" s="225"/>
      <c r="BY984" s="225"/>
      <c r="BZ984" s="225"/>
    </row>
    <row r="985">
      <c r="A985" s="225"/>
      <c r="B985" s="225"/>
      <c r="C985" s="225"/>
      <c r="D985" s="226"/>
      <c r="E985" s="225"/>
      <c r="F985" s="225"/>
      <c r="G985" s="225"/>
      <c r="H985" s="225"/>
      <c r="I985" s="225"/>
      <c r="J985" s="225"/>
      <c r="K985" s="244"/>
      <c r="L985" s="225"/>
      <c r="M985" s="225"/>
      <c r="N985" s="225"/>
      <c r="O985" s="225"/>
      <c r="P985" s="225"/>
      <c r="Q985" s="227"/>
      <c r="R985" s="234"/>
      <c r="S985" s="225"/>
      <c r="T985" s="225"/>
      <c r="U985" s="225"/>
      <c r="V985" s="225"/>
      <c r="W985" s="225"/>
      <c r="X985" s="225"/>
      <c r="Y985" s="229"/>
      <c r="Z985" s="257"/>
      <c r="AA985" s="225"/>
      <c r="AB985" s="257"/>
      <c r="AC985" s="257"/>
      <c r="AD985" s="226"/>
      <c r="AE985" s="259"/>
      <c r="AF985" s="347"/>
      <c r="AG985" s="232"/>
      <c r="AH985" s="257"/>
      <c r="AI985" s="225"/>
      <c r="AJ985" s="267"/>
      <c r="AK985" s="259"/>
      <c r="AL985" s="226"/>
      <c r="AM985" s="225"/>
      <c r="AN985" s="225"/>
      <c r="AO985" s="254"/>
      <c r="AP985" s="225"/>
      <c r="AQ985" s="225"/>
      <c r="AR985" s="226"/>
      <c r="AS985" s="225"/>
      <c r="AT985" s="225"/>
      <c r="AU985" s="225"/>
      <c r="AV985" s="225"/>
      <c r="AW985" s="225"/>
      <c r="AX985" s="226"/>
      <c r="AY985" s="225"/>
      <c r="AZ985" s="225"/>
      <c r="BA985" s="226"/>
      <c r="BB985" s="225"/>
      <c r="BC985" s="225"/>
      <c r="BD985" s="225"/>
      <c r="BE985" s="225"/>
      <c r="BF985" s="225"/>
      <c r="BG985" s="225"/>
      <c r="BH985" s="225"/>
      <c r="BI985" s="225"/>
      <c r="BJ985" s="225"/>
      <c r="BK985" s="225"/>
      <c r="BL985" s="225"/>
      <c r="BM985" s="225"/>
      <c r="BN985" s="225"/>
      <c r="BO985" s="225"/>
      <c r="BP985" s="225"/>
      <c r="BQ985" s="225"/>
      <c r="BR985" s="225"/>
      <c r="BS985" s="225"/>
      <c r="BT985" s="226"/>
      <c r="BU985" s="225"/>
      <c r="BV985" s="225"/>
      <c r="BW985" s="225"/>
      <c r="BX985" s="225"/>
      <c r="BY985" s="225"/>
      <c r="BZ985" s="225"/>
    </row>
    <row r="986">
      <c r="A986" s="225"/>
      <c r="B986" s="225"/>
      <c r="C986" s="225"/>
      <c r="D986" s="226"/>
      <c r="E986" s="225"/>
      <c r="F986" s="225"/>
      <c r="G986" s="225"/>
      <c r="H986" s="225"/>
      <c r="I986" s="225"/>
      <c r="J986" s="225"/>
      <c r="K986" s="244"/>
      <c r="L986" s="225"/>
      <c r="M986" s="225"/>
      <c r="N986" s="225"/>
      <c r="O986" s="225"/>
      <c r="P986" s="225"/>
      <c r="Q986" s="227"/>
      <c r="R986" s="234"/>
      <c r="S986" s="225"/>
      <c r="T986" s="225"/>
      <c r="U986" s="225"/>
      <c r="V986" s="225"/>
      <c r="W986" s="225"/>
      <c r="X986" s="225"/>
      <c r="Y986" s="229"/>
      <c r="Z986" s="257"/>
      <c r="AA986" s="225"/>
      <c r="AB986" s="257"/>
      <c r="AC986" s="257"/>
      <c r="AD986" s="226"/>
      <c r="AE986" s="259"/>
      <c r="AF986" s="347"/>
      <c r="AG986" s="232"/>
      <c r="AH986" s="257"/>
      <c r="AI986" s="225"/>
      <c r="AJ986" s="267"/>
      <c r="AK986" s="259"/>
      <c r="AL986" s="226"/>
      <c r="AM986" s="225"/>
      <c r="AN986" s="225"/>
      <c r="AO986" s="254"/>
      <c r="AP986" s="225"/>
      <c r="AQ986" s="225"/>
      <c r="AR986" s="226"/>
      <c r="AS986" s="225"/>
      <c r="AT986" s="225"/>
      <c r="AU986" s="225"/>
      <c r="AV986" s="225"/>
      <c r="AW986" s="225"/>
      <c r="AX986" s="226"/>
      <c r="AY986" s="225"/>
      <c r="AZ986" s="225"/>
      <c r="BA986" s="226"/>
      <c r="BB986" s="225"/>
      <c r="BC986" s="225"/>
      <c r="BD986" s="225"/>
      <c r="BE986" s="225"/>
      <c r="BF986" s="225"/>
      <c r="BG986" s="225"/>
      <c r="BH986" s="225"/>
      <c r="BI986" s="225"/>
      <c r="BJ986" s="225"/>
      <c r="BK986" s="225"/>
      <c r="BL986" s="225"/>
      <c r="BM986" s="225"/>
      <c r="BN986" s="225"/>
      <c r="BO986" s="225"/>
      <c r="BP986" s="225"/>
      <c r="BQ986" s="225"/>
      <c r="BR986" s="225"/>
      <c r="BS986" s="225"/>
      <c r="BT986" s="226"/>
      <c r="BU986" s="225"/>
      <c r="BV986" s="225"/>
      <c r="BW986" s="225"/>
      <c r="BX986" s="225"/>
      <c r="BY986" s="225"/>
      <c r="BZ986" s="225"/>
    </row>
    <row r="987">
      <c r="A987" s="225"/>
      <c r="B987" s="225"/>
      <c r="C987" s="225"/>
      <c r="D987" s="226"/>
      <c r="E987" s="225"/>
      <c r="F987" s="225"/>
      <c r="G987" s="225"/>
      <c r="H987" s="225"/>
      <c r="I987" s="225"/>
      <c r="J987" s="225"/>
      <c r="K987" s="244"/>
      <c r="L987" s="225"/>
      <c r="M987" s="225"/>
      <c r="N987" s="225"/>
      <c r="O987" s="225"/>
      <c r="P987" s="225"/>
      <c r="Q987" s="227"/>
      <c r="R987" s="234"/>
      <c r="S987" s="225"/>
      <c r="T987" s="225"/>
      <c r="U987" s="225"/>
      <c r="V987" s="225"/>
      <c r="W987" s="225"/>
      <c r="X987" s="225"/>
      <c r="Y987" s="229"/>
      <c r="Z987" s="257"/>
      <c r="AA987" s="225"/>
      <c r="AB987" s="257"/>
      <c r="AC987" s="257"/>
      <c r="AD987" s="226"/>
      <c r="AE987" s="259"/>
      <c r="AF987" s="347"/>
      <c r="AG987" s="232"/>
      <c r="AH987" s="257"/>
      <c r="AI987" s="225"/>
      <c r="AJ987" s="267"/>
      <c r="AK987" s="259"/>
      <c r="AL987" s="226"/>
      <c r="AM987" s="225"/>
      <c r="AN987" s="225"/>
      <c r="AO987" s="254"/>
      <c r="AP987" s="225"/>
      <c r="AQ987" s="225"/>
      <c r="AR987" s="226"/>
      <c r="AS987" s="225"/>
      <c r="AT987" s="225"/>
      <c r="AU987" s="225"/>
      <c r="AV987" s="225"/>
      <c r="AW987" s="225"/>
      <c r="AX987" s="226"/>
      <c r="AY987" s="225"/>
      <c r="AZ987" s="225"/>
      <c r="BA987" s="226"/>
      <c r="BB987" s="225"/>
      <c r="BC987" s="225"/>
      <c r="BD987" s="225"/>
      <c r="BE987" s="225"/>
      <c r="BF987" s="225"/>
      <c r="BG987" s="225"/>
      <c r="BH987" s="225"/>
      <c r="BI987" s="225"/>
      <c r="BJ987" s="225"/>
      <c r="BK987" s="225"/>
      <c r="BL987" s="225"/>
      <c r="BM987" s="225"/>
      <c r="BN987" s="225"/>
      <c r="BO987" s="225"/>
      <c r="BP987" s="225"/>
      <c r="BQ987" s="225"/>
      <c r="BR987" s="225"/>
      <c r="BS987" s="225"/>
      <c r="BT987" s="226"/>
      <c r="BU987" s="225"/>
      <c r="BV987" s="225"/>
      <c r="BW987" s="225"/>
      <c r="BX987" s="225"/>
      <c r="BY987" s="225"/>
      <c r="BZ987" s="225"/>
    </row>
    <row r="988">
      <c r="A988" s="225"/>
      <c r="B988" s="225"/>
      <c r="C988" s="225"/>
      <c r="D988" s="226"/>
      <c r="E988" s="225"/>
      <c r="F988" s="225"/>
      <c r="G988" s="225"/>
      <c r="H988" s="225"/>
      <c r="I988" s="225"/>
      <c r="J988" s="225"/>
      <c r="K988" s="244"/>
      <c r="L988" s="225"/>
      <c r="M988" s="225"/>
      <c r="N988" s="225"/>
      <c r="O988" s="225"/>
      <c r="P988" s="225"/>
      <c r="Q988" s="227"/>
      <c r="R988" s="234"/>
      <c r="S988" s="225"/>
      <c r="T988" s="225"/>
      <c r="U988" s="225"/>
      <c r="V988" s="225"/>
      <c r="W988" s="225"/>
      <c r="X988" s="225"/>
      <c r="Y988" s="229"/>
      <c r="Z988" s="257"/>
      <c r="AA988" s="225"/>
      <c r="AB988" s="257"/>
      <c r="AC988" s="257"/>
      <c r="AD988" s="226"/>
      <c r="AE988" s="259"/>
      <c r="AF988" s="347"/>
      <c r="AG988" s="232"/>
      <c r="AH988" s="257"/>
      <c r="AI988" s="225"/>
      <c r="AJ988" s="267"/>
      <c r="AK988" s="259"/>
      <c r="AL988" s="226"/>
      <c r="AM988" s="225"/>
      <c r="AN988" s="225"/>
      <c r="AO988" s="254"/>
      <c r="AP988" s="225"/>
      <c r="AQ988" s="225"/>
      <c r="AR988" s="226"/>
      <c r="AS988" s="225"/>
      <c r="AT988" s="225"/>
      <c r="AU988" s="225"/>
      <c r="AV988" s="225"/>
      <c r="AW988" s="225"/>
      <c r="AX988" s="226"/>
      <c r="AY988" s="225"/>
      <c r="AZ988" s="225"/>
      <c r="BA988" s="226"/>
      <c r="BB988" s="225"/>
      <c r="BC988" s="225"/>
      <c r="BD988" s="225"/>
      <c r="BE988" s="225"/>
      <c r="BF988" s="225"/>
      <c r="BG988" s="225"/>
      <c r="BH988" s="225"/>
      <c r="BI988" s="225"/>
      <c r="BJ988" s="225"/>
      <c r="BK988" s="225"/>
      <c r="BL988" s="225"/>
      <c r="BM988" s="225"/>
      <c r="BN988" s="225"/>
      <c r="BO988" s="225"/>
      <c r="BP988" s="225"/>
      <c r="BQ988" s="225"/>
      <c r="BR988" s="225"/>
      <c r="BS988" s="225"/>
      <c r="BT988" s="226"/>
      <c r="BU988" s="225"/>
      <c r="BV988" s="225"/>
      <c r="BW988" s="225"/>
      <c r="BX988" s="225"/>
      <c r="BY988" s="225"/>
      <c r="BZ988" s="225"/>
    </row>
    <row r="989">
      <c r="A989" s="225"/>
      <c r="B989" s="225"/>
      <c r="C989" s="225"/>
      <c r="D989" s="226"/>
      <c r="E989" s="225"/>
      <c r="F989" s="225"/>
      <c r="G989" s="225"/>
      <c r="H989" s="225"/>
      <c r="I989" s="225"/>
      <c r="J989" s="225"/>
      <c r="K989" s="244"/>
      <c r="L989" s="225"/>
      <c r="M989" s="225"/>
      <c r="N989" s="225"/>
      <c r="O989" s="225"/>
      <c r="P989" s="225"/>
      <c r="Q989" s="227"/>
      <c r="R989" s="234"/>
      <c r="S989" s="225"/>
      <c r="T989" s="225"/>
      <c r="U989" s="225"/>
      <c r="V989" s="225"/>
      <c r="W989" s="225"/>
      <c r="X989" s="225"/>
      <c r="Y989" s="229"/>
      <c r="Z989" s="257"/>
      <c r="AA989" s="225"/>
      <c r="AB989" s="257"/>
      <c r="AC989" s="257"/>
      <c r="AD989" s="226"/>
      <c r="AE989" s="259"/>
      <c r="AF989" s="347"/>
      <c r="AG989" s="232"/>
      <c r="AH989" s="257"/>
      <c r="AI989" s="225"/>
      <c r="AJ989" s="267"/>
      <c r="AK989" s="259"/>
      <c r="AL989" s="226"/>
      <c r="AM989" s="225"/>
      <c r="AN989" s="225"/>
      <c r="AO989" s="254"/>
      <c r="AP989" s="225"/>
      <c r="AQ989" s="225"/>
      <c r="AR989" s="226"/>
      <c r="AS989" s="225"/>
      <c r="AT989" s="225"/>
      <c r="AU989" s="225"/>
      <c r="AV989" s="225"/>
      <c r="AW989" s="225"/>
      <c r="AX989" s="226"/>
      <c r="AY989" s="225"/>
      <c r="AZ989" s="225"/>
      <c r="BA989" s="226"/>
      <c r="BB989" s="225"/>
      <c r="BC989" s="225"/>
      <c r="BD989" s="225"/>
      <c r="BE989" s="225"/>
      <c r="BF989" s="225"/>
      <c r="BG989" s="225"/>
      <c r="BH989" s="225"/>
      <c r="BI989" s="225"/>
      <c r="BJ989" s="225"/>
      <c r="BK989" s="225"/>
      <c r="BL989" s="225"/>
      <c r="BM989" s="225"/>
      <c r="BN989" s="225"/>
      <c r="BO989" s="225"/>
      <c r="BP989" s="225"/>
      <c r="BQ989" s="225"/>
      <c r="BR989" s="225"/>
      <c r="BS989" s="225"/>
      <c r="BT989" s="226"/>
      <c r="BU989" s="225"/>
      <c r="BV989" s="225"/>
      <c r="BW989" s="225"/>
      <c r="BX989" s="225"/>
      <c r="BY989" s="225"/>
      <c r="BZ989" s="225"/>
    </row>
    <row r="990">
      <c r="A990" s="225"/>
      <c r="B990" s="225"/>
      <c r="C990" s="225"/>
      <c r="D990" s="226"/>
      <c r="E990" s="225"/>
      <c r="F990" s="225"/>
      <c r="G990" s="225"/>
      <c r="H990" s="225"/>
      <c r="I990" s="225"/>
      <c r="J990" s="225"/>
      <c r="K990" s="244"/>
      <c r="L990" s="225"/>
      <c r="M990" s="225"/>
      <c r="N990" s="225"/>
      <c r="O990" s="225"/>
      <c r="P990" s="225"/>
      <c r="Q990" s="227"/>
      <c r="R990" s="234"/>
      <c r="S990" s="225"/>
      <c r="T990" s="225"/>
      <c r="U990" s="225"/>
      <c r="V990" s="225"/>
      <c r="W990" s="225"/>
      <c r="X990" s="225"/>
      <c r="Y990" s="229"/>
      <c r="Z990" s="257"/>
      <c r="AA990" s="225"/>
      <c r="AB990" s="257"/>
      <c r="AC990" s="257"/>
      <c r="AD990" s="226"/>
      <c r="AE990" s="259"/>
      <c r="AF990" s="347"/>
      <c r="AG990" s="232"/>
      <c r="AH990" s="257"/>
      <c r="AI990" s="225"/>
      <c r="AJ990" s="267"/>
      <c r="AK990" s="259"/>
      <c r="AL990" s="226"/>
      <c r="AM990" s="225"/>
      <c r="AN990" s="225"/>
      <c r="AO990" s="254"/>
      <c r="AP990" s="225"/>
      <c r="AQ990" s="225"/>
      <c r="AR990" s="226"/>
      <c r="AS990" s="225"/>
      <c r="AT990" s="225"/>
      <c r="AU990" s="225"/>
      <c r="AV990" s="225"/>
      <c r="AW990" s="225"/>
      <c r="AX990" s="226"/>
      <c r="AY990" s="225"/>
      <c r="AZ990" s="225"/>
      <c r="BA990" s="226"/>
      <c r="BB990" s="225"/>
      <c r="BC990" s="225"/>
      <c r="BD990" s="225"/>
      <c r="BE990" s="225"/>
      <c r="BF990" s="225"/>
      <c r="BG990" s="225"/>
      <c r="BH990" s="225"/>
      <c r="BI990" s="225"/>
      <c r="BJ990" s="225"/>
      <c r="BK990" s="225"/>
      <c r="BL990" s="225"/>
      <c r="BM990" s="225"/>
      <c r="BN990" s="225"/>
      <c r="BO990" s="225"/>
      <c r="BP990" s="225"/>
      <c r="BQ990" s="225"/>
      <c r="BR990" s="225"/>
      <c r="BS990" s="225"/>
      <c r="BT990" s="226"/>
      <c r="BU990" s="225"/>
      <c r="BV990" s="225"/>
      <c r="BW990" s="225"/>
      <c r="BX990" s="225"/>
      <c r="BY990" s="225"/>
      <c r="BZ990" s="225"/>
    </row>
    <row r="991">
      <c r="A991" s="225"/>
      <c r="B991" s="225"/>
      <c r="C991" s="225"/>
      <c r="D991" s="226"/>
      <c r="E991" s="225"/>
      <c r="F991" s="225"/>
      <c r="G991" s="225"/>
      <c r="H991" s="225"/>
      <c r="I991" s="225"/>
      <c r="J991" s="225"/>
      <c r="K991" s="244"/>
      <c r="L991" s="225"/>
      <c r="M991" s="225"/>
      <c r="N991" s="225"/>
      <c r="O991" s="225"/>
      <c r="P991" s="225"/>
      <c r="Q991" s="227"/>
      <c r="R991" s="234"/>
      <c r="S991" s="225"/>
      <c r="T991" s="225"/>
      <c r="U991" s="225"/>
      <c r="V991" s="225"/>
      <c r="W991" s="225"/>
      <c r="X991" s="225"/>
      <c r="Y991" s="229"/>
      <c r="Z991" s="257"/>
      <c r="AA991" s="225"/>
      <c r="AB991" s="257"/>
      <c r="AC991" s="257"/>
      <c r="AD991" s="226"/>
      <c r="AE991" s="259"/>
      <c r="AF991" s="347"/>
      <c r="AG991" s="232"/>
      <c r="AH991" s="257"/>
      <c r="AI991" s="225"/>
      <c r="AJ991" s="267"/>
      <c r="AK991" s="259"/>
      <c r="AL991" s="226"/>
      <c r="AM991" s="225"/>
      <c r="AN991" s="225"/>
      <c r="AO991" s="254"/>
      <c r="AP991" s="225"/>
      <c r="AQ991" s="225"/>
      <c r="AR991" s="226"/>
      <c r="AS991" s="225"/>
      <c r="AT991" s="225"/>
      <c r="AU991" s="225"/>
      <c r="AV991" s="225"/>
      <c r="AW991" s="225"/>
      <c r="AX991" s="226"/>
      <c r="AY991" s="225"/>
      <c r="AZ991" s="225"/>
      <c r="BA991" s="226"/>
      <c r="BB991" s="225"/>
      <c r="BC991" s="225"/>
      <c r="BD991" s="225"/>
      <c r="BE991" s="225"/>
      <c r="BF991" s="225"/>
      <c r="BG991" s="225"/>
      <c r="BH991" s="225"/>
      <c r="BI991" s="225"/>
      <c r="BJ991" s="225"/>
      <c r="BK991" s="225"/>
      <c r="BL991" s="225"/>
      <c r="BM991" s="225"/>
      <c r="BN991" s="225"/>
      <c r="BO991" s="225"/>
      <c r="BP991" s="225"/>
      <c r="BQ991" s="225"/>
      <c r="BR991" s="225"/>
      <c r="BS991" s="225"/>
      <c r="BT991" s="226"/>
      <c r="BU991" s="225"/>
      <c r="BV991" s="225"/>
      <c r="BW991" s="225"/>
      <c r="BX991" s="225"/>
      <c r="BY991" s="225"/>
      <c r="BZ991" s="225"/>
    </row>
    <row r="992">
      <c r="A992" s="225"/>
      <c r="B992" s="225"/>
      <c r="C992" s="225"/>
      <c r="D992" s="226"/>
      <c r="E992" s="225"/>
      <c r="F992" s="225"/>
      <c r="G992" s="225"/>
      <c r="H992" s="225"/>
      <c r="I992" s="225"/>
      <c r="J992" s="225"/>
      <c r="K992" s="244"/>
      <c r="L992" s="225"/>
      <c r="M992" s="225"/>
      <c r="N992" s="225"/>
      <c r="O992" s="225"/>
      <c r="P992" s="225"/>
      <c r="Q992" s="227"/>
      <c r="R992" s="234"/>
      <c r="S992" s="225"/>
      <c r="T992" s="225"/>
      <c r="U992" s="225"/>
      <c r="V992" s="225"/>
      <c r="W992" s="225"/>
      <c r="X992" s="225"/>
      <c r="Y992" s="229"/>
      <c r="Z992" s="257"/>
      <c r="AA992" s="225"/>
      <c r="AB992" s="257"/>
      <c r="AC992" s="257"/>
      <c r="AD992" s="226"/>
      <c r="AE992" s="259"/>
      <c r="AF992" s="347"/>
      <c r="AG992" s="232"/>
      <c r="AH992" s="257"/>
      <c r="AI992" s="225"/>
      <c r="AJ992" s="267"/>
      <c r="AK992" s="259"/>
      <c r="AL992" s="226"/>
      <c r="AM992" s="225"/>
      <c r="AN992" s="225"/>
      <c r="AO992" s="254"/>
      <c r="AP992" s="225"/>
      <c r="AQ992" s="225"/>
      <c r="AR992" s="226"/>
      <c r="AS992" s="225"/>
      <c r="AT992" s="225"/>
      <c r="AU992" s="225"/>
      <c r="AV992" s="225"/>
      <c r="AW992" s="225"/>
      <c r="AX992" s="226"/>
      <c r="AY992" s="225"/>
      <c r="AZ992" s="225"/>
      <c r="BA992" s="226"/>
      <c r="BB992" s="225"/>
      <c r="BC992" s="225"/>
      <c r="BD992" s="225"/>
      <c r="BE992" s="225"/>
      <c r="BF992" s="225"/>
      <c r="BG992" s="225"/>
      <c r="BH992" s="225"/>
      <c r="BI992" s="225"/>
      <c r="BJ992" s="225"/>
      <c r="BK992" s="225"/>
      <c r="BL992" s="225"/>
      <c r="BM992" s="225"/>
      <c r="BN992" s="225"/>
      <c r="BO992" s="225"/>
      <c r="BP992" s="225"/>
      <c r="BQ992" s="225"/>
      <c r="BR992" s="225"/>
      <c r="BS992" s="225"/>
      <c r="BT992" s="226"/>
      <c r="BU992" s="225"/>
      <c r="BV992" s="225"/>
      <c r="BW992" s="225"/>
      <c r="BX992" s="225"/>
      <c r="BY992" s="225"/>
      <c r="BZ992" s="225"/>
    </row>
    <row r="993">
      <c r="A993" s="225"/>
      <c r="B993" s="225"/>
      <c r="C993" s="225"/>
      <c r="D993" s="226"/>
      <c r="E993" s="225"/>
      <c r="F993" s="225"/>
      <c r="G993" s="225"/>
      <c r="H993" s="225"/>
      <c r="I993" s="225"/>
      <c r="J993" s="225"/>
      <c r="K993" s="244"/>
      <c r="L993" s="225"/>
      <c r="M993" s="225"/>
      <c r="N993" s="225"/>
      <c r="O993" s="225"/>
      <c r="P993" s="225"/>
      <c r="Q993" s="227"/>
      <c r="R993" s="234"/>
      <c r="S993" s="225"/>
      <c r="T993" s="225"/>
      <c r="U993" s="225"/>
      <c r="V993" s="225"/>
      <c r="W993" s="225"/>
      <c r="X993" s="225"/>
      <c r="Y993" s="229"/>
      <c r="Z993" s="257"/>
      <c r="AA993" s="225"/>
      <c r="AB993" s="257"/>
      <c r="AC993" s="257"/>
      <c r="AD993" s="226"/>
      <c r="AE993" s="259"/>
      <c r="AF993" s="347"/>
      <c r="AG993" s="232"/>
      <c r="AH993" s="257"/>
      <c r="AI993" s="225"/>
      <c r="AJ993" s="267"/>
      <c r="AK993" s="259"/>
      <c r="AL993" s="226"/>
      <c r="AM993" s="225"/>
      <c r="AN993" s="225"/>
      <c r="AO993" s="254"/>
      <c r="AP993" s="225"/>
      <c r="AQ993" s="225"/>
      <c r="AR993" s="226"/>
      <c r="AS993" s="225"/>
      <c r="AT993" s="225"/>
      <c r="AU993" s="225"/>
      <c r="AV993" s="225"/>
      <c r="AW993" s="225"/>
      <c r="AX993" s="226"/>
      <c r="AY993" s="225"/>
      <c r="AZ993" s="225"/>
      <c r="BA993" s="226"/>
      <c r="BB993" s="225"/>
      <c r="BC993" s="225"/>
      <c r="BD993" s="225"/>
      <c r="BE993" s="225"/>
      <c r="BF993" s="225"/>
      <c r="BG993" s="225"/>
      <c r="BH993" s="225"/>
      <c r="BI993" s="225"/>
      <c r="BJ993" s="225"/>
      <c r="BK993" s="225"/>
      <c r="BL993" s="225"/>
      <c r="BM993" s="225"/>
      <c r="BN993" s="225"/>
      <c r="BO993" s="225"/>
      <c r="BP993" s="225"/>
      <c r="BQ993" s="225"/>
      <c r="BR993" s="225"/>
      <c r="BS993" s="225"/>
      <c r="BT993" s="226"/>
      <c r="BU993" s="225"/>
      <c r="BV993" s="225"/>
      <c r="BW993" s="225"/>
      <c r="BX993" s="225"/>
      <c r="BY993" s="225"/>
      <c r="BZ993" s="225"/>
    </row>
    <row r="994">
      <c r="A994" s="225"/>
      <c r="B994" s="225"/>
      <c r="C994" s="225"/>
      <c r="D994" s="226"/>
      <c r="E994" s="225"/>
      <c r="F994" s="225"/>
      <c r="G994" s="225"/>
      <c r="H994" s="225"/>
      <c r="I994" s="225"/>
      <c r="J994" s="225"/>
      <c r="K994" s="244"/>
      <c r="L994" s="225"/>
      <c r="M994" s="225"/>
      <c r="N994" s="225"/>
      <c r="O994" s="225"/>
      <c r="P994" s="225"/>
      <c r="Q994" s="227"/>
      <c r="R994" s="234"/>
      <c r="S994" s="225"/>
      <c r="T994" s="225"/>
      <c r="U994" s="225"/>
      <c r="V994" s="225"/>
      <c r="W994" s="225"/>
      <c r="X994" s="225"/>
      <c r="Y994" s="229"/>
      <c r="Z994" s="257"/>
      <c r="AA994" s="225"/>
      <c r="AB994" s="257"/>
      <c r="AC994" s="257"/>
      <c r="AD994" s="226"/>
      <c r="AE994" s="259"/>
      <c r="AF994" s="347"/>
      <c r="AG994" s="232"/>
      <c r="AH994" s="257"/>
      <c r="AI994" s="225"/>
      <c r="AJ994" s="267"/>
      <c r="AK994" s="259"/>
      <c r="AL994" s="226"/>
      <c r="AM994" s="225"/>
      <c r="AN994" s="225"/>
      <c r="AO994" s="254"/>
      <c r="AP994" s="225"/>
      <c r="AQ994" s="225"/>
      <c r="AR994" s="226"/>
      <c r="AS994" s="225"/>
      <c r="AT994" s="225"/>
      <c r="AU994" s="225"/>
      <c r="AV994" s="225"/>
      <c r="AW994" s="225"/>
      <c r="AX994" s="226"/>
      <c r="AY994" s="225"/>
      <c r="AZ994" s="225"/>
      <c r="BA994" s="226"/>
      <c r="BB994" s="225"/>
      <c r="BC994" s="225"/>
      <c r="BD994" s="225"/>
      <c r="BE994" s="225"/>
      <c r="BF994" s="225"/>
      <c r="BG994" s="225"/>
      <c r="BH994" s="225"/>
      <c r="BI994" s="225"/>
      <c r="BJ994" s="225"/>
      <c r="BK994" s="225"/>
      <c r="BL994" s="225"/>
      <c r="BM994" s="225"/>
      <c r="BN994" s="225"/>
      <c r="BO994" s="225"/>
      <c r="BP994" s="225"/>
      <c r="BQ994" s="225"/>
      <c r="BR994" s="225"/>
      <c r="BS994" s="225"/>
      <c r="BT994" s="226"/>
      <c r="BU994" s="225"/>
      <c r="BV994" s="225"/>
      <c r="BW994" s="225"/>
      <c r="BX994" s="225"/>
      <c r="BY994" s="225"/>
      <c r="BZ994" s="225"/>
    </row>
    <row r="995">
      <c r="A995" s="225"/>
      <c r="B995" s="225"/>
      <c r="C995" s="225"/>
      <c r="D995" s="226"/>
      <c r="E995" s="225"/>
      <c r="F995" s="225"/>
      <c r="G995" s="225"/>
      <c r="H995" s="225"/>
      <c r="I995" s="225"/>
      <c r="J995" s="225"/>
      <c r="K995" s="244"/>
      <c r="L995" s="225"/>
      <c r="M995" s="225"/>
      <c r="N995" s="225"/>
      <c r="O995" s="225"/>
      <c r="P995" s="225"/>
      <c r="Q995" s="227"/>
      <c r="R995" s="234"/>
      <c r="S995" s="225"/>
      <c r="T995" s="225"/>
      <c r="U995" s="225"/>
      <c r="V995" s="225"/>
      <c r="W995" s="225"/>
      <c r="X995" s="225"/>
      <c r="Y995" s="229"/>
      <c r="Z995" s="257"/>
      <c r="AA995" s="225"/>
      <c r="AB995" s="257"/>
      <c r="AC995" s="257"/>
      <c r="AD995" s="226"/>
      <c r="AE995" s="259"/>
      <c r="AF995" s="347"/>
      <c r="AG995" s="232"/>
      <c r="AH995" s="257"/>
      <c r="AI995" s="225"/>
      <c r="AJ995" s="267"/>
      <c r="AK995" s="259"/>
      <c r="AL995" s="226"/>
      <c r="AM995" s="225"/>
      <c r="AN995" s="225"/>
      <c r="AO995" s="254"/>
      <c r="AP995" s="225"/>
      <c r="AQ995" s="225"/>
      <c r="AR995" s="226"/>
      <c r="AS995" s="225"/>
      <c r="AT995" s="225"/>
      <c r="AU995" s="225"/>
      <c r="AV995" s="225"/>
      <c r="AW995" s="225"/>
      <c r="AX995" s="226"/>
      <c r="AY995" s="225"/>
      <c r="AZ995" s="225"/>
      <c r="BA995" s="226"/>
      <c r="BB995" s="225"/>
      <c r="BC995" s="225"/>
      <c r="BD995" s="225"/>
      <c r="BE995" s="225"/>
      <c r="BF995" s="225"/>
      <c r="BG995" s="225"/>
      <c r="BH995" s="225"/>
      <c r="BI995" s="225"/>
      <c r="BJ995" s="225"/>
      <c r="BK995" s="225"/>
      <c r="BL995" s="225"/>
      <c r="BM995" s="225"/>
      <c r="BN995" s="225"/>
      <c r="BO995" s="225"/>
      <c r="BP995" s="225"/>
      <c r="BQ995" s="225"/>
      <c r="BR995" s="225"/>
      <c r="BS995" s="225"/>
      <c r="BT995" s="226"/>
      <c r="BU995" s="225"/>
      <c r="BV995" s="225"/>
      <c r="BW995" s="225"/>
      <c r="BX995" s="225"/>
      <c r="BY995" s="225"/>
      <c r="BZ995" s="225"/>
    </row>
    <row r="996">
      <c r="A996" s="225"/>
      <c r="B996" s="225"/>
      <c r="C996" s="225"/>
      <c r="D996" s="226"/>
      <c r="E996" s="225"/>
      <c r="F996" s="225"/>
      <c r="G996" s="225"/>
      <c r="H996" s="225"/>
      <c r="I996" s="225"/>
      <c r="J996" s="225"/>
      <c r="K996" s="244"/>
      <c r="L996" s="225"/>
      <c r="M996" s="225"/>
      <c r="N996" s="225"/>
      <c r="O996" s="225"/>
      <c r="P996" s="225"/>
      <c r="Q996" s="227"/>
      <c r="R996" s="234"/>
      <c r="S996" s="225"/>
      <c r="T996" s="225"/>
      <c r="U996" s="225"/>
      <c r="V996" s="225"/>
      <c r="W996" s="225"/>
      <c r="X996" s="225"/>
      <c r="Y996" s="229"/>
      <c r="Z996" s="257"/>
      <c r="AA996" s="225"/>
      <c r="AB996" s="257"/>
      <c r="AC996" s="257"/>
      <c r="AD996" s="226"/>
      <c r="AE996" s="259"/>
      <c r="AF996" s="347"/>
      <c r="AG996" s="232"/>
      <c r="AH996" s="257"/>
      <c r="AI996" s="225"/>
      <c r="AJ996" s="267"/>
      <c r="AK996" s="259"/>
      <c r="AL996" s="226"/>
      <c r="AM996" s="225"/>
      <c r="AN996" s="225"/>
      <c r="AO996" s="254"/>
      <c r="AP996" s="225"/>
      <c r="AQ996" s="225"/>
      <c r="AR996" s="226"/>
      <c r="AS996" s="225"/>
      <c r="AT996" s="225"/>
      <c r="AU996" s="225"/>
      <c r="AV996" s="225"/>
      <c r="AW996" s="225"/>
      <c r="AX996" s="226"/>
      <c r="AY996" s="225"/>
      <c r="AZ996" s="225"/>
      <c r="BA996" s="226"/>
      <c r="BB996" s="225"/>
      <c r="BC996" s="225"/>
      <c r="BD996" s="225"/>
      <c r="BE996" s="225"/>
      <c r="BF996" s="225"/>
      <c r="BG996" s="225"/>
      <c r="BH996" s="225"/>
      <c r="BI996" s="225"/>
      <c r="BJ996" s="225"/>
      <c r="BK996" s="225"/>
      <c r="BL996" s="225"/>
      <c r="BM996" s="225"/>
      <c r="BN996" s="225"/>
      <c r="BO996" s="225"/>
      <c r="BP996" s="225"/>
      <c r="BQ996" s="225"/>
      <c r="BR996" s="225"/>
      <c r="BS996" s="225"/>
      <c r="BT996" s="226"/>
      <c r="BU996" s="225"/>
      <c r="BV996" s="225"/>
      <c r="BW996" s="225"/>
      <c r="BX996" s="225"/>
      <c r="BY996" s="225"/>
      <c r="BZ996" s="225"/>
    </row>
    <row r="997">
      <c r="A997" s="225"/>
      <c r="B997" s="225"/>
      <c r="C997" s="225"/>
      <c r="D997" s="226"/>
      <c r="E997" s="225"/>
      <c r="F997" s="225"/>
      <c r="G997" s="225"/>
      <c r="H997" s="225"/>
      <c r="I997" s="225"/>
      <c r="J997" s="225"/>
      <c r="K997" s="244"/>
      <c r="L997" s="225"/>
      <c r="M997" s="225"/>
      <c r="N997" s="225"/>
      <c r="O997" s="225"/>
      <c r="P997" s="225"/>
      <c r="Q997" s="227"/>
      <c r="R997" s="234"/>
      <c r="S997" s="225"/>
      <c r="T997" s="225"/>
      <c r="U997" s="225"/>
      <c r="V997" s="225"/>
      <c r="W997" s="225"/>
      <c r="X997" s="225"/>
      <c r="Y997" s="229"/>
      <c r="Z997" s="257"/>
      <c r="AA997" s="225"/>
      <c r="AB997" s="257"/>
      <c r="AC997" s="257"/>
      <c r="AD997" s="226"/>
      <c r="AE997" s="259"/>
      <c r="AF997" s="347"/>
      <c r="AG997" s="232"/>
      <c r="AH997" s="257"/>
      <c r="AI997" s="225"/>
      <c r="AJ997" s="267"/>
      <c r="AK997" s="259"/>
      <c r="AL997" s="226"/>
      <c r="AM997" s="225"/>
      <c r="AN997" s="225"/>
      <c r="AO997" s="254"/>
      <c r="AP997" s="225"/>
      <c r="AQ997" s="225"/>
      <c r="AR997" s="226"/>
      <c r="AS997" s="225"/>
      <c r="AT997" s="225"/>
      <c r="AU997" s="225"/>
      <c r="AV997" s="225"/>
      <c r="AW997" s="225"/>
      <c r="AX997" s="226"/>
      <c r="AY997" s="225"/>
      <c r="AZ997" s="225"/>
      <c r="BA997" s="226"/>
      <c r="BB997" s="225"/>
      <c r="BC997" s="225"/>
      <c r="BD997" s="225"/>
      <c r="BE997" s="225"/>
      <c r="BF997" s="225"/>
      <c r="BG997" s="225"/>
      <c r="BH997" s="225"/>
      <c r="BI997" s="225"/>
      <c r="BJ997" s="225"/>
      <c r="BK997" s="225"/>
      <c r="BL997" s="225"/>
      <c r="BM997" s="225"/>
      <c r="BN997" s="225"/>
      <c r="BO997" s="225"/>
      <c r="BP997" s="225"/>
      <c r="BQ997" s="225"/>
      <c r="BR997" s="225"/>
      <c r="BS997" s="225"/>
      <c r="BT997" s="226"/>
      <c r="BU997" s="225"/>
      <c r="BV997" s="225"/>
      <c r="BW997" s="225"/>
      <c r="BX997" s="225"/>
      <c r="BY997" s="225"/>
      <c r="BZ997" s="225"/>
    </row>
    <row r="998">
      <c r="A998" s="225"/>
      <c r="B998" s="225"/>
      <c r="C998" s="225"/>
      <c r="D998" s="226"/>
      <c r="E998" s="225"/>
      <c r="F998" s="225"/>
      <c r="G998" s="225"/>
      <c r="H998" s="225"/>
      <c r="I998" s="225"/>
      <c r="J998" s="225"/>
      <c r="K998" s="244"/>
      <c r="L998" s="225"/>
      <c r="M998" s="225"/>
      <c r="N998" s="225"/>
      <c r="O998" s="225"/>
      <c r="P998" s="225"/>
      <c r="Q998" s="227"/>
      <c r="R998" s="234"/>
      <c r="S998" s="225"/>
      <c r="T998" s="225"/>
      <c r="U998" s="225"/>
      <c r="V998" s="225"/>
      <c r="W998" s="225"/>
      <c r="X998" s="225"/>
      <c r="Y998" s="229"/>
      <c r="Z998" s="257"/>
      <c r="AA998" s="225"/>
      <c r="AB998" s="257"/>
      <c r="AC998" s="257"/>
      <c r="AD998" s="226"/>
      <c r="AE998" s="259"/>
      <c r="AF998" s="347"/>
      <c r="AG998" s="232"/>
      <c r="AH998" s="257"/>
      <c r="AI998" s="225"/>
      <c r="AJ998" s="267"/>
      <c r="AK998" s="259"/>
      <c r="AL998" s="226"/>
      <c r="AM998" s="225"/>
      <c r="AN998" s="225"/>
      <c r="AO998" s="254"/>
      <c r="AP998" s="225"/>
      <c r="AQ998" s="225"/>
      <c r="AR998" s="226"/>
      <c r="AS998" s="225"/>
      <c r="AT998" s="225"/>
      <c r="AU998" s="225"/>
      <c r="AV998" s="225"/>
      <c r="AW998" s="225"/>
      <c r="AX998" s="226"/>
      <c r="AY998" s="225"/>
      <c r="AZ998" s="225"/>
      <c r="BA998" s="226"/>
      <c r="BB998" s="225"/>
      <c r="BC998" s="225"/>
      <c r="BD998" s="225"/>
      <c r="BE998" s="225"/>
      <c r="BF998" s="225"/>
      <c r="BG998" s="225"/>
      <c r="BH998" s="225"/>
      <c r="BI998" s="225"/>
      <c r="BJ998" s="225"/>
      <c r="BK998" s="225"/>
      <c r="BL998" s="225"/>
      <c r="BM998" s="225"/>
      <c r="BN998" s="225"/>
      <c r="BO998" s="225"/>
      <c r="BP998" s="225"/>
      <c r="BQ998" s="225"/>
      <c r="BR998" s="225"/>
      <c r="BS998" s="225"/>
      <c r="BT998" s="226"/>
      <c r="BU998" s="225"/>
      <c r="BV998" s="225"/>
      <c r="BW998" s="225"/>
      <c r="BX998" s="225"/>
      <c r="BY998" s="225"/>
      <c r="BZ998" s="225"/>
    </row>
    <row r="999">
      <c r="A999" s="225"/>
      <c r="B999" s="225"/>
      <c r="C999" s="225"/>
      <c r="D999" s="226"/>
      <c r="E999" s="225"/>
      <c r="F999" s="225"/>
      <c r="G999" s="225"/>
      <c r="H999" s="225"/>
      <c r="I999" s="225"/>
      <c r="J999" s="225"/>
      <c r="K999" s="244"/>
      <c r="L999" s="225"/>
      <c r="M999" s="225"/>
      <c r="N999" s="225"/>
      <c r="O999" s="225"/>
      <c r="P999" s="225"/>
      <c r="Q999" s="227"/>
      <c r="R999" s="234"/>
      <c r="S999" s="225"/>
      <c r="T999" s="225"/>
      <c r="U999" s="225"/>
      <c r="V999" s="225"/>
      <c r="W999" s="225"/>
      <c r="X999" s="225"/>
      <c r="Y999" s="229"/>
      <c r="Z999" s="257"/>
      <c r="AA999" s="225"/>
      <c r="AB999" s="257"/>
      <c r="AC999" s="257"/>
      <c r="AD999" s="226"/>
      <c r="AE999" s="259"/>
      <c r="AF999" s="347"/>
      <c r="AG999" s="232"/>
      <c r="AH999" s="257"/>
      <c r="AI999" s="225"/>
      <c r="AJ999" s="267"/>
      <c r="AK999" s="259"/>
      <c r="AL999" s="226"/>
      <c r="AM999" s="225"/>
      <c r="AN999" s="225"/>
      <c r="AO999" s="254"/>
      <c r="AP999" s="225"/>
      <c r="AQ999" s="225"/>
      <c r="AR999" s="226"/>
      <c r="AS999" s="225"/>
      <c r="AT999" s="225"/>
      <c r="AU999" s="225"/>
      <c r="AV999" s="225"/>
      <c r="AW999" s="225"/>
      <c r="AX999" s="226"/>
      <c r="AY999" s="225"/>
      <c r="AZ999" s="225"/>
      <c r="BA999" s="226"/>
      <c r="BB999" s="225"/>
      <c r="BC999" s="225"/>
      <c r="BD999" s="225"/>
      <c r="BE999" s="225"/>
      <c r="BF999" s="225"/>
      <c r="BG999" s="225"/>
      <c r="BH999" s="225"/>
      <c r="BI999" s="225"/>
      <c r="BJ999" s="225"/>
      <c r="BK999" s="225"/>
      <c r="BL999" s="225"/>
      <c r="BM999" s="225"/>
      <c r="BN999" s="225"/>
      <c r="BO999" s="225"/>
      <c r="BP999" s="225"/>
      <c r="BQ999" s="225"/>
      <c r="BR999" s="225"/>
      <c r="BS999" s="225"/>
      <c r="BT999" s="226"/>
      <c r="BU999" s="225"/>
      <c r="BV999" s="225"/>
      <c r="BW999" s="225"/>
      <c r="BX999" s="225"/>
      <c r="BY999" s="225"/>
      <c r="BZ999" s="225"/>
    </row>
    <row r="1000">
      <c r="A1000" s="225"/>
      <c r="B1000" s="225"/>
      <c r="C1000" s="225"/>
      <c r="D1000" s="226"/>
      <c r="E1000" s="225"/>
      <c r="F1000" s="225"/>
      <c r="G1000" s="225"/>
      <c r="H1000" s="225"/>
      <c r="I1000" s="225"/>
      <c r="J1000" s="225"/>
      <c r="K1000" s="244"/>
      <c r="L1000" s="225"/>
      <c r="M1000" s="225"/>
      <c r="N1000" s="225"/>
      <c r="O1000" s="225"/>
      <c r="P1000" s="225"/>
      <c r="Q1000" s="227"/>
      <c r="R1000" s="234"/>
      <c r="S1000" s="225"/>
      <c r="T1000" s="225"/>
      <c r="U1000" s="225"/>
      <c r="V1000" s="225"/>
      <c r="W1000" s="225"/>
      <c r="X1000" s="225"/>
      <c r="Y1000" s="229"/>
      <c r="Z1000" s="257"/>
      <c r="AA1000" s="225"/>
      <c r="AB1000" s="257"/>
      <c r="AC1000" s="257"/>
      <c r="AD1000" s="226"/>
      <c r="AE1000" s="259"/>
      <c r="AF1000" s="347"/>
      <c r="AG1000" s="232"/>
      <c r="AH1000" s="257"/>
      <c r="AI1000" s="225"/>
      <c r="AJ1000" s="267"/>
      <c r="AK1000" s="259"/>
      <c r="AL1000" s="226"/>
      <c r="AM1000" s="225"/>
      <c r="AN1000" s="225"/>
      <c r="AO1000" s="254"/>
      <c r="AP1000" s="225"/>
      <c r="AQ1000" s="225"/>
      <c r="AR1000" s="226"/>
      <c r="AS1000" s="225"/>
      <c r="AT1000" s="225"/>
      <c r="AU1000" s="225"/>
      <c r="AV1000" s="225"/>
      <c r="AW1000" s="225"/>
      <c r="AX1000" s="226"/>
      <c r="AY1000" s="225"/>
      <c r="AZ1000" s="225"/>
      <c r="BA1000" s="226"/>
      <c r="BB1000" s="225"/>
      <c r="BC1000" s="225"/>
      <c r="BD1000" s="225"/>
      <c r="BE1000" s="225"/>
      <c r="BF1000" s="225"/>
      <c r="BG1000" s="225"/>
      <c r="BH1000" s="225"/>
      <c r="BI1000" s="225"/>
      <c r="BJ1000" s="225"/>
      <c r="BK1000" s="225"/>
      <c r="BL1000" s="225"/>
      <c r="BM1000" s="225"/>
      <c r="BN1000" s="225"/>
      <c r="BO1000" s="225"/>
      <c r="BP1000" s="225"/>
      <c r="BQ1000" s="225"/>
      <c r="BR1000" s="225"/>
      <c r="BS1000" s="225"/>
      <c r="BT1000" s="226"/>
      <c r="BU1000" s="225"/>
      <c r="BV1000" s="225"/>
      <c r="BW1000" s="225"/>
      <c r="BX1000" s="225"/>
      <c r="BY1000" s="225"/>
      <c r="BZ1000" s="225"/>
    </row>
    <row r="1001">
      <c r="A1001" s="225"/>
      <c r="B1001" s="225"/>
      <c r="C1001" s="225"/>
      <c r="D1001" s="226"/>
      <c r="E1001" s="225"/>
      <c r="F1001" s="225"/>
      <c r="G1001" s="225"/>
      <c r="H1001" s="225"/>
      <c r="I1001" s="225"/>
      <c r="J1001" s="225"/>
      <c r="K1001" s="244"/>
      <c r="L1001" s="225"/>
      <c r="M1001" s="225"/>
      <c r="N1001" s="225"/>
      <c r="O1001" s="225"/>
      <c r="P1001" s="225"/>
      <c r="Q1001" s="227"/>
      <c r="R1001" s="234"/>
      <c r="S1001" s="225"/>
      <c r="T1001" s="225"/>
      <c r="U1001" s="225"/>
      <c r="V1001" s="225"/>
      <c r="W1001" s="225"/>
      <c r="X1001" s="225"/>
      <c r="Y1001" s="229"/>
      <c r="Z1001" s="257"/>
      <c r="AA1001" s="225"/>
      <c r="AB1001" s="257"/>
      <c r="AC1001" s="257"/>
      <c r="AD1001" s="226"/>
      <c r="AE1001" s="259"/>
      <c r="AF1001" s="347"/>
      <c r="AG1001" s="232"/>
      <c r="AH1001" s="257"/>
      <c r="AI1001" s="225"/>
      <c r="AJ1001" s="267"/>
      <c r="AK1001" s="259"/>
      <c r="AL1001" s="226"/>
      <c r="AM1001" s="225"/>
      <c r="AN1001" s="225"/>
      <c r="AO1001" s="254"/>
      <c r="AP1001" s="225"/>
      <c r="AQ1001" s="225"/>
      <c r="AR1001" s="226"/>
      <c r="AS1001" s="225"/>
      <c r="AT1001" s="225"/>
      <c r="AU1001" s="225"/>
      <c r="AV1001" s="225"/>
      <c r="AW1001" s="225"/>
      <c r="AX1001" s="226"/>
      <c r="AY1001" s="225"/>
      <c r="AZ1001" s="225"/>
      <c r="BA1001" s="226"/>
      <c r="BB1001" s="225"/>
      <c r="BC1001" s="225"/>
      <c r="BD1001" s="225"/>
      <c r="BE1001" s="225"/>
      <c r="BF1001" s="225"/>
      <c r="BG1001" s="225"/>
      <c r="BH1001" s="225"/>
      <c r="BI1001" s="225"/>
      <c r="BJ1001" s="225"/>
      <c r="BK1001" s="225"/>
      <c r="BL1001" s="225"/>
      <c r="BM1001" s="225"/>
      <c r="BN1001" s="225"/>
      <c r="BO1001" s="225"/>
      <c r="BP1001" s="225"/>
      <c r="BQ1001" s="225"/>
      <c r="BR1001" s="225"/>
      <c r="BS1001" s="225"/>
      <c r="BT1001" s="226"/>
      <c r="BU1001" s="225"/>
      <c r="BV1001" s="225"/>
      <c r="BW1001" s="225"/>
      <c r="BX1001" s="225"/>
      <c r="BY1001" s="225"/>
      <c r="BZ1001" s="225"/>
    </row>
    <row r="1002">
      <c r="A1002" s="225"/>
      <c r="B1002" s="225"/>
      <c r="C1002" s="225"/>
      <c r="D1002" s="225"/>
      <c r="E1002" s="225"/>
      <c r="F1002" s="225"/>
      <c r="G1002" s="225"/>
      <c r="H1002" s="225"/>
      <c r="I1002" s="225"/>
      <c r="J1002" s="225"/>
      <c r="K1002" s="244"/>
      <c r="L1002" s="225"/>
      <c r="M1002" s="225"/>
      <c r="N1002" s="225"/>
      <c r="O1002" s="225"/>
      <c r="P1002" s="225"/>
      <c r="Q1002" s="227"/>
      <c r="R1002" s="234"/>
      <c r="S1002" s="225"/>
      <c r="T1002" s="225"/>
      <c r="U1002" s="225"/>
      <c r="V1002" s="225"/>
      <c r="W1002" s="225"/>
      <c r="X1002" s="225"/>
      <c r="Y1002" s="229"/>
      <c r="Z1002" s="257"/>
      <c r="AA1002" s="225"/>
      <c r="AB1002" s="257"/>
      <c r="AC1002" s="257"/>
      <c r="AD1002" s="225"/>
      <c r="AE1002" s="259"/>
      <c r="AF1002" s="347"/>
      <c r="AG1002" s="232"/>
      <c r="AH1002" s="257"/>
      <c r="AI1002" s="225"/>
      <c r="AJ1002" s="267"/>
      <c r="AK1002" s="259"/>
      <c r="AL1002" s="225"/>
      <c r="AM1002" s="225"/>
      <c r="AN1002" s="225"/>
      <c r="AO1002" s="267"/>
      <c r="AP1002" s="225"/>
      <c r="AQ1002" s="225"/>
      <c r="AR1002" s="225"/>
      <c r="AS1002" s="225"/>
      <c r="AT1002" s="225"/>
      <c r="AU1002" s="225"/>
      <c r="AV1002" s="225"/>
      <c r="AW1002" s="225"/>
      <c r="AX1002" s="225"/>
      <c r="AY1002" s="225"/>
      <c r="AZ1002" s="225"/>
      <c r="BA1002" s="225"/>
      <c r="BB1002" s="225"/>
      <c r="BC1002" s="225"/>
      <c r="BD1002" s="225"/>
      <c r="BE1002" s="225"/>
      <c r="BF1002" s="225"/>
      <c r="BG1002" s="225"/>
      <c r="BH1002" s="225"/>
      <c r="BI1002" s="225"/>
      <c r="BJ1002" s="225"/>
      <c r="BK1002" s="225"/>
      <c r="BL1002" s="225"/>
      <c r="BM1002" s="225"/>
      <c r="BN1002" s="225"/>
      <c r="BO1002" s="225"/>
      <c r="BP1002" s="225"/>
      <c r="BQ1002" s="225"/>
      <c r="BR1002" s="225"/>
      <c r="BS1002" s="225"/>
      <c r="BT1002" s="225"/>
      <c r="BU1002" s="225"/>
      <c r="BV1002" s="225"/>
      <c r="BW1002" s="225"/>
      <c r="BX1002" s="225"/>
      <c r="BY1002" s="225"/>
      <c r="BZ1002" s="225"/>
    </row>
  </sheetData>
  <hyperlinks>
    <hyperlink r:id="rId1" ref="B1"/>
    <hyperlink r:id="rId2" ref="F1"/>
    <hyperlink r:id="rId3" ref="AA1"/>
    <hyperlink r:id="rId4" ref="AF1"/>
    <hyperlink r:id="rId5" ref="AN1"/>
    <hyperlink r:id="rId6" ref="AT1"/>
    <hyperlink r:id="rId7" ref="AZ1"/>
    <hyperlink r:id="rId8" ref="BC1"/>
    <hyperlink r:id="rId9" ref="BV1"/>
  </hyperlinks>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topLeftCell="B1" activePane="topRight" state="frozen"/>
      <selection activeCell="C2" sqref="C2" pane="topRight"/>
    </sheetView>
  </sheetViews>
  <sheetFormatPr customHeight="1" defaultColWidth="14.43" defaultRowHeight="15.75" outlineLevelCol="1"/>
  <cols>
    <col customWidth="1" min="1" max="1" width="5.57"/>
    <col customWidth="1" min="2" max="3" width="4.71"/>
    <col customWidth="1" min="4" max="4" width="15.71" outlineLevel="1"/>
    <col customWidth="1" min="5" max="5" width="12.0" outlineLevel="1"/>
    <col customWidth="1" min="6" max="6" width="5.71" outlineLevel="1"/>
    <col customWidth="1" min="7" max="7" width="4.71" outlineLevel="1"/>
    <col customWidth="1" min="8" max="8" width="4.71"/>
    <col customWidth="1" min="9" max="9" width="13.43" outlineLevel="1"/>
    <col customWidth="1" min="10" max="10" width="28.14" outlineLevel="1"/>
    <col customWidth="1" min="11" max="11" width="4.86" outlineLevel="1"/>
    <col customWidth="1" min="12" max="12" width="13.29" outlineLevel="1"/>
    <col customWidth="1" min="13" max="13" width="28.14" outlineLevel="1"/>
    <col customWidth="1" min="14" max="14" width="4.86" outlineLevel="1"/>
    <col customWidth="1" min="15" max="15" width="13.29" outlineLevel="1"/>
    <col customWidth="1" min="16" max="16" width="28.14" outlineLevel="1"/>
    <col customWidth="1" min="17" max="17" width="4.86" outlineLevel="1"/>
  </cols>
  <sheetData>
    <row r="1">
      <c r="A1" s="355" t="s">
        <v>160</v>
      </c>
      <c r="B1" s="11"/>
      <c r="C1" s="11"/>
      <c r="D1" s="11"/>
      <c r="E1" s="11"/>
      <c r="F1" s="11"/>
      <c r="G1" s="117"/>
      <c r="H1" s="11"/>
      <c r="I1" s="11"/>
      <c r="J1" s="11"/>
      <c r="K1" s="11"/>
      <c r="L1" s="11"/>
      <c r="M1" s="11"/>
      <c r="N1" s="11"/>
      <c r="O1" s="11"/>
      <c r="P1" s="11"/>
      <c r="Q1" s="11"/>
    </row>
    <row r="2">
      <c r="B2" s="356"/>
      <c r="C2" s="357" t="s">
        <v>245</v>
      </c>
      <c r="D2" s="358" t="s">
        <v>246</v>
      </c>
      <c r="E2" s="359" t="str">
        <f>IF(F2, "Unlocked", "Locked")</f>
        <v>Locked</v>
      </c>
      <c r="F2" s="360" t="b">
        <v>0</v>
      </c>
      <c r="G2" s="117"/>
      <c r="H2" s="357" t="s">
        <v>247</v>
      </c>
      <c r="I2" s="361" t="s">
        <v>248</v>
      </c>
      <c r="J2" s="121"/>
      <c r="K2" s="110"/>
      <c r="L2" s="361" t="s">
        <v>249</v>
      </c>
      <c r="M2" s="121"/>
      <c r="N2" s="110"/>
      <c r="O2" s="361" t="s">
        <v>250</v>
      </c>
      <c r="P2" s="121"/>
      <c r="Q2" s="11"/>
    </row>
    <row r="3">
      <c r="B3" s="362"/>
      <c r="C3" s="362"/>
      <c r="D3" s="363" t="s">
        <v>251</v>
      </c>
      <c r="E3" s="364" t="s">
        <v>176</v>
      </c>
      <c r="F3" s="365"/>
      <c r="G3" s="117"/>
      <c r="H3" s="362"/>
      <c r="I3" s="366"/>
      <c r="J3" s="367"/>
      <c r="K3" s="110"/>
      <c r="L3" s="366"/>
      <c r="M3" s="367"/>
      <c r="N3" s="110"/>
      <c r="O3" s="366"/>
      <c r="P3" s="367"/>
      <c r="Q3" s="11"/>
    </row>
    <row r="4">
      <c r="B4" s="362"/>
      <c r="C4" s="362"/>
      <c r="D4" s="363" t="s">
        <v>252</v>
      </c>
      <c r="E4" s="368">
        <f t="array" ref="E4">INDEX(DVT_Modules!$J$2:$J$72, MATCH(F4,DVT_Modules!$K$2:$K$72))</f>
        <v>0.01</v>
      </c>
      <c r="F4" s="369" t="s">
        <v>253</v>
      </c>
      <c r="G4" s="117"/>
      <c r="H4" s="362"/>
      <c r="I4" s="370" t="s">
        <v>254</v>
      </c>
      <c r="J4" s="371" t="s">
        <v>166</v>
      </c>
      <c r="K4" s="110"/>
      <c r="L4" s="370" t="s">
        <v>254</v>
      </c>
      <c r="M4" s="371" t="s">
        <v>166</v>
      </c>
      <c r="N4" s="110"/>
      <c r="O4" s="370" t="s">
        <v>254</v>
      </c>
      <c r="P4" s="372" t="s">
        <v>162</v>
      </c>
      <c r="Q4" s="11"/>
    </row>
    <row r="5" ht="15.75" customHeight="1">
      <c r="B5" s="362"/>
      <c r="C5" s="362"/>
      <c r="D5" s="363" t="s">
        <v>255</v>
      </c>
      <c r="E5" s="368">
        <f t="array" ref="E5">INDEX(DVT_Modules!$J$2:$J$72, MATCH(F5,DVT_Modules!$K$2:$K$72))</f>
        <v>0.01</v>
      </c>
      <c r="F5" s="369" t="s">
        <v>253</v>
      </c>
      <c r="G5" s="117"/>
      <c r="H5" s="362"/>
      <c r="I5" s="373" t="s">
        <v>246</v>
      </c>
      <c r="J5" s="374"/>
      <c r="K5" s="110"/>
      <c r="L5" s="373" t="s">
        <v>246</v>
      </c>
      <c r="M5" s="375"/>
      <c r="N5" s="110"/>
      <c r="O5" s="373" t="s">
        <v>246</v>
      </c>
      <c r="P5" s="375"/>
      <c r="Q5" s="11"/>
    </row>
    <row r="6">
      <c r="A6" s="138"/>
      <c r="B6" s="362"/>
      <c r="C6" s="362"/>
      <c r="D6" s="376"/>
      <c r="E6" s="376"/>
      <c r="F6" s="376"/>
      <c r="G6" s="117"/>
      <c r="H6" s="362"/>
      <c r="I6" s="377"/>
      <c r="J6" s="377"/>
      <c r="K6" s="377"/>
      <c r="L6" s="377"/>
      <c r="M6" s="377"/>
      <c r="N6" s="377"/>
      <c r="O6" s="377"/>
      <c r="P6" s="377"/>
      <c r="Q6" s="11"/>
    </row>
    <row r="7">
      <c r="A7" s="355" t="s">
        <v>187</v>
      </c>
      <c r="B7" s="362"/>
      <c r="C7" s="362"/>
      <c r="D7" s="378"/>
      <c r="E7" s="378"/>
      <c r="F7" s="378"/>
      <c r="G7" s="117"/>
      <c r="H7" s="362"/>
      <c r="I7" s="379"/>
      <c r="J7" s="379"/>
      <c r="K7" s="379"/>
      <c r="L7" s="379"/>
      <c r="M7" s="379"/>
      <c r="N7" s="379"/>
      <c r="O7" s="379"/>
      <c r="P7" s="379"/>
      <c r="Q7" s="11"/>
    </row>
    <row r="8">
      <c r="B8" s="362"/>
      <c r="C8" s="362"/>
      <c r="D8" s="358" t="s">
        <v>246</v>
      </c>
      <c r="E8" s="359" t="str">
        <f>IF(F8, "Unlocked", "Locked")</f>
        <v>Unlocked</v>
      </c>
      <c r="F8" s="360" t="b">
        <v>1</v>
      </c>
      <c r="G8" s="117"/>
      <c r="H8" s="362"/>
      <c r="I8" s="380" t="s">
        <v>248</v>
      </c>
      <c r="J8" s="121"/>
      <c r="K8" s="110"/>
      <c r="L8" s="380" t="s">
        <v>249</v>
      </c>
      <c r="M8" s="121"/>
      <c r="N8" s="110"/>
      <c r="O8" s="380" t="s">
        <v>250</v>
      </c>
      <c r="P8" s="121"/>
      <c r="Q8" s="11"/>
    </row>
    <row r="9">
      <c r="B9" s="362"/>
      <c r="C9" s="362"/>
      <c r="D9" s="363" t="s">
        <v>251</v>
      </c>
      <c r="E9" s="364" t="s">
        <v>176</v>
      </c>
      <c r="F9" s="365"/>
      <c r="G9" s="117"/>
      <c r="H9" s="362"/>
      <c r="I9" s="366"/>
      <c r="J9" s="367"/>
      <c r="K9" s="110"/>
      <c r="L9" s="366"/>
      <c r="M9" s="367"/>
      <c r="N9" s="110"/>
      <c r="O9" s="366"/>
      <c r="P9" s="367"/>
      <c r="Q9" s="11"/>
    </row>
    <row r="10">
      <c r="B10" s="362"/>
      <c r="C10" s="362"/>
      <c r="D10" s="363" t="s">
        <v>252</v>
      </c>
      <c r="E10" s="368">
        <f t="array" ref="E10">INDEX(DVT_Modules!$J$2:$J$72, MATCH(F10,DVT_Modules!$K$2:$K$72))</f>
        <v>0.01</v>
      </c>
      <c r="F10" s="369" t="s">
        <v>253</v>
      </c>
      <c r="G10" s="117"/>
      <c r="H10" s="362"/>
      <c r="I10" s="381" t="s">
        <v>254</v>
      </c>
      <c r="J10" s="382" t="s">
        <v>192</v>
      </c>
      <c r="K10" s="110"/>
      <c r="L10" s="381" t="s">
        <v>254</v>
      </c>
      <c r="M10" s="382" t="s">
        <v>192</v>
      </c>
      <c r="N10" s="110"/>
      <c r="O10" s="381" t="s">
        <v>254</v>
      </c>
      <c r="P10" s="383" t="s">
        <v>192</v>
      </c>
      <c r="Q10" s="11"/>
    </row>
    <row r="11">
      <c r="B11" s="362"/>
      <c r="C11" s="362"/>
      <c r="D11" s="363" t="s">
        <v>255</v>
      </c>
      <c r="E11" s="368">
        <f t="array" ref="E11">INDEX(DVT_Modules!$J$2:$J$72, MATCH(F11,DVT_Modules!$K$2:$K$72))</f>
        <v>0.1</v>
      </c>
      <c r="F11" s="369" t="s">
        <v>256</v>
      </c>
      <c r="G11" s="117"/>
      <c r="H11" s="362"/>
      <c r="I11" s="384" t="s">
        <v>246</v>
      </c>
      <c r="J11" s="383" t="s">
        <v>193</v>
      </c>
      <c r="K11" s="110"/>
      <c r="L11" s="384" t="s">
        <v>246</v>
      </c>
      <c r="M11" s="374" t="s">
        <v>188</v>
      </c>
      <c r="N11" s="110"/>
      <c r="O11" s="384" t="s">
        <v>246</v>
      </c>
      <c r="P11" s="375"/>
      <c r="Q11" s="11"/>
    </row>
    <row r="12">
      <c r="A12" s="138"/>
      <c r="B12" s="362"/>
      <c r="C12" s="362"/>
      <c r="D12" s="376"/>
      <c r="E12" s="376"/>
      <c r="F12" s="376"/>
      <c r="G12" s="117"/>
      <c r="H12" s="362"/>
      <c r="I12" s="377"/>
      <c r="J12" s="377"/>
      <c r="K12" s="377"/>
      <c r="L12" s="377"/>
      <c r="M12" s="377"/>
      <c r="N12" s="377"/>
      <c r="O12" s="377"/>
      <c r="P12" s="377"/>
      <c r="Q12" s="11"/>
    </row>
    <row r="13">
      <c r="A13" s="355" t="s">
        <v>205</v>
      </c>
      <c r="B13" s="362"/>
      <c r="C13" s="362"/>
      <c r="D13" s="378"/>
      <c r="E13" s="378"/>
      <c r="F13" s="378"/>
      <c r="G13" s="117"/>
      <c r="H13" s="362"/>
      <c r="I13" s="379"/>
      <c r="J13" s="379"/>
      <c r="K13" s="379"/>
      <c r="L13" s="379"/>
      <c r="M13" s="379"/>
      <c r="N13" s="379"/>
      <c r="O13" s="379"/>
      <c r="P13" s="379"/>
      <c r="Q13" s="11"/>
    </row>
    <row r="14">
      <c r="B14" s="362"/>
      <c r="C14" s="362"/>
      <c r="D14" s="358" t="s">
        <v>246</v>
      </c>
      <c r="E14" s="359" t="str">
        <f>IF(F14, "Unlocked", "Locked")</f>
        <v>Unlocked</v>
      </c>
      <c r="F14" s="360" t="b">
        <v>1</v>
      </c>
      <c r="G14" s="117"/>
      <c r="H14" s="362"/>
      <c r="I14" s="385" t="s">
        <v>248</v>
      </c>
      <c r="J14" s="121"/>
      <c r="K14" s="110"/>
      <c r="L14" s="385" t="s">
        <v>249</v>
      </c>
      <c r="M14" s="121"/>
      <c r="N14" s="110"/>
      <c r="O14" s="385" t="s">
        <v>250</v>
      </c>
      <c r="P14" s="121"/>
      <c r="Q14" s="11"/>
    </row>
    <row r="15">
      <c r="B15" s="362"/>
      <c r="C15" s="362"/>
      <c r="D15" s="363" t="s">
        <v>251</v>
      </c>
      <c r="E15" s="364" t="s">
        <v>176</v>
      </c>
      <c r="F15" s="365"/>
      <c r="G15" s="117"/>
      <c r="H15" s="362"/>
      <c r="I15" s="366"/>
      <c r="J15" s="367"/>
      <c r="K15" s="110"/>
      <c r="L15" s="366"/>
      <c r="M15" s="367"/>
      <c r="N15" s="110"/>
      <c r="O15" s="366"/>
      <c r="P15" s="367"/>
      <c r="Q15" s="11"/>
    </row>
    <row r="16">
      <c r="B16" s="362"/>
      <c r="C16" s="362"/>
      <c r="D16" s="363" t="s">
        <v>252</v>
      </c>
      <c r="E16" s="368">
        <f t="array" ref="E16">INDEX(DVT_Modules!$J$2:$J$72, MATCH(F16,DVT_Modules!$K$2:$K$72))</f>
        <v>0.1</v>
      </c>
      <c r="F16" s="369" t="s">
        <v>256</v>
      </c>
      <c r="G16" s="117"/>
      <c r="H16" s="362"/>
      <c r="I16" s="386" t="s">
        <v>254</v>
      </c>
      <c r="J16" s="382" t="s">
        <v>208</v>
      </c>
      <c r="K16" s="110"/>
      <c r="L16" s="386" t="s">
        <v>254</v>
      </c>
      <c r="M16" s="382" t="s">
        <v>210</v>
      </c>
      <c r="N16" s="110"/>
      <c r="O16" s="386" t="s">
        <v>254</v>
      </c>
      <c r="P16" s="374" t="s">
        <v>207</v>
      </c>
      <c r="Q16" s="11"/>
    </row>
    <row r="17">
      <c r="B17" s="362"/>
      <c r="C17" s="362"/>
      <c r="D17" s="363" t="s">
        <v>255</v>
      </c>
      <c r="E17" s="368">
        <f t="array" ref="E17">INDEX(DVT_Modules!$J$2:$J$72, MATCH(F17,DVT_Modules!$K$2:$K$72))</f>
        <v>0.1</v>
      </c>
      <c r="F17" s="369" t="s">
        <v>256</v>
      </c>
      <c r="G17" s="117"/>
      <c r="H17" s="362"/>
      <c r="I17" s="387" t="s">
        <v>246</v>
      </c>
      <c r="J17" s="382" t="s">
        <v>209</v>
      </c>
      <c r="K17" s="110"/>
      <c r="L17" s="387" t="s">
        <v>246</v>
      </c>
      <c r="M17" s="383" t="s">
        <v>207</v>
      </c>
      <c r="N17" s="110"/>
      <c r="O17" s="387" t="s">
        <v>246</v>
      </c>
      <c r="P17" s="383" t="s">
        <v>211</v>
      </c>
      <c r="Q17" s="11"/>
    </row>
    <row r="18">
      <c r="A18" s="138"/>
      <c r="B18" s="362"/>
      <c r="C18" s="362"/>
      <c r="D18" s="376"/>
      <c r="E18" s="376"/>
      <c r="F18" s="376"/>
      <c r="G18" s="117"/>
      <c r="H18" s="362"/>
      <c r="I18" s="377"/>
      <c r="J18" s="377"/>
      <c r="K18" s="377"/>
      <c r="L18" s="377"/>
      <c r="M18" s="377"/>
      <c r="N18" s="377"/>
      <c r="O18" s="377"/>
      <c r="P18" s="377"/>
      <c r="Q18" s="11"/>
    </row>
    <row r="19">
      <c r="A19" s="355" t="s">
        <v>220</v>
      </c>
      <c r="B19" s="362"/>
      <c r="C19" s="362"/>
      <c r="D19" s="378"/>
      <c r="E19" s="378"/>
      <c r="F19" s="378"/>
      <c r="G19" s="117"/>
      <c r="H19" s="362"/>
      <c r="I19" s="379"/>
      <c r="J19" s="379"/>
      <c r="K19" s="379"/>
      <c r="L19" s="379"/>
      <c r="M19" s="379"/>
      <c r="N19" s="379"/>
      <c r="O19" s="379"/>
      <c r="P19" s="379"/>
      <c r="Q19" s="11"/>
    </row>
    <row r="20">
      <c r="B20" s="362"/>
      <c r="C20" s="362"/>
      <c r="D20" s="358" t="s">
        <v>246</v>
      </c>
      <c r="E20" s="359" t="str">
        <f>IF(F20, "Unlocked", "Locked")</f>
        <v>Unlocked</v>
      </c>
      <c r="F20" s="360" t="b">
        <v>1</v>
      </c>
      <c r="G20" s="117"/>
      <c r="H20" s="362"/>
      <c r="I20" s="388" t="s">
        <v>248</v>
      </c>
      <c r="J20" s="121"/>
      <c r="K20" s="110"/>
      <c r="L20" s="388" t="s">
        <v>249</v>
      </c>
      <c r="M20" s="121"/>
      <c r="N20" s="110"/>
      <c r="O20" s="388" t="s">
        <v>250</v>
      </c>
      <c r="P20" s="121"/>
      <c r="Q20" s="11"/>
    </row>
    <row r="21">
      <c r="B21" s="362"/>
      <c r="C21" s="362"/>
      <c r="D21" s="363" t="s">
        <v>251</v>
      </c>
      <c r="E21" s="364" t="s">
        <v>176</v>
      </c>
      <c r="F21" s="365"/>
      <c r="G21" s="117"/>
      <c r="H21" s="362"/>
      <c r="I21" s="366"/>
      <c r="J21" s="367"/>
      <c r="K21" s="110"/>
      <c r="L21" s="366"/>
      <c r="M21" s="367"/>
      <c r="N21" s="110"/>
      <c r="O21" s="366"/>
      <c r="P21" s="367"/>
      <c r="Q21" s="11"/>
    </row>
    <row r="22">
      <c r="B22" s="362"/>
      <c r="C22" s="362"/>
      <c r="D22" s="363" t="s">
        <v>252</v>
      </c>
      <c r="E22" s="368">
        <f t="array" ref="E22">INDEX(DVT_Modules!$J$2:$J$72, MATCH(F22,DVT_Modules!$K$2:$K$72))</f>
        <v>0.1</v>
      </c>
      <c r="F22" s="369" t="s">
        <v>256</v>
      </c>
      <c r="G22" s="117"/>
      <c r="H22" s="362"/>
      <c r="I22" s="389" t="s">
        <v>254</v>
      </c>
      <c r="J22" s="382" t="s">
        <v>226</v>
      </c>
      <c r="K22" s="110"/>
      <c r="L22" s="389" t="s">
        <v>254</v>
      </c>
      <c r="M22" s="382" t="s">
        <v>226</v>
      </c>
      <c r="N22" s="110"/>
      <c r="O22" s="389" t="s">
        <v>254</v>
      </c>
      <c r="P22" s="374" t="s">
        <v>222</v>
      </c>
      <c r="Q22" s="11"/>
    </row>
    <row r="23">
      <c r="B23" s="362"/>
      <c r="C23" s="362"/>
      <c r="D23" s="363" t="s">
        <v>255</v>
      </c>
      <c r="E23" s="368">
        <f t="array" ref="E23">INDEX(DVT_Modules!$J$2:$J$72, MATCH(F23,DVT_Modules!$K$2:$K$72))</f>
        <v>0.1</v>
      </c>
      <c r="F23" s="369" t="s">
        <v>256</v>
      </c>
      <c r="G23" s="117"/>
      <c r="H23" s="362"/>
      <c r="I23" s="390" t="s">
        <v>246</v>
      </c>
      <c r="J23" s="383" t="s">
        <v>222</v>
      </c>
      <c r="K23" s="110"/>
      <c r="L23" s="390" t="s">
        <v>246</v>
      </c>
      <c r="M23" s="374" t="s">
        <v>222</v>
      </c>
      <c r="N23" s="110"/>
      <c r="O23" s="390" t="s">
        <v>246</v>
      </c>
      <c r="P23" s="374" t="s">
        <v>224</v>
      </c>
      <c r="Q23" s="11"/>
    </row>
    <row r="24">
      <c r="A24" s="138"/>
      <c r="B24" s="362"/>
      <c r="C24" s="117"/>
      <c r="D24" s="117"/>
      <c r="E24" s="117"/>
      <c r="F24" s="117"/>
      <c r="G24" s="117"/>
      <c r="H24" s="117"/>
      <c r="I24" s="117"/>
      <c r="J24" s="117"/>
      <c r="K24" s="117"/>
      <c r="L24" s="117"/>
      <c r="M24" s="117"/>
      <c r="N24" s="117"/>
      <c r="O24" s="117"/>
      <c r="P24" s="117"/>
      <c r="Q24" s="11"/>
    </row>
  </sheetData>
  <mergeCells count="23">
    <mergeCell ref="A1:A6"/>
    <mergeCell ref="A7:A12"/>
    <mergeCell ref="A13:A18"/>
    <mergeCell ref="A19:A24"/>
    <mergeCell ref="I8:J9"/>
    <mergeCell ref="L8:M9"/>
    <mergeCell ref="E3:F3"/>
    <mergeCell ref="E9:F9"/>
    <mergeCell ref="I14:J15"/>
    <mergeCell ref="L14:M15"/>
    <mergeCell ref="O14:P15"/>
    <mergeCell ref="E15:F15"/>
    <mergeCell ref="I20:J21"/>
    <mergeCell ref="L20:M21"/>
    <mergeCell ref="O20:P21"/>
    <mergeCell ref="E21:F21"/>
    <mergeCell ref="B2:B24"/>
    <mergeCell ref="C2:C23"/>
    <mergeCell ref="H2:H23"/>
    <mergeCell ref="I2:J3"/>
    <mergeCell ref="L2:M3"/>
    <mergeCell ref="O2:P3"/>
    <mergeCell ref="O8:P9"/>
  </mergeCells>
  <conditionalFormatting sqref="J10">
    <cfRule type="colorScale" priority="1">
      <colorScale>
        <cfvo type="min"/>
        <cfvo type="max"/>
        <color rgb="FFFFFFFF"/>
        <color rgb="FF57BB8A"/>
      </colorScale>
    </cfRule>
  </conditionalFormatting>
  <dataValidations>
    <dataValidation type="list" allowBlank="1" showErrorMessage="1" sqref="F4:F5 F10:F11 F16:F17 F22:F23">
      <formula1>DVT_Mod_Assist_Level</formula1>
    </dataValidation>
    <dataValidation type="list" allowBlank="1" showErrorMessage="1" sqref="J16:J17 M16:M17 P16:P17">
      <formula1>Inventory!$F$29:$AQ$29</formula1>
    </dataValidation>
    <dataValidation type="list" allowBlank="1" showErrorMessage="1" sqref="E3 E9 E15 E21">
      <formula1>DVT_Modules!$T$6:$T$9</formula1>
    </dataValidation>
    <dataValidation type="list" allowBlank="1" showErrorMessage="1" sqref="J10:J11 M10:M11 P10:P11">
      <formula1>Inventory!$F$16:$AQ$16</formula1>
    </dataValidation>
    <dataValidation type="list" allowBlank="1" showErrorMessage="1" sqref="J4:J5 M4:M5 P4:P5">
      <formula1>Inventory!$F$3:$AQ$3</formula1>
    </dataValidation>
    <dataValidation type="list" allowBlank="1" showErrorMessage="1" sqref="J22:J23 M22:M23 P22:P23">
      <formula1>Inventory!$F$42:$AQ$42</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outlineLevelCol="2"/>
  <cols>
    <col customWidth="1" min="1" max="1" width="4.29"/>
    <col customWidth="1" min="2" max="2" width="14.43" outlineLevel="1"/>
    <col customWidth="1" min="3" max="3" width="16.57" outlineLevel="1"/>
    <col customWidth="1" min="4" max="4" width="15.43" outlineLevel="1"/>
    <col customWidth="1" min="5" max="5" width="14.71" outlineLevel="1"/>
    <col customWidth="1" min="6" max="6" width="10.29" outlineLevel="1"/>
    <col customWidth="1" min="8" max="8" width="10.71"/>
    <col customWidth="1" min="9" max="10" width="5.0"/>
    <col customWidth="1" min="11" max="11" width="30.86"/>
    <col customWidth="1" min="18" max="18" width="21.14"/>
    <col customWidth="1" min="19" max="19" width="29.14"/>
    <col customWidth="1" min="20" max="21" width="20.14"/>
    <col customWidth="1" min="22" max="22" width="20.43"/>
    <col customWidth="1" min="23" max="23" width="22.43"/>
    <col customWidth="1" min="24" max="24" width="28.29"/>
    <col customWidth="1" min="25" max="25" width="2.71" outlineLevel="1"/>
    <col customWidth="1" min="26" max="26" width="28.29" outlineLevel="2"/>
    <col customWidth="1" min="27" max="27" width="5.29" outlineLevel="2"/>
    <col customWidth="1" min="28" max="28" width="8.86" outlineLevel="2"/>
    <col customWidth="1" min="29" max="29" width="8.0" outlineLevel="2"/>
    <col customWidth="1" min="30" max="30" width="6.86" outlineLevel="2"/>
    <col customWidth="1" min="31" max="33" width="8.0" outlineLevel="2"/>
    <col customWidth="1" min="34" max="34" width="10.14" outlineLevel="2"/>
    <col customWidth="1" min="35" max="35" width="8.57" outlineLevel="2"/>
    <col customWidth="1" min="36" max="36" width="8.0" outlineLevel="2"/>
    <col customWidth="1" min="37" max="37" width="8.57" outlineLevel="2"/>
    <col customWidth="1" min="38" max="38" width="9.14" outlineLevel="2"/>
    <col customWidth="1" min="39" max="39" width="8.57" outlineLevel="2"/>
  </cols>
  <sheetData>
    <row r="1" ht="22.5" customHeight="1">
      <c r="A1" s="391"/>
      <c r="B1" s="392" t="s">
        <v>257</v>
      </c>
      <c r="C1" s="393" t="s">
        <v>258</v>
      </c>
      <c r="D1" s="393" t="s">
        <v>259</v>
      </c>
      <c r="E1" s="393" t="s">
        <v>260</v>
      </c>
      <c r="F1" s="393" t="s">
        <v>261</v>
      </c>
      <c r="H1" s="225" t="s">
        <v>262</v>
      </c>
      <c r="I1" s="225" t="s">
        <v>263</v>
      </c>
      <c r="J1" s="225" t="s">
        <v>264</v>
      </c>
      <c r="K1" s="225" t="s">
        <v>265</v>
      </c>
      <c r="U1" s="394" t="s">
        <v>266</v>
      </c>
      <c r="Y1" s="394"/>
      <c r="Z1" s="394" t="s">
        <v>267</v>
      </c>
      <c r="AA1" s="394" t="s">
        <v>268</v>
      </c>
      <c r="AB1" s="394" t="s">
        <v>269</v>
      </c>
      <c r="AC1" s="394" t="s">
        <v>270</v>
      </c>
      <c r="AD1" s="394" t="s">
        <v>269</v>
      </c>
      <c r="AE1" s="394" t="s">
        <v>270</v>
      </c>
      <c r="AF1" s="394" t="s">
        <v>269</v>
      </c>
      <c r="AG1" s="394" t="s">
        <v>270</v>
      </c>
      <c r="AH1" s="394" t="s">
        <v>269</v>
      </c>
      <c r="AI1" s="394" t="s">
        <v>270</v>
      </c>
      <c r="AJ1" s="394" t="s">
        <v>269</v>
      </c>
      <c r="AK1" s="394" t="s">
        <v>270</v>
      </c>
      <c r="AL1" s="394" t="s">
        <v>269</v>
      </c>
      <c r="AM1" s="394" t="s">
        <v>270</v>
      </c>
    </row>
    <row r="2" ht="22.5" customHeight="1">
      <c r="A2" s="395" t="s">
        <v>0</v>
      </c>
      <c r="B2" s="396" t="s">
        <v>271</v>
      </c>
      <c r="C2" s="396" t="s">
        <v>272</v>
      </c>
      <c r="D2" s="396" t="s">
        <v>273</v>
      </c>
      <c r="E2" s="396" t="s">
        <v>274</v>
      </c>
      <c r="F2" s="396" t="s">
        <v>275</v>
      </c>
      <c r="H2" s="260">
        <v>0.0</v>
      </c>
      <c r="I2" s="397">
        <f>H2*3</f>
        <v>0</v>
      </c>
      <c r="J2" s="398">
        <f t="shared" ref="J2:J71" si="1">(H2+1)*1%</f>
        <v>0.01</v>
      </c>
      <c r="K2" s="399" t="str">
        <f t="shared" ref="K2:K70" si="2">TEXT(H2,"00") &amp; " | " &amp; TEXT(J2, "0%") &amp; " | Cost " &amp;I2 &amp; " ⧌ |" &amp; IF(I3="Max", " Maxed", " Next " &amp; I3 &amp; " ⧌")</f>
        <v>00 | 1% | Cost 0 ⧌ | Next 15 ⧌</v>
      </c>
      <c r="M2" s="400" t="s">
        <v>276</v>
      </c>
      <c r="N2" s="347" t="s">
        <v>277</v>
      </c>
      <c r="O2" s="347" t="s">
        <v>278</v>
      </c>
      <c r="P2" s="347" t="s">
        <v>279</v>
      </c>
      <c r="Q2" s="347" t="s">
        <v>280</v>
      </c>
      <c r="R2" s="394" t="s">
        <v>281</v>
      </c>
      <c r="S2" s="394" t="s">
        <v>282</v>
      </c>
      <c r="T2" s="394" t="s">
        <v>283</v>
      </c>
      <c r="U2" s="394" t="s">
        <v>258</v>
      </c>
      <c r="V2" s="394" t="s">
        <v>259</v>
      </c>
      <c r="W2" s="394" t="s">
        <v>260</v>
      </c>
      <c r="X2" s="394" t="s">
        <v>261</v>
      </c>
      <c r="Y2" s="394"/>
      <c r="Z2" s="401"/>
      <c r="AA2" s="402"/>
      <c r="AB2" s="403" t="s">
        <v>177</v>
      </c>
      <c r="AC2" s="404"/>
      <c r="AD2" s="405" t="s">
        <v>239</v>
      </c>
      <c r="AE2" s="406"/>
      <c r="AF2" s="407" t="s">
        <v>176</v>
      </c>
      <c r="AG2" s="408"/>
      <c r="AH2" s="409" t="s">
        <v>175</v>
      </c>
      <c r="AI2" s="410"/>
      <c r="AJ2" s="411" t="s">
        <v>180</v>
      </c>
      <c r="AK2" s="412"/>
      <c r="AL2" s="413" t="s">
        <v>174</v>
      </c>
      <c r="AM2" s="414"/>
    </row>
    <row r="3" ht="22.5" customHeight="1">
      <c r="A3" s="415"/>
      <c r="B3" s="416" t="s">
        <v>177</v>
      </c>
      <c r="C3" s="417">
        <v>0.012</v>
      </c>
      <c r="D3" s="417">
        <v>0.012</v>
      </c>
      <c r="E3" s="418">
        <v>0.011</v>
      </c>
      <c r="F3" s="417">
        <v>0.04</v>
      </c>
      <c r="H3" s="397">
        <f t="shared" ref="H3:H71" si="3">H2+1</f>
        <v>1</v>
      </c>
      <c r="I3" s="397">
        <f t="shared" ref="I3:I71" si="4">H3*3+12</f>
        <v>15</v>
      </c>
      <c r="J3" s="398">
        <f t="shared" si="1"/>
        <v>0.02</v>
      </c>
      <c r="K3" s="399" t="str">
        <f t="shared" si="2"/>
        <v>01 | 2% | Cost 15 ⧌ | Next 18 ⧌</v>
      </c>
      <c r="L3" s="260"/>
      <c r="M3" s="399" t="s">
        <v>284</v>
      </c>
      <c r="N3" s="400"/>
      <c r="O3" s="400"/>
      <c r="P3" s="400"/>
      <c r="Q3" s="400"/>
      <c r="R3" s="419" t="s">
        <v>285</v>
      </c>
      <c r="S3" s="420" t="s">
        <v>285</v>
      </c>
      <c r="T3" s="419" t="s">
        <v>286</v>
      </c>
      <c r="U3" s="421"/>
      <c r="V3" s="421"/>
      <c r="W3" s="421"/>
      <c r="X3" s="421"/>
      <c r="Y3" s="260"/>
      <c r="Z3" s="422" t="s">
        <v>179</v>
      </c>
      <c r="AA3" s="423" t="s">
        <v>287</v>
      </c>
      <c r="AB3" s="424">
        <v>0.3</v>
      </c>
      <c r="AC3" s="425" t="str">
        <f t="shared" ref="AC3:AC75" si="5">IF(isblank(AB3),,TEXT(AB3,$AA3))</f>
        <v>+0.3</v>
      </c>
      <c r="AD3" s="426">
        <v>0.5</v>
      </c>
      <c r="AE3" s="425" t="str">
        <f t="shared" ref="AE3:AE75" si="6">IF(isblank(AD3),,TEXT(AD3,$AA3))</f>
        <v>+0.5</v>
      </c>
      <c r="AF3" s="424">
        <v>0.7</v>
      </c>
      <c r="AG3" s="425" t="str">
        <f t="shared" ref="AG3:AG75" si="7">IF(isblank(AF3),,TEXT(AF3,$AA3))</f>
        <v>+0.7</v>
      </c>
      <c r="AH3" s="424">
        <v>1.0</v>
      </c>
      <c r="AI3" s="425" t="str">
        <f t="shared" ref="AI3:AI75" si="8">IF(isblank(AH3),,TEXT(AH3,$AA3))</f>
        <v>+1</v>
      </c>
      <c r="AJ3" s="426">
        <f>+3</f>
        <v>3</v>
      </c>
      <c r="AK3" s="425" t="str">
        <f t="shared" ref="AK3:AK75" si="9">IF(isblank(AJ3),,TEXT(AJ3,$AA3))</f>
        <v>+3</v>
      </c>
      <c r="AL3" s="424">
        <v>5.0</v>
      </c>
      <c r="AM3" s="425" t="str">
        <f t="shared" ref="AM3:AM75" si="10">IF(isblank(AL3),,TEXT(AL3,$AA3))</f>
        <v>+5</v>
      </c>
    </row>
    <row r="4" ht="22.5" customHeight="1">
      <c r="A4" s="415"/>
      <c r="B4" s="427" t="s">
        <v>239</v>
      </c>
      <c r="C4" s="428">
        <v>0.032</v>
      </c>
      <c r="D4" s="428">
        <v>0.032</v>
      </c>
      <c r="E4" s="429">
        <v>0.013</v>
      </c>
      <c r="F4" s="428">
        <v>0.06</v>
      </c>
      <c r="H4" s="397">
        <f t="shared" si="3"/>
        <v>2</v>
      </c>
      <c r="I4" s="397">
        <f t="shared" si="4"/>
        <v>18</v>
      </c>
      <c r="J4" s="398">
        <f t="shared" si="1"/>
        <v>0.03</v>
      </c>
      <c r="K4" s="399" t="str">
        <f t="shared" si="2"/>
        <v>02 | 3% | Cost 18 ⧌ | Next 21 ⧌</v>
      </c>
      <c r="L4" s="260"/>
      <c r="M4" s="400" t="str">
        <f>IFERROR(__xludf.DUMMYFUNCTION("FILTER(FLATTEN(TRANSPOSE(N4:Q1000)), FLATTEN(TRANSPOSE(N4:Q1000)) &lt;&gt; """")"),"Astral Deliverance")</f>
        <v>Astral Deliverance</v>
      </c>
      <c r="N4" s="400" t="s">
        <v>161</v>
      </c>
      <c r="O4" s="400" t="s">
        <v>188</v>
      </c>
      <c r="P4" s="400" t="s">
        <v>206</v>
      </c>
      <c r="Q4" s="400" t="s">
        <v>221</v>
      </c>
      <c r="R4" s="430" t="s">
        <v>177</v>
      </c>
      <c r="S4" s="431" t="s">
        <v>176</v>
      </c>
      <c r="T4" s="430" t="s">
        <v>177</v>
      </c>
      <c r="U4" s="432" t="str">
        <f t="array" ref="U4:U20">DVT_Modules!Z3:Z19</f>
        <v>Attack Speed</v>
      </c>
      <c r="V4" s="433" t="str">
        <f t="array" ref="V4:V20">DVT_Modules!Z20:Z36</f>
        <v>Health Regen</v>
      </c>
      <c r="W4" s="433" t="str">
        <f t="array" ref="W4:W16">DVT_Modules!Z37:Z49</f>
        <v>Cash Bonus</v>
      </c>
      <c r="X4" s="433" t="str">
        <f t="array" ref="X4:X29">DVT_Modules!Z50:Z75</f>
        <v>Golden Tower - Bonus</v>
      </c>
      <c r="Y4" s="260"/>
      <c r="Z4" s="434" t="s">
        <v>288</v>
      </c>
      <c r="AA4" s="240" t="str">
        <f>"+0%"</f>
        <v>+0%</v>
      </c>
      <c r="AB4" s="435">
        <v>0.02</v>
      </c>
      <c r="AC4" s="436" t="str">
        <f t="shared" si="5"/>
        <v>+2%</v>
      </c>
      <c r="AD4" s="437">
        <v>0.03</v>
      </c>
      <c r="AE4" s="436" t="str">
        <f t="shared" si="6"/>
        <v>+3%</v>
      </c>
      <c r="AF4" s="437">
        <v>0.04</v>
      </c>
      <c r="AG4" s="436" t="str">
        <f t="shared" si="7"/>
        <v>+4%</v>
      </c>
      <c r="AH4" s="437">
        <v>0.06</v>
      </c>
      <c r="AI4" s="436" t="str">
        <f t="shared" si="8"/>
        <v>+6%</v>
      </c>
      <c r="AJ4" s="437">
        <v>0.08</v>
      </c>
      <c r="AK4" s="436" t="str">
        <f t="shared" si="9"/>
        <v>+8%</v>
      </c>
      <c r="AL4" s="437">
        <v>0.1</v>
      </c>
      <c r="AM4" s="436" t="str">
        <f t="shared" si="10"/>
        <v>+10%</v>
      </c>
    </row>
    <row r="5" ht="22.5" customHeight="1">
      <c r="A5" s="415"/>
      <c r="B5" s="427" t="s">
        <v>289</v>
      </c>
      <c r="C5" s="428">
        <v>0.052</v>
      </c>
      <c r="D5" s="428">
        <v>0.052</v>
      </c>
      <c r="E5" s="429">
        <v>0.016</v>
      </c>
      <c r="F5" s="428">
        <v>0.09</v>
      </c>
      <c r="H5" s="397">
        <f t="shared" si="3"/>
        <v>3</v>
      </c>
      <c r="I5" s="397">
        <f t="shared" si="4"/>
        <v>21</v>
      </c>
      <c r="J5" s="398">
        <f t="shared" si="1"/>
        <v>0.04</v>
      </c>
      <c r="K5" s="399" t="str">
        <f t="shared" si="2"/>
        <v>03 | 4% | Cost 21 ⧌ | Next 24 ⧌</v>
      </c>
      <c r="L5" s="260"/>
      <c r="M5" s="400" t="str">
        <f>IFERROR(__xludf.DUMMYFUNCTION("""COMPUTED_VALUE"""),"Being Annihilator")</f>
        <v>Being Annihilator</v>
      </c>
      <c r="N5" s="400" t="s">
        <v>162</v>
      </c>
      <c r="O5" s="400" t="s">
        <v>189</v>
      </c>
      <c r="P5" s="400" t="s">
        <v>207</v>
      </c>
      <c r="Q5" s="400" t="s">
        <v>222</v>
      </c>
      <c r="R5" s="438" t="s">
        <v>239</v>
      </c>
      <c r="S5" s="439" t="s">
        <v>290</v>
      </c>
      <c r="T5" s="438" t="s">
        <v>239</v>
      </c>
      <c r="U5" s="432" t="s">
        <v>288</v>
      </c>
      <c r="V5" s="433" t="s">
        <v>198</v>
      </c>
      <c r="W5" s="432" t="s">
        <v>291</v>
      </c>
      <c r="X5" s="432" t="s">
        <v>292</v>
      </c>
      <c r="Y5" s="249"/>
      <c r="Z5" s="440" t="s">
        <v>184</v>
      </c>
      <c r="AA5" s="441" t="s">
        <v>293</v>
      </c>
      <c r="AB5" s="435">
        <v>2.0</v>
      </c>
      <c r="AC5" s="436" t="str">
        <f t="shared" si="5"/>
        <v>+2x</v>
      </c>
      <c r="AD5" s="437">
        <v>4.0</v>
      </c>
      <c r="AE5" s="436" t="str">
        <f t="shared" si="6"/>
        <v>+4x</v>
      </c>
      <c r="AF5" s="437">
        <v>6.0</v>
      </c>
      <c r="AG5" s="436" t="str">
        <f t="shared" si="7"/>
        <v>+6x</v>
      </c>
      <c r="AH5" s="437">
        <v>8.0</v>
      </c>
      <c r="AI5" s="436" t="str">
        <f t="shared" si="8"/>
        <v>+8x</v>
      </c>
      <c r="AJ5" s="437">
        <v>12.0</v>
      </c>
      <c r="AK5" s="436" t="str">
        <f t="shared" si="9"/>
        <v>+12x</v>
      </c>
      <c r="AL5" s="437">
        <v>15.0</v>
      </c>
      <c r="AM5" s="436" t="str">
        <f t="shared" si="10"/>
        <v>+15x</v>
      </c>
    </row>
    <row r="6" ht="22.5" customHeight="1">
      <c r="A6" s="415"/>
      <c r="B6" s="442" t="s">
        <v>176</v>
      </c>
      <c r="C6" s="443">
        <v>0.072</v>
      </c>
      <c r="D6" s="443">
        <v>0.072</v>
      </c>
      <c r="E6" s="444">
        <v>0.019</v>
      </c>
      <c r="F6" s="443">
        <v>0.13</v>
      </c>
      <c r="H6" s="397">
        <f t="shared" si="3"/>
        <v>4</v>
      </c>
      <c r="I6" s="397">
        <f t="shared" si="4"/>
        <v>24</v>
      </c>
      <c r="J6" s="398">
        <f t="shared" si="1"/>
        <v>0.05</v>
      </c>
      <c r="K6" s="399" t="str">
        <f t="shared" si="2"/>
        <v>04 | 5% | Cost 24 ⧌ | Next 27 ⧌</v>
      </c>
      <c r="L6" s="260"/>
      <c r="M6" s="400" t="str">
        <f>IFERROR(__xludf.DUMMYFUNCTION("""COMPUTED_VALUE"""),"Death Penalty")</f>
        <v>Death Penalty</v>
      </c>
      <c r="N6" s="400" t="s">
        <v>163</v>
      </c>
      <c r="O6" s="400" t="s">
        <v>190</v>
      </c>
      <c r="P6" s="400" t="s">
        <v>208</v>
      </c>
      <c r="Q6" s="400" t="s">
        <v>223</v>
      </c>
      <c r="R6" s="445" t="s">
        <v>289</v>
      </c>
      <c r="S6" s="446" t="s">
        <v>175</v>
      </c>
      <c r="T6" s="431" t="s">
        <v>176</v>
      </c>
      <c r="U6" s="433" t="s">
        <v>184</v>
      </c>
      <c r="V6" s="433" t="s">
        <v>294</v>
      </c>
      <c r="W6" s="433" t="s">
        <v>213</v>
      </c>
      <c r="X6" s="433" t="s">
        <v>295</v>
      </c>
      <c r="Y6" s="249"/>
      <c r="Z6" s="440" t="s">
        <v>296</v>
      </c>
      <c r="AA6" s="447" t="s">
        <v>297</v>
      </c>
      <c r="AB6" s="435">
        <v>2.0</v>
      </c>
      <c r="AC6" s="436" t="str">
        <f t="shared" si="5"/>
        <v>+2.00m</v>
      </c>
      <c r="AD6" s="437">
        <v>4.0</v>
      </c>
      <c r="AE6" s="436" t="str">
        <f t="shared" si="6"/>
        <v>+4.00m</v>
      </c>
      <c r="AF6" s="437">
        <v>8.0</v>
      </c>
      <c r="AG6" s="436" t="str">
        <f t="shared" si="7"/>
        <v>+8.00m</v>
      </c>
      <c r="AH6" s="437">
        <v>12.0</v>
      </c>
      <c r="AI6" s="436" t="str">
        <f t="shared" si="8"/>
        <v>+12.00m</v>
      </c>
      <c r="AJ6" s="437">
        <v>20.0</v>
      </c>
      <c r="AK6" s="436" t="str">
        <f t="shared" si="9"/>
        <v>+20.00m</v>
      </c>
      <c r="AL6" s="437">
        <v>30.0</v>
      </c>
      <c r="AM6" s="436" t="str">
        <f t="shared" si="10"/>
        <v>+30.00m</v>
      </c>
    </row>
    <row r="7" ht="22.5" customHeight="1">
      <c r="A7" s="415"/>
      <c r="B7" s="442" t="s">
        <v>290</v>
      </c>
      <c r="C7" s="443">
        <v>0.102</v>
      </c>
      <c r="D7" s="443">
        <v>0.102</v>
      </c>
      <c r="E7" s="444">
        <v>0.023</v>
      </c>
      <c r="F7" s="443">
        <v>0.16</v>
      </c>
      <c r="H7" s="397">
        <f t="shared" si="3"/>
        <v>5</v>
      </c>
      <c r="I7" s="397">
        <f t="shared" si="4"/>
        <v>27</v>
      </c>
      <c r="J7" s="398">
        <f t="shared" si="1"/>
        <v>0.06</v>
      </c>
      <c r="K7" s="399" t="str">
        <f t="shared" si="2"/>
        <v>05 | 6% | Cost 27 ⧌ | Next 30 ⧌</v>
      </c>
      <c r="L7" s="260"/>
      <c r="M7" s="400" t="str">
        <f>IFERROR(__xludf.DUMMYFUNCTION("""COMPUTED_VALUE"""),"Havoc Bringer")</f>
        <v>Havoc Bringer</v>
      </c>
      <c r="N7" s="400" t="s">
        <v>164</v>
      </c>
      <c r="O7" s="400" t="s">
        <v>191</v>
      </c>
      <c r="P7" s="400" t="s">
        <v>209</v>
      </c>
      <c r="Q7" s="448" t="s">
        <v>224</v>
      </c>
      <c r="R7" s="431" t="s">
        <v>176</v>
      </c>
      <c r="S7" s="449" t="s">
        <v>298</v>
      </c>
      <c r="T7" s="446" t="s">
        <v>175</v>
      </c>
      <c r="U7" s="433" t="s">
        <v>296</v>
      </c>
      <c r="V7" s="433" t="s">
        <v>204</v>
      </c>
      <c r="W7" s="433" t="s">
        <v>299</v>
      </c>
      <c r="X7" s="433" t="s">
        <v>237</v>
      </c>
      <c r="Y7" s="260"/>
      <c r="Z7" s="434" t="s">
        <v>300</v>
      </c>
      <c r="AA7" s="447" t="s">
        <v>301</v>
      </c>
      <c r="AB7" s="450">
        <v>0.005</v>
      </c>
      <c r="AC7" s="436" t="str">
        <f t="shared" si="5"/>
        <v>+0.005x</v>
      </c>
      <c r="AD7" s="437">
        <v>0.01</v>
      </c>
      <c r="AE7" s="436" t="str">
        <f t="shared" si="6"/>
        <v>+0.010x</v>
      </c>
      <c r="AF7" s="451">
        <v>0.025</v>
      </c>
      <c r="AG7" s="436" t="str">
        <f t="shared" si="7"/>
        <v>+0.025x</v>
      </c>
      <c r="AH7" s="437">
        <v>0.04</v>
      </c>
      <c r="AI7" s="436" t="str">
        <f t="shared" si="8"/>
        <v>+0.040x</v>
      </c>
      <c r="AJ7" s="451">
        <v>0.075</v>
      </c>
      <c r="AK7" s="436" t="str">
        <f t="shared" si="9"/>
        <v>+0.075x</v>
      </c>
      <c r="AL7" s="437">
        <v>0.15</v>
      </c>
      <c r="AM7" s="436" t="str">
        <f t="shared" si="10"/>
        <v>+0.150x</v>
      </c>
    </row>
    <row r="8" ht="22.5" customHeight="1">
      <c r="A8" s="415"/>
      <c r="B8" s="452" t="s">
        <v>175</v>
      </c>
      <c r="C8" s="453">
        <v>0.132</v>
      </c>
      <c r="D8" s="453">
        <v>0.132</v>
      </c>
      <c r="E8" s="454">
        <v>0.026</v>
      </c>
      <c r="F8" s="453">
        <v>0.21</v>
      </c>
      <c r="H8" s="397">
        <f t="shared" si="3"/>
        <v>6</v>
      </c>
      <c r="I8" s="397">
        <f t="shared" si="4"/>
        <v>30</v>
      </c>
      <c r="J8" s="398">
        <f t="shared" si="1"/>
        <v>0.07</v>
      </c>
      <c r="K8" s="399" t="str">
        <f t="shared" si="2"/>
        <v>06 | 7% | Cost 30 ⧌ | Next 33 ⧌</v>
      </c>
      <c r="L8" s="260"/>
      <c r="M8" s="400" t="str">
        <f>IFERROR(__xludf.DUMMYFUNCTION("""COMPUTED_VALUE"""),"Shrink Ray")</f>
        <v>Shrink Ray</v>
      </c>
      <c r="N8" s="400" t="s">
        <v>165</v>
      </c>
      <c r="O8" s="347" t="s">
        <v>192</v>
      </c>
      <c r="P8" s="347" t="s">
        <v>210</v>
      </c>
      <c r="Q8" s="347" t="s">
        <v>225</v>
      </c>
      <c r="R8" s="439" t="s">
        <v>290</v>
      </c>
      <c r="S8" s="455" t="s">
        <v>180</v>
      </c>
      <c r="T8" s="455" t="s">
        <v>180</v>
      </c>
      <c r="U8" s="432" t="s">
        <v>300</v>
      </c>
      <c r="V8" s="432" t="s">
        <v>302</v>
      </c>
      <c r="W8" s="432" t="s">
        <v>219</v>
      </c>
      <c r="X8" s="432" t="s">
        <v>232</v>
      </c>
      <c r="Y8" s="260"/>
      <c r="Z8" s="434" t="s">
        <v>181</v>
      </c>
      <c r="AA8" s="240" t="str">
        <f>"+0%"</f>
        <v>+0%</v>
      </c>
      <c r="AB8" s="456"/>
      <c r="AC8" s="436" t="str">
        <f t="shared" si="5"/>
        <v/>
      </c>
      <c r="AD8" s="437">
        <v>0.03</v>
      </c>
      <c r="AE8" s="436" t="str">
        <f t="shared" si="6"/>
        <v>+3%</v>
      </c>
      <c r="AF8" s="437">
        <v>0.05</v>
      </c>
      <c r="AG8" s="436" t="str">
        <f t="shared" si="7"/>
        <v>+5%</v>
      </c>
      <c r="AH8" s="437">
        <v>0.07</v>
      </c>
      <c r="AI8" s="436" t="str">
        <f t="shared" si="8"/>
        <v>+7%</v>
      </c>
      <c r="AJ8" s="437">
        <v>0.1</v>
      </c>
      <c r="AK8" s="436" t="str">
        <f t="shared" si="9"/>
        <v>+10%</v>
      </c>
      <c r="AL8" s="437">
        <v>0.13</v>
      </c>
      <c r="AM8" s="436" t="str">
        <f t="shared" si="10"/>
        <v>+13%</v>
      </c>
    </row>
    <row r="9" ht="22.5" customHeight="1">
      <c r="A9" s="415"/>
      <c r="B9" s="452" t="s">
        <v>298</v>
      </c>
      <c r="C9" s="453">
        <v>0.162</v>
      </c>
      <c r="D9" s="453">
        <v>0.162</v>
      </c>
      <c r="E9" s="454">
        <v>0.029</v>
      </c>
      <c r="F9" s="453">
        <v>0.26</v>
      </c>
      <c r="H9" s="397">
        <f t="shared" si="3"/>
        <v>7</v>
      </c>
      <c r="I9" s="397">
        <f t="shared" si="4"/>
        <v>33</v>
      </c>
      <c r="J9" s="398">
        <f t="shared" si="1"/>
        <v>0.08</v>
      </c>
      <c r="K9" s="399" t="str">
        <f t="shared" si="2"/>
        <v>07 | 8% | Cost 33 ⧌ | Next 36 ⧌</v>
      </c>
      <c r="L9" s="260"/>
      <c r="M9" s="400" t="str">
        <f>IFERROR(__xludf.DUMMYFUNCTION("""COMPUTED_VALUE"""),"Amplifying Strike")</f>
        <v>Amplifying Strike</v>
      </c>
      <c r="N9" s="448" t="s">
        <v>166</v>
      </c>
      <c r="O9" s="347" t="s">
        <v>193</v>
      </c>
      <c r="P9" s="347" t="s">
        <v>211</v>
      </c>
      <c r="Q9" s="347" t="s">
        <v>226</v>
      </c>
      <c r="R9" s="446" t="s">
        <v>175</v>
      </c>
      <c r="S9" s="457" t="s">
        <v>173</v>
      </c>
      <c r="T9" s="458" t="s">
        <v>174</v>
      </c>
      <c r="U9" s="432" t="s">
        <v>181</v>
      </c>
      <c r="V9" s="432" t="s">
        <v>303</v>
      </c>
      <c r="W9" s="432" t="s">
        <v>218</v>
      </c>
      <c r="X9" s="432" t="s">
        <v>236</v>
      </c>
      <c r="Y9" s="260"/>
      <c r="Z9" s="434" t="s">
        <v>183</v>
      </c>
      <c r="AA9" s="447" t="s">
        <v>304</v>
      </c>
      <c r="AB9" s="456"/>
      <c r="AC9" s="436" t="str">
        <f t="shared" si="5"/>
        <v/>
      </c>
      <c r="AD9" s="437"/>
      <c r="AE9" s="436" t="str">
        <f t="shared" si="6"/>
        <v/>
      </c>
      <c r="AF9" s="437">
        <v>1.0</v>
      </c>
      <c r="AG9" s="436" t="str">
        <f t="shared" si="7"/>
        <v>+1</v>
      </c>
      <c r="AH9" s="437">
        <v>2.0</v>
      </c>
      <c r="AI9" s="436" t="str">
        <f t="shared" si="8"/>
        <v>+2</v>
      </c>
      <c r="AJ9" s="437">
        <v>3.0</v>
      </c>
      <c r="AK9" s="436" t="str">
        <f t="shared" si="9"/>
        <v>+3</v>
      </c>
      <c r="AL9" s="437">
        <v>4.0</v>
      </c>
      <c r="AM9" s="436" t="str">
        <f t="shared" si="10"/>
        <v>+4</v>
      </c>
    </row>
    <row r="10" ht="22.5" customHeight="1">
      <c r="A10" s="415"/>
      <c r="B10" s="459" t="s">
        <v>180</v>
      </c>
      <c r="C10" s="460">
        <v>0.202</v>
      </c>
      <c r="D10" s="460">
        <v>0.202</v>
      </c>
      <c r="E10" s="461">
        <v>0.033</v>
      </c>
      <c r="F10" s="460">
        <v>0.31</v>
      </c>
      <c r="H10" s="397">
        <f t="shared" si="3"/>
        <v>8</v>
      </c>
      <c r="I10" s="397">
        <f t="shared" si="4"/>
        <v>36</v>
      </c>
      <c r="J10" s="398">
        <f t="shared" si="1"/>
        <v>0.09</v>
      </c>
      <c r="K10" s="399" t="str">
        <f t="shared" si="2"/>
        <v>08 | 9% | Cost 36 ⧌ | Next 39 ⧌</v>
      </c>
      <c r="L10" s="260"/>
      <c r="M10" s="400" t="str">
        <f>IFERROR(__xludf.DUMMYFUNCTION("""COMPUTED_VALUE"""),"Anti-Cube Portal")</f>
        <v>Anti-Cube Portal</v>
      </c>
      <c r="N10" s="400"/>
      <c r="O10" s="400"/>
      <c r="P10" s="400"/>
      <c r="Q10" s="400"/>
      <c r="R10" s="449" t="s">
        <v>298</v>
      </c>
      <c r="S10" s="462" t="s">
        <v>174</v>
      </c>
      <c r="T10" s="463"/>
      <c r="U10" s="432" t="s">
        <v>183</v>
      </c>
      <c r="V10" s="432" t="s">
        <v>202</v>
      </c>
      <c r="W10" s="432" t="s">
        <v>215</v>
      </c>
      <c r="X10" s="432" t="s">
        <v>235</v>
      </c>
      <c r="Y10" s="249"/>
      <c r="Z10" s="440" t="s">
        <v>305</v>
      </c>
      <c r="AA10" s="240" t="str">
        <f>"+0%"</f>
        <v>+0%</v>
      </c>
      <c r="AB10" s="456"/>
      <c r="AC10" s="436" t="str">
        <f t="shared" si="5"/>
        <v/>
      </c>
      <c r="AD10" s="437">
        <v>0.02</v>
      </c>
      <c r="AE10" s="436" t="str">
        <f t="shared" si="6"/>
        <v>+2%</v>
      </c>
      <c r="AF10" s="437">
        <v>0.04</v>
      </c>
      <c r="AG10" s="436" t="str">
        <f t="shared" si="7"/>
        <v>+4%</v>
      </c>
      <c r="AH10" s="437">
        <v>0.06</v>
      </c>
      <c r="AI10" s="436" t="str">
        <f t="shared" si="8"/>
        <v>+6%</v>
      </c>
      <c r="AJ10" s="437">
        <v>0.09</v>
      </c>
      <c r="AK10" s="436" t="str">
        <f t="shared" si="9"/>
        <v>+9%</v>
      </c>
      <c r="AL10" s="437">
        <v>0.12</v>
      </c>
      <c r="AM10" s="436" t="str">
        <f t="shared" si="10"/>
        <v>+12%</v>
      </c>
    </row>
    <row r="11" ht="22.5" customHeight="1">
      <c r="A11" s="415"/>
      <c r="B11" s="459" t="s">
        <v>173</v>
      </c>
      <c r="C11" s="460">
        <v>0.252</v>
      </c>
      <c r="D11" s="460">
        <v>0.252</v>
      </c>
      <c r="E11" s="461">
        <v>0.036</v>
      </c>
      <c r="F11" s="460">
        <v>0.36</v>
      </c>
      <c r="H11" s="397">
        <f t="shared" si="3"/>
        <v>9</v>
      </c>
      <c r="I11" s="397">
        <f t="shared" si="4"/>
        <v>39</v>
      </c>
      <c r="J11" s="398">
        <f t="shared" si="1"/>
        <v>0.1</v>
      </c>
      <c r="K11" s="399" t="str">
        <f t="shared" si="2"/>
        <v>09 | 10% | Cost 39 ⧌ | Next 42 ⧌</v>
      </c>
      <c r="L11" s="260"/>
      <c r="M11" s="400" t="str">
        <f>IFERROR(__xludf.DUMMYFUNCTION("""COMPUTED_VALUE"""),"Negative Mass Projector")</f>
        <v>Negative Mass Projector</v>
      </c>
      <c r="N11" s="400"/>
      <c r="O11" s="400"/>
      <c r="P11" s="400"/>
      <c r="Q11" s="400"/>
      <c r="R11" s="455" t="s">
        <v>180</v>
      </c>
      <c r="S11" s="464" t="s">
        <v>196</v>
      </c>
      <c r="T11" s="463"/>
      <c r="U11" s="433" t="s">
        <v>305</v>
      </c>
      <c r="V11" s="433" t="s">
        <v>197</v>
      </c>
      <c r="W11" s="433" t="s">
        <v>306</v>
      </c>
      <c r="X11" s="433" t="s">
        <v>234</v>
      </c>
      <c r="Y11" s="260"/>
      <c r="Z11" s="434" t="s">
        <v>307</v>
      </c>
      <c r="AA11" s="447" t="s">
        <v>308</v>
      </c>
      <c r="AB11" s="456"/>
      <c r="AC11" s="436" t="str">
        <f t="shared" si="5"/>
        <v/>
      </c>
      <c r="AD11" s="437">
        <v>0.4</v>
      </c>
      <c r="AE11" s="436" t="str">
        <f t="shared" si="6"/>
        <v>+0.4s</v>
      </c>
      <c r="AF11" s="437">
        <v>0.8</v>
      </c>
      <c r="AG11" s="436" t="str">
        <f t="shared" si="7"/>
        <v>+0.8s</v>
      </c>
      <c r="AH11" s="437">
        <v>1.4</v>
      </c>
      <c r="AI11" s="436" t="str">
        <f t="shared" si="8"/>
        <v>+1.4s</v>
      </c>
      <c r="AJ11" s="437">
        <v>2.5</v>
      </c>
      <c r="AK11" s="436" t="str">
        <f t="shared" si="9"/>
        <v>+2.5s</v>
      </c>
      <c r="AL11" s="437">
        <v>3.5</v>
      </c>
      <c r="AM11" s="436" t="str">
        <f t="shared" si="10"/>
        <v>+3.5s</v>
      </c>
    </row>
    <row r="12" ht="22.5" customHeight="1">
      <c r="A12" s="415"/>
      <c r="B12" s="465" t="s">
        <v>174</v>
      </c>
      <c r="C12" s="466">
        <v>0.302</v>
      </c>
      <c r="D12" s="466">
        <v>0.302</v>
      </c>
      <c r="E12" s="467">
        <v>0.041</v>
      </c>
      <c r="F12" s="466">
        <v>0.41</v>
      </c>
      <c r="H12" s="397">
        <f t="shared" si="3"/>
        <v>10</v>
      </c>
      <c r="I12" s="397">
        <f t="shared" si="4"/>
        <v>42</v>
      </c>
      <c r="J12" s="398">
        <f t="shared" si="1"/>
        <v>0.11</v>
      </c>
      <c r="K12" s="399" t="str">
        <f t="shared" si="2"/>
        <v>10 | 11% | Cost 42 ⧌ | Next 45 ⧌</v>
      </c>
      <c r="L12" s="260"/>
      <c r="M12" s="400" t="str">
        <f>IFERROR(__xludf.DUMMYFUNCTION("""COMPUTED_VALUE"""),"Space Displacer")</f>
        <v>Space Displacer</v>
      </c>
      <c r="N12" s="400"/>
      <c r="O12" s="400"/>
      <c r="P12" s="400"/>
      <c r="Q12" s="400"/>
      <c r="R12" s="457" t="s">
        <v>173</v>
      </c>
      <c r="S12" s="468" t="s">
        <v>195</v>
      </c>
      <c r="T12" s="463"/>
      <c r="U12" s="432" t="s">
        <v>307</v>
      </c>
      <c r="V12" s="432" t="s">
        <v>309</v>
      </c>
      <c r="W12" s="432" t="s">
        <v>310</v>
      </c>
      <c r="X12" s="432" t="s">
        <v>231</v>
      </c>
      <c r="Y12" s="260"/>
      <c r="Z12" s="434" t="s">
        <v>182</v>
      </c>
      <c r="AA12" s="240" t="str">
        <f>"+0%"</f>
        <v>+0%</v>
      </c>
      <c r="AB12" s="456"/>
      <c r="AC12" s="436" t="str">
        <f t="shared" si="5"/>
        <v/>
      </c>
      <c r="AD12" s="437">
        <v>0.02</v>
      </c>
      <c r="AE12" s="436" t="str">
        <f t="shared" si="6"/>
        <v>+2%</v>
      </c>
      <c r="AF12" s="437">
        <v>0.03</v>
      </c>
      <c r="AG12" s="436" t="str">
        <f t="shared" si="7"/>
        <v>+3%</v>
      </c>
      <c r="AH12" s="437">
        <v>0.05</v>
      </c>
      <c r="AI12" s="436" t="str">
        <f t="shared" si="8"/>
        <v>+5%</v>
      </c>
      <c r="AJ12" s="437">
        <v>0.09</v>
      </c>
      <c r="AK12" s="436" t="str">
        <f t="shared" si="9"/>
        <v>+9%</v>
      </c>
      <c r="AL12" s="437">
        <v>0.12</v>
      </c>
      <c r="AM12" s="436" t="str">
        <f t="shared" si="10"/>
        <v>+12%</v>
      </c>
    </row>
    <row r="13" ht="22.5" customHeight="1">
      <c r="A13" s="415"/>
      <c r="B13" s="465" t="s">
        <v>196</v>
      </c>
      <c r="C13" s="466">
        <v>0.314</v>
      </c>
      <c r="D13" s="466">
        <v>0.314</v>
      </c>
      <c r="E13" s="467">
        <v>0.043</v>
      </c>
      <c r="F13" s="467">
        <v>0.426</v>
      </c>
      <c r="H13" s="397">
        <f t="shared" si="3"/>
        <v>11</v>
      </c>
      <c r="I13" s="397">
        <f t="shared" si="4"/>
        <v>45</v>
      </c>
      <c r="J13" s="398">
        <f t="shared" si="1"/>
        <v>0.12</v>
      </c>
      <c r="K13" s="399" t="str">
        <f t="shared" si="2"/>
        <v>11 | 12% | Cost 45 ⧌ | Next 48 ⧌</v>
      </c>
      <c r="L13" s="260"/>
      <c r="M13" s="400" t="str">
        <f>IFERROR(__xludf.DUMMYFUNCTION("""COMPUTED_VALUE"""),"Wormhole Redirector")</f>
        <v>Wormhole Redirector</v>
      </c>
      <c r="N13" s="400"/>
      <c r="O13" s="400"/>
      <c r="P13" s="400"/>
      <c r="Q13" s="400"/>
      <c r="R13" s="462" t="s">
        <v>174</v>
      </c>
      <c r="S13" s="469" t="s">
        <v>311</v>
      </c>
      <c r="T13" s="463"/>
      <c r="U13" s="432" t="s">
        <v>182</v>
      </c>
      <c r="V13" s="432" t="s">
        <v>200</v>
      </c>
      <c r="W13" s="432" t="s">
        <v>312</v>
      </c>
      <c r="X13" s="432" t="s">
        <v>243</v>
      </c>
      <c r="Y13" s="260"/>
      <c r="Z13" s="434" t="s">
        <v>185</v>
      </c>
      <c r="AA13" s="447" t="s">
        <v>304</v>
      </c>
      <c r="AB13" s="456"/>
      <c r="AC13" s="436" t="str">
        <f t="shared" si="5"/>
        <v/>
      </c>
      <c r="AD13" s="437"/>
      <c r="AE13" s="436" t="str">
        <f t="shared" si="6"/>
        <v/>
      </c>
      <c r="AF13" s="437">
        <v>1.0</v>
      </c>
      <c r="AG13" s="436" t="str">
        <f t="shared" si="7"/>
        <v>+1</v>
      </c>
      <c r="AH13" s="437">
        <v>2.0</v>
      </c>
      <c r="AI13" s="436" t="str">
        <f t="shared" si="8"/>
        <v>+2</v>
      </c>
      <c r="AJ13" s="437">
        <v>3.0</v>
      </c>
      <c r="AK13" s="436" t="str">
        <f t="shared" si="9"/>
        <v>+3</v>
      </c>
      <c r="AL13" s="437">
        <v>4.0</v>
      </c>
      <c r="AM13" s="436" t="str">
        <f t="shared" si="10"/>
        <v>+4</v>
      </c>
    </row>
    <row r="14" ht="22.5" customHeight="1">
      <c r="A14" s="415"/>
      <c r="B14" s="465" t="s">
        <v>195</v>
      </c>
      <c r="C14" s="466">
        <v>0.326</v>
      </c>
      <c r="D14" s="466">
        <v>0.326</v>
      </c>
      <c r="E14" s="467">
        <v>0.044</v>
      </c>
      <c r="F14" s="467">
        <v>0.443</v>
      </c>
      <c r="H14" s="397">
        <f t="shared" si="3"/>
        <v>12</v>
      </c>
      <c r="I14" s="397">
        <f t="shared" si="4"/>
        <v>48</v>
      </c>
      <c r="J14" s="398">
        <f t="shared" si="1"/>
        <v>0.13</v>
      </c>
      <c r="K14" s="399" t="str">
        <f t="shared" si="2"/>
        <v>12 | 13% | Cost 48 ⧌ | Next 51 ⧌</v>
      </c>
      <c r="L14" s="260"/>
      <c r="M14" s="400" t="str">
        <f>IFERROR(__xludf.DUMMYFUNCTION("""COMPUTED_VALUE"""),"Sharp Fortitude")</f>
        <v>Sharp Fortitude</v>
      </c>
      <c r="N14" s="400"/>
      <c r="O14" s="400"/>
      <c r="P14" s="400"/>
      <c r="Q14" s="400"/>
      <c r="R14" s="470" t="s">
        <v>196</v>
      </c>
      <c r="S14" s="471" t="s">
        <v>313</v>
      </c>
      <c r="T14" s="463"/>
      <c r="U14" s="432" t="s">
        <v>185</v>
      </c>
      <c r="V14" s="432" t="s">
        <v>314</v>
      </c>
      <c r="W14" s="432" t="s">
        <v>214</v>
      </c>
      <c r="X14" s="432" t="s">
        <v>242</v>
      </c>
      <c r="Y14" s="260"/>
      <c r="Z14" s="434" t="s">
        <v>315</v>
      </c>
      <c r="AA14" s="447" t="s">
        <v>297</v>
      </c>
      <c r="AB14" s="456"/>
      <c r="AC14" s="436" t="str">
        <f t="shared" si="5"/>
        <v/>
      </c>
      <c r="AD14" s="437">
        <v>0.5</v>
      </c>
      <c r="AE14" s="436" t="str">
        <f t="shared" si="6"/>
        <v>+0.50m</v>
      </c>
      <c r="AF14" s="437">
        <v>0.8</v>
      </c>
      <c r="AG14" s="436" t="str">
        <f t="shared" si="7"/>
        <v>+0.80m</v>
      </c>
      <c r="AH14" s="437">
        <v>1.2</v>
      </c>
      <c r="AI14" s="436" t="str">
        <f t="shared" si="8"/>
        <v>+1.20m</v>
      </c>
      <c r="AJ14" s="437">
        <v>1.8</v>
      </c>
      <c r="AK14" s="436" t="str">
        <f t="shared" si="9"/>
        <v>+1.80m</v>
      </c>
      <c r="AL14" s="437">
        <v>2.0</v>
      </c>
      <c r="AM14" s="436" t="str">
        <f t="shared" si="10"/>
        <v>+2.00m</v>
      </c>
    </row>
    <row r="15" ht="22.5" customHeight="1">
      <c r="A15" s="472"/>
      <c r="B15" s="465" t="s">
        <v>311</v>
      </c>
      <c r="C15" s="466">
        <v>0.338</v>
      </c>
      <c r="D15" s="466">
        <v>0.338</v>
      </c>
      <c r="E15" s="467">
        <v>0.046</v>
      </c>
      <c r="F15" s="467">
        <v>0.459</v>
      </c>
      <c r="H15" s="397">
        <f t="shared" si="3"/>
        <v>13</v>
      </c>
      <c r="I15" s="397">
        <f t="shared" si="4"/>
        <v>51</v>
      </c>
      <c r="J15" s="398">
        <f t="shared" si="1"/>
        <v>0.14</v>
      </c>
      <c r="K15" s="399" t="str">
        <f t="shared" si="2"/>
        <v>13 | 14% | Cost 51 ⧌ | Next 54 ⧌</v>
      </c>
      <c r="L15" s="260"/>
      <c r="M15" s="400" t="str">
        <f>IFERROR(__xludf.DUMMYFUNCTION("""COMPUTED_VALUE"""),"Orbital Augment")</f>
        <v>Orbital Augment</v>
      </c>
      <c r="N15" s="400"/>
      <c r="O15" s="400"/>
      <c r="P15" s="400"/>
      <c r="Q15" s="400"/>
      <c r="R15" s="473" t="s">
        <v>195</v>
      </c>
      <c r="S15" s="474" t="s">
        <v>228</v>
      </c>
      <c r="T15" s="463"/>
      <c r="U15" s="432" t="s">
        <v>315</v>
      </c>
      <c r="V15" s="432" t="s">
        <v>316</v>
      </c>
      <c r="W15" s="432" t="s">
        <v>217</v>
      </c>
      <c r="X15" s="432" t="s">
        <v>244</v>
      </c>
      <c r="Y15" s="260"/>
      <c r="Z15" s="434" t="s">
        <v>317</v>
      </c>
      <c r="AA15" s="240" t="str">
        <f>"+0%"</f>
        <v>+0%</v>
      </c>
      <c r="AB15" s="456"/>
      <c r="AC15" s="436" t="str">
        <f t="shared" si="5"/>
        <v/>
      </c>
      <c r="AD15" s="437"/>
      <c r="AE15" s="436" t="str">
        <f t="shared" si="6"/>
        <v/>
      </c>
      <c r="AF15" s="437">
        <v>0.03</v>
      </c>
      <c r="AG15" s="436" t="str">
        <f t="shared" si="7"/>
        <v>+3%</v>
      </c>
      <c r="AH15" s="437">
        <v>0.05</v>
      </c>
      <c r="AI15" s="436" t="str">
        <f t="shared" si="8"/>
        <v>+5%</v>
      </c>
      <c r="AJ15" s="437">
        <v>0.07</v>
      </c>
      <c r="AK15" s="436" t="str">
        <f t="shared" si="9"/>
        <v>+7%</v>
      </c>
      <c r="AL15" s="437">
        <v>0.1</v>
      </c>
      <c r="AM15" s="436" t="str">
        <f t="shared" si="10"/>
        <v>+10%</v>
      </c>
    </row>
    <row r="16" ht="22.5" customHeight="1">
      <c r="A16" s="472"/>
      <c r="B16" s="465" t="s">
        <v>313</v>
      </c>
      <c r="C16" s="466">
        <v>0.35</v>
      </c>
      <c r="D16" s="466">
        <v>0.35</v>
      </c>
      <c r="E16" s="467">
        <v>0.048</v>
      </c>
      <c r="F16" s="467">
        <v>0.476</v>
      </c>
      <c r="H16" s="397">
        <f t="shared" si="3"/>
        <v>14</v>
      </c>
      <c r="I16" s="397">
        <f t="shared" si="4"/>
        <v>54</v>
      </c>
      <c r="J16" s="398">
        <f t="shared" si="1"/>
        <v>0.15</v>
      </c>
      <c r="K16" s="399" t="str">
        <f t="shared" si="2"/>
        <v>14 | 15% | Cost 54 ⧌ | Next 57 ⧌</v>
      </c>
      <c r="L16" s="260"/>
      <c r="M16" s="400" t="str">
        <f>IFERROR(__xludf.DUMMYFUNCTION("""COMPUTED_VALUE"""),"Black Hole Digestor")</f>
        <v>Black Hole Digestor</v>
      </c>
      <c r="N16" s="400"/>
      <c r="O16" s="400"/>
      <c r="P16" s="400"/>
      <c r="Q16" s="400"/>
      <c r="R16" s="475" t="s">
        <v>311</v>
      </c>
      <c r="S16" s="476"/>
      <c r="T16" s="477"/>
      <c r="U16" s="432" t="s">
        <v>317</v>
      </c>
      <c r="V16" s="432" t="s">
        <v>318</v>
      </c>
      <c r="W16" s="432" t="s">
        <v>216</v>
      </c>
      <c r="X16" s="432" t="s">
        <v>229</v>
      </c>
      <c r="Y16" s="260"/>
      <c r="Z16" s="434" t="s">
        <v>186</v>
      </c>
      <c r="AA16" s="478" t="s">
        <v>293</v>
      </c>
      <c r="AB16" s="456"/>
      <c r="AC16" s="436" t="str">
        <f t="shared" si="5"/>
        <v/>
      </c>
      <c r="AD16" s="437"/>
      <c r="AE16" s="436" t="str">
        <f t="shared" si="6"/>
        <v/>
      </c>
      <c r="AF16" s="437">
        <v>2.0</v>
      </c>
      <c r="AG16" s="436" t="str">
        <f t="shared" si="7"/>
        <v>+2x</v>
      </c>
      <c r="AH16" s="437">
        <v>3.0</v>
      </c>
      <c r="AI16" s="436" t="str">
        <f t="shared" si="8"/>
        <v>+3x</v>
      </c>
      <c r="AJ16" s="437">
        <v>5.0</v>
      </c>
      <c r="AK16" s="436" t="str">
        <f t="shared" si="9"/>
        <v>+5x</v>
      </c>
      <c r="AL16" s="437">
        <v>7.0</v>
      </c>
      <c r="AM16" s="436" t="str">
        <f t="shared" si="10"/>
        <v>+7x</v>
      </c>
    </row>
    <row r="17" ht="22.5" customHeight="1">
      <c r="A17" s="472"/>
      <c r="B17" s="465" t="s">
        <v>228</v>
      </c>
      <c r="C17" s="466">
        <v>0.362</v>
      </c>
      <c r="D17" s="466">
        <v>0.362</v>
      </c>
      <c r="E17" s="467">
        <v>0.049</v>
      </c>
      <c r="F17" s="467">
        <v>0.492</v>
      </c>
      <c r="H17" s="397">
        <f t="shared" si="3"/>
        <v>15</v>
      </c>
      <c r="I17" s="397">
        <f t="shared" si="4"/>
        <v>57</v>
      </c>
      <c r="J17" s="398">
        <f t="shared" si="1"/>
        <v>0.16</v>
      </c>
      <c r="K17" s="399" t="str">
        <f t="shared" si="2"/>
        <v>15 | 16% | Cost 57 ⧌ | Next 60 ⧌</v>
      </c>
      <c r="L17" s="260"/>
      <c r="M17" s="400" t="str">
        <f>IFERROR(__xludf.DUMMYFUNCTION("""COMPUTED_VALUE"""),"Galaxy Compressor")</f>
        <v>Galaxy Compressor</v>
      </c>
      <c r="N17" s="400"/>
      <c r="O17" s="400"/>
      <c r="P17" s="400"/>
      <c r="Q17" s="400"/>
      <c r="R17" s="479" t="s">
        <v>313</v>
      </c>
      <c r="S17" s="476"/>
      <c r="T17" s="477"/>
      <c r="U17" s="432" t="s">
        <v>186</v>
      </c>
      <c r="V17" s="432" t="s">
        <v>319</v>
      </c>
      <c r="W17" s="480"/>
      <c r="X17" s="432" t="s">
        <v>241</v>
      </c>
      <c r="Y17" s="260"/>
      <c r="Z17" s="434" t="s">
        <v>320</v>
      </c>
      <c r="AA17" s="240" t="str">
        <f t="shared" ref="AA17:AA23" si="11">"+0%"</f>
        <v>+0%</v>
      </c>
      <c r="AB17" s="456"/>
      <c r="AC17" s="436" t="str">
        <f t="shared" si="5"/>
        <v/>
      </c>
      <c r="AD17" s="437"/>
      <c r="AE17" s="436" t="str">
        <f t="shared" si="6"/>
        <v/>
      </c>
      <c r="AF17" s="437"/>
      <c r="AG17" s="436" t="str">
        <f t="shared" si="7"/>
        <v/>
      </c>
      <c r="AH17" s="437">
        <v>0.02</v>
      </c>
      <c r="AI17" s="436" t="str">
        <f t="shared" si="8"/>
        <v>+2%</v>
      </c>
      <c r="AJ17" s="437">
        <v>0.05</v>
      </c>
      <c r="AK17" s="436" t="str">
        <f t="shared" si="9"/>
        <v>+5%</v>
      </c>
      <c r="AL17" s="437">
        <v>0.08</v>
      </c>
      <c r="AM17" s="436" t="str">
        <f t="shared" si="10"/>
        <v>+8%</v>
      </c>
    </row>
    <row r="18">
      <c r="A18" s="472"/>
      <c r="H18" s="397">
        <f t="shared" si="3"/>
        <v>16</v>
      </c>
      <c r="I18" s="397">
        <f t="shared" si="4"/>
        <v>60</v>
      </c>
      <c r="J18" s="398">
        <f t="shared" si="1"/>
        <v>0.17</v>
      </c>
      <c r="K18" s="399" t="str">
        <f t="shared" si="2"/>
        <v>16 | 17% | Cost 60 ⧌ | Next 63 ⧌</v>
      </c>
      <c r="L18" s="260"/>
      <c r="M18" s="400" t="str">
        <f>IFERROR(__xludf.DUMMYFUNCTION("""COMPUTED_VALUE"""),"Singularity Harness")</f>
        <v>Singularity Harness</v>
      </c>
      <c r="N18" s="400"/>
      <c r="O18" s="400"/>
      <c r="P18" s="400"/>
      <c r="Q18" s="400"/>
      <c r="R18" s="481" t="s">
        <v>228</v>
      </c>
      <c r="S18" s="476"/>
      <c r="T18" s="477"/>
      <c r="U18" s="432" t="s">
        <v>320</v>
      </c>
      <c r="V18" s="432" t="s">
        <v>203</v>
      </c>
      <c r="W18" s="480"/>
      <c r="X18" s="432" t="s">
        <v>321</v>
      </c>
      <c r="Y18" s="260"/>
      <c r="Z18" s="434" t="s">
        <v>322</v>
      </c>
      <c r="AA18" s="240" t="str">
        <f t="shared" si="11"/>
        <v>+0%</v>
      </c>
      <c r="AB18" s="456"/>
      <c r="AC18" s="436" t="str">
        <f t="shared" si="5"/>
        <v/>
      </c>
      <c r="AD18" s="437"/>
      <c r="AE18" s="436" t="str">
        <f t="shared" si="6"/>
        <v/>
      </c>
      <c r="AF18" s="437"/>
      <c r="AG18" s="436" t="str">
        <f t="shared" si="7"/>
        <v/>
      </c>
      <c r="AH18" s="437">
        <v>0.02</v>
      </c>
      <c r="AI18" s="436" t="str">
        <f t="shared" si="8"/>
        <v>+2%</v>
      </c>
      <c r="AJ18" s="437">
        <v>0.05</v>
      </c>
      <c r="AK18" s="436" t="str">
        <f t="shared" si="9"/>
        <v>+5%</v>
      </c>
      <c r="AL18" s="437">
        <v>0.08</v>
      </c>
      <c r="AM18" s="436" t="str">
        <f t="shared" si="10"/>
        <v>+8%</v>
      </c>
    </row>
    <row r="19">
      <c r="A19" s="472"/>
      <c r="B19" s="394"/>
      <c r="H19" s="397">
        <f t="shared" si="3"/>
        <v>17</v>
      </c>
      <c r="I19" s="397">
        <f t="shared" si="4"/>
        <v>63</v>
      </c>
      <c r="J19" s="398">
        <f t="shared" si="1"/>
        <v>0.18</v>
      </c>
      <c r="K19" s="399" t="str">
        <f t="shared" si="2"/>
        <v>17 | 18% | Cost 63 ⧌ | Next 66 ⧌</v>
      </c>
      <c r="L19" s="260"/>
      <c r="M19" s="400" t="str">
        <f>IFERROR(__xludf.DUMMYFUNCTION("""COMPUTED_VALUE"""),"Pulsar Harvester")</f>
        <v>Pulsar Harvester</v>
      </c>
      <c r="N19" s="399"/>
      <c r="O19" s="399"/>
      <c r="P19" s="399"/>
      <c r="Q19" s="399"/>
      <c r="U19" s="432" t="s">
        <v>322</v>
      </c>
      <c r="V19" s="432" t="s">
        <v>201</v>
      </c>
      <c r="W19" s="480"/>
      <c r="X19" s="432" t="s">
        <v>323</v>
      </c>
      <c r="Y19" s="260"/>
      <c r="Z19" s="482" t="s">
        <v>324</v>
      </c>
      <c r="AA19" s="483" t="str">
        <f t="shared" si="11"/>
        <v>+0%</v>
      </c>
      <c r="AB19" s="484"/>
      <c r="AC19" s="485" t="str">
        <f t="shared" si="5"/>
        <v/>
      </c>
      <c r="AD19" s="486"/>
      <c r="AE19" s="485" t="str">
        <f t="shared" si="6"/>
        <v/>
      </c>
      <c r="AF19" s="486"/>
      <c r="AG19" s="485" t="str">
        <f t="shared" si="7"/>
        <v/>
      </c>
      <c r="AH19" s="486">
        <v>2.0</v>
      </c>
      <c r="AI19" s="485" t="str">
        <f t="shared" si="8"/>
        <v>+200%</v>
      </c>
      <c r="AJ19" s="486">
        <v>3.0</v>
      </c>
      <c r="AK19" s="485" t="str">
        <f t="shared" si="9"/>
        <v>+300%</v>
      </c>
      <c r="AL19" s="486">
        <v>5.0</v>
      </c>
      <c r="AM19" s="485" t="str">
        <f t="shared" si="10"/>
        <v>+500%</v>
      </c>
    </row>
    <row r="20">
      <c r="A20" s="487"/>
      <c r="B20" s="488" t="s">
        <v>325</v>
      </c>
      <c r="C20" s="488" t="s">
        <v>258</v>
      </c>
      <c r="D20" s="488" t="s">
        <v>259</v>
      </c>
      <c r="E20" s="488" t="s">
        <v>260</v>
      </c>
      <c r="F20" s="488" t="s">
        <v>261</v>
      </c>
      <c r="H20" s="397">
        <f t="shared" si="3"/>
        <v>18</v>
      </c>
      <c r="I20" s="397">
        <f t="shared" si="4"/>
        <v>66</v>
      </c>
      <c r="J20" s="398">
        <f t="shared" si="1"/>
        <v>0.19</v>
      </c>
      <c r="K20" s="399" t="str">
        <f t="shared" si="2"/>
        <v>18 | 19% | Cost 66 ⧌ | Next 69 ⧌</v>
      </c>
      <c r="L20" s="260"/>
      <c r="M20" s="400" t="str">
        <f>IFERROR(__xludf.DUMMYFUNCTION("""COMPUTED_VALUE"""),"Project Funding")</f>
        <v>Project Funding</v>
      </c>
      <c r="N20" s="399"/>
      <c r="O20" s="399"/>
      <c r="P20" s="399"/>
      <c r="Q20" s="399"/>
      <c r="U20" s="432" t="s">
        <v>324</v>
      </c>
      <c r="V20" s="432" t="s">
        <v>326</v>
      </c>
      <c r="W20" s="480"/>
      <c r="X20" s="432" t="s">
        <v>327</v>
      </c>
      <c r="Y20" s="489"/>
      <c r="Z20" s="490" t="s">
        <v>199</v>
      </c>
      <c r="AA20" s="491" t="str">
        <f t="shared" si="11"/>
        <v>+0%</v>
      </c>
      <c r="AB20" s="426">
        <f>+20%</f>
        <v>0.2</v>
      </c>
      <c r="AC20" s="425" t="str">
        <f t="shared" si="5"/>
        <v>+20%</v>
      </c>
      <c r="AD20" s="492">
        <f>+40%</f>
        <v>0.4</v>
      </c>
      <c r="AE20" s="425" t="str">
        <f t="shared" si="6"/>
        <v>+40%</v>
      </c>
      <c r="AF20" s="492">
        <f>+60%</f>
        <v>0.6</v>
      </c>
      <c r="AG20" s="425" t="str">
        <f t="shared" si="7"/>
        <v>+60%</v>
      </c>
      <c r="AH20" s="492">
        <f>+100%</f>
        <v>1</v>
      </c>
      <c r="AI20" s="425" t="str">
        <f t="shared" si="8"/>
        <v>+100%</v>
      </c>
      <c r="AJ20" s="492">
        <f>+200%</f>
        <v>2</v>
      </c>
      <c r="AK20" s="425" t="str">
        <f t="shared" si="9"/>
        <v>+200%</v>
      </c>
      <c r="AL20" s="492">
        <v>4.0</v>
      </c>
      <c r="AM20" s="425" t="str">
        <f t="shared" si="10"/>
        <v>+400%</v>
      </c>
    </row>
    <row r="21">
      <c r="A21" s="487"/>
      <c r="B21" s="488">
        <v>1.0</v>
      </c>
      <c r="C21" s="493">
        <v>0.002</v>
      </c>
      <c r="D21" s="493">
        <v>0.002</v>
      </c>
      <c r="E21" s="493">
        <v>0.001</v>
      </c>
      <c r="F21" s="494">
        <v>0.01</v>
      </c>
      <c r="H21" s="397">
        <f t="shared" si="3"/>
        <v>19</v>
      </c>
      <c r="I21" s="397">
        <f t="shared" si="4"/>
        <v>69</v>
      </c>
      <c r="J21" s="398">
        <f t="shared" si="1"/>
        <v>0.2</v>
      </c>
      <c r="K21" s="399" t="str">
        <f t="shared" si="2"/>
        <v>19 | 20% | Cost 69 ⧌ | Next 72 ⧌</v>
      </c>
      <c r="L21" s="260"/>
      <c r="M21" s="399" t="str">
        <f>IFERROR(__xludf.DUMMYFUNCTION("""COMPUTED_VALUE"""),"Restorative Bonus")</f>
        <v>Restorative Bonus</v>
      </c>
      <c r="N21" s="399"/>
      <c r="O21" s="399"/>
      <c r="P21" s="399"/>
      <c r="Q21" s="399"/>
      <c r="U21" s="480"/>
      <c r="V21" s="480"/>
      <c r="W21" s="480"/>
      <c r="X21" s="432" t="s">
        <v>328</v>
      </c>
      <c r="Y21" s="495"/>
      <c r="Z21" s="496" t="s">
        <v>198</v>
      </c>
      <c r="AA21" s="240" t="str">
        <f t="shared" si="11"/>
        <v>+0%</v>
      </c>
      <c r="AB21" s="456">
        <f>+1%</f>
        <v>0.01</v>
      </c>
      <c r="AC21" s="436" t="str">
        <f t="shared" si="5"/>
        <v>+1%</v>
      </c>
      <c r="AD21" s="437">
        <f>+2%</f>
        <v>0.02</v>
      </c>
      <c r="AE21" s="436" t="str">
        <f t="shared" si="6"/>
        <v>+2%</v>
      </c>
      <c r="AF21" s="437">
        <f>+3%</f>
        <v>0.03</v>
      </c>
      <c r="AG21" s="436" t="str">
        <f t="shared" si="7"/>
        <v>+3%</v>
      </c>
      <c r="AH21" s="437">
        <f>+5%</f>
        <v>0.05</v>
      </c>
      <c r="AI21" s="436" t="str">
        <f t="shared" si="8"/>
        <v>+5%</v>
      </c>
      <c r="AJ21" s="437">
        <f>+6%</f>
        <v>0.06</v>
      </c>
      <c r="AK21" s="436" t="str">
        <f t="shared" si="9"/>
        <v>+6%</v>
      </c>
      <c r="AL21" s="437">
        <v>0.08</v>
      </c>
      <c r="AM21" s="436" t="str">
        <f t="shared" si="10"/>
        <v>+8%</v>
      </c>
    </row>
    <row r="22">
      <c r="A22" s="487"/>
      <c r="B22" s="488">
        <v>20.0</v>
      </c>
      <c r="C22" s="493">
        <v>0.004</v>
      </c>
      <c r="D22" s="493">
        <v>0.004</v>
      </c>
      <c r="E22" s="493">
        <v>0.001</v>
      </c>
      <c r="F22" s="494">
        <v>0.015</v>
      </c>
      <c r="H22" s="397">
        <f t="shared" si="3"/>
        <v>20</v>
      </c>
      <c r="I22" s="397">
        <f t="shared" si="4"/>
        <v>72</v>
      </c>
      <c r="J22" s="398">
        <f t="shared" si="1"/>
        <v>0.21</v>
      </c>
      <c r="K22" s="400" t="str">
        <f t="shared" si="2"/>
        <v>20 | 21% | Cost 72 ⧌ | Next 75 ⧌</v>
      </c>
      <c r="L22" s="260"/>
      <c r="M22" s="399" t="str">
        <f>IFERROR(__xludf.DUMMYFUNCTION("""COMPUTED_VALUE"""),"Multiverse Nexus")</f>
        <v>Multiverse Nexus</v>
      </c>
      <c r="N22" s="399"/>
      <c r="O22" s="399"/>
      <c r="P22" s="399"/>
      <c r="Q22" s="399"/>
      <c r="U22" s="480"/>
      <c r="V22" s="480"/>
      <c r="W22" s="480"/>
      <c r="X22" s="432" t="s">
        <v>329</v>
      </c>
      <c r="Y22" s="489"/>
      <c r="Z22" s="497" t="s">
        <v>294</v>
      </c>
      <c r="AA22" s="240" t="str">
        <f t="shared" si="11"/>
        <v>+0%</v>
      </c>
      <c r="AB22" s="456">
        <f>+15%</f>
        <v>0.15</v>
      </c>
      <c r="AC22" s="436" t="str">
        <f t="shared" si="5"/>
        <v>+15%</v>
      </c>
      <c r="AD22" s="437">
        <f>+25%</f>
        <v>0.25</v>
      </c>
      <c r="AE22" s="436" t="str">
        <f t="shared" si="6"/>
        <v>+25%</v>
      </c>
      <c r="AF22" s="437">
        <f>+40%</f>
        <v>0.4</v>
      </c>
      <c r="AG22" s="436" t="str">
        <f t="shared" si="7"/>
        <v>+40%</v>
      </c>
      <c r="AH22" s="437">
        <f>+100%</f>
        <v>1</v>
      </c>
      <c r="AI22" s="436" t="str">
        <f t="shared" si="8"/>
        <v>+100%</v>
      </c>
      <c r="AJ22" s="437">
        <f>+500%</f>
        <v>5</v>
      </c>
      <c r="AK22" s="436" t="str">
        <f t="shared" si="9"/>
        <v>+500%</v>
      </c>
      <c r="AL22" s="437">
        <f>+1000%</f>
        <v>10</v>
      </c>
      <c r="AM22" s="436" t="str">
        <f t="shared" si="10"/>
        <v>+1000%</v>
      </c>
    </row>
    <row r="23">
      <c r="A23" s="487"/>
      <c r="B23" s="488">
        <v>30.0</v>
      </c>
      <c r="C23" s="493">
        <v>0.006</v>
      </c>
      <c r="D23" s="493">
        <v>0.006</v>
      </c>
      <c r="E23" s="494">
        <v>0.002</v>
      </c>
      <c r="F23" s="494">
        <v>0.02</v>
      </c>
      <c r="H23" s="397">
        <f t="shared" si="3"/>
        <v>21</v>
      </c>
      <c r="I23" s="397">
        <f t="shared" si="4"/>
        <v>75</v>
      </c>
      <c r="J23" s="398">
        <f t="shared" si="1"/>
        <v>0.22</v>
      </c>
      <c r="K23" s="400" t="str">
        <f t="shared" si="2"/>
        <v>21 | 22% | Cost 75 ⧌ | Next 78 ⧌</v>
      </c>
      <c r="L23" s="260"/>
      <c r="M23" s="399" t="str">
        <f>IFERROR(__xludf.DUMMYFUNCTION("""COMPUTED_VALUE"""),"Dimension Core")</f>
        <v>Dimension Core</v>
      </c>
      <c r="N23" s="399"/>
      <c r="O23" s="399"/>
      <c r="P23" s="399"/>
      <c r="Q23" s="399"/>
      <c r="U23" s="480"/>
      <c r="V23" s="480"/>
      <c r="W23" s="480"/>
      <c r="X23" s="432" t="s">
        <v>330</v>
      </c>
      <c r="Y23" s="489"/>
      <c r="Z23" s="497" t="s">
        <v>204</v>
      </c>
      <c r="AA23" s="240" t="str">
        <f t="shared" si="11"/>
        <v>+0%</v>
      </c>
      <c r="AB23" s="456"/>
      <c r="AC23" s="436" t="str">
        <f t="shared" si="5"/>
        <v/>
      </c>
      <c r="AD23" s="437"/>
      <c r="AE23" s="436" t="str">
        <f t="shared" si="6"/>
        <v/>
      </c>
      <c r="AF23" s="437">
        <f>+2%</f>
        <v>0.02</v>
      </c>
      <c r="AG23" s="436" t="str">
        <f t="shared" si="7"/>
        <v>+2%</v>
      </c>
      <c r="AH23" s="437">
        <f>+4%</f>
        <v>0.04</v>
      </c>
      <c r="AI23" s="436" t="str">
        <f t="shared" si="8"/>
        <v>+4%</v>
      </c>
      <c r="AJ23" s="437">
        <f>+7%</f>
        <v>0.07</v>
      </c>
      <c r="AK23" s="436" t="str">
        <f t="shared" si="9"/>
        <v>+7%</v>
      </c>
      <c r="AL23" s="437">
        <v>0.1</v>
      </c>
      <c r="AM23" s="436" t="str">
        <f t="shared" si="10"/>
        <v>+10%</v>
      </c>
    </row>
    <row r="24">
      <c r="A24" s="487"/>
      <c r="B24" s="488">
        <v>40.0</v>
      </c>
      <c r="C24" s="493">
        <v>0.008</v>
      </c>
      <c r="D24" s="493">
        <v>0.008</v>
      </c>
      <c r="E24" s="494">
        <v>0.003</v>
      </c>
      <c r="F24" s="494">
        <v>0.025</v>
      </c>
      <c r="H24" s="397">
        <f t="shared" si="3"/>
        <v>22</v>
      </c>
      <c r="I24" s="397">
        <f t="shared" si="4"/>
        <v>78</v>
      </c>
      <c r="J24" s="398">
        <f t="shared" si="1"/>
        <v>0.23</v>
      </c>
      <c r="K24" s="399" t="str">
        <f t="shared" si="2"/>
        <v>22 | 23% | Cost 78 ⧌ | Next 81 ⧌</v>
      </c>
      <c r="L24" s="260"/>
      <c r="M24" s="399" t="str">
        <f>IFERROR(__xludf.DUMMYFUNCTION("""COMPUTED_VALUE"""),"Harmony Conductor")</f>
        <v>Harmony Conductor</v>
      </c>
      <c r="N24" s="399"/>
      <c r="O24" s="399"/>
      <c r="P24" s="399"/>
      <c r="Q24" s="399"/>
      <c r="U24" s="480"/>
      <c r="V24" s="480"/>
      <c r="W24" s="480"/>
      <c r="X24" s="432" t="s">
        <v>331</v>
      </c>
      <c r="Y24" s="495"/>
      <c r="Z24" s="498" t="s">
        <v>302</v>
      </c>
      <c r="AA24" s="240" t="str">
        <f>"+0.0%"</f>
        <v>+0.0%</v>
      </c>
      <c r="AB24" s="456"/>
      <c r="AC24" s="436" t="str">
        <f t="shared" si="5"/>
        <v/>
      </c>
      <c r="AD24" s="437"/>
      <c r="AE24" s="436" t="str">
        <f t="shared" si="6"/>
        <v/>
      </c>
      <c r="AF24" s="437">
        <f>+0.3%</f>
        <v>0.003</v>
      </c>
      <c r="AG24" s="436" t="str">
        <f t="shared" si="7"/>
        <v>+0.3%</v>
      </c>
      <c r="AH24" s="437">
        <f>+0.5%</f>
        <v>0.005</v>
      </c>
      <c r="AI24" s="436" t="str">
        <f t="shared" si="8"/>
        <v>+0.5%</v>
      </c>
      <c r="AJ24" s="437">
        <f>+1.5%</f>
        <v>0.015</v>
      </c>
      <c r="AK24" s="436" t="str">
        <f t="shared" si="9"/>
        <v>+1.5%</v>
      </c>
      <c r="AL24" s="437">
        <v>0.02</v>
      </c>
      <c r="AM24" s="436" t="str">
        <f t="shared" si="10"/>
        <v>+2.0%</v>
      </c>
    </row>
    <row r="25">
      <c r="A25" s="487"/>
      <c r="B25" s="488">
        <v>60.0</v>
      </c>
      <c r="C25" s="493">
        <v>0.012</v>
      </c>
      <c r="D25" s="493">
        <v>0.012</v>
      </c>
      <c r="E25" s="494">
        <v>0.003</v>
      </c>
      <c r="F25" s="494">
        <v>0.03</v>
      </c>
      <c r="H25" s="397">
        <f t="shared" si="3"/>
        <v>23</v>
      </c>
      <c r="I25" s="397">
        <f t="shared" si="4"/>
        <v>81</v>
      </c>
      <c r="J25" s="398">
        <f t="shared" si="1"/>
        <v>0.24</v>
      </c>
      <c r="K25" s="400" t="str">
        <f t="shared" si="2"/>
        <v>23 | 24% | Cost 81 ⧌ | Next 84 ⧌</v>
      </c>
      <c r="L25" s="260"/>
      <c r="M25" s="399" t="str">
        <f>IFERROR(__xludf.DUMMYFUNCTION("""COMPUTED_VALUE"""),"Om Chip")</f>
        <v>Om Chip</v>
      </c>
      <c r="N25" s="399"/>
      <c r="O25" s="399"/>
      <c r="P25" s="399"/>
      <c r="Q25" s="399"/>
      <c r="U25" s="480"/>
      <c r="V25" s="480"/>
      <c r="W25" s="480"/>
      <c r="X25" s="432" t="s">
        <v>332</v>
      </c>
      <c r="Y25" s="495"/>
      <c r="Z25" s="498" t="s">
        <v>303</v>
      </c>
      <c r="AA25" s="240" t="str">
        <f>"+0%"</f>
        <v>+0%</v>
      </c>
      <c r="AB25" s="456"/>
      <c r="AC25" s="436" t="str">
        <f t="shared" si="5"/>
        <v/>
      </c>
      <c r="AD25" s="437"/>
      <c r="AE25" s="436" t="str">
        <f t="shared" si="6"/>
        <v/>
      </c>
      <c r="AF25" s="437">
        <f>+2%</f>
        <v>0.02</v>
      </c>
      <c r="AG25" s="436" t="str">
        <f t="shared" si="7"/>
        <v>+2%</v>
      </c>
      <c r="AH25" s="437">
        <f>+4%</f>
        <v>0.04</v>
      </c>
      <c r="AI25" s="436" t="str">
        <f t="shared" si="8"/>
        <v>+4%</v>
      </c>
      <c r="AJ25" s="437">
        <v>0.06</v>
      </c>
      <c r="AK25" s="436" t="str">
        <f t="shared" si="9"/>
        <v>+6%</v>
      </c>
      <c r="AL25" s="437">
        <f>+9%</f>
        <v>0.09</v>
      </c>
      <c r="AM25" s="436" t="str">
        <f t="shared" si="10"/>
        <v>+9%</v>
      </c>
    </row>
    <row r="26">
      <c r="A26" s="487"/>
      <c r="B26" s="488">
        <v>80.0</v>
      </c>
      <c r="C26" s="493">
        <v>0.03</v>
      </c>
      <c r="D26" s="493">
        <v>0.03</v>
      </c>
      <c r="E26" s="494">
        <v>0.004</v>
      </c>
      <c r="F26" s="494">
        <v>0.05</v>
      </c>
      <c r="H26" s="397">
        <f t="shared" si="3"/>
        <v>24</v>
      </c>
      <c r="I26" s="397">
        <f t="shared" si="4"/>
        <v>84</v>
      </c>
      <c r="J26" s="398">
        <f t="shared" si="1"/>
        <v>0.25</v>
      </c>
      <c r="K26" s="399" t="str">
        <f t="shared" si="2"/>
        <v>24 | 25% | Cost 84 ⧌ | Next 87 ⧌</v>
      </c>
      <c r="L26" s="260"/>
      <c r="M26" s="399" t="str">
        <f>IFERROR(__xludf.DUMMYFUNCTION("""COMPUTED_VALUE"""),"Magnetic Hook")</f>
        <v>Magnetic Hook</v>
      </c>
      <c r="N26" s="399"/>
      <c r="O26" s="399"/>
      <c r="P26" s="399"/>
      <c r="Q26" s="399"/>
      <c r="U26" s="480"/>
      <c r="V26" s="480"/>
      <c r="W26" s="480"/>
      <c r="X26" s="433" t="s">
        <v>333</v>
      </c>
      <c r="Y26" s="495"/>
      <c r="Z26" s="498" t="s">
        <v>202</v>
      </c>
      <c r="AA26" s="447" t="s">
        <v>334</v>
      </c>
      <c r="AB26" s="456"/>
      <c r="AC26" s="436" t="str">
        <f t="shared" si="5"/>
        <v/>
      </c>
      <c r="AD26" s="437"/>
      <c r="AE26" s="436" t="str">
        <f t="shared" si="6"/>
        <v/>
      </c>
      <c r="AF26" s="437">
        <f>+0.1</f>
        <v>0.1</v>
      </c>
      <c r="AG26" s="436" t="str">
        <f t="shared" si="7"/>
        <v>+0.1</v>
      </c>
      <c r="AH26" s="437">
        <f>+0.4</f>
        <v>0.4</v>
      </c>
      <c r="AI26" s="436" t="str">
        <f t="shared" si="8"/>
        <v>+0.4</v>
      </c>
      <c r="AJ26" s="437">
        <f>+0.9</f>
        <v>0.9</v>
      </c>
      <c r="AK26" s="436" t="str">
        <f t="shared" si="9"/>
        <v>+0.9</v>
      </c>
      <c r="AL26" s="437">
        <f>+1.5</f>
        <v>1.5</v>
      </c>
      <c r="AM26" s="436" t="str">
        <f t="shared" si="10"/>
        <v>+1.5</v>
      </c>
    </row>
    <row r="27">
      <c r="A27" s="487"/>
      <c r="B27" s="488">
        <v>100.0</v>
      </c>
      <c r="C27" s="493">
        <v>0.07</v>
      </c>
      <c r="D27" s="493">
        <v>0.07</v>
      </c>
      <c r="E27" s="494">
        <v>0.005</v>
      </c>
      <c r="F27" s="494">
        <v>0.08</v>
      </c>
      <c r="H27" s="397">
        <f t="shared" si="3"/>
        <v>25</v>
      </c>
      <c r="I27" s="397">
        <f t="shared" si="4"/>
        <v>87</v>
      </c>
      <c r="J27" s="398">
        <f t="shared" si="1"/>
        <v>0.26</v>
      </c>
      <c r="K27" s="399" t="str">
        <f t="shared" si="2"/>
        <v>25 | 26% | Cost 87 ⧌ | Next 90 ⧌</v>
      </c>
      <c r="L27" s="260"/>
      <c r="M27" s="399" t="str">
        <f>IFERROR(__xludf.DUMMYFUNCTION("""COMPUTED_VALUE"""),"Primordial Collapse")</f>
        <v>Primordial Collapse</v>
      </c>
      <c r="N27" s="399"/>
      <c r="O27" s="399"/>
      <c r="P27" s="399"/>
      <c r="Q27" s="399"/>
      <c r="U27" s="480"/>
      <c r="V27" s="480"/>
      <c r="W27" s="480"/>
      <c r="X27" s="432" t="s">
        <v>240</v>
      </c>
      <c r="Y27" s="489"/>
      <c r="Z27" s="497" t="s">
        <v>197</v>
      </c>
      <c r="AA27" s="478" t="s">
        <v>335</v>
      </c>
      <c r="AB27" s="456"/>
      <c r="AC27" s="436" t="str">
        <f t="shared" si="5"/>
        <v/>
      </c>
      <c r="AD27" s="437"/>
      <c r="AE27" s="436" t="str">
        <f t="shared" si="6"/>
        <v/>
      </c>
      <c r="AF27" s="437">
        <f>+1</f>
        <v>1</v>
      </c>
      <c r="AG27" s="436" t="str">
        <f t="shared" si="7"/>
        <v>+1</v>
      </c>
      <c r="AH27" s="437">
        <f>+1.5</f>
        <v>1.5</v>
      </c>
      <c r="AI27" s="436" t="str">
        <f t="shared" si="8"/>
        <v>+1.5</v>
      </c>
      <c r="AJ27" s="437">
        <f>+2</f>
        <v>2</v>
      </c>
      <c r="AK27" s="436" t="str">
        <f t="shared" si="9"/>
        <v>+2</v>
      </c>
      <c r="AL27" s="437">
        <f>+3</f>
        <v>3</v>
      </c>
      <c r="AM27" s="436" t="str">
        <f t="shared" si="10"/>
        <v>+3</v>
      </c>
    </row>
    <row r="28">
      <c r="A28" s="487"/>
      <c r="B28" s="488">
        <v>120.0</v>
      </c>
      <c r="C28" s="493">
        <v>0.1</v>
      </c>
      <c r="D28" s="493">
        <v>0.1</v>
      </c>
      <c r="E28" s="494">
        <v>0.006</v>
      </c>
      <c r="F28" s="494">
        <v>0.12</v>
      </c>
      <c r="H28" s="397">
        <f t="shared" si="3"/>
        <v>26</v>
      </c>
      <c r="I28" s="397">
        <f t="shared" si="4"/>
        <v>90</v>
      </c>
      <c r="J28" s="398">
        <f t="shared" si="1"/>
        <v>0.27</v>
      </c>
      <c r="K28" s="399" t="str">
        <f t="shared" si="2"/>
        <v>26 | 27% | Cost 90 ⧌ | Next 93 ⧌</v>
      </c>
      <c r="L28" s="260"/>
      <c r="N28" s="399"/>
      <c r="O28" s="399"/>
      <c r="P28" s="399"/>
      <c r="Q28" s="399"/>
      <c r="U28" s="480"/>
      <c r="V28" s="480"/>
      <c r="W28" s="480"/>
      <c r="X28" s="432" t="s">
        <v>238</v>
      </c>
      <c r="Y28" s="495"/>
      <c r="Z28" s="498" t="s">
        <v>309</v>
      </c>
      <c r="AA28" s="447" t="s">
        <v>304</v>
      </c>
      <c r="AB28" s="456"/>
      <c r="AC28" s="436" t="str">
        <f t="shared" si="5"/>
        <v/>
      </c>
      <c r="AD28" s="437"/>
      <c r="AE28" s="436" t="str">
        <f t="shared" si="6"/>
        <v/>
      </c>
      <c r="AF28" s="437"/>
      <c r="AG28" s="436" t="str">
        <f t="shared" si="7"/>
        <v/>
      </c>
      <c r="AH28" s="437"/>
      <c r="AI28" s="436" t="str">
        <f t="shared" si="8"/>
        <v/>
      </c>
      <c r="AJ28" s="437">
        <f>+1</f>
        <v>1</v>
      </c>
      <c r="AK28" s="436" t="str">
        <f t="shared" si="9"/>
        <v>+1</v>
      </c>
      <c r="AL28" s="437">
        <f>+2</f>
        <v>2</v>
      </c>
      <c r="AM28" s="436" t="str">
        <f t="shared" si="10"/>
        <v>+2</v>
      </c>
    </row>
    <row r="29">
      <c r="A29" s="487"/>
      <c r="B29" s="488">
        <v>140.0</v>
      </c>
      <c r="C29" s="493">
        <v>0.12</v>
      </c>
      <c r="D29" s="493">
        <v>0.12</v>
      </c>
      <c r="E29" s="494">
        <v>0.008</v>
      </c>
      <c r="F29" s="494">
        <v>0.15</v>
      </c>
      <c r="H29" s="397">
        <f t="shared" si="3"/>
        <v>27</v>
      </c>
      <c r="I29" s="397">
        <f t="shared" si="4"/>
        <v>93</v>
      </c>
      <c r="J29" s="398">
        <f t="shared" si="1"/>
        <v>0.28</v>
      </c>
      <c r="K29" s="399" t="str">
        <f t="shared" si="2"/>
        <v>27 | 28% | Cost 93 ⧌ | Next 96 ⧌</v>
      </c>
      <c r="L29" s="260"/>
      <c r="N29" s="399"/>
      <c r="O29" s="399"/>
      <c r="P29" s="399"/>
      <c r="Q29" s="399"/>
      <c r="U29" s="499"/>
      <c r="V29" s="499"/>
      <c r="W29" s="499"/>
      <c r="X29" s="500" t="s">
        <v>230</v>
      </c>
      <c r="Y29" s="495"/>
      <c r="Z29" s="498" t="s">
        <v>200</v>
      </c>
      <c r="AA29" s="441" t="s">
        <v>287</v>
      </c>
      <c r="AB29" s="456"/>
      <c r="AC29" s="436" t="str">
        <f t="shared" si="5"/>
        <v/>
      </c>
      <c r="AD29" s="437"/>
      <c r="AE29" s="436" t="str">
        <f t="shared" si="6"/>
        <v/>
      </c>
      <c r="AF29" s="437">
        <f>+0.1</f>
        <v>0.1</v>
      </c>
      <c r="AG29" s="436" t="str">
        <f t="shared" si="7"/>
        <v>+0.1</v>
      </c>
      <c r="AH29" s="437">
        <f>+0.3</f>
        <v>0.3</v>
      </c>
      <c r="AI29" s="436" t="str">
        <f t="shared" si="8"/>
        <v>+0.3</v>
      </c>
      <c r="AJ29" s="437">
        <f>+0.7</f>
        <v>0.7</v>
      </c>
      <c r="AK29" s="436" t="str">
        <f t="shared" si="9"/>
        <v>+0.7</v>
      </c>
      <c r="AL29" s="437">
        <f>+1</f>
        <v>1</v>
      </c>
      <c r="AM29" s="436" t="str">
        <f t="shared" si="10"/>
        <v>+1</v>
      </c>
    </row>
    <row r="30">
      <c r="A30" s="487"/>
      <c r="B30" s="488">
        <v>160.0</v>
      </c>
      <c r="C30" s="494">
        <v>0.2</v>
      </c>
      <c r="D30" s="494">
        <v>0.2</v>
      </c>
      <c r="E30" s="494">
        <v>0.01</v>
      </c>
      <c r="F30" s="494">
        <v>0.25</v>
      </c>
      <c r="H30" s="397">
        <f t="shared" si="3"/>
        <v>28</v>
      </c>
      <c r="I30" s="397">
        <f t="shared" si="4"/>
        <v>96</v>
      </c>
      <c r="J30" s="398">
        <f t="shared" si="1"/>
        <v>0.29</v>
      </c>
      <c r="K30" s="399" t="str">
        <f t="shared" si="2"/>
        <v>28 | 29% | Cost 96 ⧌ | Next 99 ⧌</v>
      </c>
      <c r="L30" s="260"/>
      <c r="N30" s="399"/>
      <c r="O30" s="399"/>
      <c r="P30" s="399"/>
      <c r="Q30" s="399"/>
      <c r="Y30" s="260"/>
      <c r="Z30" s="498" t="s">
        <v>314</v>
      </c>
      <c r="AA30" s="441" t="s">
        <v>336</v>
      </c>
      <c r="AB30" s="456"/>
      <c r="AC30" s="436" t="str">
        <f t="shared" si="5"/>
        <v/>
      </c>
      <c r="AD30" s="437"/>
      <c r="AE30" s="436" t="str">
        <f t="shared" si="6"/>
        <v/>
      </c>
      <c r="AF30" s="501">
        <v>-1.0</v>
      </c>
      <c r="AG30" s="436" t="str">
        <f t="shared" si="7"/>
        <v>-1s</v>
      </c>
      <c r="AH30" s="501">
        <v>-2.0</v>
      </c>
      <c r="AI30" s="436" t="str">
        <f t="shared" si="8"/>
        <v>-2s</v>
      </c>
      <c r="AJ30" s="501">
        <v>-3.0</v>
      </c>
      <c r="AK30" s="436" t="str">
        <f t="shared" si="9"/>
        <v>-3s</v>
      </c>
      <c r="AL30" s="501">
        <v>-4.0</v>
      </c>
      <c r="AM30" s="436" t="str">
        <f t="shared" si="10"/>
        <v>-4s</v>
      </c>
    </row>
    <row r="31">
      <c r="A31" s="487"/>
      <c r="B31" s="488">
        <v>300.0</v>
      </c>
      <c r="C31" s="502"/>
      <c r="D31" s="502"/>
      <c r="E31" s="502"/>
      <c r="F31" s="502"/>
      <c r="H31" s="397">
        <f t="shared" si="3"/>
        <v>29</v>
      </c>
      <c r="I31" s="397">
        <f t="shared" si="4"/>
        <v>99</v>
      </c>
      <c r="J31" s="398">
        <f t="shared" si="1"/>
        <v>0.3</v>
      </c>
      <c r="K31" s="399" t="str">
        <f t="shared" si="2"/>
        <v>29 | 30% | Cost 99 ⧌ | Next 102 ⧌</v>
      </c>
      <c r="L31" s="260"/>
      <c r="N31" s="399"/>
      <c r="O31" s="399"/>
      <c r="P31" s="399"/>
      <c r="Q31" s="399"/>
      <c r="Y31" s="260"/>
      <c r="Z31" s="498" t="s">
        <v>316</v>
      </c>
      <c r="AA31" s="240" t="str">
        <f t="shared" ref="AA31:AA32" si="12">"+0%"</f>
        <v>+0%</v>
      </c>
      <c r="AB31" s="456"/>
      <c r="AC31" s="436" t="str">
        <f t="shared" si="5"/>
        <v/>
      </c>
      <c r="AD31" s="437">
        <f>+30%</f>
        <v>0.3</v>
      </c>
      <c r="AE31" s="436" t="str">
        <f t="shared" si="6"/>
        <v>+30%</v>
      </c>
      <c r="AF31" s="437">
        <f>+50%</f>
        <v>0.5</v>
      </c>
      <c r="AG31" s="436" t="str">
        <f t="shared" si="7"/>
        <v>+50%</v>
      </c>
      <c r="AH31" s="437">
        <f>+150%</f>
        <v>1.5</v>
      </c>
      <c r="AI31" s="436" t="str">
        <f t="shared" si="8"/>
        <v>+150%</v>
      </c>
      <c r="AJ31" s="437">
        <f>+500%</f>
        <v>5</v>
      </c>
      <c r="AK31" s="436" t="str">
        <f t="shared" si="9"/>
        <v>+500%</v>
      </c>
      <c r="AL31" s="437">
        <f>+800%</f>
        <v>8</v>
      </c>
      <c r="AM31" s="436" t="str">
        <f t="shared" si="10"/>
        <v>+800%</v>
      </c>
    </row>
    <row r="32">
      <c r="A32" s="487"/>
      <c r="H32" s="397">
        <f t="shared" si="3"/>
        <v>30</v>
      </c>
      <c r="I32" s="397">
        <f t="shared" si="4"/>
        <v>102</v>
      </c>
      <c r="J32" s="398">
        <f t="shared" si="1"/>
        <v>0.31</v>
      </c>
      <c r="K32" s="399" t="str">
        <f t="shared" si="2"/>
        <v>30 | 31% | Cost 102 ⧌ | Next 105 ⧌</v>
      </c>
      <c r="L32" s="260"/>
      <c r="N32" s="399"/>
      <c r="O32" s="399"/>
      <c r="P32" s="399"/>
      <c r="Q32" s="399"/>
      <c r="Y32" s="260"/>
      <c r="Z32" s="498" t="s">
        <v>318</v>
      </c>
      <c r="AA32" s="240" t="str">
        <f t="shared" si="12"/>
        <v>+0%</v>
      </c>
      <c r="AB32" s="456"/>
      <c r="AC32" s="436" t="str">
        <f t="shared" si="5"/>
        <v/>
      </c>
      <c r="AD32" s="451">
        <f>+1.5%</f>
        <v>0.015</v>
      </c>
      <c r="AE32" s="436" t="str">
        <f t="shared" si="6"/>
        <v>+2%</v>
      </c>
      <c r="AF32" s="437">
        <f>+3%</f>
        <v>0.03</v>
      </c>
      <c r="AG32" s="436" t="str">
        <f t="shared" si="7"/>
        <v>+3%</v>
      </c>
      <c r="AH32" s="437">
        <f>+6%</f>
        <v>0.06</v>
      </c>
      <c r="AI32" s="436" t="str">
        <f t="shared" si="8"/>
        <v>+6%</v>
      </c>
      <c r="AJ32" s="437">
        <v>0.09</v>
      </c>
      <c r="AK32" s="436" t="str">
        <f t="shared" si="9"/>
        <v>+9%</v>
      </c>
      <c r="AL32" s="437">
        <f>+12%</f>
        <v>0.12</v>
      </c>
      <c r="AM32" s="436" t="str">
        <f t="shared" si="10"/>
        <v>+12%</v>
      </c>
    </row>
    <row r="33">
      <c r="A33" s="487"/>
      <c r="H33" s="397">
        <f t="shared" si="3"/>
        <v>31</v>
      </c>
      <c r="I33" s="397">
        <f t="shared" si="4"/>
        <v>105</v>
      </c>
      <c r="J33" s="398">
        <f t="shared" si="1"/>
        <v>0.32</v>
      </c>
      <c r="K33" s="399" t="str">
        <f t="shared" si="2"/>
        <v>31 | 32% | Cost 105 ⧌ | Next 108 ⧌</v>
      </c>
      <c r="L33" s="260"/>
      <c r="N33" s="399"/>
      <c r="O33" s="399"/>
      <c r="P33" s="399"/>
      <c r="Q33" s="399"/>
      <c r="Y33" s="260"/>
      <c r="Z33" s="498" t="s">
        <v>319</v>
      </c>
      <c r="AA33" s="441" t="s">
        <v>337</v>
      </c>
      <c r="AB33" s="456"/>
      <c r="AC33" s="436" t="str">
        <f t="shared" si="5"/>
        <v/>
      </c>
      <c r="AD33" s="437">
        <f>+0.1</f>
        <v>0.1</v>
      </c>
      <c r="AE33" s="436" t="str">
        <f t="shared" si="6"/>
        <v>+0.10</v>
      </c>
      <c r="AF33" s="437">
        <f>+0.15</f>
        <v>0.15</v>
      </c>
      <c r="AG33" s="436" t="str">
        <f t="shared" si="7"/>
        <v>+0.15</v>
      </c>
      <c r="AH33" s="437">
        <f>+0.3</f>
        <v>0.3</v>
      </c>
      <c r="AI33" s="436" t="str">
        <f t="shared" si="8"/>
        <v>+0.30</v>
      </c>
      <c r="AJ33" s="437">
        <f>+0.75</f>
        <v>0.75</v>
      </c>
      <c r="AK33" s="436" t="str">
        <f t="shared" si="9"/>
        <v>+0.75</v>
      </c>
      <c r="AL33" s="437">
        <f>+1</f>
        <v>1</v>
      </c>
      <c r="AM33" s="436" t="str">
        <f t="shared" si="10"/>
        <v>+1</v>
      </c>
    </row>
    <row r="34">
      <c r="A34" s="487"/>
      <c r="H34" s="397">
        <f t="shared" si="3"/>
        <v>32</v>
      </c>
      <c r="I34" s="397">
        <f t="shared" si="4"/>
        <v>108</v>
      </c>
      <c r="J34" s="398">
        <f t="shared" si="1"/>
        <v>0.33</v>
      </c>
      <c r="K34" s="399" t="str">
        <f t="shared" si="2"/>
        <v>32 | 33% | Cost 108 ⧌ | Next 111 ⧌</v>
      </c>
      <c r="L34" s="260"/>
      <c r="N34" s="399"/>
      <c r="O34" s="399"/>
      <c r="P34" s="399"/>
      <c r="Q34" s="399"/>
      <c r="Y34" s="260"/>
      <c r="Z34" s="498" t="s">
        <v>203</v>
      </c>
      <c r="AA34" s="441" t="s">
        <v>338</v>
      </c>
      <c r="AB34" s="456"/>
      <c r="AC34" s="436" t="str">
        <f t="shared" si="5"/>
        <v/>
      </c>
      <c r="AD34" s="456"/>
      <c r="AE34" s="436" t="str">
        <f t="shared" si="6"/>
        <v/>
      </c>
      <c r="AF34" s="456"/>
      <c r="AG34" s="436" t="str">
        <f t="shared" si="7"/>
        <v/>
      </c>
      <c r="AH34" s="437">
        <f>+1.5%</f>
        <v>0.015</v>
      </c>
      <c r="AI34" s="436" t="str">
        <f t="shared" si="8"/>
        <v>+1.5%</v>
      </c>
      <c r="AJ34" s="437">
        <v>0.035</v>
      </c>
      <c r="AK34" s="436" t="str">
        <f t="shared" si="9"/>
        <v>+3.5%</v>
      </c>
      <c r="AL34" s="437">
        <v>0.05</v>
      </c>
      <c r="AM34" s="436" t="str">
        <f t="shared" si="10"/>
        <v>+5%</v>
      </c>
    </row>
    <row r="35">
      <c r="A35" s="487"/>
      <c r="H35" s="397">
        <f t="shared" si="3"/>
        <v>33</v>
      </c>
      <c r="I35" s="397">
        <f t="shared" si="4"/>
        <v>111</v>
      </c>
      <c r="J35" s="398">
        <f t="shared" si="1"/>
        <v>0.34</v>
      </c>
      <c r="K35" s="399" t="str">
        <f t="shared" si="2"/>
        <v>33 | 34% | Cost 111 ⧌ | Next 114 ⧌</v>
      </c>
      <c r="L35" s="260"/>
      <c r="N35" s="399"/>
      <c r="O35" s="399"/>
      <c r="P35" s="399"/>
      <c r="Q35" s="399"/>
      <c r="Y35" s="260"/>
      <c r="Z35" s="498" t="s">
        <v>201</v>
      </c>
      <c r="AA35" s="240" t="str">
        <f>"+0%"</f>
        <v>+0%</v>
      </c>
      <c r="AB35" s="456"/>
      <c r="AC35" s="436" t="str">
        <f t="shared" si="5"/>
        <v/>
      </c>
      <c r="AD35" s="456"/>
      <c r="AE35" s="436" t="str">
        <f t="shared" si="6"/>
        <v/>
      </c>
      <c r="AF35" s="437">
        <f>+20%</f>
        <v>0.2</v>
      </c>
      <c r="AG35" s="436" t="str">
        <f t="shared" si="7"/>
        <v>+20%</v>
      </c>
      <c r="AH35" s="437">
        <f>+40%</f>
        <v>0.4</v>
      </c>
      <c r="AI35" s="436" t="str">
        <f t="shared" si="8"/>
        <v>+40%</v>
      </c>
      <c r="AJ35" s="437">
        <v>0.9</v>
      </c>
      <c r="AK35" s="436" t="str">
        <f t="shared" si="9"/>
        <v>+90%</v>
      </c>
      <c r="AL35" s="437">
        <v>1.2</v>
      </c>
      <c r="AM35" s="436" t="str">
        <f t="shared" si="10"/>
        <v>+120%</v>
      </c>
    </row>
    <row r="36">
      <c r="A36" s="487"/>
      <c r="H36" s="397">
        <f t="shared" si="3"/>
        <v>34</v>
      </c>
      <c r="I36" s="397">
        <f t="shared" si="4"/>
        <v>114</v>
      </c>
      <c r="J36" s="398">
        <f t="shared" si="1"/>
        <v>0.35</v>
      </c>
      <c r="K36" s="399" t="str">
        <f t="shared" si="2"/>
        <v>34 | 35% | Cost 114 ⧌ | Next 117 ⧌</v>
      </c>
      <c r="L36" s="260"/>
      <c r="N36" s="399"/>
      <c r="O36" s="399"/>
      <c r="P36" s="399"/>
      <c r="Q36" s="399"/>
      <c r="Y36" s="260"/>
      <c r="Z36" s="503" t="s">
        <v>326</v>
      </c>
      <c r="AA36" s="504" t="s">
        <v>336</v>
      </c>
      <c r="AB36" s="484"/>
      <c r="AC36" s="485" t="str">
        <f t="shared" si="5"/>
        <v/>
      </c>
      <c r="AD36" s="484"/>
      <c r="AE36" s="485" t="str">
        <f t="shared" si="6"/>
        <v/>
      </c>
      <c r="AF36" s="505">
        <v>-20.0</v>
      </c>
      <c r="AG36" s="485" t="str">
        <f t="shared" si="7"/>
        <v>-20s</v>
      </c>
      <c r="AH36" s="505">
        <v>-40.0</v>
      </c>
      <c r="AI36" s="485" t="str">
        <f t="shared" si="8"/>
        <v>-40s</v>
      </c>
      <c r="AJ36" s="505">
        <v>-80.0</v>
      </c>
      <c r="AK36" s="485" t="str">
        <f t="shared" si="9"/>
        <v>-80s</v>
      </c>
      <c r="AL36" s="505">
        <v>-100.0</v>
      </c>
      <c r="AM36" s="485" t="str">
        <f t="shared" si="10"/>
        <v>-100s</v>
      </c>
    </row>
    <row r="37">
      <c r="A37" s="487"/>
      <c r="H37" s="397">
        <f t="shared" si="3"/>
        <v>35</v>
      </c>
      <c r="I37" s="397">
        <f t="shared" si="4"/>
        <v>117</v>
      </c>
      <c r="J37" s="398">
        <f t="shared" si="1"/>
        <v>0.36</v>
      </c>
      <c r="K37" s="399" t="str">
        <f t="shared" si="2"/>
        <v>35 | 36% | Cost 117 ⧌ | Next 120 ⧌</v>
      </c>
      <c r="L37" s="260"/>
      <c r="N37" s="399"/>
      <c r="O37" s="399"/>
      <c r="P37" s="399"/>
      <c r="Q37" s="399"/>
      <c r="Y37" s="249"/>
      <c r="Z37" s="506" t="s">
        <v>339</v>
      </c>
      <c r="AA37" s="507" t="s">
        <v>340</v>
      </c>
      <c r="AB37" s="424">
        <v>0.1</v>
      </c>
      <c r="AC37" s="425" t="str">
        <f t="shared" si="5"/>
        <v>+0.1x</v>
      </c>
      <c r="AD37" s="424">
        <v>0.2</v>
      </c>
      <c r="AE37" s="425" t="str">
        <f t="shared" si="6"/>
        <v>+0.2x</v>
      </c>
      <c r="AF37" s="424">
        <v>0.3</v>
      </c>
      <c r="AG37" s="425" t="str">
        <f t="shared" si="7"/>
        <v>+0.3x</v>
      </c>
      <c r="AH37" s="424">
        <v>0.5</v>
      </c>
      <c r="AI37" s="425" t="str">
        <f t="shared" si="8"/>
        <v>+0.5x</v>
      </c>
      <c r="AJ37" s="424">
        <v>1.2</v>
      </c>
      <c r="AK37" s="425" t="str">
        <f t="shared" si="9"/>
        <v>+1.2x</v>
      </c>
      <c r="AL37" s="424">
        <v>2.5</v>
      </c>
      <c r="AM37" s="425" t="str">
        <f t="shared" si="10"/>
        <v>+2.5x</v>
      </c>
    </row>
    <row r="38">
      <c r="A38" s="487"/>
      <c r="H38" s="397">
        <f t="shared" si="3"/>
        <v>36</v>
      </c>
      <c r="I38" s="397">
        <f t="shared" si="4"/>
        <v>120</v>
      </c>
      <c r="J38" s="398">
        <f t="shared" si="1"/>
        <v>0.37</v>
      </c>
      <c r="K38" s="399" t="str">
        <f t="shared" si="2"/>
        <v>36 | 37% | Cost 120 ⧌ | Next 123 ⧌</v>
      </c>
      <c r="L38" s="260"/>
      <c r="N38" s="399"/>
      <c r="O38" s="399"/>
      <c r="P38" s="399"/>
      <c r="Q38" s="399"/>
      <c r="Y38" s="260"/>
      <c r="Z38" s="508" t="s">
        <v>291</v>
      </c>
      <c r="AA38" s="240" t="str">
        <f>"+0"</f>
        <v>+0</v>
      </c>
      <c r="AB38" s="456">
        <f>+30</f>
        <v>30</v>
      </c>
      <c r="AC38" s="436" t="str">
        <f t="shared" si="5"/>
        <v>+30</v>
      </c>
      <c r="AD38" s="456">
        <f>+50</f>
        <v>50</v>
      </c>
      <c r="AE38" s="436" t="str">
        <f t="shared" si="6"/>
        <v>+50</v>
      </c>
      <c r="AF38" s="456">
        <f>+100</f>
        <v>100</v>
      </c>
      <c r="AG38" s="436" t="str">
        <f t="shared" si="7"/>
        <v>+100</v>
      </c>
      <c r="AH38" s="456">
        <f>+200</f>
        <v>200</v>
      </c>
      <c r="AI38" s="436" t="str">
        <f t="shared" si="8"/>
        <v>+200</v>
      </c>
      <c r="AJ38" s="456">
        <f>+500</f>
        <v>500</v>
      </c>
      <c r="AK38" s="436" t="str">
        <f t="shared" si="9"/>
        <v>+500</v>
      </c>
      <c r="AL38" s="456">
        <f>+1000</f>
        <v>1000</v>
      </c>
      <c r="AM38" s="436" t="str">
        <f t="shared" si="10"/>
        <v>+1000</v>
      </c>
    </row>
    <row r="39">
      <c r="A39" s="487"/>
      <c r="H39" s="397">
        <f t="shared" si="3"/>
        <v>37</v>
      </c>
      <c r="I39" s="397">
        <f t="shared" si="4"/>
        <v>123</v>
      </c>
      <c r="J39" s="398">
        <f t="shared" si="1"/>
        <v>0.38</v>
      </c>
      <c r="K39" s="399" t="str">
        <f t="shared" si="2"/>
        <v>37 | 38% | Cost 123 ⧌ | Next 126 ⧌</v>
      </c>
      <c r="L39" s="260"/>
      <c r="N39" s="399"/>
      <c r="O39" s="399"/>
      <c r="P39" s="399"/>
      <c r="Q39" s="399"/>
      <c r="Y39" s="249"/>
      <c r="Z39" s="509" t="s">
        <v>213</v>
      </c>
      <c r="AA39" s="441" t="s">
        <v>293</v>
      </c>
      <c r="AB39" s="435">
        <v>0.1</v>
      </c>
      <c r="AC39" s="436" t="str">
        <f t="shared" si="5"/>
        <v>+0.1x</v>
      </c>
      <c r="AD39" s="435">
        <v>0.2</v>
      </c>
      <c r="AE39" s="436" t="str">
        <f t="shared" si="6"/>
        <v>+0.2x</v>
      </c>
      <c r="AF39" s="435">
        <v>0.3</v>
      </c>
      <c r="AG39" s="436" t="str">
        <f t="shared" si="7"/>
        <v>+0.3x</v>
      </c>
      <c r="AH39" s="435">
        <v>0.4</v>
      </c>
      <c r="AI39" s="436" t="str">
        <f t="shared" si="8"/>
        <v>+0.4x</v>
      </c>
      <c r="AJ39" s="435">
        <v>0.5</v>
      </c>
      <c r="AK39" s="436" t="str">
        <f t="shared" si="9"/>
        <v>+0.5x</v>
      </c>
      <c r="AL39" s="435">
        <v>0.6</v>
      </c>
      <c r="AM39" s="436" t="str">
        <f t="shared" si="10"/>
        <v>+0.6x</v>
      </c>
    </row>
    <row r="40">
      <c r="A40" s="487"/>
      <c r="H40" s="397">
        <f t="shared" si="3"/>
        <v>38</v>
      </c>
      <c r="I40" s="397">
        <f t="shared" si="4"/>
        <v>126</v>
      </c>
      <c r="J40" s="398">
        <f t="shared" si="1"/>
        <v>0.39</v>
      </c>
      <c r="K40" s="399" t="str">
        <f t="shared" si="2"/>
        <v>38 | 39% | Cost 126 ⧌ | Next 129 ⧌</v>
      </c>
      <c r="L40" s="260"/>
      <c r="N40" s="399"/>
      <c r="O40" s="399"/>
      <c r="P40" s="399"/>
      <c r="Q40" s="399"/>
      <c r="Y40" s="249"/>
      <c r="Z40" s="509" t="s">
        <v>299</v>
      </c>
      <c r="AA40" s="240" t="str">
        <f>"+0"</f>
        <v>+0</v>
      </c>
      <c r="AB40" s="456">
        <f>+20</f>
        <v>20</v>
      </c>
      <c r="AC40" s="436" t="str">
        <f t="shared" si="5"/>
        <v>+20</v>
      </c>
      <c r="AD40" s="456">
        <f>+35</f>
        <v>35</v>
      </c>
      <c r="AE40" s="436" t="str">
        <f t="shared" si="6"/>
        <v>+35</v>
      </c>
      <c r="AF40" s="456">
        <f>+60</f>
        <v>60</v>
      </c>
      <c r="AG40" s="436" t="str">
        <f t="shared" si="7"/>
        <v>+60</v>
      </c>
      <c r="AH40" s="456">
        <f>+120</f>
        <v>120</v>
      </c>
      <c r="AI40" s="436" t="str">
        <f t="shared" si="8"/>
        <v>+120</v>
      </c>
      <c r="AJ40" s="456">
        <f>+200</f>
        <v>200</v>
      </c>
      <c r="AK40" s="436" t="str">
        <f t="shared" si="9"/>
        <v>+200</v>
      </c>
      <c r="AL40" s="456">
        <f>+350</f>
        <v>350</v>
      </c>
      <c r="AM40" s="436" t="str">
        <f t="shared" si="10"/>
        <v>+350</v>
      </c>
    </row>
    <row r="41">
      <c r="A41" s="487"/>
      <c r="H41" s="397">
        <f t="shared" si="3"/>
        <v>39</v>
      </c>
      <c r="I41" s="397">
        <f t="shared" si="4"/>
        <v>129</v>
      </c>
      <c r="J41" s="398">
        <f t="shared" si="1"/>
        <v>0.4</v>
      </c>
      <c r="K41" s="399" t="str">
        <f t="shared" si="2"/>
        <v>39 | 40% | Cost 129 ⧌ | Next 132 ⧌</v>
      </c>
      <c r="L41" s="260"/>
      <c r="N41" s="399"/>
      <c r="O41" s="399"/>
      <c r="P41" s="399"/>
      <c r="Q41" s="399"/>
      <c r="Y41" s="260"/>
      <c r="Z41" s="508" t="s">
        <v>219</v>
      </c>
      <c r="AA41" s="240" t="str">
        <f t="shared" ref="AA41:AA45" si="13">"+0%"</f>
        <v>+0%</v>
      </c>
      <c r="AB41" s="456">
        <f t="shared" ref="AB41:AB43" si="14">+2%</f>
        <v>0.02</v>
      </c>
      <c r="AC41" s="436" t="str">
        <f t="shared" si="5"/>
        <v>+2%</v>
      </c>
      <c r="AD41" s="456">
        <f t="shared" ref="AD41:AD43" si="15">+4%</f>
        <v>0.04</v>
      </c>
      <c r="AE41" s="436" t="str">
        <f t="shared" si="6"/>
        <v>+4%</v>
      </c>
      <c r="AF41" s="456">
        <f t="shared" ref="AF41:AF43" si="16">+6%</f>
        <v>0.06</v>
      </c>
      <c r="AG41" s="436" t="str">
        <f t="shared" si="7"/>
        <v>+6%</v>
      </c>
      <c r="AH41" s="456">
        <f t="shared" ref="AH41:AH43" si="17">+8%</f>
        <v>0.08</v>
      </c>
      <c r="AI41" s="436" t="str">
        <f t="shared" si="8"/>
        <v>+8%</v>
      </c>
      <c r="AJ41" s="456">
        <f t="shared" ref="AJ41:AJ43" si="18">+10%</f>
        <v>0.1</v>
      </c>
      <c r="AK41" s="436" t="str">
        <f t="shared" si="9"/>
        <v>+10%</v>
      </c>
      <c r="AL41" s="456">
        <f t="shared" ref="AL41:AL43" si="19">+12%</f>
        <v>0.12</v>
      </c>
      <c r="AM41" s="436" t="str">
        <f t="shared" si="10"/>
        <v>+12%</v>
      </c>
    </row>
    <row r="42">
      <c r="A42" s="487"/>
      <c r="H42" s="397">
        <f t="shared" si="3"/>
        <v>40</v>
      </c>
      <c r="I42" s="397">
        <f t="shared" si="4"/>
        <v>132</v>
      </c>
      <c r="J42" s="398">
        <f t="shared" si="1"/>
        <v>0.41</v>
      </c>
      <c r="K42" s="399" t="str">
        <f t="shared" si="2"/>
        <v>40 | 41% | Cost 132 ⧌ | Next 135 ⧌</v>
      </c>
      <c r="L42" s="260"/>
      <c r="N42" s="399"/>
      <c r="O42" s="399"/>
      <c r="P42" s="399"/>
      <c r="Q42" s="399"/>
      <c r="Y42" s="260"/>
      <c r="Z42" s="508" t="s">
        <v>218</v>
      </c>
      <c r="AA42" s="240" t="str">
        <f t="shared" si="13"/>
        <v>+0%</v>
      </c>
      <c r="AB42" s="456">
        <f t="shared" si="14"/>
        <v>0.02</v>
      </c>
      <c r="AC42" s="436" t="str">
        <f t="shared" si="5"/>
        <v>+2%</v>
      </c>
      <c r="AD42" s="456">
        <f t="shared" si="15"/>
        <v>0.04</v>
      </c>
      <c r="AE42" s="436" t="str">
        <f t="shared" si="6"/>
        <v>+4%</v>
      </c>
      <c r="AF42" s="456">
        <f t="shared" si="16"/>
        <v>0.06</v>
      </c>
      <c r="AG42" s="436" t="str">
        <f t="shared" si="7"/>
        <v>+6%</v>
      </c>
      <c r="AH42" s="456">
        <f t="shared" si="17"/>
        <v>0.08</v>
      </c>
      <c r="AI42" s="436" t="str">
        <f t="shared" si="8"/>
        <v>+8%</v>
      </c>
      <c r="AJ42" s="456">
        <f t="shared" si="18"/>
        <v>0.1</v>
      </c>
      <c r="AK42" s="436" t="str">
        <f t="shared" si="9"/>
        <v>+10%</v>
      </c>
      <c r="AL42" s="456">
        <f t="shared" si="19"/>
        <v>0.12</v>
      </c>
      <c r="AM42" s="436" t="str">
        <f t="shared" si="10"/>
        <v>+12%</v>
      </c>
    </row>
    <row r="43">
      <c r="A43" s="487"/>
      <c r="H43" s="397">
        <f t="shared" si="3"/>
        <v>41</v>
      </c>
      <c r="I43" s="397">
        <f t="shared" si="4"/>
        <v>135</v>
      </c>
      <c r="J43" s="398">
        <f t="shared" si="1"/>
        <v>0.42</v>
      </c>
      <c r="K43" s="399" t="str">
        <f t="shared" si="2"/>
        <v>41 | 42% | Cost 135 ⧌ | Next 138 ⧌</v>
      </c>
      <c r="L43" s="260"/>
      <c r="N43" s="399"/>
      <c r="O43" s="399"/>
      <c r="P43" s="399"/>
      <c r="Q43" s="399"/>
      <c r="Y43" s="260"/>
      <c r="Z43" s="508" t="s">
        <v>215</v>
      </c>
      <c r="AA43" s="240" t="str">
        <f t="shared" si="13"/>
        <v>+0%</v>
      </c>
      <c r="AB43" s="456">
        <f t="shared" si="14"/>
        <v>0.02</v>
      </c>
      <c r="AC43" s="436" t="str">
        <f t="shared" si="5"/>
        <v>+2%</v>
      </c>
      <c r="AD43" s="456">
        <f t="shared" si="15"/>
        <v>0.04</v>
      </c>
      <c r="AE43" s="436" t="str">
        <f t="shared" si="6"/>
        <v>+4%</v>
      </c>
      <c r="AF43" s="456">
        <f t="shared" si="16"/>
        <v>0.06</v>
      </c>
      <c r="AG43" s="436" t="str">
        <f t="shared" si="7"/>
        <v>+6%</v>
      </c>
      <c r="AH43" s="456">
        <f t="shared" si="17"/>
        <v>0.08</v>
      </c>
      <c r="AI43" s="436" t="str">
        <f t="shared" si="8"/>
        <v>+8%</v>
      </c>
      <c r="AJ43" s="456">
        <f t="shared" si="18"/>
        <v>0.1</v>
      </c>
      <c r="AK43" s="436" t="str">
        <f t="shared" si="9"/>
        <v>+10%</v>
      </c>
      <c r="AL43" s="456">
        <f t="shared" si="19"/>
        <v>0.12</v>
      </c>
      <c r="AM43" s="436" t="str">
        <f t="shared" si="10"/>
        <v>+12%</v>
      </c>
    </row>
    <row r="44">
      <c r="A44" s="487"/>
      <c r="H44" s="397">
        <f t="shared" si="3"/>
        <v>42</v>
      </c>
      <c r="I44" s="397">
        <f t="shared" si="4"/>
        <v>138</v>
      </c>
      <c r="J44" s="398">
        <f t="shared" si="1"/>
        <v>0.43</v>
      </c>
      <c r="K44" s="399" t="str">
        <f t="shared" si="2"/>
        <v>42 | 43% | Cost 138 ⧌ | Next 141 ⧌</v>
      </c>
      <c r="L44" s="260"/>
      <c r="N44" s="399"/>
      <c r="O44" s="399"/>
      <c r="P44" s="399"/>
      <c r="Q44" s="399"/>
      <c r="Y44" s="249"/>
      <c r="Z44" s="509" t="s">
        <v>306</v>
      </c>
      <c r="AA44" s="240" t="str">
        <f t="shared" si="13"/>
        <v>+0%</v>
      </c>
      <c r="AB44" s="456"/>
      <c r="AC44" s="436" t="str">
        <f t="shared" si="5"/>
        <v/>
      </c>
      <c r="AD44" s="456"/>
      <c r="AE44" s="436" t="str">
        <f t="shared" si="6"/>
        <v/>
      </c>
      <c r="AF44" s="456">
        <f>+2%</f>
        <v>0.02</v>
      </c>
      <c r="AG44" s="436" t="str">
        <f t="shared" si="7"/>
        <v>+2%</v>
      </c>
      <c r="AH44" s="456">
        <f>+4%</f>
        <v>0.04</v>
      </c>
      <c r="AI44" s="436" t="str">
        <f t="shared" si="8"/>
        <v>+4%</v>
      </c>
      <c r="AJ44" s="456">
        <f>+6%</f>
        <v>0.06</v>
      </c>
      <c r="AK44" s="436" t="str">
        <f t="shared" si="9"/>
        <v>+6%</v>
      </c>
      <c r="AL44" s="456">
        <f>+8%</f>
        <v>0.08</v>
      </c>
      <c r="AM44" s="436" t="str">
        <f t="shared" si="10"/>
        <v>+8%</v>
      </c>
    </row>
    <row r="45">
      <c r="A45" s="487"/>
      <c r="H45" s="397">
        <f t="shared" si="3"/>
        <v>43</v>
      </c>
      <c r="I45" s="397">
        <f t="shared" si="4"/>
        <v>141</v>
      </c>
      <c r="J45" s="398">
        <f t="shared" si="1"/>
        <v>0.44</v>
      </c>
      <c r="K45" s="399" t="str">
        <f t="shared" si="2"/>
        <v>43 | 44% | Cost 141 ⧌ | Next 144 ⧌</v>
      </c>
      <c r="L45" s="260"/>
      <c r="N45" s="399"/>
      <c r="O45" s="399"/>
      <c r="P45" s="399"/>
      <c r="Q45" s="399"/>
      <c r="Y45" s="260"/>
      <c r="Z45" s="508" t="s">
        <v>310</v>
      </c>
      <c r="AA45" s="240" t="str">
        <f t="shared" si="13"/>
        <v>+0%</v>
      </c>
      <c r="AB45" s="456"/>
      <c r="AC45" s="436" t="str">
        <f t="shared" si="5"/>
        <v/>
      </c>
      <c r="AD45" s="456"/>
      <c r="AE45" s="436" t="str">
        <f t="shared" si="6"/>
        <v/>
      </c>
      <c r="AF45" s="456">
        <f>+3%</f>
        <v>0.03</v>
      </c>
      <c r="AG45" s="436" t="str">
        <f t="shared" si="7"/>
        <v>+3%</v>
      </c>
      <c r="AH45" s="456">
        <f>+5%</f>
        <v>0.05</v>
      </c>
      <c r="AI45" s="436" t="str">
        <f t="shared" si="8"/>
        <v>+5%</v>
      </c>
      <c r="AJ45" s="456">
        <f>+7%</f>
        <v>0.07</v>
      </c>
      <c r="AK45" s="436" t="str">
        <f t="shared" si="9"/>
        <v>+7%</v>
      </c>
      <c r="AL45" s="456">
        <f>+10%</f>
        <v>0.1</v>
      </c>
      <c r="AM45" s="436" t="str">
        <f t="shared" si="10"/>
        <v>+10%</v>
      </c>
    </row>
    <row r="46">
      <c r="A46" s="487"/>
      <c r="H46" s="397">
        <f t="shared" si="3"/>
        <v>44</v>
      </c>
      <c r="I46" s="397">
        <f t="shared" si="4"/>
        <v>144</v>
      </c>
      <c r="J46" s="398">
        <f t="shared" si="1"/>
        <v>0.45</v>
      </c>
      <c r="K46" s="399" t="str">
        <f t="shared" si="2"/>
        <v>44 | 45% | Cost 144 ⧌ | Next 147 ⧌</v>
      </c>
      <c r="L46" s="260"/>
      <c r="N46" s="399"/>
      <c r="O46" s="399"/>
      <c r="P46" s="399"/>
      <c r="Q46" s="399"/>
      <c r="Y46" s="260"/>
      <c r="Z46" s="508" t="s">
        <v>312</v>
      </c>
      <c r="AA46" s="441" t="s">
        <v>341</v>
      </c>
      <c r="AB46" s="456"/>
      <c r="AC46" s="436" t="str">
        <f t="shared" si="5"/>
        <v/>
      </c>
      <c r="AD46" s="456"/>
      <c r="AE46" s="436" t="str">
        <f t="shared" si="6"/>
        <v/>
      </c>
      <c r="AF46" s="435">
        <v>0.4</v>
      </c>
      <c r="AG46" s="436" t="str">
        <f t="shared" si="7"/>
        <v>+0.4x</v>
      </c>
      <c r="AH46" s="435">
        <v>0.7</v>
      </c>
      <c r="AI46" s="436" t="str">
        <f t="shared" si="8"/>
        <v>+0.7x</v>
      </c>
      <c r="AJ46" s="435">
        <v>1.0</v>
      </c>
      <c r="AK46" s="436" t="str">
        <f t="shared" si="9"/>
        <v>+1x</v>
      </c>
      <c r="AL46" s="435">
        <v>1.5</v>
      </c>
      <c r="AM46" s="436" t="str">
        <f t="shared" si="10"/>
        <v>+1.5x</v>
      </c>
    </row>
    <row r="47">
      <c r="A47" s="487"/>
      <c r="H47" s="397">
        <f t="shared" si="3"/>
        <v>45</v>
      </c>
      <c r="I47" s="397">
        <f t="shared" si="4"/>
        <v>147</v>
      </c>
      <c r="J47" s="398">
        <f t="shared" si="1"/>
        <v>0.46</v>
      </c>
      <c r="K47" s="399" t="str">
        <f t="shared" si="2"/>
        <v>45 | 46% | Cost 147 ⧌ | Next 150 ⧌</v>
      </c>
      <c r="L47" s="260"/>
      <c r="N47" s="399"/>
      <c r="O47" s="399"/>
      <c r="P47" s="399"/>
      <c r="Q47" s="399"/>
      <c r="Y47" s="260"/>
      <c r="Z47" s="508" t="s">
        <v>214</v>
      </c>
      <c r="AA47" s="240" t="str">
        <f t="shared" ref="AA47:AA49" si="20">"+0%"</f>
        <v>+0%</v>
      </c>
      <c r="AB47" s="456"/>
      <c r="AC47" s="436" t="str">
        <f t="shared" si="5"/>
        <v/>
      </c>
      <c r="AD47" s="456"/>
      <c r="AE47" s="436" t="str">
        <f t="shared" si="6"/>
        <v/>
      </c>
      <c r="AF47" s="456">
        <f>+5%</f>
        <v>0.05</v>
      </c>
      <c r="AG47" s="436" t="str">
        <f t="shared" si="7"/>
        <v>+5%</v>
      </c>
      <c r="AH47" s="456">
        <f>+8%</f>
        <v>0.08</v>
      </c>
      <c r="AI47" s="436" t="str">
        <f t="shared" si="8"/>
        <v>+8%</v>
      </c>
      <c r="AJ47" s="456">
        <f>+11%</f>
        <v>0.11</v>
      </c>
      <c r="AK47" s="436" t="str">
        <f t="shared" si="9"/>
        <v>+11%</v>
      </c>
      <c r="AL47" s="456">
        <f>+15%</f>
        <v>0.15</v>
      </c>
      <c r="AM47" s="436" t="str">
        <f t="shared" si="10"/>
        <v>+15%</v>
      </c>
    </row>
    <row r="48">
      <c r="A48" s="487"/>
      <c r="H48" s="397">
        <f t="shared" si="3"/>
        <v>46</v>
      </c>
      <c r="I48" s="397">
        <f t="shared" si="4"/>
        <v>150</v>
      </c>
      <c r="J48" s="398">
        <f t="shared" si="1"/>
        <v>0.47</v>
      </c>
      <c r="K48" s="399" t="str">
        <f t="shared" si="2"/>
        <v>46 | 47% | Cost 150 ⧌ | Next 153 ⧌</v>
      </c>
      <c r="L48" s="260"/>
      <c r="N48" s="399"/>
      <c r="O48" s="399"/>
      <c r="P48" s="399"/>
      <c r="Q48" s="399"/>
      <c r="Y48" s="260"/>
      <c r="Z48" s="508" t="s">
        <v>217</v>
      </c>
      <c r="AA48" s="240" t="str">
        <f t="shared" si="20"/>
        <v>+0%</v>
      </c>
      <c r="AB48" s="456"/>
      <c r="AC48" s="436" t="str">
        <f t="shared" si="5"/>
        <v/>
      </c>
      <c r="AD48" s="456"/>
      <c r="AE48" s="436" t="str">
        <f t="shared" si="6"/>
        <v/>
      </c>
      <c r="AF48" s="456">
        <f t="shared" ref="AF48:AF49" si="21">+2%</f>
        <v>0.02</v>
      </c>
      <c r="AG48" s="436" t="str">
        <f t="shared" si="7"/>
        <v>+2%</v>
      </c>
      <c r="AH48" s="456">
        <f t="shared" ref="AH48:AH49" si="22">+4%</f>
        <v>0.04</v>
      </c>
      <c r="AI48" s="436" t="str">
        <f t="shared" si="8"/>
        <v>+4%</v>
      </c>
      <c r="AJ48" s="456">
        <f t="shared" ref="AJ48:AJ49" si="23">+6%</f>
        <v>0.06</v>
      </c>
      <c r="AK48" s="436" t="str">
        <f t="shared" si="9"/>
        <v>+6%</v>
      </c>
      <c r="AL48" s="456">
        <f t="shared" ref="AL48:AL49" si="24">+8%</f>
        <v>0.08</v>
      </c>
      <c r="AM48" s="436" t="str">
        <f t="shared" si="10"/>
        <v>+8%</v>
      </c>
    </row>
    <row r="49">
      <c r="A49" s="487"/>
      <c r="H49" s="397">
        <f t="shared" si="3"/>
        <v>47</v>
      </c>
      <c r="I49" s="397">
        <f t="shared" si="4"/>
        <v>153</v>
      </c>
      <c r="J49" s="398">
        <f t="shared" si="1"/>
        <v>0.48</v>
      </c>
      <c r="K49" s="399" t="str">
        <f t="shared" si="2"/>
        <v>47 | 48% | Cost 153 ⧌ | Next 156 ⧌</v>
      </c>
      <c r="L49" s="260"/>
      <c r="N49" s="399"/>
      <c r="O49" s="399"/>
      <c r="P49" s="399"/>
      <c r="Q49" s="399"/>
      <c r="Y49" s="260"/>
      <c r="Z49" s="510" t="s">
        <v>216</v>
      </c>
      <c r="AA49" s="483" t="str">
        <f t="shared" si="20"/>
        <v>+0%</v>
      </c>
      <c r="AB49" s="484"/>
      <c r="AC49" s="485" t="str">
        <f t="shared" si="5"/>
        <v/>
      </c>
      <c r="AD49" s="484"/>
      <c r="AE49" s="485" t="str">
        <f t="shared" si="6"/>
        <v/>
      </c>
      <c r="AF49" s="484">
        <f t="shared" si="21"/>
        <v>0.02</v>
      </c>
      <c r="AG49" s="485" t="str">
        <f t="shared" si="7"/>
        <v>+2%</v>
      </c>
      <c r="AH49" s="484">
        <f t="shared" si="22"/>
        <v>0.04</v>
      </c>
      <c r="AI49" s="485" t="str">
        <f t="shared" si="8"/>
        <v>+4%</v>
      </c>
      <c r="AJ49" s="484">
        <f t="shared" si="23"/>
        <v>0.06</v>
      </c>
      <c r="AK49" s="485" t="str">
        <f t="shared" si="9"/>
        <v>+6%</v>
      </c>
      <c r="AL49" s="484">
        <f t="shared" si="24"/>
        <v>0.08</v>
      </c>
      <c r="AM49" s="485" t="str">
        <f t="shared" si="10"/>
        <v>+8%</v>
      </c>
    </row>
    <row r="50">
      <c r="A50" s="487"/>
      <c r="H50" s="397">
        <f t="shared" si="3"/>
        <v>48</v>
      </c>
      <c r="I50" s="397">
        <f t="shared" si="4"/>
        <v>156</v>
      </c>
      <c r="J50" s="398">
        <f t="shared" si="1"/>
        <v>0.49</v>
      </c>
      <c r="K50" s="399" t="str">
        <f t="shared" si="2"/>
        <v>48 | 49% | Cost 156 ⧌ | Next 159 ⧌</v>
      </c>
      <c r="L50" s="260"/>
      <c r="N50" s="399"/>
      <c r="O50" s="399"/>
      <c r="P50" s="399"/>
      <c r="Q50" s="399"/>
      <c r="Y50" s="249"/>
      <c r="Z50" s="511" t="s">
        <v>233</v>
      </c>
      <c r="AA50" s="423" t="s">
        <v>293</v>
      </c>
      <c r="AB50" s="426"/>
      <c r="AC50" s="425" t="str">
        <f t="shared" si="5"/>
        <v/>
      </c>
      <c r="AD50" s="426"/>
      <c r="AE50" s="425" t="str">
        <f t="shared" si="6"/>
        <v/>
      </c>
      <c r="AF50" s="424">
        <v>1.0</v>
      </c>
      <c r="AG50" s="425" t="str">
        <f t="shared" si="7"/>
        <v>+1x</v>
      </c>
      <c r="AH50" s="424">
        <v>2.0</v>
      </c>
      <c r="AI50" s="425" t="str">
        <f t="shared" si="8"/>
        <v>+2x</v>
      </c>
      <c r="AJ50" s="424">
        <v>3.0</v>
      </c>
      <c r="AK50" s="425" t="str">
        <f t="shared" si="9"/>
        <v>+3x</v>
      </c>
      <c r="AL50" s="424">
        <v>4.0</v>
      </c>
      <c r="AM50" s="425" t="str">
        <f t="shared" si="10"/>
        <v>+4x</v>
      </c>
    </row>
    <row r="51">
      <c r="A51" s="512"/>
      <c r="H51" s="397">
        <f t="shared" si="3"/>
        <v>49</v>
      </c>
      <c r="I51" s="397">
        <f t="shared" si="4"/>
        <v>159</v>
      </c>
      <c r="J51" s="398">
        <f t="shared" si="1"/>
        <v>0.5</v>
      </c>
      <c r="K51" s="399" t="str">
        <f t="shared" si="2"/>
        <v>49 | 50% | Cost 159 ⧌ | Next 162 ⧌</v>
      </c>
      <c r="L51" s="260"/>
      <c r="N51" s="399"/>
      <c r="O51" s="399"/>
      <c r="P51" s="399"/>
      <c r="Q51" s="399"/>
      <c r="Y51" s="260"/>
      <c r="Z51" s="513" t="s">
        <v>292</v>
      </c>
      <c r="AA51" s="447" t="s">
        <v>342</v>
      </c>
      <c r="AB51" s="456"/>
      <c r="AC51" s="436" t="str">
        <f t="shared" si="5"/>
        <v/>
      </c>
      <c r="AD51" s="456"/>
      <c r="AE51" s="436" t="str">
        <f t="shared" si="6"/>
        <v/>
      </c>
      <c r="AF51" s="456"/>
      <c r="AG51" s="436" t="str">
        <f t="shared" si="7"/>
        <v/>
      </c>
      <c r="AH51" s="501">
        <v>2.0</v>
      </c>
      <c r="AI51" s="436" t="str">
        <f t="shared" si="8"/>
        <v>+2s</v>
      </c>
      <c r="AJ51" s="501">
        <v>4.0</v>
      </c>
      <c r="AK51" s="436" t="str">
        <f t="shared" si="9"/>
        <v>+4s</v>
      </c>
      <c r="AL51" s="501">
        <v>7.0</v>
      </c>
      <c r="AM51" s="436" t="str">
        <f t="shared" si="10"/>
        <v>+7s</v>
      </c>
    </row>
    <row r="52">
      <c r="A52" s="512"/>
      <c r="H52" s="397">
        <f t="shared" si="3"/>
        <v>50</v>
      </c>
      <c r="I52" s="397">
        <f t="shared" si="4"/>
        <v>162</v>
      </c>
      <c r="J52" s="398">
        <f t="shared" si="1"/>
        <v>0.51</v>
      </c>
      <c r="K52" s="399" t="str">
        <f t="shared" si="2"/>
        <v>50 | 51% | Cost 162 ⧌ | Next 165 ⧌</v>
      </c>
      <c r="L52" s="260"/>
      <c r="N52" s="399"/>
      <c r="O52" s="399"/>
      <c r="P52" s="399"/>
      <c r="Q52" s="399"/>
      <c r="Y52" s="249"/>
      <c r="Z52" s="514" t="s">
        <v>295</v>
      </c>
      <c r="AA52" s="441" t="s">
        <v>336</v>
      </c>
      <c r="AB52" s="456"/>
      <c r="AC52" s="436" t="str">
        <f t="shared" si="5"/>
        <v/>
      </c>
      <c r="AD52" s="456"/>
      <c r="AE52" s="436" t="str">
        <f t="shared" si="6"/>
        <v/>
      </c>
      <c r="AF52" s="456"/>
      <c r="AG52" s="436" t="str">
        <f t="shared" si="7"/>
        <v/>
      </c>
      <c r="AH52" s="501">
        <v>-5.0</v>
      </c>
      <c r="AI52" s="436" t="str">
        <f t="shared" si="8"/>
        <v>-5s</v>
      </c>
      <c r="AJ52" s="501">
        <v>-8.0</v>
      </c>
      <c r="AK52" s="436" t="str">
        <f t="shared" si="9"/>
        <v>-8s</v>
      </c>
      <c r="AL52" s="501">
        <v>-12.0</v>
      </c>
      <c r="AM52" s="436" t="str">
        <f t="shared" si="10"/>
        <v>-12s</v>
      </c>
    </row>
    <row r="53">
      <c r="A53" s="512"/>
      <c r="H53" s="397">
        <f t="shared" si="3"/>
        <v>51</v>
      </c>
      <c r="I53" s="397">
        <f t="shared" si="4"/>
        <v>165</v>
      </c>
      <c r="J53" s="398">
        <f t="shared" si="1"/>
        <v>0.52</v>
      </c>
      <c r="K53" s="399" t="str">
        <f t="shared" si="2"/>
        <v>51 | 52% | Cost 165 ⧌ | Next 168 ⧌</v>
      </c>
      <c r="L53" s="260"/>
      <c r="N53" s="399"/>
      <c r="O53" s="399"/>
      <c r="P53" s="399"/>
      <c r="Q53" s="399"/>
      <c r="Y53" s="249"/>
      <c r="Z53" s="514" t="s">
        <v>237</v>
      </c>
      <c r="AA53" s="447" t="s">
        <v>297</v>
      </c>
      <c r="AB53" s="435">
        <v>2.0</v>
      </c>
      <c r="AC53" s="436" t="str">
        <f t="shared" si="5"/>
        <v>+2.00m</v>
      </c>
      <c r="AD53" s="437">
        <v>4.0</v>
      </c>
      <c r="AE53" s="436" t="str">
        <f t="shared" si="6"/>
        <v>+4.00m</v>
      </c>
      <c r="AF53" s="437">
        <v>6.0</v>
      </c>
      <c r="AG53" s="436" t="str">
        <f t="shared" si="7"/>
        <v>+6.00m</v>
      </c>
      <c r="AH53" s="437">
        <v>8.0</v>
      </c>
      <c r="AI53" s="436" t="str">
        <f t="shared" si="8"/>
        <v>+8.00m</v>
      </c>
      <c r="AJ53" s="437">
        <v>10.0</v>
      </c>
      <c r="AK53" s="436" t="str">
        <f t="shared" si="9"/>
        <v>+10.00m</v>
      </c>
      <c r="AL53" s="437">
        <v>12.0</v>
      </c>
      <c r="AM53" s="436" t="str">
        <f t="shared" si="10"/>
        <v>+12.00m</v>
      </c>
    </row>
    <row r="54">
      <c r="A54" s="512"/>
      <c r="H54" s="397">
        <f t="shared" si="3"/>
        <v>52</v>
      </c>
      <c r="I54" s="397">
        <f t="shared" si="4"/>
        <v>168</v>
      </c>
      <c r="J54" s="398">
        <f t="shared" si="1"/>
        <v>0.53</v>
      </c>
      <c r="K54" s="399" t="str">
        <f t="shared" si="2"/>
        <v>52 | 53% | Cost 168 ⧌ | Next 171 ⧌</v>
      </c>
      <c r="L54" s="260"/>
      <c r="N54" s="399"/>
      <c r="O54" s="399"/>
      <c r="P54" s="399"/>
      <c r="Q54" s="399"/>
      <c r="Y54" s="260"/>
      <c r="Z54" s="513" t="s">
        <v>232</v>
      </c>
      <c r="AA54" s="447" t="s">
        <v>342</v>
      </c>
      <c r="AB54" s="456"/>
      <c r="AC54" s="436" t="str">
        <f t="shared" si="5"/>
        <v/>
      </c>
      <c r="AD54" s="456"/>
      <c r="AE54" s="436" t="str">
        <f t="shared" si="6"/>
        <v/>
      </c>
      <c r="AF54" s="456"/>
      <c r="AG54" s="436" t="str">
        <f t="shared" si="7"/>
        <v/>
      </c>
      <c r="AH54" s="501">
        <v>2.0</v>
      </c>
      <c r="AI54" s="436" t="str">
        <f t="shared" si="8"/>
        <v>+2s</v>
      </c>
      <c r="AJ54" s="501">
        <v>3.0</v>
      </c>
      <c r="AK54" s="436" t="str">
        <f t="shared" si="9"/>
        <v>+3s</v>
      </c>
      <c r="AL54" s="501">
        <v>4.0</v>
      </c>
      <c r="AM54" s="436" t="str">
        <f t="shared" si="10"/>
        <v>+4s</v>
      </c>
    </row>
    <row r="55">
      <c r="A55" s="512"/>
      <c r="H55" s="397">
        <f t="shared" si="3"/>
        <v>53</v>
      </c>
      <c r="I55" s="397">
        <f t="shared" si="4"/>
        <v>171</v>
      </c>
      <c r="J55" s="398">
        <f t="shared" si="1"/>
        <v>0.54</v>
      </c>
      <c r="K55" s="399" t="str">
        <f t="shared" si="2"/>
        <v>53 | 54% | Cost 171 ⧌ | Next 174 ⧌</v>
      </c>
      <c r="L55" s="260"/>
      <c r="N55" s="399"/>
      <c r="O55" s="399"/>
      <c r="P55" s="399"/>
      <c r="Q55" s="399"/>
      <c r="Y55" s="260"/>
      <c r="Z55" s="513" t="s">
        <v>236</v>
      </c>
      <c r="AA55" s="441" t="s">
        <v>336</v>
      </c>
      <c r="AB55" s="456"/>
      <c r="AC55" s="436" t="str">
        <f t="shared" si="5"/>
        <v/>
      </c>
      <c r="AD55" s="456"/>
      <c r="AE55" s="436" t="str">
        <f t="shared" si="6"/>
        <v/>
      </c>
      <c r="AF55" s="456"/>
      <c r="AG55" s="436" t="str">
        <f t="shared" si="7"/>
        <v/>
      </c>
      <c r="AH55" s="501">
        <v>-2.0</v>
      </c>
      <c r="AI55" s="436" t="str">
        <f t="shared" si="8"/>
        <v>-2s</v>
      </c>
      <c r="AJ55" s="501">
        <v>-3.0</v>
      </c>
      <c r="AK55" s="436" t="str">
        <f t="shared" si="9"/>
        <v>-3s</v>
      </c>
      <c r="AL55" s="501">
        <v>-4.0</v>
      </c>
      <c r="AM55" s="436" t="str">
        <f t="shared" si="10"/>
        <v>-4s</v>
      </c>
    </row>
    <row r="56">
      <c r="A56" s="512"/>
      <c r="H56" s="397">
        <f t="shared" si="3"/>
        <v>54</v>
      </c>
      <c r="I56" s="397">
        <f t="shared" si="4"/>
        <v>174</v>
      </c>
      <c r="J56" s="398">
        <f t="shared" si="1"/>
        <v>0.55</v>
      </c>
      <c r="K56" s="399" t="str">
        <f t="shared" si="2"/>
        <v>54 | 55% | Cost 174 ⧌ | Next 177 ⧌</v>
      </c>
      <c r="L56" s="260"/>
      <c r="N56" s="399"/>
      <c r="O56" s="399"/>
      <c r="P56" s="399"/>
      <c r="Q56" s="399"/>
      <c r="Y56" s="260"/>
      <c r="Z56" s="513" t="s">
        <v>235</v>
      </c>
      <c r="AA56" s="478" t="s">
        <v>343</v>
      </c>
      <c r="AB56" s="435">
        <v>1.2</v>
      </c>
      <c r="AC56" s="436" t="str">
        <f t="shared" si="5"/>
        <v>+1.2x</v>
      </c>
      <c r="AD56" s="501">
        <v>2.5</v>
      </c>
      <c r="AE56" s="436" t="str">
        <f t="shared" si="6"/>
        <v>+2.5x</v>
      </c>
      <c r="AF56" s="501">
        <v>3.5</v>
      </c>
      <c r="AG56" s="436" t="str">
        <f t="shared" si="7"/>
        <v>+3.5x</v>
      </c>
      <c r="AH56" s="501">
        <v>10.0</v>
      </c>
      <c r="AI56" s="436" t="str">
        <f t="shared" si="8"/>
        <v>+10x</v>
      </c>
      <c r="AJ56" s="501">
        <v>15.0</v>
      </c>
      <c r="AK56" s="436" t="str">
        <f t="shared" si="9"/>
        <v>+15x</v>
      </c>
      <c r="AL56" s="501">
        <v>20.0</v>
      </c>
      <c r="AM56" s="436" t="str">
        <f t="shared" si="10"/>
        <v>+20x</v>
      </c>
    </row>
    <row r="57">
      <c r="A57" s="512"/>
      <c r="H57" s="397">
        <f t="shared" si="3"/>
        <v>55</v>
      </c>
      <c r="I57" s="397">
        <f t="shared" si="4"/>
        <v>177</v>
      </c>
      <c r="J57" s="398">
        <f t="shared" si="1"/>
        <v>0.56</v>
      </c>
      <c r="K57" s="399" t="str">
        <f t="shared" si="2"/>
        <v>55 | 56% | Cost 177 ⧌ | Next 180 ⧌</v>
      </c>
      <c r="L57" s="260"/>
      <c r="N57" s="399"/>
      <c r="O57" s="399"/>
      <c r="P57" s="399"/>
      <c r="Q57" s="399"/>
      <c r="Y57" s="249"/>
      <c r="Z57" s="514" t="s">
        <v>234</v>
      </c>
      <c r="AA57" s="447" t="s">
        <v>344</v>
      </c>
      <c r="AB57" s="456"/>
      <c r="AC57" s="436" t="str">
        <f t="shared" si="5"/>
        <v/>
      </c>
      <c r="AD57" s="456"/>
      <c r="AE57" s="436" t="str">
        <f t="shared" si="6"/>
        <v/>
      </c>
      <c r="AF57" s="435">
        <v>3.0</v>
      </c>
      <c r="AG57" s="436" t="str">
        <f t="shared" si="7"/>
        <v>+3°</v>
      </c>
      <c r="AH57" s="435">
        <v>6.0</v>
      </c>
      <c r="AI57" s="436" t="str">
        <f t="shared" si="8"/>
        <v>+6°</v>
      </c>
      <c r="AJ57" s="435">
        <v>11.0</v>
      </c>
      <c r="AK57" s="436" t="str">
        <f t="shared" si="9"/>
        <v>+11°</v>
      </c>
      <c r="AL57" s="435">
        <v>15.0</v>
      </c>
      <c r="AM57" s="436" t="str">
        <f t="shared" si="10"/>
        <v>+15°</v>
      </c>
    </row>
    <row r="58">
      <c r="A58" s="512"/>
      <c r="H58" s="397">
        <f t="shared" si="3"/>
        <v>56</v>
      </c>
      <c r="I58" s="397">
        <f t="shared" si="4"/>
        <v>180</v>
      </c>
      <c r="J58" s="398">
        <f t="shared" si="1"/>
        <v>0.57</v>
      </c>
      <c r="K58" s="399" t="str">
        <f t="shared" si="2"/>
        <v>56 | 57% | Cost 180 ⧌ | Next 183 ⧌</v>
      </c>
      <c r="L58" s="260"/>
      <c r="N58" s="399"/>
      <c r="O58" s="399"/>
      <c r="P58" s="399"/>
      <c r="Q58" s="399"/>
      <c r="Y58" s="260"/>
      <c r="Z58" s="513" t="s">
        <v>231</v>
      </c>
      <c r="AA58" s="447" t="s">
        <v>342</v>
      </c>
      <c r="AB58" s="456"/>
      <c r="AC58" s="436" t="str">
        <f t="shared" si="5"/>
        <v/>
      </c>
      <c r="AD58" s="456"/>
      <c r="AE58" s="436" t="str">
        <f t="shared" si="6"/>
        <v/>
      </c>
      <c r="AF58" s="456"/>
      <c r="AG58" s="436" t="str">
        <f t="shared" si="7"/>
        <v/>
      </c>
      <c r="AH58" s="501">
        <v>4.0</v>
      </c>
      <c r="AI58" s="436" t="str">
        <f t="shared" si="8"/>
        <v>+4s</v>
      </c>
      <c r="AJ58" s="501">
        <v>7.0</v>
      </c>
      <c r="AK58" s="436" t="str">
        <f t="shared" si="9"/>
        <v>+7s</v>
      </c>
      <c r="AL58" s="501">
        <v>10.0</v>
      </c>
      <c r="AM58" s="436" t="str">
        <f t="shared" si="10"/>
        <v>+10s</v>
      </c>
    </row>
    <row r="59">
      <c r="A59" s="512"/>
      <c r="H59" s="397">
        <f t="shared" si="3"/>
        <v>57</v>
      </c>
      <c r="I59" s="397">
        <f t="shared" si="4"/>
        <v>183</v>
      </c>
      <c r="J59" s="398">
        <f t="shared" si="1"/>
        <v>0.58</v>
      </c>
      <c r="K59" s="399" t="str">
        <f t="shared" si="2"/>
        <v>57 | 58% | Cost 183 ⧌ | Next 186 ⧌</v>
      </c>
      <c r="L59" s="260"/>
      <c r="N59" s="399"/>
      <c r="O59" s="399"/>
      <c r="P59" s="399"/>
      <c r="Q59" s="399"/>
      <c r="Y59" s="260"/>
      <c r="Z59" s="513" t="s">
        <v>243</v>
      </c>
      <c r="AA59" s="240" t="str">
        <f>"+0%"</f>
        <v>+0%</v>
      </c>
      <c r="AB59" s="456"/>
      <c r="AC59" s="436" t="str">
        <f t="shared" si="5"/>
        <v/>
      </c>
      <c r="AD59" s="456"/>
      <c r="AE59" s="436" t="str">
        <f t="shared" si="6"/>
        <v/>
      </c>
      <c r="AF59" s="456">
        <v>0.03</v>
      </c>
      <c r="AG59" s="436" t="str">
        <f t="shared" si="7"/>
        <v>+3%</v>
      </c>
      <c r="AH59" s="456">
        <v>0.08</v>
      </c>
      <c r="AI59" s="436" t="str">
        <f t="shared" si="8"/>
        <v>+8%</v>
      </c>
      <c r="AJ59" s="456">
        <v>0.11</v>
      </c>
      <c r="AK59" s="436" t="str">
        <f t="shared" si="9"/>
        <v>+11%</v>
      </c>
      <c r="AL59" s="456">
        <v>0.15</v>
      </c>
      <c r="AM59" s="436" t="str">
        <f t="shared" si="10"/>
        <v>+15%</v>
      </c>
    </row>
    <row r="60">
      <c r="A60" s="512"/>
      <c r="H60" s="397">
        <f t="shared" si="3"/>
        <v>58</v>
      </c>
      <c r="I60" s="397">
        <f t="shared" si="4"/>
        <v>186</v>
      </c>
      <c r="J60" s="398">
        <f t="shared" si="1"/>
        <v>0.59</v>
      </c>
      <c r="K60" s="399" t="str">
        <f t="shared" si="2"/>
        <v>58 | 59% | Cost 186 ⧌ | Next 189 ⧌</v>
      </c>
      <c r="L60" s="260"/>
      <c r="N60" s="399"/>
      <c r="O60" s="399"/>
      <c r="P60" s="399"/>
      <c r="Q60" s="399"/>
      <c r="Y60" s="260"/>
      <c r="Z60" s="513" t="s">
        <v>242</v>
      </c>
      <c r="AA60" s="441" t="s">
        <v>336</v>
      </c>
      <c r="AB60" s="456"/>
      <c r="AC60" s="436" t="str">
        <f t="shared" si="5"/>
        <v/>
      </c>
      <c r="AD60" s="456"/>
      <c r="AE60" s="436" t="str">
        <f t="shared" si="6"/>
        <v/>
      </c>
      <c r="AF60" s="456"/>
      <c r="AG60" s="436" t="str">
        <f t="shared" si="7"/>
        <v/>
      </c>
      <c r="AH60" s="501">
        <v>-4.0</v>
      </c>
      <c r="AI60" s="436" t="str">
        <f t="shared" si="8"/>
        <v>-4s</v>
      </c>
      <c r="AJ60" s="501">
        <v>-7.0</v>
      </c>
      <c r="AK60" s="436" t="str">
        <f t="shared" si="9"/>
        <v>-7s</v>
      </c>
      <c r="AL60" s="501">
        <v>-10.0</v>
      </c>
      <c r="AM60" s="436" t="str">
        <f t="shared" si="10"/>
        <v>-10s</v>
      </c>
    </row>
    <row r="61">
      <c r="A61" s="512"/>
      <c r="H61" s="397">
        <f t="shared" si="3"/>
        <v>59</v>
      </c>
      <c r="I61" s="397">
        <f t="shared" si="4"/>
        <v>189</v>
      </c>
      <c r="J61" s="398">
        <f t="shared" si="1"/>
        <v>0.6</v>
      </c>
      <c r="K61" s="399" t="str">
        <f t="shared" si="2"/>
        <v>59 | 60% | Cost 189 ⧌ | Next 192 ⧌</v>
      </c>
      <c r="L61" s="260"/>
      <c r="N61" s="399"/>
      <c r="O61" s="399"/>
      <c r="P61" s="399"/>
      <c r="Q61" s="399"/>
      <c r="Y61" s="260"/>
      <c r="Z61" s="513" t="s">
        <v>244</v>
      </c>
      <c r="AA61" s="478" t="s">
        <v>293</v>
      </c>
      <c r="AB61" s="435">
        <v>8.0</v>
      </c>
      <c r="AC61" s="436" t="str">
        <f t="shared" si="5"/>
        <v>+8x</v>
      </c>
      <c r="AD61" s="435">
        <v>15.0</v>
      </c>
      <c r="AE61" s="436" t="str">
        <f t="shared" si="6"/>
        <v>+15x</v>
      </c>
      <c r="AF61" s="435">
        <v>25.0</v>
      </c>
      <c r="AG61" s="436" t="str">
        <f t="shared" si="7"/>
        <v>+25x</v>
      </c>
      <c r="AH61" s="435">
        <v>50.0</v>
      </c>
      <c r="AI61" s="436" t="str">
        <f t="shared" si="8"/>
        <v>+50x</v>
      </c>
      <c r="AJ61" s="435">
        <v>100.0</v>
      </c>
      <c r="AK61" s="436" t="str">
        <f t="shared" si="9"/>
        <v>+100x</v>
      </c>
      <c r="AL61" s="435">
        <v>250.0</v>
      </c>
      <c r="AM61" s="436" t="str">
        <f t="shared" si="10"/>
        <v>+250x</v>
      </c>
    </row>
    <row r="62">
      <c r="A62" s="512"/>
      <c r="H62" s="397">
        <f t="shared" si="3"/>
        <v>60</v>
      </c>
      <c r="I62" s="397">
        <f t="shared" si="4"/>
        <v>192</v>
      </c>
      <c r="J62" s="398">
        <f t="shared" si="1"/>
        <v>0.61</v>
      </c>
      <c r="K62" s="399" t="str">
        <f t="shared" si="2"/>
        <v>60 | 61% | Cost 192 ⧌ | Next 195 ⧌</v>
      </c>
      <c r="L62" s="260"/>
      <c r="N62" s="399"/>
      <c r="O62" s="399"/>
      <c r="P62" s="399"/>
      <c r="Q62" s="399"/>
      <c r="Y62" s="260"/>
      <c r="Z62" s="513" t="s">
        <v>229</v>
      </c>
      <c r="AA62" s="240" t="str">
        <f>"+0"</f>
        <v>+0</v>
      </c>
      <c r="AB62" s="456"/>
      <c r="AC62" s="436" t="str">
        <f t="shared" si="5"/>
        <v/>
      </c>
      <c r="AD62" s="456"/>
      <c r="AE62" s="436" t="str">
        <f t="shared" si="6"/>
        <v/>
      </c>
      <c r="AF62" s="456"/>
      <c r="AG62" s="436" t="str">
        <f t="shared" si="7"/>
        <v/>
      </c>
      <c r="AH62" s="437">
        <v>1.0</v>
      </c>
      <c r="AI62" s="436" t="str">
        <f t="shared" si="8"/>
        <v>+1</v>
      </c>
      <c r="AJ62" s="437">
        <v>2.0</v>
      </c>
      <c r="AK62" s="436" t="str">
        <f t="shared" si="9"/>
        <v>+2</v>
      </c>
      <c r="AL62" s="437">
        <v>3.0</v>
      </c>
      <c r="AM62" s="436" t="str">
        <f t="shared" si="10"/>
        <v>+3</v>
      </c>
    </row>
    <row r="63">
      <c r="A63" s="512"/>
      <c r="H63" s="397">
        <f t="shared" si="3"/>
        <v>61</v>
      </c>
      <c r="I63" s="397">
        <f t="shared" si="4"/>
        <v>195</v>
      </c>
      <c r="J63" s="398">
        <f t="shared" si="1"/>
        <v>0.62</v>
      </c>
      <c r="K63" s="399" t="str">
        <f t="shared" si="2"/>
        <v>61 | 62% | Cost 195 ⧌ | Next 198 ⧌</v>
      </c>
      <c r="L63" s="260"/>
      <c r="N63" s="399"/>
      <c r="O63" s="399"/>
      <c r="P63" s="399"/>
      <c r="Q63" s="399"/>
      <c r="Y63" s="260"/>
      <c r="Z63" s="513" t="s">
        <v>241</v>
      </c>
      <c r="AA63" s="441" t="s">
        <v>336</v>
      </c>
      <c r="AB63" s="456"/>
      <c r="AC63" s="436" t="str">
        <f t="shared" si="5"/>
        <v/>
      </c>
      <c r="AD63" s="456"/>
      <c r="AE63" s="436" t="str">
        <f t="shared" si="6"/>
        <v/>
      </c>
      <c r="AF63" s="456"/>
      <c r="AG63" s="436" t="str">
        <f t="shared" si="7"/>
        <v/>
      </c>
      <c r="AH63" s="501">
        <v>-6.0</v>
      </c>
      <c r="AI63" s="436" t="str">
        <f t="shared" si="8"/>
        <v>-6s</v>
      </c>
      <c r="AJ63" s="501">
        <v>-10.0</v>
      </c>
      <c r="AK63" s="436" t="str">
        <f t="shared" si="9"/>
        <v>-10s</v>
      </c>
      <c r="AL63" s="501">
        <v>-13.0</v>
      </c>
      <c r="AM63" s="436" t="str">
        <f t="shared" si="10"/>
        <v>-13s</v>
      </c>
    </row>
    <row r="64">
      <c r="A64" s="512"/>
      <c r="H64" s="397">
        <f t="shared" si="3"/>
        <v>62</v>
      </c>
      <c r="I64" s="397">
        <f t="shared" si="4"/>
        <v>198</v>
      </c>
      <c r="J64" s="398">
        <f t="shared" si="1"/>
        <v>0.63</v>
      </c>
      <c r="K64" s="399" t="str">
        <f t="shared" si="2"/>
        <v>62 | 63% | Cost 198 ⧌ | Next 201 ⧌</v>
      </c>
      <c r="L64" s="260"/>
      <c r="N64" s="399"/>
      <c r="O64" s="399"/>
      <c r="P64" s="399"/>
      <c r="Q64" s="399"/>
      <c r="Y64" s="260"/>
      <c r="Z64" s="513" t="s">
        <v>321</v>
      </c>
      <c r="AA64" s="478" t="s">
        <v>293</v>
      </c>
      <c r="AB64" s="435">
        <v>8.0</v>
      </c>
      <c r="AC64" s="436" t="str">
        <f t="shared" si="5"/>
        <v>+8x</v>
      </c>
      <c r="AD64" s="435">
        <v>15.0</v>
      </c>
      <c r="AE64" s="436" t="str">
        <f t="shared" si="6"/>
        <v>+15x</v>
      </c>
      <c r="AF64" s="435">
        <v>25.0</v>
      </c>
      <c r="AG64" s="436" t="str">
        <f t="shared" si="7"/>
        <v>+25x</v>
      </c>
      <c r="AH64" s="435">
        <v>50.0</v>
      </c>
      <c r="AI64" s="436" t="str">
        <f t="shared" si="8"/>
        <v>+50x</v>
      </c>
      <c r="AJ64" s="435">
        <v>100.0</v>
      </c>
      <c r="AK64" s="436" t="str">
        <f t="shared" si="9"/>
        <v>+100x</v>
      </c>
      <c r="AL64" s="435">
        <v>250.0</v>
      </c>
      <c r="AM64" s="436" t="str">
        <f t="shared" si="10"/>
        <v>+250x</v>
      </c>
    </row>
    <row r="65">
      <c r="A65" s="512"/>
      <c r="H65" s="397">
        <f t="shared" si="3"/>
        <v>63</v>
      </c>
      <c r="I65" s="397">
        <f t="shared" si="4"/>
        <v>201</v>
      </c>
      <c r="J65" s="398">
        <f t="shared" si="1"/>
        <v>0.64</v>
      </c>
      <c r="K65" s="399" t="str">
        <f t="shared" si="2"/>
        <v>63 | 64% | Cost 201 ⧌ | Next 204 ⧌</v>
      </c>
      <c r="L65" s="260"/>
      <c r="N65" s="399"/>
      <c r="O65" s="399"/>
      <c r="P65" s="399"/>
      <c r="Q65" s="399"/>
      <c r="Y65" s="260"/>
      <c r="Z65" s="513" t="s">
        <v>323</v>
      </c>
      <c r="AA65" s="240" t="str">
        <f>"+0"</f>
        <v>+0</v>
      </c>
      <c r="AB65" s="456"/>
      <c r="AC65" s="436" t="str">
        <f t="shared" si="5"/>
        <v/>
      </c>
      <c r="AD65" s="456"/>
      <c r="AE65" s="436" t="str">
        <f t="shared" si="6"/>
        <v/>
      </c>
      <c r="AF65" s="437">
        <v>1.0</v>
      </c>
      <c r="AG65" s="436" t="str">
        <f t="shared" si="7"/>
        <v>+1</v>
      </c>
      <c r="AH65" s="437">
        <v>2.0</v>
      </c>
      <c r="AI65" s="436" t="str">
        <f t="shared" si="8"/>
        <v>+2</v>
      </c>
      <c r="AJ65" s="437">
        <v>4.0</v>
      </c>
      <c r="AK65" s="436" t="str">
        <f t="shared" si="9"/>
        <v>+4</v>
      </c>
      <c r="AL65" s="437">
        <v>5.0</v>
      </c>
      <c r="AM65" s="436" t="str">
        <f t="shared" si="10"/>
        <v>+5</v>
      </c>
    </row>
    <row r="66">
      <c r="A66" s="512"/>
      <c r="H66" s="397">
        <f t="shared" si="3"/>
        <v>64</v>
      </c>
      <c r="I66" s="397">
        <f t="shared" si="4"/>
        <v>204</v>
      </c>
      <c r="J66" s="398">
        <f t="shared" si="1"/>
        <v>0.65</v>
      </c>
      <c r="K66" s="399" t="str">
        <f t="shared" si="2"/>
        <v>64 | 65% | Cost 204 ⧌ | Next 207 ⧌</v>
      </c>
      <c r="L66" s="260"/>
      <c r="N66" s="399"/>
      <c r="O66" s="399"/>
      <c r="P66" s="399"/>
      <c r="Q66" s="399"/>
      <c r="Y66" s="260"/>
      <c r="Z66" s="513" t="s">
        <v>327</v>
      </c>
      <c r="AA66" s="441" t="s">
        <v>336</v>
      </c>
      <c r="AB66" s="456"/>
      <c r="AC66" s="436" t="str">
        <f t="shared" si="5"/>
        <v/>
      </c>
      <c r="AD66" s="456"/>
      <c r="AE66" s="436" t="str">
        <f t="shared" si="6"/>
        <v/>
      </c>
      <c r="AF66" s="456"/>
      <c r="AG66" s="436" t="str">
        <f t="shared" si="7"/>
        <v/>
      </c>
      <c r="AH66" s="501">
        <v>-2.0</v>
      </c>
      <c r="AI66" s="436" t="str">
        <f t="shared" si="8"/>
        <v>-2s</v>
      </c>
      <c r="AJ66" s="501">
        <v>-4.0</v>
      </c>
      <c r="AK66" s="436" t="str">
        <f t="shared" si="9"/>
        <v>-4s</v>
      </c>
      <c r="AL66" s="501">
        <v>-6.0</v>
      </c>
      <c r="AM66" s="436" t="str">
        <f t="shared" si="10"/>
        <v>-6s</v>
      </c>
    </row>
    <row r="67">
      <c r="A67" s="512"/>
      <c r="H67" s="397">
        <f t="shared" si="3"/>
        <v>65</v>
      </c>
      <c r="I67" s="397">
        <f t="shared" si="4"/>
        <v>207</v>
      </c>
      <c r="J67" s="398">
        <f t="shared" si="1"/>
        <v>0.66</v>
      </c>
      <c r="K67" s="399" t="str">
        <f t="shared" si="2"/>
        <v>65 | 66% | Cost 207 ⧌ | Next 210 ⧌</v>
      </c>
      <c r="L67" s="260"/>
      <c r="N67" s="399"/>
      <c r="O67" s="399"/>
      <c r="P67" s="399"/>
      <c r="Q67" s="399"/>
      <c r="Y67" s="260"/>
      <c r="Z67" s="513" t="s">
        <v>328</v>
      </c>
      <c r="AA67" s="478" t="s">
        <v>293</v>
      </c>
      <c r="AB67" s="435">
        <v>8.0</v>
      </c>
      <c r="AC67" s="436" t="str">
        <f t="shared" si="5"/>
        <v>+8x</v>
      </c>
      <c r="AD67" s="435">
        <v>15.0</v>
      </c>
      <c r="AE67" s="436" t="str">
        <f t="shared" si="6"/>
        <v>+15x</v>
      </c>
      <c r="AF67" s="435">
        <v>25.0</v>
      </c>
      <c r="AG67" s="436" t="str">
        <f t="shared" si="7"/>
        <v>+25x</v>
      </c>
      <c r="AH67" s="435">
        <v>50.0</v>
      </c>
      <c r="AI67" s="436" t="str">
        <f t="shared" si="8"/>
        <v>+50x</v>
      </c>
      <c r="AJ67" s="435">
        <v>100.0</v>
      </c>
      <c r="AK67" s="436" t="str">
        <f t="shared" si="9"/>
        <v>+100x</v>
      </c>
      <c r="AL67" s="435">
        <v>250.0</v>
      </c>
      <c r="AM67" s="436" t="str">
        <f t="shared" si="10"/>
        <v>+250x</v>
      </c>
    </row>
    <row r="68">
      <c r="A68" s="512"/>
      <c r="H68" s="397">
        <f t="shared" si="3"/>
        <v>66</v>
      </c>
      <c r="I68" s="397">
        <f t="shared" si="4"/>
        <v>210</v>
      </c>
      <c r="J68" s="398">
        <f t="shared" si="1"/>
        <v>0.67</v>
      </c>
      <c r="K68" s="399" t="str">
        <f t="shared" si="2"/>
        <v>66 | 67% | Cost 210 ⧌ | Next 213 ⧌</v>
      </c>
      <c r="L68" s="260"/>
      <c r="N68" s="399"/>
      <c r="O68" s="399"/>
      <c r="P68" s="399"/>
      <c r="Q68" s="399"/>
      <c r="Y68" s="260"/>
      <c r="Z68" s="513" t="s">
        <v>329</v>
      </c>
      <c r="AA68" s="240" t="str">
        <f>"+0"</f>
        <v>+0</v>
      </c>
      <c r="AB68" s="456"/>
      <c r="AC68" s="436" t="str">
        <f t="shared" si="5"/>
        <v/>
      </c>
      <c r="AD68" s="456"/>
      <c r="AE68" s="436" t="str">
        <f t="shared" si="6"/>
        <v/>
      </c>
      <c r="AF68" s="456"/>
      <c r="AG68" s="436" t="str">
        <f t="shared" si="7"/>
        <v/>
      </c>
      <c r="AH68" s="437">
        <v>1.0</v>
      </c>
      <c r="AI68" s="436" t="str">
        <f t="shared" si="8"/>
        <v>+1</v>
      </c>
      <c r="AJ68" s="437">
        <v>2.0</v>
      </c>
      <c r="AK68" s="436" t="str">
        <f t="shared" si="9"/>
        <v>+2</v>
      </c>
      <c r="AL68" s="437">
        <v>3.0</v>
      </c>
      <c r="AM68" s="436" t="str">
        <f t="shared" si="10"/>
        <v>+3</v>
      </c>
    </row>
    <row r="69">
      <c r="A69" s="512"/>
      <c r="H69" s="397">
        <f t="shared" si="3"/>
        <v>67</v>
      </c>
      <c r="I69" s="397">
        <f t="shared" si="4"/>
        <v>213</v>
      </c>
      <c r="J69" s="398">
        <f t="shared" si="1"/>
        <v>0.68</v>
      </c>
      <c r="K69" s="399" t="str">
        <f t="shared" si="2"/>
        <v>67 | 68% | Cost 213 ⧌ | Next 216 ⧌</v>
      </c>
      <c r="L69" s="260"/>
      <c r="N69" s="399"/>
      <c r="O69" s="399"/>
      <c r="P69" s="399"/>
      <c r="Q69" s="399"/>
      <c r="Y69" s="260"/>
      <c r="Z69" s="513" t="s">
        <v>330</v>
      </c>
      <c r="AA69" s="441" t="s">
        <v>336</v>
      </c>
      <c r="AB69" s="456"/>
      <c r="AC69" s="436" t="str">
        <f t="shared" si="5"/>
        <v/>
      </c>
      <c r="AD69" s="456"/>
      <c r="AE69" s="436" t="str">
        <f t="shared" si="6"/>
        <v/>
      </c>
      <c r="AF69" s="501">
        <v>-5.0</v>
      </c>
      <c r="AG69" s="436" t="str">
        <f t="shared" si="7"/>
        <v>-5s</v>
      </c>
      <c r="AH69" s="501">
        <v>-8.0</v>
      </c>
      <c r="AI69" s="436" t="str">
        <f t="shared" si="8"/>
        <v>-8s</v>
      </c>
      <c r="AJ69" s="501">
        <v>-10.0</v>
      </c>
      <c r="AK69" s="436" t="str">
        <f t="shared" si="9"/>
        <v>-10s</v>
      </c>
      <c r="AL69" s="501">
        <v>-13.0</v>
      </c>
      <c r="AM69" s="436" t="str">
        <f t="shared" si="10"/>
        <v>-13s</v>
      </c>
    </row>
    <row r="70">
      <c r="A70" s="512"/>
      <c r="H70" s="397">
        <f t="shared" si="3"/>
        <v>68</v>
      </c>
      <c r="I70" s="397">
        <f t="shared" si="4"/>
        <v>216</v>
      </c>
      <c r="J70" s="398">
        <f t="shared" si="1"/>
        <v>0.69</v>
      </c>
      <c r="K70" s="399" t="str">
        <f t="shared" si="2"/>
        <v>68 | 69% | Cost 216 ⧌ | Next 219 ⧌</v>
      </c>
      <c r="L70" s="260"/>
      <c r="N70" s="399"/>
      <c r="O70" s="399"/>
      <c r="P70" s="399"/>
      <c r="Q70" s="399"/>
      <c r="Y70" s="260"/>
      <c r="Z70" s="513" t="s">
        <v>331</v>
      </c>
      <c r="AA70" s="478" t="s">
        <v>345</v>
      </c>
      <c r="AB70" s="435">
        <v>8.0</v>
      </c>
      <c r="AC70" s="436" t="str">
        <f t="shared" si="5"/>
        <v>+8x</v>
      </c>
      <c r="AD70" s="435">
        <v>15.0</v>
      </c>
      <c r="AE70" s="436" t="str">
        <f t="shared" si="6"/>
        <v>+15x</v>
      </c>
      <c r="AF70" s="435">
        <v>25.0</v>
      </c>
      <c r="AG70" s="436" t="str">
        <f t="shared" si="7"/>
        <v>+25x</v>
      </c>
      <c r="AH70" s="435">
        <v>50.0</v>
      </c>
      <c r="AI70" s="436" t="str">
        <f t="shared" si="8"/>
        <v>+50x</v>
      </c>
      <c r="AJ70" s="435">
        <v>100.0</v>
      </c>
      <c r="AK70" s="436" t="str">
        <f t="shared" si="9"/>
        <v>+100x</v>
      </c>
      <c r="AL70" s="435">
        <v>250.0</v>
      </c>
      <c r="AM70" s="436" t="str">
        <f t="shared" si="10"/>
        <v>+250x</v>
      </c>
    </row>
    <row r="71">
      <c r="A71" s="512"/>
      <c r="H71" s="397">
        <f t="shared" si="3"/>
        <v>69</v>
      </c>
      <c r="I71" s="397">
        <f t="shared" si="4"/>
        <v>219</v>
      </c>
      <c r="J71" s="398">
        <f t="shared" si="1"/>
        <v>0.7</v>
      </c>
      <c r="K71" s="399" t="str">
        <f>TEXT(H71,"00") &amp; " | " &amp; TEXT(J71, "0%") &amp; " | Cost " &amp;I71 &amp; " ⧌ |" &amp; IF(I72="", " Maxed", " Next " &amp; I72 &amp; " ⧌")</f>
        <v>69 | 70% | Cost 219 ⧌ | Maxed</v>
      </c>
      <c r="L71" s="260"/>
      <c r="N71" s="399"/>
      <c r="O71" s="399"/>
      <c r="P71" s="399"/>
      <c r="Q71" s="399"/>
      <c r="Y71" s="260"/>
      <c r="Z71" s="513" t="s">
        <v>332</v>
      </c>
      <c r="AA71" s="447" t="s">
        <v>342</v>
      </c>
      <c r="AB71" s="456"/>
      <c r="AC71" s="436" t="str">
        <f t="shared" si="5"/>
        <v/>
      </c>
      <c r="AD71" s="456"/>
      <c r="AE71" s="436" t="str">
        <f t="shared" si="6"/>
        <v/>
      </c>
      <c r="AF71" s="456"/>
      <c r="AG71" s="436" t="str">
        <f t="shared" si="7"/>
        <v/>
      </c>
      <c r="AH71" s="501">
        <v>2.0</v>
      </c>
      <c r="AI71" s="436" t="str">
        <f t="shared" si="8"/>
        <v>+2s</v>
      </c>
      <c r="AJ71" s="501">
        <v>5.0</v>
      </c>
      <c r="AK71" s="436" t="str">
        <f t="shared" si="9"/>
        <v>+5s</v>
      </c>
      <c r="AL71" s="501">
        <v>10.0</v>
      </c>
      <c r="AM71" s="436" t="str">
        <f t="shared" si="10"/>
        <v>+10s</v>
      </c>
    </row>
    <row r="72">
      <c r="A72" s="512"/>
      <c r="H72" s="397"/>
      <c r="L72" s="260"/>
      <c r="N72" s="399"/>
      <c r="O72" s="399"/>
      <c r="P72" s="399"/>
      <c r="Q72" s="399"/>
      <c r="Y72" s="260"/>
      <c r="Z72" s="515" t="s">
        <v>333</v>
      </c>
      <c r="AA72" s="447" t="s">
        <v>336</v>
      </c>
      <c r="AB72" s="456"/>
      <c r="AC72" s="436" t="str">
        <f t="shared" si="5"/>
        <v/>
      </c>
      <c r="AD72" s="516">
        <v>-2.0</v>
      </c>
      <c r="AE72" s="436" t="str">
        <f t="shared" si="6"/>
        <v>-2s</v>
      </c>
      <c r="AF72" s="516">
        <v>-4.0</v>
      </c>
      <c r="AG72" s="436" t="str">
        <f t="shared" si="7"/>
        <v>-4s</v>
      </c>
      <c r="AH72" s="516">
        <v>-6.0</v>
      </c>
      <c r="AI72" s="436" t="str">
        <f t="shared" si="8"/>
        <v>-6s</v>
      </c>
      <c r="AJ72" s="501">
        <v>-8.0</v>
      </c>
      <c r="AK72" s="436" t="str">
        <f t="shared" si="9"/>
        <v>-8s</v>
      </c>
      <c r="AL72" s="501">
        <v>-10.0</v>
      </c>
      <c r="AM72" s="436" t="str">
        <f t="shared" si="10"/>
        <v>-10s</v>
      </c>
    </row>
    <row r="73">
      <c r="A73" s="512"/>
      <c r="H73" s="397"/>
      <c r="L73" s="260"/>
      <c r="N73" s="399"/>
      <c r="O73" s="399"/>
      <c r="P73" s="399"/>
      <c r="Q73" s="399"/>
      <c r="Y73" s="260"/>
      <c r="Z73" s="513" t="s">
        <v>240</v>
      </c>
      <c r="AA73" s="478" t="s">
        <v>293</v>
      </c>
      <c r="AB73" s="435">
        <v>8.0</v>
      </c>
      <c r="AC73" s="436" t="str">
        <f t="shared" si="5"/>
        <v>+8x</v>
      </c>
      <c r="AD73" s="435">
        <v>15.0</v>
      </c>
      <c r="AE73" s="436" t="str">
        <f t="shared" si="6"/>
        <v>+15x</v>
      </c>
      <c r="AF73" s="435">
        <v>25.0</v>
      </c>
      <c r="AG73" s="436" t="str">
        <f t="shared" si="7"/>
        <v>+25x</v>
      </c>
      <c r="AH73" s="435">
        <v>50.0</v>
      </c>
      <c r="AI73" s="436" t="str">
        <f t="shared" si="8"/>
        <v>+50x</v>
      </c>
      <c r="AJ73" s="435">
        <v>100.0</v>
      </c>
      <c r="AK73" s="436" t="str">
        <f t="shared" si="9"/>
        <v>+100x</v>
      </c>
      <c r="AL73" s="435">
        <v>250.0</v>
      </c>
      <c r="AM73" s="436" t="str">
        <f t="shared" si="10"/>
        <v>+250x</v>
      </c>
    </row>
    <row r="74">
      <c r="A74" s="512"/>
      <c r="H74" s="397"/>
      <c r="L74" s="260"/>
      <c r="N74" s="399"/>
      <c r="O74" s="399"/>
      <c r="P74" s="399"/>
      <c r="Q74" s="399"/>
      <c r="Y74" s="260"/>
      <c r="Z74" s="513" t="s">
        <v>238</v>
      </c>
      <c r="AA74" s="240" t="str">
        <f>"+0"</f>
        <v>+0</v>
      </c>
      <c r="AB74" s="456"/>
      <c r="AC74" s="436" t="str">
        <f t="shared" si="5"/>
        <v/>
      </c>
      <c r="AD74" s="456"/>
      <c r="AE74" s="436" t="str">
        <f t="shared" si="6"/>
        <v/>
      </c>
      <c r="AF74" s="437">
        <v>1.0</v>
      </c>
      <c r="AG74" s="436" t="str">
        <f t="shared" si="7"/>
        <v>+1</v>
      </c>
      <c r="AH74" s="437">
        <v>2.0</v>
      </c>
      <c r="AI74" s="436" t="str">
        <f t="shared" si="8"/>
        <v>+2</v>
      </c>
      <c r="AJ74" s="437">
        <v>3.0</v>
      </c>
      <c r="AK74" s="436" t="str">
        <f t="shared" si="9"/>
        <v>+3</v>
      </c>
      <c r="AL74" s="437">
        <v>4.0</v>
      </c>
      <c r="AM74" s="436" t="str">
        <f t="shared" si="10"/>
        <v>+4</v>
      </c>
    </row>
    <row r="75">
      <c r="A75" s="512"/>
      <c r="H75" s="397"/>
      <c r="L75" s="260"/>
      <c r="N75" s="399"/>
      <c r="O75" s="399"/>
      <c r="P75" s="399"/>
      <c r="Q75" s="399"/>
      <c r="Y75" s="260"/>
      <c r="Z75" s="517" t="s">
        <v>230</v>
      </c>
      <c r="AA75" s="483" t="str">
        <f>"+0%"</f>
        <v>+0%</v>
      </c>
      <c r="AB75" s="484">
        <f>+2%</f>
        <v>0.02</v>
      </c>
      <c r="AC75" s="485" t="str">
        <f t="shared" si="5"/>
        <v>+2%</v>
      </c>
      <c r="AD75" s="484">
        <v>0.04</v>
      </c>
      <c r="AE75" s="485" t="str">
        <f t="shared" si="6"/>
        <v>+4%</v>
      </c>
      <c r="AF75" s="484">
        <v>0.06</v>
      </c>
      <c r="AG75" s="485" t="str">
        <f t="shared" si="7"/>
        <v>+6%</v>
      </c>
      <c r="AH75" s="484">
        <v>0.09</v>
      </c>
      <c r="AI75" s="485" t="str">
        <f t="shared" si="8"/>
        <v>+9%</v>
      </c>
      <c r="AJ75" s="484">
        <v>0.12</v>
      </c>
      <c r="AK75" s="485" t="str">
        <f t="shared" si="9"/>
        <v>+12%</v>
      </c>
      <c r="AL75" s="484">
        <v>0.15</v>
      </c>
      <c r="AM75" s="485" t="str">
        <f t="shared" si="10"/>
        <v>+15%</v>
      </c>
    </row>
    <row r="76">
      <c r="A76" s="512"/>
      <c r="H76" s="397"/>
      <c r="L76" s="260"/>
      <c r="N76" s="399"/>
      <c r="O76" s="399"/>
      <c r="P76" s="399"/>
      <c r="Q76" s="399"/>
      <c r="Y76" s="260"/>
      <c r="AB76" s="456"/>
      <c r="AD76" s="456"/>
      <c r="AF76" s="456"/>
      <c r="AH76" s="456"/>
      <c r="AJ76" s="456"/>
      <c r="AL76" s="456"/>
    </row>
    <row r="77">
      <c r="A77" s="512"/>
      <c r="H77" s="397"/>
      <c r="L77" s="260"/>
      <c r="N77" s="399"/>
      <c r="O77" s="399"/>
      <c r="P77" s="399"/>
      <c r="Q77" s="399"/>
      <c r="Y77" s="260"/>
      <c r="AB77" s="456"/>
      <c r="AD77" s="456"/>
      <c r="AF77" s="456"/>
      <c r="AH77" s="456"/>
      <c r="AJ77" s="456"/>
      <c r="AL77" s="456"/>
    </row>
    <row r="78">
      <c r="A78" s="512"/>
      <c r="H78" s="397"/>
      <c r="L78" s="260"/>
      <c r="N78" s="399"/>
      <c r="O78" s="399"/>
      <c r="P78" s="399"/>
      <c r="Q78" s="399"/>
      <c r="Y78" s="260"/>
      <c r="AB78" s="456"/>
      <c r="AD78" s="456"/>
      <c r="AF78" s="456"/>
      <c r="AH78" s="456"/>
      <c r="AJ78" s="456"/>
      <c r="AL78" s="456"/>
    </row>
    <row r="79">
      <c r="A79" s="512"/>
      <c r="H79" s="397"/>
      <c r="L79" s="260"/>
      <c r="N79" s="399"/>
      <c r="O79" s="399"/>
      <c r="P79" s="399"/>
      <c r="Q79" s="399"/>
      <c r="Y79" s="260"/>
      <c r="AB79" s="456"/>
      <c r="AD79" s="456"/>
      <c r="AF79" s="456"/>
      <c r="AH79" s="456"/>
      <c r="AJ79" s="456"/>
      <c r="AL79" s="456"/>
    </row>
    <row r="80">
      <c r="A80" s="512"/>
      <c r="H80" s="397"/>
      <c r="L80" s="260"/>
      <c r="Y80" s="260"/>
      <c r="AB80" s="456"/>
      <c r="AD80" s="456"/>
      <c r="AF80" s="456"/>
      <c r="AH80" s="456"/>
      <c r="AJ80" s="456"/>
      <c r="AL80" s="456"/>
    </row>
    <row r="81">
      <c r="H81" s="397"/>
      <c r="L81" s="260"/>
    </row>
    <row r="82">
      <c r="H82" s="397"/>
      <c r="L82" s="260"/>
    </row>
    <row r="83">
      <c r="H83" s="397"/>
      <c r="L83" s="260"/>
    </row>
    <row r="84">
      <c r="H84" s="397"/>
      <c r="L84" s="260"/>
    </row>
    <row r="85">
      <c r="H85" s="397"/>
      <c r="L85" s="260"/>
    </row>
    <row r="86">
      <c r="H86" s="397"/>
      <c r="L86" s="260"/>
    </row>
    <row r="87">
      <c r="H87" s="397"/>
      <c r="L87" s="260"/>
    </row>
    <row r="88">
      <c r="H88" s="397"/>
      <c r="L88" s="260"/>
    </row>
    <row r="89">
      <c r="H89" s="397"/>
      <c r="L89" s="260"/>
    </row>
    <row r="90">
      <c r="H90" s="397"/>
      <c r="L90" s="260"/>
    </row>
    <row r="91">
      <c r="H91" s="397"/>
      <c r="L91" s="260"/>
    </row>
    <row r="92">
      <c r="H92" s="397"/>
      <c r="L92" s="260"/>
    </row>
    <row r="93">
      <c r="H93" s="397"/>
      <c r="L93" s="260"/>
    </row>
    <row r="94">
      <c r="H94" s="397"/>
      <c r="L94" s="260"/>
    </row>
    <row r="95">
      <c r="H95" s="397"/>
      <c r="L95" s="260"/>
    </row>
    <row r="96">
      <c r="H96" s="397"/>
      <c r="L96" s="260"/>
    </row>
    <row r="97">
      <c r="H97" s="397"/>
      <c r="L97" s="260"/>
    </row>
    <row r="98">
      <c r="H98" s="397"/>
      <c r="L98" s="260"/>
    </row>
    <row r="99">
      <c r="H99" s="397"/>
      <c r="L99" s="260"/>
    </row>
    <row r="100">
      <c r="H100" s="397"/>
      <c r="L100" s="260"/>
    </row>
    <row r="101">
      <c r="H101" s="397"/>
      <c r="L101" s="260"/>
    </row>
    <row r="102">
      <c r="H102" s="397"/>
      <c r="L102" s="260"/>
    </row>
    <row r="103">
      <c r="H103" s="397"/>
      <c r="L103" s="260"/>
    </row>
    <row r="104">
      <c r="H104" s="397"/>
      <c r="L104" s="260"/>
    </row>
    <row r="105">
      <c r="H105" s="397"/>
      <c r="L105" s="260"/>
    </row>
    <row r="106">
      <c r="H106" s="397"/>
      <c r="L106" s="260"/>
    </row>
    <row r="107">
      <c r="H107" s="397"/>
      <c r="L107" s="260"/>
    </row>
    <row r="108">
      <c r="H108" s="397"/>
      <c r="L108" s="260"/>
    </row>
    <row r="109">
      <c r="H109" s="397"/>
      <c r="L109" s="260"/>
    </row>
    <row r="110">
      <c r="H110" s="397"/>
      <c r="L110" s="260"/>
    </row>
    <row r="111">
      <c r="H111" s="397"/>
      <c r="L111" s="260"/>
    </row>
    <row r="112">
      <c r="H112" s="397"/>
      <c r="L112" s="260"/>
    </row>
    <row r="113">
      <c r="H113" s="397"/>
      <c r="L113" s="260"/>
    </row>
    <row r="114">
      <c r="H114" s="397"/>
      <c r="L114" s="260"/>
    </row>
    <row r="115">
      <c r="H115" s="397"/>
      <c r="L115" s="260"/>
    </row>
    <row r="116">
      <c r="H116" s="397"/>
      <c r="L116" s="260"/>
    </row>
    <row r="117">
      <c r="H117" s="397"/>
      <c r="L117" s="260"/>
    </row>
    <row r="118">
      <c r="H118" s="397"/>
      <c r="L118" s="260"/>
    </row>
    <row r="119">
      <c r="H119" s="397"/>
      <c r="L119" s="260"/>
    </row>
    <row r="120">
      <c r="H120" s="397"/>
      <c r="L120" s="260"/>
    </row>
    <row r="121">
      <c r="H121" s="397"/>
      <c r="L121" s="260"/>
    </row>
    <row r="122">
      <c r="H122" s="397"/>
      <c r="L122" s="260"/>
    </row>
    <row r="123">
      <c r="H123" s="397"/>
      <c r="L123" s="260"/>
    </row>
    <row r="124">
      <c r="H124" s="397"/>
      <c r="L124" s="260"/>
    </row>
    <row r="125">
      <c r="H125" s="397"/>
      <c r="L125" s="260"/>
    </row>
    <row r="126">
      <c r="H126" s="397"/>
      <c r="L126" s="260"/>
    </row>
    <row r="127">
      <c r="H127" s="397"/>
      <c r="L127" s="260"/>
    </row>
    <row r="128">
      <c r="H128" s="397"/>
      <c r="L128" s="260"/>
    </row>
    <row r="129">
      <c r="H129" s="397"/>
      <c r="L129" s="260"/>
    </row>
    <row r="130">
      <c r="H130" s="397"/>
      <c r="L130" s="260"/>
    </row>
    <row r="131">
      <c r="H131" s="397"/>
      <c r="L131" s="260"/>
    </row>
    <row r="132">
      <c r="H132" s="397"/>
      <c r="L132" s="260"/>
    </row>
    <row r="133">
      <c r="H133" s="397"/>
      <c r="L133" s="260"/>
    </row>
    <row r="134">
      <c r="H134" s="397"/>
      <c r="L134" s="260"/>
    </row>
    <row r="135">
      <c r="H135" s="397"/>
      <c r="L135" s="260"/>
    </row>
    <row r="136">
      <c r="H136" s="397"/>
      <c r="L136" s="260"/>
    </row>
    <row r="137">
      <c r="H137" s="397"/>
      <c r="L137" s="260"/>
    </row>
    <row r="138">
      <c r="H138" s="397"/>
      <c r="L138" s="260"/>
    </row>
    <row r="139">
      <c r="H139" s="397"/>
      <c r="L139" s="260"/>
    </row>
    <row r="140">
      <c r="H140" s="397"/>
      <c r="L140" s="260"/>
    </row>
    <row r="141">
      <c r="H141" s="397"/>
      <c r="L141" s="260"/>
    </row>
    <row r="142">
      <c r="H142" s="397"/>
      <c r="L142" s="260"/>
    </row>
    <row r="143">
      <c r="H143" s="397"/>
      <c r="L143" s="260"/>
    </row>
    <row r="144">
      <c r="H144" s="397"/>
      <c r="L144" s="260"/>
    </row>
    <row r="145">
      <c r="H145" s="397"/>
      <c r="L145" s="260"/>
    </row>
    <row r="146">
      <c r="H146" s="397"/>
      <c r="L146" s="260"/>
    </row>
    <row r="147">
      <c r="H147" s="397"/>
      <c r="L147" s="260"/>
    </row>
    <row r="148">
      <c r="H148" s="397"/>
      <c r="L148" s="260"/>
    </row>
    <row r="149">
      <c r="H149" s="397"/>
      <c r="L149" s="260"/>
    </row>
    <row r="150">
      <c r="H150" s="397"/>
      <c r="L150" s="260"/>
    </row>
    <row r="151">
      <c r="H151" s="397"/>
      <c r="L151" s="260"/>
    </row>
    <row r="152">
      <c r="H152" s="397"/>
      <c r="L152" s="260"/>
    </row>
    <row r="153">
      <c r="H153" s="397"/>
      <c r="L153" s="260"/>
    </row>
    <row r="154">
      <c r="H154" s="397"/>
      <c r="L154" s="260"/>
    </row>
    <row r="155">
      <c r="H155" s="397"/>
      <c r="L155" s="260"/>
    </row>
    <row r="156">
      <c r="H156" s="397"/>
      <c r="L156" s="260"/>
    </row>
    <row r="157">
      <c r="H157" s="397"/>
      <c r="L157" s="260"/>
    </row>
    <row r="158">
      <c r="H158" s="397"/>
      <c r="L158" s="260"/>
    </row>
    <row r="159">
      <c r="H159" s="397"/>
      <c r="L159" s="260"/>
    </row>
    <row r="160">
      <c r="H160" s="397"/>
      <c r="L160" s="260"/>
    </row>
    <row r="161">
      <c r="H161" s="397"/>
      <c r="L161" s="260"/>
    </row>
    <row r="162">
      <c r="H162" s="397"/>
      <c r="L162" s="260"/>
    </row>
    <row r="163">
      <c r="H163" s="397"/>
      <c r="L163" s="260"/>
    </row>
    <row r="164">
      <c r="H164" s="397"/>
      <c r="L164" s="260"/>
    </row>
    <row r="165">
      <c r="H165" s="397"/>
      <c r="L165" s="260"/>
    </row>
    <row r="166">
      <c r="H166" s="397"/>
      <c r="L166" s="260"/>
    </row>
    <row r="167">
      <c r="H167" s="397"/>
      <c r="L167" s="260"/>
    </row>
    <row r="168">
      <c r="H168" s="397"/>
      <c r="L168" s="260"/>
    </row>
    <row r="169">
      <c r="H169" s="397"/>
      <c r="L169" s="260"/>
    </row>
    <row r="170">
      <c r="H170" s="397"/>
      <c r="L170" s="260"/>
    </row>
    <row r="171">
      <c r="H171" s="397"/>
      <c r="L171" s="260"/>
    </row>
    <row r="172">
      <c r="H172" s="397"/>
      <c r="L172" s="260"/>
    </row>
    <row r="173">
      <c r="H173" s="397"/>
      <c r="L173" s="260"/>
    </row>
    <row r="174">
      <c r="H174" s="397"/>
      <c r="L174" s="260"/>
    </row>
    <row r="175">
      <c r="H175" s="397"/>
      <c r="L175" s="260"/>
    </row>
    <row r="176">
      <c r="H176" s="397"/>
      <c r="L176" s="260"/>
    </row>
    <row r="177">
      <c r="H177" s="397"/>
      <c r="L177" s="260"/>
    </row>
    <row r="178">
      <c r="H178" s="397"/>
      <c r="L178" s="260"/>
    </row>
    <row r="179">
      <c r="H179" s="397"/>
      <c r="L179" s="260"/>
    </row>
    <row r="180">
      <c r="H180" s="397"/>
      <c r="L180" s="260"/>
    </row>
    <row r="181">
      <c r="H181" s="397"/>
      <c r="L181" s="260"/>
    </row>
    <row r="182">
      <c r="H182" s="397"/>
      <c r="L182" s="260"/>
    </row>
    <row r="183">
      <c r="H183" s="397"/>
      <c r="L183" s="260"/>
    </row>
    <row r="184">
      <c r="H184" s="397"/>
      <c r="L184" s="260"/>
    </row>
    <row r="185">
      <c r="H185" s="397"/>
      <c r="L185" s="260"/>
    </row>
    <row r="186">
      <c r="H186" s="397"/>
      <c r="L186" s="260"/>
    </row>
    <row r="187">
      <c r="H187" s="397"/>
      <c r="L187" s="260"/>
    </row>
    <row r="188">
      <c r="H188" s="397"/>
      <c r="L188" s="260"/>
    </row>
    <row r="189">
      <c r="H189" s="397"/>
      <c r="L189" s="260"/>
    </row>
    <row r="190">
      <c r="H190" s="397"/>
      <c r="L190" s="260"/>
    </row>
    <row r="191">
      <c r="H191" s="397"/>
      <c r="L191" s="260"/>
    </row>
    <row r="192">
      <c r="H192" s="397"/>
      <c r="L192" s="260"/>
    </row>
    <row r="193">
      <c r="H193" s="397"/>
      <c r="L193" s="260"/>
    </row>
    <row r="194">
      <c r="H194" s="397"/>
      <c r="L194" s="260"/>
    </row>
    <row r="195">
      <c r="H195" s="397"/>
      <c r="L195" s="260"/>
    </row>
    <row r="196">
      <c r="H196" s="397"/>
      <c r="L196" s="260"/>
    </row>
    <row r="197">
      <c r="H197" s="397"/>
      <c r="L197" s="260"/>
    </row>
    <row r="198">
      <c r="H198" s="397"/>
      <c r="L198" s="260"/>
    </row>
    <row r="199">
      <c r="H199" s="397"/>
      <c r="L199" s="260"/>
    </row>
    <row r="200">
      <c r="H200" s="397"/>
      <c r="L200" s="260"/>
    </row>
    <row r="201">
      <c r="H201" s="397"/>
      <c r="L201" s="260"/>
    </row>
    <row r="202">
      <c r="H202" s="397"/>
      <c r="L202" s="260"/>
    </row>
    <row r="203">
      <c r="H203" s="397"/>
      <c r="L203" s="260"/>
    </row>
    <row r="204">
      <c r="H204" s="397"/>
      <c r="L204" s="260"/>
    </row>
    <row r="205">
      <c r="H205" s="397"/>
      <c r="L205" s="260"/>
    </row>
    <row r="206">
      <c r="H206" s="397"/>
      <c r="L206" s="260"/>
    </row>
    <row r="207">
      <c r="H207" s="397"/>
      <c r="L207" s="260"/>
    </row>
    <row r="208">
      <c r="H208" s="397"/>
      <c r="L208" s="260"/>
    </row>
    <row r="209">
      <c r="H209" s="397"/>
      <c r="L209" s="260"/>
    </row>
    <row r="210">
      <c r="H210" s="397"/>
      <c r="L210" s="260"/>
    </row>
    <row r="211">
      <c r="H211" s="397"/>
      <c r="L211" s="260"/>
    </row>
    <row r="212">
      <c r="H212" s="397"/>
      <c r="L212" s="260"/>
    </row>
    <row r="213">
      <c r="H213" s="397"/>
      <c r="L213" s="260"/>
    </row>
    <row r="214">
      <c r="H214" s="397"/>
      <c r="L214" s="260"/>
    </row>
    <row r="215">
      <c r="H215" s="397"/>
      <c r="L215" s="260"/>
    </row>
    <row r="216">
      <c r="H216" s="397"/>
      <c r="L216" s="260"/>
    </row>
    <row r="217">
      <c r="H217" s="397"/>
      <c r="L217" s="260"/>
    </row>
    <row r="218">
      <c r="H218" s="397"/>
      <c r="L218" s="260"/>
    </row>
    <row r="219">
      <c r="H219" s="397"/>
      <c r="L219" s="260"/>
    </row>
    <row r="220">
      <c r="H220" s="397"/>
      <c r="L220" s="260"/>
    </row>
    <row r="221">
      <c r="H221" s="397"/>
      <c r="L221" s="260"/>
    </row>
    <row r="222">
      <c r="H222" s="397"/>
      <c r="L222" s="260"/>
    </row>
    <row r="223">
      <c r="H223" s="397"/>
      <c r="L223" s="260"/>
    </row>
    <row r="224">
      <c r="H224" s="397"/>
      <c r="L224" s="260"/>
    </row>
    <row r="225">
      <c r="H225" s="397"/>
      <c r="L225" s="260"/>
    </row>
    <row r="226">
      <c r="H226" s="397"/>
      <c r="L226" s="260"/>
    </row>
    <row r="227">
      <c r="H227" s="397"/>
      <c r="L227" s="260"/>
    </row>
    <row r="228">
      <c r="H228" s="397"/>
      <c r="L228" s="260"/>
    </row>
    <row r="229">
      <c r="H229" s="397"/>
      <c r="L229" s="260"/>
    </row>
    <row r="230">
      <c r="H230" s="397"/>
      <c r="L230" s="260"/>
    </row>
    <row r="231">
      <c r="H231" s="397"/>
      <c r="L231" s="260"/>
    </row>
    <row r="232">
      <c r="H232" s="397"/>
      <c r="L232" s="260"/>
    </row>
    <row r="233">
      <c r="H233" s="397"/>
      <c r="L233" s="260"/>
    </row>
    <row r="234">
      <c r="H234" s="397"/>
      <c r="L234" s="260"/>
    </row>
    <row r="235">
      <c r="H235" s="397"/>
      <c r="L235" s="260"/>
    </row>
    <row r="236">
      <c r="H236" s="397"/>
      <c r="L236" s="260"/>
    </row>
    <row r="237">
      <c r="H237" s="397"/>
      <c r="L237" s="260"/>
    </row>
    <row r="238">
      <c r="H238" s="397"/>
      <c r="L238" s="260"/>
    </row>
    <row r="239">
      <c r="H239" s="397"/>
      <c r="L239" s="260"/>
    </row>
    <row r="240">
      <c r="H240" s="397"/>
      <c r="L240" s="260"/>
    </row>
    <row r="241">
      <c r="H241" s="397"/>
      <c r="L241" s="260"/>
    </row>
    <row r="242">
      <c r="H242" s="397"/>
      <c r="L242" s="260"/>
    </row>
    <row r="243">
      <c r="H243" s="397"/>
      <c r="L243" s="260"/>
    </row>
    <row r="244">
      <c r="H244" s="397"/>
      <c r="L244" s="260"/>
    </row>
    <row r="245">
      <c r="H245" s="397"/>
      <c r="L245" s="260"/>
    </row>
    <row r="246">
      <c r="H246" s="397"/>
      <c r="L246" s="260"/>
    </row>
    <row r="247">
      <c r="H247" s="397"/>
      <c r="L247" s="260"/>
    </row>
    <row r="248">
      <c r="H248" s="397"/>
      <c r="L248" s="260"/>
    </row>
    <row r="249">
      <c r="H249" s="397"/>
      <c r="L249" s="260"/>
    </row>
    <row r="250">
      <c r="H250" s="397"/>
      <c r="L250" s="260"/>
    </row>
    <row r="251">
      <c r="H251" s="397"/>
      <c r="L251" s="260"/>
    </row>
    <row r="252">
      <c r="H252" s="397"/>
      <c r="L252" s="260"/>
    </row>
    <row r="253">
      <c r="H253" s="397"/>
      <c r="L253" s="260"/>
    </row>
    <row r="254">
      <c r="H254" s="397"/>
      <c r="L254" s="260"/>
    </row>
    <row r="255">
      <c r="H255" s="397"/>
      <c r="L255" s="260"/>
    </row>
    <row r="256">
      <c r="H256" s="397"/>
      <c r="L256" s="260"/>
    </row>
    <row r="257">
      <c r="H257" s="397"/>
      <c r="L257" s="260"/>
    </row>
    <row r="258">
      <c r="H258" s="397"/>
      <c r="L258" s="260"/>
    </row>
    <row r="259">
      <c r="H259" s="397"/>
      <c r="L259" s="260"/>
    </row>
    <row r="260">
      <c r="H260" s="397"/>
      <c r="L260" s="260"/>
    </row>
    <row r="261">
      <c r="H261" s="397"/>
      <c r="L261" s="260"/>
    </row>
    <row r="262">
      <c r="H262" s="397"/>
      <c r="L262" s="260"/>
    </row>
    <row r="263">
      <c r="H263" s="397"/>
      <c r="L263" s="260"/>
    </row>
    <row r="264">
      <c r="H264" s="397"/>
      <c r="L264" s="260"/>
    </row>
    <row r="265">
      <c r="H265" s="397"/>
      <c r="L265" s="260"/>
    </row>
    <row r="266">
      <c r="H266" s="397"/>
      <c r="L266" s="260"/>
    </row>
    <row r="267">
      <c r="H267" s="397"/>
      <c r="L267" s="260"/>
    </row>
    <row r="268">
      <c r="H268" s="397"/>
      <c r="L268" s="260"/>
    </row>
    <row r="269">
      <c r="H269" s="397"/>
      <c r="L269" s="260"/>
    </row>
    <row r="270">
      <c r="H270" s="397"/>
      <c r="L270" s="260"/>
    </row>
    <row r="271">
      <c r="H271" s="397"/>
      <c r="L271" s="260"/>
    </row>
    <row r="272">
      <c r="H272" s="397"/>
      <c r="L272" s="260"/>
    </row>
    <row r="273">
      <c r="H273" s="397"/>
      <c r="L273" s="260"/>
    </row>
    <row r="274">
      <c r="H274" s="397"/>
      <c r="L274" s="260"/>
    </row>
    <row r="275">
      <c r="H275" s="397"/>
      <c r="L275" s="260"/>
    </row>
    <row r="276">
      <c r="H276" s="397"/>
      <c r="L276" s="260"/>
    </row>
    <row r="277">
      <c r="H277" s="397"/>
      <c r="L277" s="260"/>
    </row>
    <row r="278">
      <c r="H278" s="397"/>
      <c r="L278" s="260"/>
    </row>
    <row r="279">
      <c r="H279" s="397"/>
      <c r="L279" s="260"/>
    </row>
    <row r="280">
      <c r="H280" s="397"/>
      <c r="L280" s="260"/>
    </row>
    <row r="281">
      <c r="H281" s="397"/>
      <c r="L281" s="260"/>
    </row>
    <row r="282">
      <c r="H282" s="397"/>
      <c r="L282" s="260"/>
    </row>
    <row r="283">
      <c r="H283" s="397"/>
      <c r="L283" s="518"/>
    </row>
    <row r="284">
      <c r="H284" s="397"/>
      <c r="L284" s="260"/>
    </row>
    <row r="285">
      <c r="H285" s="397"/>
      <c r="L285" s="260"/>
    </row>
    <row r="286">
      <c r="H286" s="397"/>
      <c r="L286" s="260"/>
    </row>
    <row r="287">
      <c r="H287" s="397"/>
      <c r="L287" s="260"/>
    </row>
    <row r="288">
      <c r="H288" s="397"/>
      <c r="L288" s="260"/>
    </row>
    <row r="289">
      <c r="H289" s="397"/>
      <c r="L289" s="260"/>
    </row>
    <row r="290">
      <c r="H290" s="397"/>
      <c r="L290" s="260"/>
    </row>
    <row r="291">
      <c r="H291" s="397"/>
      <c r="L291" s="260"/>
    </row>
    <row r="292">
      <c r="H292" s="397"/>
      <c r="L292" s="260"/>
    </row>
    <row r="293">
      <c r="H293" s="397"/>
      <c r="L293" s="260"/>
    </row>
    <row r="294">
      <c r="H294" s="397"/>
      <c r="L294" s="260"/>
    </row>
    <row r="295">
      <c r="H295" s="397"/>
      <c r="L295" s="260"/>
    </row>
    <row r="296">
      <c r="H296" s="397"/>
      <c r="L296" s="260"/>
    </row>
    <row r="297">
      <c r="H297" s="397"/>
      <c r="L297" s="260"/>
    </row>
    <row r="298">
      <c r="H298" s="397"/>
      <c r="L298" s="260"/>
    </row>
    <row r="299">
      <c r="H299" s="397"/>
      <c r="L299" s="260"/>
    </row>
    <row r="300">
      <c r="H300" s="397"/>
      <c r="L300" s="260"/>
    </row>
    <row r="301">
      <c r="H301" s="397"/>
      <c r="L301" s="260"/>
    </row>
  </sheetData>
  <mergeCells count="1">
    <mergeCell ref="A2:A14"/>
  </mergeCells>
  <conditionalFormatting sqref="Z3:AM75">
    <cfRule type="containsBlanks" dxfId="11" priority="1">
      <formula>LEN(TRIM(Z3))=0</formula>
    </cfRule>
  </conditionalFormatting>
  <dataValidations>
    <dataValidation type="custom" allowBlank="1" showDropDown="1" sqref="C2:D17">
      <formula1>AND(ISNUMBER(C2),(NOT(OR(NOT(ISERROR(DATEVALUE(C2))), AND(ISNUMBER(C2), LEFT(CELL("format", C2))="D")))))</formula1>
    </dataValidation>
  </dataValidations>
  <drawing r:id="rId2"/>
  <legacyDrawing r:id="rId3"/>
  <tableParts count="1">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75"/>
  <cols>
    <col customWidth="1" min="1" max="1" width="0.86"/>
    <col customWidth="1" min="2" max="2" width="5.14"/>
    <col customWidth="1" min="3" max="3" width="7.71"/>
    <col customWidth="1" min="4" max="4" width="6.0"/>
    <col customWidth="1" min="5" max="5" width="5.86"/>
    <col customWidth="1" min="6" max="6" width="0.71"/>
    <col customWidth="1" min="7" max="7" width="5.0"/>
    <col customWidth="1" min="8" max="8" width="7.57"/>
    <col customWidth="1" min="9" max="9" width="5.71"/>
    <col customWidth="1" min="10" max="10" width="5.86"/>
    <col customWidth="1" min="11" max="11" width="0.57"/>
    <col hidden="1" min="12" max="27" width="14.43"/>
  </cols>
  <sheetData>
    <row r="1" ht="6.0" customHeight="1">
      <c r="A1" s="519"/>
      <c r="B1" s="520"/>
      <c r="C1" s="521"/>
      <c r="D1" s="521"/>
      <c r="E1" s="521"/>
      <c r="F1" s="521"/>
      <c r="G1" s="521"/>
      <c r="H1" s="521"/>
      <c r="I1" s="521"/>
      <c r="J1" s="521"/>
      <c r="K1" s="522"/>
      <c r="L1" s="522"/>
      <c r="M1" s="522"/>
      <c r="N1" s="522"/>
      <c r="O1" s="522"/>
      <c r="P1" s="522"/>
      <c r="Q1" s="522"/>
      <c r="R1" s="522"/>
      <c r="S1" s="522"/>
      <c r="T1" s="522"/>
      <c r="U1" s="522"/>
      <c r="V1" s="522"/>
      <c r="W1" s="522"/>
      <c r="X1" s="522"/>
      <c r="Y1" s="522"/>
      <c r="Z1" s="522"/>
      <c r="AA1" s="522"/>
    </row>
    <row r="2">
      <c r="A2" s="519"/>
      <c r="B2" s="523" t="s">
        <v>277</v>
      </c>
      <c r="C2" s="524"/>
      <c r="D2" s="524"/>
      <c r="E2" s="525"/>
      <c r="F2" s="522"/>
      <c r="G2" s="526" t="s">
        <v>279</v>
      </c>
      <c r="H2" s="527"/>
      <c r="I2" s="527"/>
      <c r="J2" s="528"/>
      <c r="K2" s="522"/>
      <c r="L2" s="522"/>
      <c r="M2" s="522"/>
      <c r="N2" s="522"/>
      <c r="O2" s="522"/>
      <c r="P2" s="522"/>
      <c r="Q2" s="522"/>
      <c r="R2" s="522"/>
      <c r="S2" s="522"/>
      <c r="T2" s="522"/>
      <c r="U2" s="522"/>
      <c r="V2" s="522"/>
      <c r="W2" s="522"/>
      <c r="X2" s="522"/>
      <c r="Y2" s="522"/>
      <c r="Z2" s="522"/>
      <c r="AA2" s="522"/>
    </row>
    <row r="3">
      <c r="A3" s="519"/>
      <c r="B3" s="529" t="s">
        <v>346</v>
      </c>
      <c r="C3" s="529" t="s">
        <v>347</v>
      </c>
      <c r="D3" s="529" t="s">
        <v>348</v>
      </c>
      <c r="E3" s="529" t="s">
        <v>349</v>
      </c>
      <c r="F3" s="520"/>
      <c r="G3" s="530" t="s">
        <v>346</v>
      </c>
      <c r="H3" s="530" t="s">
        <v>347</v>
      </c>
      <c r="I3" s="529" t="s">
        <v>350</v>
      </c>
      <c r="J3" s="529" t="s">
        <v>349</v>
      </c>
      <c r="K3" s="520"/>
      <c r="L3" s="522"/>
      <c r="M3" s="522"/>
      <c r="N3" s="522"/>
      <c r="O3" s="522"/>
      <c r="P3" s="522"/>
      <c r="Q3" s="522"/>
      <c r="R3" s="522"/>
      <c r="S3" s="522"/>
      <c r="T3" s="522"/>
      <c r="U3" s="522"/>
      <c r="V3" s="522"/>
      <c r="W3" s="522"/>
      <c r="X3" s="522"/>
      <c r="Y3" s="522"/>
      <c r="Z3" s="522"/>
      <c r="AA3" s="522"/>
    </row>
    <row r="4">
      <c r="A4" s="519"/>
      <c r="B4" s="531" t="s">
        <v>351</v>
      </c>
      <c r="C4" s="531">
        <v>0.0</v>
      </c>
      <c r="D4" s="532">
        <f t="shared" ref="D4:D8" si="1">iferror(C4/C$9, 0)</f>
        <v>0</v>
      </c>
      <c r="E4" s="532">
        <f t="shared" ref="E4:E9" si="2">iferror(C4/B$21, 0)</f>
        <v>0</v>
      </c>
      <c r="F4" s="533"/>
      <c r="G4" s="534" t="s">
        <v>352</v>
      </c>
      <c r="H4" s="535">
        <v>0.0</v>
      </c>
      <c r="I4" s="536">
        <f t="shared" ref="I4:I8" si="3">iferror(H4/H$9, 0)</f>
        <v>0</v>
      </c>
      <c r="J4" s="536">
        <f t="shared" ref="J4:J9" si="4">iferror(H4/B$21, 0)</f>
        <v>0</v>
      </c>
      <c r="K4" s="537"/>
      <c r="L4" s="522"/>
      <c r="M4" s="522"/>
      <c r="N4" s="522"/>
      <c r="O4" s="522"/>
      <c r="P4" s="522"/>
      <c r="Q4" s="522"/>
      <c r="R4" s="522"/>
      <c r="S4" s="522"/>
      <c r="T4" s="522"/>
      <c r="U4" s="522"/>
      <c r="V4" s="522"/>
      <c r="W4" s="522"/>
      <c r="X4" s="522"/>
      <c r="Y4" s="522"/>
      <c r="Z4" s="522"/>
      <c r="AA4" s="522"/>
    </row>
    <row r="5">
      <c r="A5" s="519"/>
      <c r="B5" s="538" t="s">
        <v>353</v>
      </c>
      <c r="C5" s="538">
        <v>0.0</v>
      </c>
      <c r="D5" s="539">
        <f t="shared" si="1"/>
        <v>0</v>
      </c>
      <c r="E5" s="539">
        <f t="shared" si="2"/>
        <v>0</v>
      </c>
      <c r="F5" s="533"/>
      <c r="G5" s="540" t="s">
        <v>354</v>
      </c>
      <c r="H5" s="538">
        <v>0.0</v>
      </c>
      <c r="I5" s="539">
        <f t="shared" si="3"/>
        <v>0</v>
      </c>
      <c r="J5" s="539">
        <f t="shared" si="4"/>
        <v>0</v>
      </c>
      <c r="K5" s="537"/>
      <c r="L5" s="522"/>
      <c r="M5" s="522"/>
      <c r="N5" s="522"/>
      <c r="O5" s="522"/>
      <c r="P5" s="522"/>
      <c r="Q5" s="522"/>
      <c r="R5" s="522"/>
      <c r="S5" s="522"/>
      <c r="T5" s="522"/>
      <c r="U5" s="522"/>
      <c r="V5" s="522"/>
      <c r="W5" s="522"/>
      <c r="X5" s="522"/>
      <c r="Y5" s="522"/>
      <c r="Z5" s="522"/>
      <c r="AA5" s="522"/>
    </row>
    <row r="6">
      <c r="A6" s="519"/>
      <c r="B6" s="541" t="s">
        <v>355</v>
      </c>
      <c r="C6" s="541">
        <v>0.0</v>
      </c>
      <c r="D6" s="532">
        <f t="shared" si="1"/>
        <v>0</v>
      </c>
      <c r="E6" s="532">
        <f t="shared" si="2"/>
        <v>0</v>
      </c>
      <c r="F6" s="533"/>
      <c r="G6" s="542" t="s">
        <v>356</v>
      </c>
      <c r="H6" s="535">
        <v>0.0</v>
      </c>
      <c r="I6" s="536">
        <f t="shared" si="3"/>
        <v>0</v>
      </c>
      <c r="J6" s="536">
        <f t="shared" si="4"/>
        <v>0</v>
      </c>
      <c r="K6" s="537"/>
      <c r="L6" s="522"/>
      <c r="M6" s="522"/>
      <c r="N6" s="522"/>
      <c r="O6" s="522"/>
      <c r="P6" s="522"/>
      <c r="Q6" s="522"/>
      <c r="R6" s="522"/>
      <c r="S6" s="522"/>
      <c r="T6" s="522"/>
      <c r="U6" s="522"/>
      <c r="V6" s="522"/>
      <c r="W6" s="522"/>
      <c r="X6" s="522"/>
      <c r="Y6" s="522"/>
      <c r="Z6" s="522"/>
      <c r="AA6" s="522"/>
    </row>
    <row r="7">
      <c r="A7" s="519"/>
      <c r="B7" s="538" t="s">
        <v>357</v>
      </c>
      <c r="C7" s="538">
        <v>0.0</v>
      </c>
      <c r="D7" s="539">
        <f t="shared" si="1"/>
        <v>0</v>
      </c>
      <c r="E7" s="539">
        <f t="shared" si="2"/>
        <v>0</v>
      </c>
      <c r="F7" s="533"/>
      <c r="G7" s="540" t="s">
        <v>358</v>
      </c>
      <c r="H7" s="538">
        <v>0.0</v>
      </c>
      <c r="I7" s="539">
        <f t="shared" si="3"/>
        <v>0</v>
      </c>
      <c r="J7" s="539">
        <f t="shared" si="4"/>
        <v>0</v>
      </c>
      <c r="K7" s="537"/>
      <c r="L7" s="522"/>
      <c r="M7" s="522"/>
      <c r="N7" s="522"/>
      <c r="O7" s="522"/>
      <c r="P7" s="522"/>
      <c r="Q7" s="522"/>
      <c r="R7" s="522"/>
      <c r="S7" s="522"/>
      <c r="T7" s="522"/>
      <c r="U7" s="522"/>
      <c r="V7" s="522"/>
      <c r="W7" s="522"/>
      <c r="X7" s="522"/>
      <c r="Y7" s="522"/>
      <c r="Z7" s="522"/>
      <c r="AA7" s="522"/>
    </row>
    <row r="8">
      <c r="A8" s="519"/>
      <c r="B8" s="541" t="s">
        <v>359</v>
      </c>
      <c r="C8" s="543">
        <v>0.0</v>
      </c>
      <c r="D8" s="532">
        <f t="shared" si="1"/>
        <v>0</v>
      </c>
      <c r="E8" s="532">
        <f t="shared" si="2"/>
        <v>0</v>
      </c>
      <c r="F8" s="544"/>
      <c r="G8" s="545" t="s">
        <v>360</v>
      </c>
      <c r="H8" s="546">
        <v>0.0</v>
      </c>
      <c r="I8" s="536">
        <f t="shared" si="3"/>
        <v>0</v>
      </c>
      <c r="J8" s="536">
        <f t="shared" si="4"/>
        <v>0</v>
      </c>
      <c r="K8" s="547"/>
      <c r="L8" s="522"/>
      <c r="M8" s="522"/>
      <c r="N8" s="522"/>
      <c r="O8" s="522"/>
      <c r="P8" s="522"/>
      <c r="Q8" s="522"/>
      <c r="R8" s="522"/>
      <c r="S8" s="522"/>
      <c r="T8" s="522"/>
      <c r="U8" s="522"/>
      <c r="V8" s="522"/>
      <c r="W8" s="522"/>
      <c r="X8" s="522"/>
      <c r="Y8" s="522"/>
      <c r="Z8" s="522"/>
      <c r="AA8" s="522"/>
    </row>
    <row r="9">
      <c r="A9" s="519"/>
      <c r="B9" s="548" t="s">
        <v>361</v>
      </c>
      <c r="C9" s="549">
        <f>SUM(C4:C8)</f>
        <v>0</v>
      </c>
      <c r="D9" s="550"/>
      <c r="E9" s="539">
        <f t="shared" si="2"/>
        <v>0</v>
      </c>
      <c r="F9" s="522"/>
      <c r="G9" s="548" t="s">
        <v>361</v>
      </c>
      <c r="H9" s="549">
        <f>SUM(H4:H8)</f>
        <v>0</v>
      </c>
      <c r="I9" s="550"/>
      <c r="J9" s="539">
        <f t="shared" si="4"/>
        <v>0</v>
      </c>
      <c r="K9" s="547"/>
      <c r="L9" s="522"/>
      <c r="M9" s="522"/>
      <c r="N9" s="522"/>
      <c r="O9" s="522"/>
      <c r="P9" s="522"/>
      <c r="Q9" s="522"/>
      <c r="R9" s="522"/>
      <c r="S9" s="522"/>
      <c r="T9" s="522"/>
      <c r="U9" s="522"/>
      <c r="V9" s="522"/>
      <c r="W9" s="522"/>
      <c r="X9" s="522"/>
      <c r="Y9" s="522"/>
      <c r="Z9" s="522"/>
      <c r="AA9" s="522"/>
    </row>
    <row r="10" ht="3.0" customHeight="1">
      <c r="A10" s="519"/>
      <c r="B10" s="551"/>
      <c r="C10" s="551"/>
      <c r="D10" s="552"/>
      <c r="E10" s="552"/>
      <c r="F10" s="519"/>
      <c r="G10" s="551"/>
      <c r="H10" s="551"/>
      <c r="I10" s="552"/>
      <c r="J10" s="552"/>
      <c r="K10" s="552"/>
      <c r="L10" s="522"/>
      <c r="M10" s="522"/>
      <c r="N10" s="522"/>
      <c r="O10" s="522"/>
      <c r="P10" s="522"/>
      <c r="Q10" s="522"/>
      <c r="R10" s="522"/>
      <c r="S10" s="522"/>
      <c r="T10" s="522"/>
      <c r="U10" s="522"/>
      <c r="V10" s="522"/>
      <c r="W10" s="522"/>
      <c r="X10" s="522"/>
      <c r="Y10" s="522"/>
      <c r="Z10" s="522"/>
      <c r="AA10" s="522"/>
    </row>
    <row r="11">
      <c r="A11" s="519"/>
      <c r="B11" s="553" t="s">
        <v>259</v>
      </c>
      <c r="C11" s="554"/>
      <c r="D11" s="554"/>
      <c r="E11" s="555"/>
      <c r="F11" s="522"/>
      <c r="G11" s="556" t="s">
        <v>280</v>
      </c>
      <c r="H11" s="557"/>
      <c r="I11" s="557"/>
      <c r="J11" s="558"/>
      <c r="K11" s="559"/>
      <c r="L11" s="522"/>
      <c r="M11" s="522"/>
      <c r="N11" s="522"/>
      <c r="O11" s="522"/>
      <c r="P11" s="522"/>
      <c r="Q11" s="522"/>
      <c r="R11" s="522"/>
      <c r="S11" s="522"/>
      <c r="T11" s="522"/>
      <c r="U11" s="522"/>
      <c r="V11" s="522"/>
      <c r="W11" s="522"/>
      <c r="X11" s="522"/>
      <c r="Y11" s="522"/>
      <c r="Z11" s="522"/>
      <c r="AA11" s="522"/>
    </row>
    <row r="12">
      <c r="A12" s="519"/>
      <c r="B12" s="529" t="s">
        <v>346</v>
      </c>
      <c r="C12" s="529" t="s">
        <v>347</v>
      </c>
      <c r="D12" s="529" t="s">
        <v>362</v>
      </c>
      <c r="E12" s="529" t="s">
        <v>349</v>
      </c>
      <c r="F12" s="520"/>
      <c r="G12" s="529" t="s">
        <v>346</v>
      </c>
      <c r="H12" s="529" t="s">
        <v>347</v>
      </c>
      <c r="I12" s="529" t="s">
        <v>363</v>
      </c>
      <c r="J12" s="529" t="s">
        <v>349</v>
      </c>
      <c r="K12" s="520"/>
      <c r="L12" s="522"/>
      <c r="M12" s="522"/>
      <c r="N12" s="522"/>
      <c r="O12" s="522"/>
      <c r="P12" s="522"/>
      <c r="Q12" s="522"/>
      <c r="R12" s="522"/>
      <c r="S12" s="522"/>
      <c r="T12" s="522"/>
      <c r="U12" s="522"/>
      <c r="V12" s="522"/>
      <c r="W12" s="522"/>
      <c r="X12" s="522"/>
      <c r="Y12" s="522"/>
      <c r="Z12" s="522"/>
      <c r="AA12" s="522"/>
    </row>
    <row r="13">
      <c r="A13" s="519"/>
      <c r="B13" s="560" t="s">
        <v>364</v>
      </c>
      <c r="C13" s="560">
        <v>0.0</v>
      </c>
      <c r="D13" s="561">
        <f t="shared" ref="D13:D17" si="5">iferror(C13/C$18, 0)</f>
        <v>0</v>
      </c>
      <c r="E13" s="561">
        <f t="shared" ref="E13:E18" si="6">iferror(C13/B$21, 0)</f>
        <v>0</v>
      </c>
      <c r="F13" s="533"/>
      <c r="G13" s="562" t="s">
        <v>365</v>
      </c>
      <c r="H13" s="563">
        <v>0.0</v>
      </c>
      <c r="I13" s="564">
        <f t="shared" ref="I13:I17" si="7">iferror(H13/H$18, 0)</f>
        <v>0</v>
      </c>
      <c r="J13" s="564">
        <f t="shared" ref="J13:J18" si="8">iferror(H13/B$21, 0)</f>
        <v>0</v>
      </c>
      <c r="K13" s="537"/>
      <c r="L13" s="522"/>
      <c r="M13" s="522"/>
      <c r="N13" s="522"/>
      <c r="O13" s="522"/>
      <c r="P13" s="522"/>
      <c r="Q13" s="522"/>
      <c r="R13" s="522"/>
      <c r="S13" s="522"/>
      <c r="T13" s="522"/>
      <c r="U13" s="522"/>
      <c r="V13" s="522"/>
      <c r="W13" s="522"/>
      <c r="X13" s="522"/>
      <c r="Y13" s="522"/>
      <c r="Z13" s="522"/>
      <c r="AA13" s="522"/>
    </row>
    <row r="14">
      <c r="A14" s="519"/>
      <c r="B14" s="538" t="s">
        <v>366</v>
      </c>
      <c r="C14" s="538">
        <v>0.0</v>
      </c>
      <c r="D14" s="539">
        <f t="shared" si="5"/>
        <v>0</v>
      </c>
      <c r="E14" s="539">
        <f t="shared" si="6"/>
        <v>0</v>
      </c>
      <c r="F14" s="533"/>
      <c r="G14" s="540" t="s">
        <v>367</v>
      </c>
      <c r="H14" s="538">
        <v>0.0</v>
      </c>
      <c r="I14" s="539">
        <f t="shared" si="7"/>
        <v>0</v>
      </c>
      <c r="J14" s="539">
        <f t="shared" si="8"/>
        <v>0</v>
      </c>
      <c r="K14" s="537"/>
      <c r="L14" s="522"/>
      <c r="M14" s="522"/>
      <c r="N14" s="522"/>
      <c r="O14" s="522"/>
      <c r="P14" s="522"/>
      <c r="Q14" s="522"/>
      <c r="R14" s="522"/>
      <c r="S14" s="522"/>
      <c r="T14" s="522"/>
      <c r="U14" s="522"/>
      <c r="V14" s="522"/>
      <c r="W14" s="522"/>
      <c r="X14" s="522"/>
      <c r="Y14" s="522"/>
      <c r="Z14" s="522"/>
      <c r="AA14" s="522"/>
    </row>
    <row r="15">
      <c r="A15" s="519"/>
      <c r="B15" s="565" t="s">
        <v>368</v>
      </c>
      <c r="C15" s="565">
        <v>0.0</v>
      </c>
      <c r="D15" s="561">
        <f t="shared" si="5"/>
        <v>0</v>
      </c>
      <c r="E15" s="561">
        <f t="shared" si="6"/>
        <v>0</v>
      </c>
      <c r="F15" s="533"/>
      <c r="G15" s="566" t="s">
        <v>369</v>
      </c>
      <c r="H15" s="567">
        <v>0.0</v>
      </c>
      <c r="I15" s="564">
        <f t="shared" si="7"/>
        <v>0</v>
      </c>
      <c r="J15" s="564">
        <f t="shared" si="8"/>
        <v>0</v>
      </c>
      <c r="K15" s="537"/>
      <c r="L15" s="522"/>
      <c r="M15" s="522"/>
      <c r="N15" s="522"/>
      <c r="O15" s="522"/>
      <c r="P15" s="522"/>
      <c r="Q15" s="522"/>
      <c r="R15" s="522"/>
      <c r="S15" s="522"/>
      <c r="T15" s="522"/>
      <c r="U15" s="522"/>
      <c r="V15" s="522"/>
      <c r="W15" s="522"/>
      <c r="X15" s="522"/>
      <c r="Y15" s="522"/>
      <c r="Z15" s="522"/>
      <c r="AA15" s="522"/>
    </row>
    <row r="16">
      <c r="A16" s="519"/>
      <c r="B16" s="538" t="s">
        <v>370</v>
      </c>
      <c r="C16" s="538">
        <v>0.0</v>
      </c>
      <c r="D16" s="539">
        <f t="shared" si="5"/>
        <v>0</v>
      </c>
      <c r="E16" s="539">
        <f t="shared" si="6"/>
        <v>0</v>
      </c>
      <c r="F16" s="533"/>
      <c r="G16" s="540" t="s">
        <v>371</v>
      </c>
      <c r="H16" s="538">
        <v>0.0</v>
      </c>
      <c r="I16" s="539">
        <f t="shared" si="7"/>
        <v>0</v>
      </c>
      <c r="J16" s="539">
        <f t="shared" si="8"/>
        <v>0</v>
      </c>
      <c r="K16" s="537"/>
      <c r="L16" s="522"/>
      <c r="M16" s="522"/>
      <c r="N16" s="522"/>
      <c r="O16" s="522"/>
      <c r="P16" s="522"/>
      <c r="Q16" s="522"/>
      <c r="R16" s="522"/>
      <c r="S16" s="522"/>
      <c r="T16" s="522"/>
      <c r="U16" s="522"/>
      <c r="V16" s="522"/>
      <c r="W16" s="522"/>
      <c r="X16" s="522"/>
      <c r="Y16" s="522"/>
      <c r="Z16" s="522"/>
      <c r="AA16" s="522"/>
    </row>
    <row r="17">
      <c r="A17" s="519"/>
      <c r="B17" s="565" t="s">
        <v>372</v>
      </c>
      <c r="C17" s="568">
        <v>0.0</v>
      </c>
      <c r="D17" s="561">
        <f t="shared" si="5"/>
        <v>0</v>
      </c>
      <c r="E17" s="561">
        <f t="shared" si="6"/>
        <v>0</v>
      </c>
      <c r="F17" s="544"/>
      <c r="G17" s="567" t="s">
        <v>373</v>
      </c>
      <c r="H17" s="569">
        <v>0.0</v>
      </c>
      <c r="I17" s="564">
        <f t="shared" si="7"/>
        <v>0</v>
      </c>
      <c r="J17" s="564">
        <f t="shared" si="8"/>
        <v>0</v>
      </c>
      <c r="K17" s="522"/>
      <c r="L17" s="522"/>
      <c r="M17" s="522"/>
      <c r="N17" s="522"/>
      <c r="O17" s="522"/>
      <c r="P17" s="522"/>
      <c r="Q17" s="522"/>
      <c r="R17" s="522"/>
      <c r="S17" s="522"/>
      <c r="T17" s="522"/>
      <c r="U17" s="522"/>
      <c r="V17" s="522"/>
      <c r="W17" s="522"/>
      <c r="X17" s="522"/>
      <c r="Y17" s="522"/>
      <c r="Z17" s="522"/>
      <c r="AA17" s="522"/>
    </row>
    <row r="18">
      <c r="A18" s="519"/>
      <c r="B18" s="548" t="s">
        <v>361</v>
      </c>
      <c r="C18" s="549">
        <f>SUM(C13:C17)</f>
        <v>0</v>
      </c>
      <c r="D18" s="550"/>
      <c r="E18" s="539">
        <f t="shared" si="6"/>
        <v>0</v>
      </c>
      <c r="F18" s="522"/>
      <c r="G18" s="548" t="s">
        <v>361</v>
      </c>
      <c r="H18" s="549">
        <f>SUM(H13:H17)</f>
        <v>0</v>
      </c>
      <c r="I18" s="550"/>
      <c r="J18" s="539">
        <f t="shared" si="8"/>
        <v>0</v>
      </c>
      <c r="K18" s="522"/>
      <c r="L18" s="522"/>
      <c r="M18" s="522"/>
      <c r="N18" s="522"/>
      <c r="O18" s="522"/>
      <c r="P18" s="522"/>
      <c r="Q18" s="522"/>
      <c r="R18" s="522"/>
      <c r="S18" s="522"/>
      <c r="T18" s="522"/>
      <c r="U18" s="522"/>
      <c r="V18" s="522"/>
      <c r="W18" s="522"/>
      <c r="X18" s="522"/>
      <c r="Y18" s="522"/>
      <c r="Z18" s="522"/>
      <c r="AA18" s="522"/>
    </row>
    <row r="19" ht="3.0" customHeight="1">
      <c r="A19" s="519"/>
      <c r="B19" s="522"/>
      <c r="C19" s="522"/>
      <c r="D19" s="522"/>
      <c r="E19" s="522"/>
      <c r="F19" s="522"/>
      <c r="G19" s="522"/>
      <c r="H19" s="522"/>
      <c r="I19" s="522"/>
      <c r="J19" s="522"/>
      <c r="K19" s="522"/>
      <c r="L19" s="522"/>
      <c r="M19" s="522"/>
      <c r="N19" s="522"/>
      <c r="O19" s="522"/>
      <c r="P19" s="522"/>
      <c r="Q19" s="522"/>
      <c r="R19" s="522"/>
      <c r="S19" s="522"/>
      <c r="T19" s="522"/>
      <c r="U19" s="522"/>
      <c r="V19" s="522"/>
      <c r="W19" s="522"/>
      <c r="X19" s="522"/>
      <c r="Y19" s="522"/>
      <c r="Z19" s="522"/>
      <c r="AA19" s="522"/>
    </row>
    <row r="20">
      <c r="A20" s="519"/>
      <c r="B20" s="570" t="s">
        <v>374</v>
      </c>
      <c r="C20" s="571"/>
      <c r="D20" s="570" t="s">
        <v>375</v>
      </c>
      <c r="E20" s="571"/>
      <c r="F20" s="571"/>
      <c r="G20" s="572"/>
      <c r="H20" s="573" t="s">
        <v>376</v>
      </c>
      <c r="I20" s="571"/>
      <c r="J20" s="572"/>
      <c r="K20" s="522"/>
      <c r="L20" s="522"/>
      <c r="M20" s="522"/>
      <c r="N20" s="522"/>
      <c r="O20" s="522"/>
      <c r="P20" s="522"/>
      <c r="Q20" s="522"/>
      <c r="R20" s="522"/>
      <c r="S20" s="522"/>
      <c r="T20" s="522"/>
      <c r="U20" s="522"/>
      <c r="V20" s="522"/>
      <c r="W20" s="522"/>
      <c r="X20" s="522"/>
      <c r="Y20" s="522"/>
      <c r="Z20" s="522"/>
      <c r="AA20" s="522"/>
    </row>
    <row r="21">
      <c r="A21" s="519"/>
      <c r="B21" s="574">
        <f>sum(C18,C9,H9,H18)</f>
        <v>0</v>
      </c>
      <c r="C21" s="29"/>
      <c r="D21" s="574">
        <f>40*20</f>
        <v>800</v>
      </c>
      <c r="E21" s="29"/>
      <c r="F21" s="29"/>
      <c r="G21" s="30"/>
      <c r="H21" s="575">
        <f>B21*D21</f>
        <v>0</v>
      </c>
      <c r="I21" s="29"/>
      <c r="J21" s="30"/>
      <c r="K21" s="522"/>
      <c r="L21" s="522"/>
      <c r="M21" s="522"/>
      <c r="N21" s="522"/>
      <c r="O21" s="522"/>
      <c r="P21" s="522"/>
      <c r="Q21" s="522"/>
      <c r="R21" s="522"/>
      <c r="S21" s="522"/>
      <c r="T21" s="522"/>
      <c r="U21" s="522"/>
      <c r="V21" s="522"/>
      <c r="W21" s="522"/>
      <c r="X21" s="522"/>
      <c r="Y21" s="522"/>
      <c r="Z21" s="522"/>
      <c r="AA21" s="522"/>
    </row>
    <row r="22">
      <c r="A22" s="519"/>
      <c r="B22" s="570" t="s">
        <v>377</v>
      </c>
      <c r="C22" s="571"/>
      <c r="D22" s="570" t="s">
        <v>378</v>
      </c>
      <c r="E22" s="571"/>
      <c r="F22" s="571"/>
      <c r="G22" s="572"/>
      <c r="H22" s="573" t="s">
        <v>379</v>
      </c>
      <c r="I22" s="571"/>
      <c r="J22" s="572"/>
      <c r="K22" s="522"/>
      <c r="L22" s="522"/>
      <c r="M22" s="522"/>
      <c r="N22" s="522"/>
      <c r="O22" s="522"/>
      <c r="P22" s="522"/>
      <c r="Q22" s="522"/>
      <c r="R22" s="522"/>
      <c r="S22" s="522"/>
      <c r="T22" s="522"/>
      <c r="U22" s="522"/>
      <c r="V22" s="522"/>
      <c r="W22" s="522"/>
      <c r="X22" s="522"/>
      <c r="Y22" s="522"/>
      <c r="Z22" s="522"/>
      <c r="AA22" s="522"/>
    </row>
    <row r="23">
      <c r="A23" s="519"/>
      <c r="B23" s="576">
        <f>B21*40</f>
        <v>0</v>
      </c>
      <c r="C23" s="29"/>
      <c r="D23" s="574">
        <v>3000.0</v>
      </c>
      <c r="E23" s="29"/>
      <c r="F23" s="29"/>
      <c r="G23" s="30"/>
      <c r="H23" s="575">
        <f>B21*D23</f>
        <v>0</v>
      </c>
      <c r="I23" s="29"/>
      <c r="J23" s="30"/>
      <c r="K23" s="522"/>
      <c r="L23" s="522"/>
      <c r="M23" s="522"/>
      <c r="N23" s="522"/>
      <c r="O23" s="522"/>
      <c r="P23" s="522"/>
      <c r="Q23" s="522"/>
      <c r="R23" s="522"/>
      <c r="S23" s="522"/>
      <c r="T23" s="522"/>
      <c r="U23" s="522"/>
      <c r="V23" s="522"/>
      <c r="W23" s="522"/>
      <c r="X23" s="522"/>
      <c r="Y23" s="522"/>
      <c r="Z23" s="522"/>
      <c r="AA23" s="522"/>
    </row>
    <row r="24" ht="3.0" customHeight="1">
      <c r="A24" s="519"/>
      <c r="B24" s="522"/>
      <c r="C24" s="522"/>
      <c r="D24" s="522"/>
      <c r="E24" s="522"/>
      <c r="F24" s="522"/>
      <c r="G24" s="522"/>
      <c r="H24" s="522"/>
      <c r="I24" s="522"/>
      <c r="J24" s="522"/>
      <c r="K24" s="522"/>
      <c r="L24" s="522"/>
      <c r="M24" s="522"/>
      <c r="N24" s="522"/>
      <c r="O24" s="522"/>
      <c r="P24" s="522"/>
      <c r="Q24" s="522"/>
      <c r="R24" s="522"/>
      <c r="S24" s="522"/>
      <c r="T24" s="522"/>
      <c r="U24" s="522"/>
      <c r="V24" s="522"/>
      <c r="W24" s="522"/>
      <c r="X24" s="522"/>
      <c r="Y24" s="522"/>
      <c r="Z24" s="522"/>
      <c r="AA24" s="522"/>
    </row>
    <row r="25">
      <c r="A25" s="522"/>
      <c r="B25" s="577" t="s">
        <v>380</v>
      </c>
      <c r="F25" s="522"/>
      <c r="G25" s="577" t="s">
        <v>381</v>
      </c>
      <c r="K25" s="522"/>
      <c r="L25" s="522"/>
      <c r="M25" s="522"/>
      <c r="N25" s="522"/>
      <c r="O25" s="522"/>
      <c r="P25" s="522"/>
      <c r="Q25" s="522"/>
      <c r="R25" s="522"/>
      <c r="S25" s="522"/>
      <c r="T25" s="522"/>
      <c r="U25" s="522"/>
      <c r="V25" s="522"/>
      <c r="W25" s="522"/>
      <c r="X25" s="522"/>
      <c r="Y25" s="522"/>
      <c r="Z25" s="522"/>
      <c r="AA25" s="522"/>
    </row>
    <row r="26">
      <c r="A26" s="522"/>
      <c r="B26" s="522">
        <f>$B$21/B29</f>
        <v>0</v>
      </c>
      <c r="F26" s="522"/>
      <c r="G26" s="522">
        <f>D21*B29</f>
        <v>16000</v>
      </c>
      <c r="K26" s="522"/>
      <c r="L26" s="522"/>
      <c r="M26" s="522"/>
      <c r="N26" s="522"/>
      <c r="O26" s="522"/>
      <c r="P26" s="522"/>
      <c r="Q26" s="522"/>
      <c r="R26" s="522"/>
      <c r="S26" s="522"/>
      <c r="T26" s="522"/>
      <c r="U26" s="522"/>
      <c r="V26" s="522"/>
      <c r="W26" s="522"/>
      <c r="X26" s="522"/>
      <c r="Y26" s="522"/>
      <c r="Z26" s="522"/>
      <c r="AA26" s="522"/>
    </row>
    <row r="27" ht="3.0" customHeight="1">
      <c r="A27" s="522"/>
      <c r="B27" s="522"/>
      <c r="C27" s="522"/>
      <c r="D27" s="522"/>
      <c r="E27" s="522"/>
      <c r="F27" s="522"/>
      <c r="G27" s="522"/>
      <c r="H27" s="522"/>
      <c r="I27" s="522"/>
      <c r="J27" s="522"/>
      <c r="K27" s="522"/>
      <c r="L27" s="522"/>
      <c r="M27" s="522"/>
      <c r="N27" s="522"/>
      <c r="O27" s="522"/>
      <c r="P27" s="522"/>
      <c r="Q27" s="522"/>
      <c r="R27" s="522"/>
      <c r="S27" s="522"/>
      <c r="T27" s="522"/>
      <c r="U27" s="522"/>
      <c r="V27" s="522"/>
      <c r="W27" s="522"/>
      <c r="X27" s="522"/>
      <c r="Y27" s="522"/>
      <c r="Z27" s="522"/>
      <c r="AA27" s="522"/>
    </row>
    <row r="28">
      <c r="A28" s="519"/>
      <c r="B28" s="570" t="s">
        <v>382</v>
      </c>
      <c r="C28" s="571"/>
      <c r="D28" s="570" t="s">
        <v>383</v>
      </c>
      <c r="E28" s="571"/>
      <c r="F28" s="571"/>
      <c r="G28" s="572"/>
      <c r="H28" s="573" t="s">
        <v>384</v>
      </c>
      <c r="I28" s="571"/>
      <c r="J28" s="572"/>
      <c r="K28" s="522"/>
      <c r="L28" s="522"/>
      <c r="M28" s="522"/>
      <c r="N28" s="522"/>
      <c r="O28" s="522"/>
      <c r="P28" s="522"/>
      <c r="Q28" s="522"/>
      <c r="R28" s="522"/>
      <c r="S28" s="522"/>
      <c r="T28" s="522"/>
      <c r="U28" s="522"/>
      <c r="V28" s="522"/>
      <c r="W28" s="522"/>
      <c r="X28" s="522"/>
      <c r="Y28" s="522"/>
      <c r="Z28" s="522"/>
      <c r="AA28" s="522"/>
    </row>
    <row r="29">
      <c r="A29" s="519"/>
      <c r="B29" s="578">
        <v>20.0</v>
      </c>
      <c r="C29" s="29"/>
      <c r="D29" s="574">
        <f>B29*18-B21</f>
        <v>360</v>
      </c>
      <c r="E29" s="29"/>
      <c r="F29" s="29"/>
      <c r="G29" s="30"/>
      <c r="H29" s="579">
        <v>4000.0</v>
      </c>
      <c r="I29" s="29"/>
      <c r="J29" s="30"/>
      <c r="K29" s="522"/>
      <c r="L29" s="522"/>
      <c r="M29" s="522"/>
      <c r="N29" s="522"/>
      <c r="O29" s="522"/>
      <c r="P29" s="522"/>
      <c r="Q29" s="522"/>
      <c r="R29" s="522"/>
      <c r="S29" s="522"/>
      <c r="T29" s="522"/>
      <c r="U29" s="522"/>
      <c r="V29" s="522"/>
      <c r="W29" s="522"/>
      <c r="X29" s="522"/>
      <c r="Y29" s="522"/>
      <c r="Z29" s="522"/>
      <c r="AA29" s="522"/>
    </row>
    <row r="30" ht="3.0" customHeight="1">
      <c r="A30" s="522"/>
      <c r="B30" s="522"/>
      <c r="C30" s="522"/>
      <c r="D30" s="522"/>
      <c r="E30" s="522"/>
      <c r="F30" s="522"/>
      <c r="G30" s="522"/>
      <c r="H30" s="522"/>
      <c r="I30" s="522"/>
      <c r="J30" s="522"/>
      <c r="K30" s="522"/>
      <c r="L30" s="522"/>
      <c r="M30" s="522"/>
      <c r="N30" s="522"/>
      <c r="O30" s="522"/>
      <c r="P30" s="522"/>
      <c r="Q30" s="522"/>
      <c r="R30" s="522"/>
      <c r="S30" s="522"/>
      <c r="T30" s="522"/>
      <c r="U30" s="522"/>
      <c r="V30" s="522"/>
      <c r="W30" s="522"/>
      <c r="X30" s="522"/>
      <c r="Y30" s="522"/>
      <c r="Z30" s="522"/>
      <c r="AA30" s="522"/>
    </row>
    <row r="31">
      <c r="A31" s="522"/>
      <c r="B31" s="577" t="s">
        <v>385</v>
      </c>
      <c r="F31" s="522"/>
      <c r="G31" s="577" t="s">
        <v>386</v>
      </c>
      <c r="K31" s="522"/>
      <c r="L31" s="522"/>
      <c r="M31" s="522"/>
      <c r="N31" s="522"/>
      <c r="O31" s="522"/>
      <c r="P31" s="522"/>
      <c r="Q31" s="522"/>
      <c r="R31" s="522"/>
      <c r="S31" s="522"/>
      <c r="T31" s="522"/>
      <c r="U31" s="522"/>
      <c r="V31" s="522"/>
      <c r="W31" s="522"/>
      <c r="X31" s="522"/>
      <c r="Y31" s="522"/>
      <c r="Z31" s="522"/>
      <c r="AA31" s="522"/>
    </row>
    <row r="32">
      <c r="A32" s="522"/>
      <c r="B32" s="522">
        <f>D21*D29</f>
        <v>288000</v>
      </c>
      <c r="F32" s="580"/>
      <c r="G32" s="522">
        <f>B32/H29</f>
        <v>72</v>
      </c>
      <c r="K32" s="522"/>
      <c r="L32" s="522"/>
      <c r="M32" s="522"/>
      <c r="N32" s="522"/>
      <c r="O32" s="522"/>
      <c r="P32" s="522"/>
      <c r="Q32" s="522"/>
      <c r="R32" s="522"/>
      <c r="S32" s="522"/>
      <c r="T32" s="522"/>
      <c r="U32" s="522"/>
      <c r="V32" s="522"/>
      <c r="W32" s="522"/>
      <c r="X32" s="522"/>
      <c r="Y32" s="522"/>
      <c r="Z32" s="522"/>
      <c r="AA32" s="522"/>
    </row>
    <row r="33" ht="3.0" customHeight="1">
      <c r="A33" s="522"/>
      <c r="B33" s="522"/>
      <c r="C33" s="522"/>
      <c r="D33" s="522"/>
      <c r="E33" s="522"/>
      <c r="F33" s="522"/>
      <c r="G33" s="522"/>
      <c r="H33" s="522"/>
      <c r="I33" s="522"/>
      <c r="J33" s="522"/>
      <c r="K33" s="522"/>
      <c r="L33" s="522"/>
      <c r="M33" s="522"/>
      <c r="N33" s="522"/>
      <c r="O33" s="522"/>
      <c r="P33" s="522"/>
      <c r="Q33" s="522"/>
      <c r="R33" s="522"/>
      <c r="S33" s="522"/>
      <c r="T33" s="522"/>
      <c r="U33" s="522"/>
      <c r="V33" s="522"/>
      <c r="W33" s="522"/>
      <c r="X33" s="522"/>
      <c r="Y33" s="522"/>
      <c r="Z33" s="522"/>
      <c r="AA33" s="522"/>
    </row>
  </sheetData>
  <mergeCells count="30">
    <mergeCell ref="B2:E2"/>
    <mergeCell ref="G2:J2"/>
    <mergeCell ref="B11:E11"/>
    <mergeCell ref="G11:J11"/>
    <mergeCell ref="B20:C20"/>
    <mergeCell ref="D20:G20"/>
    <mergeCell ref="H20:J20"/>
    <mergeCell ref="D23:G23"/>
    <mergeCell ref="H23:J23"/>
    <mergeCell ref="B21:C21"/>
    <mergeCell ref="D21:G21"/>
    <mergeCell ref="H21:J21"/>
    <mergeCell ref="B22:C22"/>
    <mergeCell ref="D22:G22"/>
    <mergeCell ref="H22:J22"/>
    <mergeCell ref="B23:C23"/>
    <mergeCell ref="B29:C29"/>
    <mergeCell ref="D29:G29"/>
    <mergeCell ref="H29:J29"/>
    <mergeCell ref="B31:E31"/>
    <mergeCell ref="G31:J31"/>
    <mergeCell ref="B32:E32"/>
    <mergeCell ref="G32:J32"/>
    <mergeCell ref="B25:E25"/>
    <mergeCell ref="G25:J25"/>
    <mergeCell ref="B26:E26"/>
    <mergeCell ref="G26:J26"/>
    <mergeCell ref="B28:C28"/>
    <mergeCell ref="D28:G28"/>
    <mergeCell ref="H28:J28"/>
  </mergeCells>
  <conditionalFormatting sqref="C4:C8 H4:H8 C13:C17 H13:H17">
    <cfRule type="cellIs" dxfId="12" priority="1" operator="equal">
      <formula>0</formula>
    </cfRule>
  </conditionalFormatting>
  <conditionalFormatting sqref="C4:C8 H4:H8 C13:C17 H13:H17">
    <cfRule type="cellIs" dxfId="13" priority="2" operator="equal">
      <formula>1</formula>
    </cfRule>
  </conditionalFormatting>
  <conditionalFormatting sqref="C4:C8 H4:H8 C13:C17 H13:H17">
    <cfRule type="cellIs" dxfId="14" priority="3" operator="between">
      <formula>2</formula>
      <formula>3</formula>
    </cfRule>
  </conditionalFormatting>
  <conditionalFormatting sqref="C4:C8 H4:H8 C13:C17 H13:H17">
    <cfRule type="cellIs" dxfId="15" priority="4" operator="between">
      <formula>4</formula>
      <formula>7</formula>
    </cfRule>
  </conditionalFormatting>
  <conditionalFormatting sqref="C4:C8 H4:H8 C13:C17 H13:H17">
    <cfRule type="cellIs" dxfId="16" priority="5" operator="greaterThanOrEqual">
      <formula>8</formula>
    </cfRule>
  </conditionalFormatting>
  <conditionalFormatting sqref="A1:K33">
    <cfRule type="containsBlanks" dxfId="17" priority="6">
      <formula>LEN(TRIM(A1))=0</formula>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75"/>
  <cols>
    <col customWidth="1" min="1" max="1" width="0.86"/>
    <col customWidth="1" min="2" max="2" width="5.14"/>
    <col customWidth="1" min="3" max="3" width="7.71"/>
    <col customWidth="1" min="4" max="4" width="6.0"/>
    <col customWidth="1" min="5" max="5" width="5.86"/>
    <col customWidth="1" min="6" max="6" width="0.71"/>
    <col customWidth="1" min="7" max="7" width="5.0"/>
    <col customWidth="1" min="8" max="8" width="7.57"/>
    <col customWidth="1" min="9" max="9" width="5.71"/>
    <col customWidth="1" min="10" max="10" width="5.86"/>
    <col customWidth="1" min="11" max="11" width="0.57"/>
    <col hidden="1" min="12" max="27" width="14.43"/>
  </cols>
  <sheetData>
    <row r="1" ht="6.0" customHeight="1">
      <c r="A1" s="519"/>
      <c r="B1" s="520"/>
      <c r="C1" s="521"/>
      <c r="D1" s="521"/>
      <c r="E1" s="521"/>
      <c r="F1" s="521"/>
      <c r="G1" s="521"/>
      <c r="H1" s="521"/>
      <c r="I1" s="521"/>
      <c r="J1" s="521"/>
      <c r="K1" s="522"/>
      <c r="L1" s="522"/>
      <c r="M1" s="522"/>
      <c r="N1" s="522"/>
      <c r="O1" s="522"/>
      <c r="P1" s="522"/>
      <c r="Q1" s="522"/>
      <c r="R1" s="522"/>
      <c r="S1" s="522"/>
      <c r="T1" s="522"/>
      <c r="U1" s="522"/>
      <c r="V1" s="522"/>
      <c r="W1" s="522"/>
      <c r="X1" s="522"/>
      <c r="Y1" s="522"/>
      <c r="Z1" s="522"/>
      <c r="AA1" s="522"/>
    </row>
    <row r="2">
      <c r="A2" s="519"/>
      <c r="B2" s="523" t="s">
        <v>277</v>
      </c>
      <c r="C2" s="524"/>
      <c r="D2" s="524"/>
      <c r="E2" s="525"/>
      <c r="F2" s="522"/>
      <c r="G2" s="526" t="s">
        <v>279</v>
      </c>
      <c r="H2" s="527"/>
      <c r="I2" s="527"/>
      <c r="J2" s="528"/>
      <c r="K2" s="522"/>
      <c r="L2" s="522"/>
      <c r="M2" s="522"/>
      <c r="N2" s="522"/>
      <c r="O2" s="522"/>
      <c r="P2" s="522"/>
      <c r="Q2" s="522"/>
      <c r="R2" s="522"/>
      <c r="S2" s="522"/>
      <c r="T2" s="522"/>
      <c r="U2" s="522"/>
      <c r="V2" s="522"/>
      <c r="W2" s="522"/>
      <c r="X2" s="522"/>
      <c r="Y2" s="522"/>
      <c r="Z2" s="522"/>
      <c r="AA2" s="522"/>
    </row>
    <row r="3">
      <c r="A3" s="519"/>
      <c r="B3" s="529" t="s">
        <v>346</v>
      </c>
      <c r="C3" s="529" t="s">
        <v>347</v>
      </c>
      <c r="D3" s="529" t="s">
        <v>348</v>
      </c>
      <c r="E3" s="529" t="s">
        <v>349</v>
      </c>
      <c r="F3" s="520"/>
      <c r="G3" s="530" t="s">
        <v>346</v>
      </c>
      <c r="H3" s="530" t="s">
        <v>347</v>
      </c>
      <c r="I3" s="529" t="s">
        <v>350</v>
      </c>
      <c r="J3" s="529" t="s">
        <v>349</v>
      </c>
      <c r="K3" s="520"/>
      <c r="L3" s="522"/>
      <c r="M3" s="522"/>
      <c r="N3" s="522"/>
      <c r="O3" s="522"/>
      <c r="P3" s="522"/>
      <c r="Q3" s="522"/>
      <c r="R3" s="522"/>
      <c r="S3" s="522"/>
      <c r="T3" s="522"/>
      <c r="U3" s="522"/>
      <c r="V3" s="522"/>
      <c r="W3" s="522"/>
      <c r="X3" s="522"/>
      <c r="Y3" s="522"/>
      <c r="Z3" s="522"/>
      <c r="AA3" s="522"/>
    </row>
    <row r="4">
      <c r="A4" s="519"/>
      <c r="B4" s="531" t="s">
        <v>351</v>
      </c>
      <c r="C4" s="531">
        <v>0.0</v>
      </c>
      <c r="D4" s="532">
        <f t="shared" ref="D4:D8" si="1">iferror(C4/C$9, 0)</f>
        <v>0</v>
      </c>
      <c r="E4" s="532">
        <f t="shared" ref="E4:E9" si="2">iferror(C4/B$21, 0)</f>
        <v>0</v>
      </c>
      <c r="F4" s="533"/>
      <c r="G4" s="534" t="s">
        <v>352</v>
      </c>
      <c r="H4" s="535">
        <v>0.0</v>
      </c>
      <c r="I4" s="536">
        <f t="shared" ref="I4:I8" si="3">iferror(H4/H$9, 0)</f>
        <v>0</v>
      </c>
      <c r="J4" s="536">
        <f t="shared" ref="J4:J9" si="4">iferror(H4/B$21, 0)</f>
        <v>0</v>
      </c>
      <c r="K4" s="537"/>
      <c r="L4" s="522"/>
      <c r="M4" s="522"/>
      <c r="N4" s="522"/>
      <c r="O4" s="522"/>
      <c r="P4" s="522"/>
      <c r="Q4" s="522"/>
      <c r="R4" s="522"/>
      <c r="S4" s="522"/>
      <c r="T4" s="522"/>
      <c r="U4" s="522"/>
      <c r="V4" s="522"/>
      <c r="W4" s="522"/>
      <c r="X4" s="522"/>
      <c r="Y4" s="522"/>
      <c r="Z4" s="522"/>
      <c r="AA4" s="522"/>
    </row>
    <row r="5">
      <c r="A5" s="519"/>
      <c r="B5" s="538" t="s">
        <v>353</v>
      </c>
      <c r="C5" s="538">
        <v>0.0</v>
      </c>
      <c r="D5" s="539">
        <f t="shared" si="1"/>
        <v>0</v>
      </c>
      <c r="E5" s="539">
        <f t="shared" si="2"/>
        <v>0</v>
      </c>
      <c r="F5" s="533"/>
      <c r="G5" s="540" t="s">
        <v>354</v>
      </c>
      <c r="H5" s="538">
        <v>0.0</v>
      </c>
      <c r="I5" s="539">
        <f t="shared" si="3"/>
        <v>0</v>
      </c>
      <c r="J5" s="539">
        <f t="shared" si="4"/>
        <v>0</v>
      </c>
      <c r="K5" s="537"/>
      <c r="L5" s="522"/>
      <c r="M5" s="522"/>
      <c r="N5" s="522"/>
      <c r="O5" s="522"/>
      <c r="P5" s="522"/>
      <c r="Q5" s="522"/>
      <c r="R5" s="522"/>
      <c r="S5" s="522"/>
      <c r="T5" s="522"/>
      <c r="U5" s="522"/>
      <c r="V5" s="522"/>
      <c r="W5" s="522"/>
      <c r="X5" s="522"/>
      <c r="Y5" s="522"/>
      <c r="Z5" s="522"/>
      <c r="AA5" s="522"/>
    </row>
    <row r="6">
      <c r="A6" s="519"/>
      <c r="B6" s="541" t="s">
        <v>355</v>
      </c>
      <c r="C6" s="541">
        <v>0.0</v>
      </c>
      <c r="D6" s="532">
        <f t="shared" si="1"/>
        <v>0</v>
      </c>
      <c r="E6" s="532">
        <f t="shared" si="2"/>
        <v>0</v>
      </c>
      <c r="F6" s="533"/>
      <c r="G6" s="542" t="s">
        <v>356</v>
      </c>
      <c r="H6" s="535">
        <v>0.0</v>
      </c>
      <c r="I6" s="536">
        <f t="shared" si="3"/>
        <v>0</v>
      </c>
      <c r="J6" s="536">
        <f t="shared" si="4"/>
        <v>0</v>
      </c>
      <c r="K6" s="537"/>
      <c r="L6" s="522"/>
      <c r="M6" s="522"/>
      <c r="N6" s="522"/>
      <c r="O6" s="522"/>
      <c r="P6" s="522"/>
      <c r="Q6" s="522"/>
      <c r="R6" s="522"/>
      <c r="S6" s="522"/>
      <c r="T6" s="522"/>
      <c r="U6" s="522"/>
      <c r="V6" s="522"/>
      <c r="W6" s="522"/>
      <c r="X6" s="522"/>
      <c r="Y6" s="522"/>
      <c r="Z6" s="522"/>
      <c r="AA6" s="522"/>
    </row>
    <row r="7">
      <c r="A7" s="519"/>
      <c r="B7" s="538" t="s">
        <v>357</v>
      </c>
      <c r="C7" s="538">
        <v>0.0</v>
      </c>
      <c r="D7" s="539">
        <f t="shared" si="1"/>
        <v>0</v>
      </c>
      <c r="E7" s="539">
        <f t="shared" si="2"/>
        <v>0</v>
      </c>
      <c r="F7" s="533"/>
      <c r="G7" s="540" t="s">
        <v>358</v>
      </c>
      <c r="H7" s="538">
        <v>0.0</v>
      </c>
      <c r="I7" s="539">
        <f t="shared" si="3"/>
        <v>0</v>
      </c>
      <c r="J7" s="539">
        <f t="shared" si="4"/>
        <v>0</v>
      </c>
      <c r="K7" s="537"/>
      <c r="L7" s="522"/>
      <c r="M7" s="522"/>
      <c r="N7" s="522"/>
      <c r="O7" s="522"/>
      <c r="P7" s="522"/>
      <c r="Q7" s="522"/>
      <c r="R7" s="522"/>
      <c r="S7" s="522"/>
      <c r="T7" s="522"/>
      <c r="U7" s="522"/>
      <c r="V7" s="522"/>
      <c r="W7" s="522"/>
      <c r="X7" s="522"/>
      <c r="Y7" s="522"/>
      <c r="Z7" s="522"/>
      <c r="AA7" s="522"/>
    </row>
    <row r="8">
      <c r="A8" s="519"/>
      <c r="B8" s="541" t="s">
        <v>359</v>
      </c>
      <c r="C8" s="543">
        <v>0.0</v>
      </c>
      <c r="D8" s="532">
        <f t="shared" si="1"/>
        <v>0</v>
      </c>
      <c r="E8" s="532">
        <f t="shared" si="2"/>
        <v>0</v>
      </c>
      <c r="F8" s="544"/>
      <c r="G8" s="545" t="s">
        <v>360</v>
      </c>
      <c r="H8" s="581">
        <v>0.0</v>
      </c>
      <c r="I8" s="536">
        <f t="shared" si="3"/>
        <v>0</v>
      </c>
      <c r="J8" s="536">
        <f t="shared" si="4"/>
        <v>0</v>
      </c>
      <c r="K8" s="547"/>
      <c r="L8" s="522"/>
      <c r="M8" s="522"/>
      <c r="N8" s="522"/>
      <c r="O8" s="522"/>
      <c r="P8" s="522"/>
      <c r="Q8" s="522"/>
      <c r="R8" s="522"/>
      <c r="S8" s="522"/>
      <c r="T8" s="522"/>
      <c r="U8" s="522"/>
      <c r="V8" s="522"/>
      <c r="W8" s="522"/>
      <c r="X8" s="522"/>
      <c r="Y8" s="522"/>
      <c r="Z8" s="522"/>
      <c r="AA8" s="522"/>
    </row>
    <row r="9">
      <c r="A9" s="519"/>
      <c r="B9" s="548" t="s">
        <v>361</v>
      </c>
      <c r="C9" s="549">
        <f>SUM(C4:C8)</f>
        <v>0</v>
      </c>
      <c r="D9" s="550"/>
      <c r="E9" s="539">
        <f t="shared" si="2"/>
        <v>0</v>
      </c>
      <c r="F9" s="522"/>
      <c r="G9" s="548" t="s">
        <v>361</v>
      </c>
      <c r="H9" s="549">
        <f>SUM(H4:H8)</f>
        <v>0</v>
      </c>
      <c r="I9" s="550"/>
      <c r="J9" s="539">
        <f t="shared" si="4"/>
        <v>0</v>
      </c>
      <c r="K9" s="547"/>
      <c r="L9" s="522"/>
      <c r="M9" s="522"/>
      <c r="N9" s="522"/>
      <c r="O9" s="522"/>
      <c r="P9" s="522"/>
      <c r="Q9" s="522"/>
      <c r="R9" s="522"/>
      <c r="S9" s="522"/>
      <c r="T9" s="522"/>
      <c r="U9" s="522"/>
      <c r="V9" s="522"/>
      <c r="W9" s="522"/>
      <c r="X9" s="522"/>
      <c r="Y9" s="522"/>
      <c r="Z9" s="522"/>
      <c r="AA9" s="522"/>
    </row>
    <row r="10" ht="3.0" customHeight="1">
      <c r="A10" s="519"/>
      <c r="B10" s="551"/>
      <c r="C10" s="551"/>
      <c r="D10" s="552"/>
      <c r="E10" s="552"/>
      <c r="F10" s="519"/>
      <c r="G10" s="551"/>
      <c r="H10" s="551"/>
      <c r="I10" s="552"/>
      <c r="J10" s="552"/>
      <c r="K10" s="552"/>
      <c r="L10" s="522"/>
      <c r="M10" s="522"/>
      <c r="N10" s="522"/>
      <c r="O10" s="522"/>
      <c r="P10" s="522"/>
      <c r="Q10" s="522"/>
      <c r="R10" s="522"/>
      <c r="S10" s="522"/>
      <c r="T10" s="522"/>
      <c r="U10" s="522"/>
      <c r="V10" s="522"/>
      <c r="W10" s="522"/>
      <c r="X10" s="522"/>
      <c r="Y10" s="522"/>
      <c r="Z10" s="522"/>
      <c r="AA10" s="522"/>
    </row>
    <row r="11">
      <c r="A11" s="519"/>
      <c r="B11" s="553" t="s">
        <v>259</v>
      </c>
      <c r="C11" s="554"/>
      <c r="D11" s="554"/>
      <c r="E11" s="555"/>
      <c r="F11" s="522"/>
      <c r="G11" s="556" t="s">
        <v>280</v>
      </c>
      <c r="H11" s="557"/>
      <c r="I11" s="557"/>
      <c r="J11" s="558"/>
      <c r="K11" s="559"/>
      <c r="L11" s="522"/>
      <c r="M11" s="522"/>
      <c r="N11" s="522"/>
      <c r="O11" s="522"/>
      <c r="P11" s="522"/>
      <c r="Q11" s="522"/>
      <c r="R11" s="522"/>
      <c r="S11" s="522"/>
      <c r="T11" s="522"/>
      <c r="U11" s="522"/>
      <c r="V11" s="522"/>
      <c r="W11" s="522"/>
      <c r="X11" s="522"/>
      <c r="Y11" s="522"/>
      <c r="Z11" s="522"/>
      <c r="AA11" s="522"/>
    </row>
    <row r="12">
      <c r="A12" s="519"/>
      <c r="B12" s="529" t="s">
        <v>346</v>
      </c>
      <c r="C12" s="529" t="s">
        <v>347</v>
      </c>
      <c r="D12" s="529" t="s">
        <v>362</v>
      </c>
      <c r="E12" s="529" t="s">
        <v>349</v>
      </c>
      <c r="F12" s="520"/>
      <c r="G12" s="529" t="s">
        <v>346</v>
      </c>
      <c r="H12" s="529" t="s">
        <v>347</v>
      </c>
      <c r="I12" s="529" t="s">
        <v>363</v>
      </c>
      <c r="J12" s="529" t="s">
        <v>349</v>
      </c>
      <c r="K12" s="520"/>
      <c r="L12" s="522"/>
      <c r="M12" s="522"/>
      <c r="N12" s="522"/>
      <c r="O12" s="522"/>
      <c r="P12" s="522"/>
      <c r="Q12" s="522"/>
      <c r="R12" s="522"/>
      <c r="S12" s="522"/>
      <c r="T12" s="522"/>
      <c r="U12" s="522"/>
      <c r="V12" s="522"/>
      <c r="W12" s="522"/>
      <c r="X12" s="522"/>
      <c r="Y12" s="522"/>
      <c r="Z12" s="522"/>
      <c r="AA12" s="522"/>
    </row>
    <row r="13">
      <c r="A13" s="519"/>
      <c r="B13" s="560" t="s">
        <v>364</v>
      </c>
      <c r="C13" s="560">
        <v>0.0</v>
      </c>
      <c r="D13" s="561">
        <f t="shared" ref="D13:D17" si="5">iferror(C13/C$18, 0)</f>
        <v>0</v>
      </c>
      <c r="E13" s="561">
        <f t="shared" ref="E13:E18" si="6">iferror(C13/B$21, 0)</f>
        <v>0</v>
      </c>
      <c r="F13" s="533"/>
      <c r="G13" s="562" t="s">
        <v>365</v>
      </c>
      <c r="H13" s="563">
        <v>0.0</v>
      </c>
      <c r="I13" s="564">
        <f t="shared" ref="I13:I17" si="7">iferror(H13/H$18, 0)</f>
        <v>0</v>
      </c>
      <c r="J13" s="564">
        <f t="shared" ref="J13:J18" si="8">iferror(H13/B$21, 0)</f>
        <v>0</v>
      </c>
      <c r="K13" s="537"/>
      <c r="L13" s="522"/>
      <c r="M13" s="522"/>
      <c r="N13" s="522"/>
      <c r="O13" s="522"/>
      <c r="P13" s="522"/>
      <c r="Q13" s="522"/>
      <c r="R13" s="522"/>
      <c r="S13" s="522"/>
      <c r="T13" s="522"/>
      <c r="U13" s="522"/>
      <c r="V13" s="522"/>
      <c r="W13" s="522"/>
      <c r="X13" s="522"/>
      <c r="Y13" s="522"/>
      <c r="Z13" s="522"/>
      <c r="AA13" s="522"/>
    </row>
    <row r="14">
      <c r="A14" s="519"/>
      <c r="B14" s="538" t="s">
        <v>366</v>
      </c>
      <c r="C14" s="538">
        <v>0.0</v>
      </c>
      <c r="D14" s="539">
        <f t="shared" si="5"/>
        <v>0</v>
      </c>
      <c r="E14" s="539">
        <f t="shared" si="6"/>
        <v>0</v>
      </c>
      <c r="F14" s="533"/>
      <c r="G14" s="540" t="s">
        <v>367</v>
      </c>
      <c r="H14" s="538">
        <v>0.0</v>
      </c>
      <c r="I14" s="539">
        <f t="shared" si="7"/>
        <v>0</v>
      </c>
      <c r="J14" s="539">
        <f t="shared" si="8"/>
        <v>0</v>
      </c>
      <c r="K14" s="537"/>
      <c r="L14" s="522"/>
      <c r="M14" s="522"/>
      <c r="N14" s="522"/>
      <c r="O14" s="522"/>
      <c r="P14" s="522"/>
      <c r="Q14" s="522"/>
      <c r="R14" s="522"/>
      <c r="S14" s="522"/>
      <c r="T14" s="522"/>
      <c r="U14" s="522"/>
      <c r="V14" s="522"/>
      <c r="W14" s="522"/>
      <c r="X14" s="522"/>
      <c r="Y14" s="522"/>
      <c r="Z14" s="522"/>
      <c r="AA14" s="522"/>
    </row>
    <row r="15">
      <c r="A15" s="519"/>
      <c r="B15" s="565" t="s">
        <v>368</v>
      </c>
      <c r="C15" s="565">
        <v>0.0</v>
      </c>
      <c r="D15" s="561">
        <f t="shared" si="5"/>
        <v>0</v>
      </c>
      <c r="E15" s="561">
        <f t="shared" si="6"/>
        <v>0</v>
      </c>
      <c r="F15" s="533"/>
      <c r="G15" s="566" t="s">
        <v>369</v>
      </c>
      <c r="H15" s="567">
        <v>0.0</v>
      </c>
      <c r="I15" s="564">
        <f t="shared" si="7"/>
        <v>0</v>
      </c>
      <c r="J15" s="564">
        <f t="shared" si="8"/>
        <v>0</v>
      </c>
      <c r="K15" s="537"/>
      <c r="L15" s="522"/>
      <c r="M15" s="522"/>
      <c r="N15" s="522"/>
      <c r="O15" s="522"/>
      <c r="P15" s="522"/>
      <c r="Q15" s="522"/>
      <c r="R15" s="522"/>
      <c r="S15" s="522"/>
      <c r="T15" s="522"/>
      <c r="U15" s="522"/>
      <c r="V15" s="522"/>
      <c r="W15" s="522"/>
      <c r="X15" s="522"/>
      <c r="Y15" s="522"/>
      <c r="Z15" s="522"/>
      <c r="AA15" s="522"/>
    </row>
    <row r="16">
      <c r="A16" s="519"/>
      <c r="B16" s="538" t="s">
        <v>370</v>
      </c>
      <c r="C16" s="538">
        <v>0.0</v>
      </c>
      <c r="D16" s="539">
        <f t="shared" si="5"/>
        <v>0</v>
      </c>
      <c r="E16" s="539">
        <f t="shared" si="6"/>
        <v>0</v>
      </c>
      <c r="F16" s="533"/>
      <c r="G16" s="540" t="s">
        <v>371</v>
      </c>
      <c r="H16" s="538">
        <v>0.0</v>
      </c>
      <c r="I16" s="539">
        <f t="shared" si="7"/>
        <v>0</v>
      </c>
      <c r="J16" s="539">
        <f t="shared" si="8"/>
        <v>0</v>
      </c>
      <c r="K16" s="537"/>
      <c r="L16" s="522"/>
      <c r="M16" s="522"/>
      <c r="N16" s="522"/>
      <c r="O16" s="522"/>
      <c r="P16" s="522"/>
      <c r="Q16" s="522"/>
      <c r="R16" s="522"/>
      <c r="S16" s="522"/>
      <c r="T16" s="522"/>
      <c r="U16" s="522"/>
      <c r="V16" s="522"/>
      <c r="W16" s="522"/>
      <c r="X16" s="522"/>
      <c r="Y16" s="522"/>
      <c r="Z16" s="522"/>
      <c r="AA16" s="522"/>
    </row>
    <row r="17">
      <c r="A17" s="519"/>
      <c r="B17" s="565" t="s">
        <v>372</v>
      </c>
      <c r="C17" s="568">
        <v>0.0</v>
      </c>
      <c r="D17" s="561">
        <f t="shared" si="5"/>
        <v>0</v>
      </c>
      <c r="E17" s="561">
        <f t="shared" si="6"/>
        <v>0</v>
      </c>
      <c r="F17" s="544"/>
      <c r="G17" s="567" t="s">
        <v>373</v>
      </c>
      <c r="H17" s="569">
        <v>0.0</v>
      </c>
      <c r="I17" s="564">
        <f t="shared" si="7"/>
        <v>0</v>
      </c>
      <c r="J17" s="564">
        <f t="shared" si="8"/>
        <v>0</v>
      </c>
      <c r="K17" s="522"/>
      <c r="L17" s="522"/>
      <c r="M17" s="522"/>
      <c r="N17" s="522"/>
      <c r="O17" s="522"/>
      <c r="P17" s="522"/>
      <c r="Q17" s="522"/>
      <c r="R17" s="522"/>
      <c r="S17" s="522"/>
      <c r="T17" s="522"/>
      <c r="U17" s="522"/>
      <c r="V17" s="522"/>
      <c r="W17" s="522"/>
      <c r="X17" s="522"/>
      <c r="Y17" s="522"/>
      <c r="Z17" s="522"/>
      <c r="AA17" s="522"/>
    </row>
    <row r="18">
      <c r="A18" s="519"/>
      <c r="B18" s="548" t="s">
        <v>361</v>
      </c>
      <c r="C18" s="549">
        <f>SUM(C13:C17)</f>
        <v>0</v>
      </c>
      <c r="D18" s="550"/>
      <c r="E18" s="539">
        <f t="shared" si="6"/>
        <v>0</v>
      </c>
      <c r="F18" s="522"/>
      <c r="G18" s="548" t="s">
        <v>361</v>
      </c>
      <c r="H18" s="549">
        <f>SUM(H13:H17)</f>
        <v>0</v>
      </c>
      <c r="I18" s="550"/>
      <c r="J18" s="539">
        <f t="shared" si="8"/>
        <v>0</v>
      </c>
      <c r="K18" s="522"/>
      <c r="L18" s="522"/>
      <c r="M18" s="522"/>
      <c r="N18" s="522"/>
      <c r="O18" s="522"/>
      <c r="P18" s="522"/>
      <c r="Q18" s="522"/>
      <c r="R18" s="522"/>
      <c r="S18" s="522"/>
      <c r="T18" s="522"/>
      <c r="U18" s="522"/>
      <c r="V18" s="522"/>
      <c r="W18" s="522"/>
      <c r="X18" s="522"/>
      <c r="Y18" s="522"/>
      <c r="Z18" s="522"/>
      <c r="AA18" s="522"/>
    </row>
    <row r="19" ht="3.0" customHeight="1">
      <c r="A19" s="519"/>
      <c r="B19" s="522"/>
      <c r="C19" s="522"/>
      <c r="D19" s="522"/>
      <c r="E19" s="522"/>
      <c r="F19" s="522"/>
      <c r="G19" s="522"/>
      <c r="H19" s="522"/>
      <c r="I19" s="522"/>
      <c r="J19" s="522"/>
      <c r="K19" s="522"/>
      <c r="L19" s="522"/>
      <c r="M19" s="522"/>
      <c r="N19" s="522"/>
      <c r="O19" s="522"/>
      <c r="P19" s="522"/>
      <c r="Q19" s="522"/>
      <c r="R19" s="522"/>
      <c r="S19" s="522"/>
      <c r="T19" s="522"/>
      <c r="U19" s="522"/>
      <c r="V19" s="522"/>
      <c r="W19" s="522"/>
      <c r="X19" s="522"/>
      <c r="Y19" s="522"/>
      <c r="Z19" s="522"/>
      <c r="AA19" s="522"/>
    </row>
    <row r="20">
      <c r="A20" s="519"/>
      <c r="B20" s="570" t="s">
        <v>374</v>
      </c>
      <c r="C20" s="571"/>
      <c r="D20" s="570" t="s">
        <v>375</v>
      </c>
      <c r="E20" s="571"/>
      <c r="F20" s="571"/>
      <c r="G20" s="572"/>
      <c r="H20" s="573" t="s">
        <v>376</v>
      </c>
      <c r="I20" s="571"/>
      <c r="J20" s="572"/>
      <c r="K20" s="522"/>
      <c r="L20" s="522"/>
      <c r="M20" s="522"/>
      <c r="N20" s="522"/>
      <c r="O20" s="522"/>
      <c r="P20" s="522"/>
      <c r="Q20" s="522"/>
      <c r="R20" s="522"/>
      <c r="S20" s="522"/>
      <c r="T20" s="522"/>
      <c r="U20" s="522"/>
      <c r="V20" s="522"/>
      <c r="W20" s="522"/>
      <c r="X20" s="522"/>
      <c r="Y20" s="522"/>
      <c r="Z20" s="522"/>
      <c r="AA20" s="522"/>
    </row>
    <row r="21">
      <c r="A21" s="519"/>
      <c r="B21" s="574">
        <f>sum(C18,C9,H9,H18)</f>
        <v>0</v>
      </c>
      <c r="C21" s="29"/>
      <c r="D21" s="574">
        <f>40*20</f>
        <v>800</v>
      </c>
      <c r="E21" s="29"/>
      <c r="F21" s="29"/>
      <c r="G21" s="30"/>
      <c r="H21" s="575">
        <f>B21*D21</f>
        <v>0</v>
      </c>
      <c r="I21" s="29"/>
      <c r="J21" s="30"/>
      <c r="K21" s="522"/>
      <c r="L21" s="522"/>
      <c r="M21" s="522"/>
      <c r="N21" s="522"/>
      <c r="O21" s="522"/>
      <c r="P21" s="522"/>
      <c r="Q21" s="522"/>
      <c r="R21" s="522"/>
      <c r="S21" s="522"/>
      <c r="T21" s="522"/>
      <c r="U21" s="522"/>
      <c r="V21" s="522"/>
      <c r="W21" s="522"/>
      <c r="X21" s="522"/>
      <c r="Y21" s="522"/>
      <c r="Z21" s="522"/>
      <c r="AA21" s="522"/>
    </row>
    <row r="22">
      <c r="A22" s="519"/>
      <c r="B22" s="570" t="s">
        <v>377</v>
      </c>
      <c r="C22" s="571"/>
      <c r="D22" s="570" t="s">
        <v>378</v>
      </c>
      <c r="E22" s="571"/>
      <c r="F22" s="571"/>
      <c r="G22" s="572"/>
      <c r="H22" s="573" t="s">
        <v>379</v>
      </c>
      <c r="I22" s="571"/>
      <c r="J22" s="572"/>
      <c r="K22" s="522"/>
      <c r="L22" s="522"/>
      <c r="M22" s="522"/>
      <c r="N22" s="522"/>
      <c r="O22" s="522"/>
      <c r="P22" s="522"/>
      <c r="Q22" s="522"/>
      <c r="R22" s="522"/>
      <c r="S22" s="522"/>
      <c r="T22" s="522"/>
      <c r="U22" s="522"/>
      <c r="V22" s="522"/>
      <c r="W22" s="522"/>
      <c r="X22" s="522"/>
      <c r="Y22" s="522"/>
      <c r="Z22" s="522"/>
      <c r="AA22" s="522"/>
    </row>
    <row r="23">
      <c r="A23" s="519"/>
      <c r="B23" s="576">
        <f>B21*40</f>
        <v>0</v>
      </c>
      <c r="C23" s="29"/>
      <c r="D23" s="574">
        <v>3000.0</v>
      </c>
      <c r="E23" s="29"/>
      <c r="F23" s="29"/>
      <c r="G23" s="30"/>
      <c r="H23" s="575">
        <f>B21*D23</f>
        <v>0</v>
      </c>
      <c r="I23" s="29"/>
      <c r="J23" s="30"/>
      <c r="K23" s="522"/>
      <c r="L23" s="522"/>
      <c r="M23" s="522"/>
      <c r="N23" s="522"/>
      <c r="O23" s="522"/>
      <c r="P23" s="522"/>
      <c r="Q23" s="522"/>
      <c r="R23" s="522"/>
      <c r="S23" s="522"/>
      <c r="T23" s="522"/>
      <c r="U23" s="522"/>
      <c r="V23" s="522"/>
      <c r="W23" s="522"/>
      <c r="X23" s="522"/>
      <c r="Y23" s="522"/>
      <c r="Z23" s="522"/>
      <c r="AA23" s="522"/>
    </row>
    <row r="24" ht="3.0" customHeight="1">
      <c r="A24" s="519"/>
      <c r="B24" s="522"/>
      <c r="C24" s="522"/>
      <c r="D24" s="522"/>
      <c r="E24" s="522"/>
      <c r="F24" s="522"/>
      <c r="G24" s="522"/>
      <c r="H24" s="522"/>
      <c r="I24" s="522"/>
      <c r="J24" s="522"/>
      <c r="K24" s="522"/>
      <c r="L24" s="522"/>
      <c r="M24" s="522"/>
      <c r="N24" s="522"/>
      <c r="O24" s="522"/>
      <c r="P24" s="522"/>
      <c r="Q24" s="522"/>
      <c r="R24" s="522"/>
      <c r="S24" s="522"/>
      <c r="T24" s="522"/>
      <c r="U24" s="522"/>
      <c r="V24" s="522"/>
      <c r="W24" s="522"/>
      <c r="X24" s="522"/>
      <c r="Y24" s="522"/>
      <c r="Z24" s="522"/>
      <c r="AA24" s="522"/>
    </row>
    <row r="25">
      <c r="A25" s="522"/>
      <c r="B25" s="577" t="s">
        <v>380</v>
      </c>
      <c r="F25" s="522"/>
      <c r="G25" s="577" t="s">
        <v>381</v>
      </c>
      <c r="K25" s="522"/>
      <c r="L25" s="522"/>
      <c r="M25" s="522"/>
      <c r="N25" s="522"/>
      <c r="O25" s="522"/>
      <c r="P25" s="522"/>
      <c r="Q25" s="522"/>
      <c r="R25" s="522"/>
      <c r="S25" s="522"/>
      <c r="T25" s="522"/>
      <c r="U25" s="522"/>
      <c r="V25" s="522"/>
      <c r="W25" s="522"/>
      <c r="X25" s="522"/>
      <c r="Y25" s="522"/>
      <c r="Z25" s="522"/>
      <c r="AA25" s="522"/>
    </row>
    <row r="26">
      <c r="A26" s="522"/>
      <c r="B26" s="522">
        <f>$B$21/16</f>
        <v>0</v>
      </c>
      <c r="F26" s="522"/>
      <c r="G26" s="522">
        <f>D21*16</f>
        <v>12800</v>
      </c>
      <c r="K26" s="522"/>
      <c r="L26" s="522"/>
      <c r="M26" s="522"/>
      <c r="N26" s="522"/>
      <c r="O26" s="522"/>
      <c r="P26" s="522"/>
      <c r="Q26" s="522"/>
      <c r="R26" s="522"/>
      <c r="S26" s="522"/>
      <c r="T26" s="522"/>
      <c r="U26" s="522"/>
      <c r="V26" s="522"/>
      <c r="W26" s="522"/>
      <c r="X26" s="522"/>
      <c r="Y26" s="522"/>
      <c r="Z26" s="522"/>
      <c r="AA26" s="522"/>
    </row>
    <row r="27" ht="3.0" customHeight="1">
      <c r="A27" s="522"/>
      <c r="B27" s="522"/>
      <c r="C27" s="522"/>
      <c r="D27" s="522"/>
      <c r="E27" s="522"/>
      <c r="F27" s="522"/>
      <c r="G27" s="522"/>
      <c r="H27" s="522"/>
      <c r="I27" s="522"/>
      <c r="J27" s="522"/>
      <c r="K27" s="522"/>
      <c r="L27" s="522"/>
      <c r="M27" s="522"/>
      <c r="N27" s="522"/>
      <c r="O27" s="522"/>
      <c r="P27" s="522"/>
      <c r="Q27" s="522"/>
      <c r="R27" s="522"/>
      <c r="S27" s="522"/>
      <c r="T27" s="522"/>
      <c r="U27" s="522"/>
      <c r="V27" s="522"/>
      <c r="W27" s="522"/>
      <c r="X27" s="522"/>
      <c r="Y27" s="522"/>
      <c r="Z27" s="522"/>
      <c r="AA27" s="522"/>
    </row>
  </sheetData>
  <mergeCells count="20">
    <mergeCell ref="B2:E2"/>
    <mergeCell ref="G2:J2"/>
    <mergeCell ref="B11:E11"/>
    <mergeCell ref="G11:J11"/>
    <mergeCell ref="B20:C20"/>
    <mergeCell ref="D20:G20"/>
    <mergeCell ref="H20:J20"/>
    <mergeCell ref="D23:G23"/>
    <mergeCell ref="H23:J23"/>
    <mergeCell ref="B25:E25"/>
    <mergeCell ref="G25:J25"/>
    <mergeCell ref="B26:E26"/>
    <mergeCell ref="G26:J26"/>
    <mergeCell ref="B21:C21"/>
    <mergeCell ref="D21:G21"/>
    <mergeCell ref="H21:J21"/>
    <mergeCell ref="B22:C22"/>
    <mergeCell ref="D22:G22"/>
    <mergeCell ref="H22:J22"/>
    <mergeCell ref="B23:C23"/>
  </mergeCells>
  <conditionalFormatting sqref="C4:C8 H4:H8 C13:C17 H13:H17">
    <cfRule type="cellIs" dxfId="12" priority="1" operator="equal">
      <formula>0</formula>
    </cfRule>
  </conditionalFormatting>
  <conditionalFormatting sqref="C4:C8 H4:H8 C13:C17 H13:H17">
    <cfRule type="cellIs" dxfId="13" priority="2" operator="equal">
      <formula>1</formula>
    </cfRule>
  </conditionalFormatting>
  <conditionalFormatting sqref="C4:C8 H4:H8 C13:C17 H13:H17">
    <cfRule type="cellIs" dxfId="14" priority="3" operator="between">
      <formula>2</formula>
      <formula>3</formula>
    </cfRule>
  </conditionalFormatting>
  <conditionalFormatting sqref="C4:C8 H4:H8 C13:C17 H13:H17">
    <cfRule type="cellIs" dxfId="15" priority="4" operator="between">
      <formula>4</formula>
      <formula>7</formula>
    </cfRule>
  </conditionalFormatting>
  <conditionalFormatting sqref="C4:C8 H4:H8 C13:C17 H13:H17">
    <cfRule type="cellIs" dxfId="16" priority="5" operator="greaterThanOrEqual">
      <formula>8</formula>
    </cfRule>
  </conditionalFormatting>
  <conditionalFormatting sqref="A1:K27">
    <cfRule type="containsBlanks" dxfId="17" priority="6">
      <formula>LEN(TRIM(A1))=0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10.43"/>
    <col customWidth="1" min="2" max="2" width="4.71"/>
    <col customWidth="1" hidden="1" min="3" max="3" width="4.71"/>
    <col customWidth="1" min="4" max="4" width="12.57"/>
    <col customWidth="1" min="5" max="5" width="4.71"/>
    <col customWidth="1" hidden="1" min="6" max="6" width="4.71"/>
    <col customWidth="1" min="7" max="7" width="27.71"/>
    <col customWidth="1" hidden="1" min="8" max="10" width="4.71"/>
    <col customWidth="1" min="11" max="11" width="17.43"/>
    <col customWidth="1" min="12" max="12" width="12.0"/>
    <col customWidth="1" hidden="1" min="13" max="13" width="7.29"/>
    <col customWidth="1" min="14" max="14" width="4.86"/>
    <col customWidth="1" hidden="1" min="15" max="15" width="4.71"/>
    <col customWidth="1" min="16" max="16" width="27.71"/>
    <col customWidth="1" hidden="1" min="17" max="19" width="4.71"/>
    <col customWidth="1" min="20" max="20" width="17.43"/>
    <col customWidth="1" min="21" max="21" width="12.0"/>
    <col customWidth="1" hidden="1" min="22" max="22" width="7.29"/>
    <col customWidth="1" min="23" max="23" width="4.86"/>
    <col customWidth="1" hidden="1" min="24" max="24" width="4.71"/>
    <col customWidth="1" min="25" max="25" width="27.71"/>
    <col customWidth="1" hidden="1" min="26" max="28" width="4.86"/>
    <col customWidth="1" min="29" max="29" width="17.43"/>
    <col customWidth="1" min="30" max="30" width="12.0"/>
    <col customWidth="1" hidden="1" min="31" max="31" width="7.29"/>
    <col customWidth="1" min="32" max="32" width="4.86"/>
    <col customWidth="1" hidden="1" min="33" max="33" width="4.71"/>
    <col customWidth="1" min="34" max="34" width="27.71"/>
    <col customWidth="1" hidden="1" min="35" max="37" width="4.86"/>
    <col customWidth="1" min="38" max="38" width="17.43"/>
    <col customWidth="1" min="39" max="39" width="12.14"/>
    <col customWidth="1" hidden="1" min="40" max="40" width="7.29"/>
    <col customWidth="1" min="41" max="41" width="4.86"/>
    <col customWidth="1" hidden="1" min="42" max="42" width="4.71"/>
    <col customWidth="1" min="43" max="43" width="27.71"/>
    <col customWidth="1" hidden="1" min="44" max="46" width="4.86"/>
    <col customWidth="1" min="47" max="47" width="17.43"/>
    <col customWidth="1" min="48" max="48" width="11.86"/>
    <col customWidth="1" hidden="1" min="49" max="49" width="7.29"/>
    <col customWidth="1" min="50" max="50" width="4.86"/>
    <col customWidth="1" hidden="1" min="51" max="51" width="4.71"/>
    <col customWidth="1" min="52" max="52" width="27.71"/>
    <col customWidth="1" hidden="1" min="53" max="55" width="4.86"/>
    <col customWidth="1" min="56" max="56" width="17.43"/>
    <col customWidth="1" min="57" max="57" width="11.86"/>
    <col customWidth="1" hidden="1" min="58" max="58" width="7.29"/>
    <col customWidth="1" hidden="1" min="59" max="59" width="4.86"/>
    <col customWidth="1" min="60" max="60" width="4.71"/>
    <col customWidth="1" hidden="1" min="61" max="61" width="4.71"/>
    <col customWidth="1" min="62" max="62" width="27.71"/>
    <col customWidth="1" hidden="1" min="63" max="65" width="4.86"/>
    <col customWidth="1" min="66" max="66" width="17.43"/>
    <col customWidth="1" min="67" max="67" width="12.57"/>
    <col customWidth="1" hidden="1" min="68" max="68" width="7.29"/>
    <col customWidth="1" min="69" max="69" width="4.71"/>
    <col customWidth="1" hidden="1" min="70" max="70" width="4.71"/>
    <col customWidth="1" min="71" max="71" width="27.71"/>
    <col customWidth="1" hidden="1" min="72" max="74" width="4.86"/>
    <col customWidth="1" min="75" max="75" width="17.43"/>
    <col customWidth="1" min="76" max="76" width="12.57"/>
    <col customWidth="1" hidden="1" min="77" max="77" width="7.29"/>
    <col customWidth="1" min="78" max="78" width="4.86"/>
  </cols>
  <sheetData>
    <row r="1" ht="49.5" customHeight="1">
      <c r="A1" s="109"/>
      <c r="B1" s="11"/>
      <c r="C1" s="582" t="str">
        <f t="array" ref="C1:D1">{"",Inventory!D1}</f>
        <v/>
      </c>
      <c r="D1" s="110"/>
      <c r="E1" s="11"/>
      <c r="F1" s="582"/>
      <c r="G1" s="111" t="s">
        <v>387</v>
      </c>
      <c r="H1" s="112"/>
      <c r="I1" s="112"/>
      <c r="J1" s="112"/>
      <c r="K1" s="112"/>
      <c r="L1" s="112"/>
      <c r="M1" s="112"/>
      <c r="N1" s="112"/>
      <c r="O1" s="112"/>
      <c r="P1" s="112"/>
      <c r="Q1" s="112"/>
      <c r="R1" s="112"/>
      <c r="S1" s="112"/>
      <c r="T1" s="112"/>
      <c r="U1" s="112"/>
      <c r="V1" s="111"/>
      <c r="W1" s="111"/>
      <c r="X1" s="582"/>
      <c r="Y1" s="111"/>
      <c r="Z1" s="111"/>
      <c r="AA1" s="111"/>
      <c r="AB1" s="111"/>
      <c r="AC1" s="111"/>
      <c r="AD1" s="111"/>
      <c r="AE1" s="111"/>
      <c r="AF1" s="111"/>
      <c r="AG1" s="582"/>
      <c r="AH1" s="111"/>
      <c r="AI1" s="111"/>
      <c r="AJ1" s="111"/>
      <c r="AK1" s="111"/>
      <c r="AL1" s="111"/>
      <c r="AM1" s="111"/>
      <c r="AN1" s="111"/>
      <c r="AO1" s="111"/>
      <c r="AP1" s="582"/>
      <c r="AQ1" s="111"/>
      <c r="AR1" s="111"/>
      <c r="AS1" s="111"/>
      <c r="AT1" s="111"/>
      <c r="AU1" s="111"/>
      <c r="AV1" s="111"/>
      <c r="AW1" s="111"/>
      <c r="AX1" s="111"/>
      <c r="AY1" s="582"/>
      <c r="AZ1" s="111"/>
      <c r="BA1" s="111"/>
      <c r="BB1" s="111"/>
      <c r="BC1" s="111"/>
      <c r="BD1" s="111"/>
      <c r="BE1" s="111"/>
      <c r="BF1" s="111"/>
      <c r="BG1" s="111"/>
      <c r="BH1" s="582"/>
      <c r="BI1" s="582"/>
      <c r="BJ1" s="111"/>
      <c r="BK1" s="111"/>
      <c r="BL1" s="111"/>
      <c r="BM1" s="111"/>
      <c r="BN1" s="111"/>
      <c r="BO1" s="111"/>
      <c r="BP1" s="14"/>
      <c r="BQ1" s="582"/>
      <c r="BR1" s="582"/>
      <c r="BS1" s="111"/>
      <c r="BT1" s="111"/>
      <c r="BU1" s="111"/>
      <c r="BV1" s="111"/>
      <c r="BW1" s="111"/>
      <c r="BX1" s="111"/>
      <c r="BY1" s="14"/>
      <c r="BZ1" s="14"/>
    </row>
    <row r="2">
      <c r="A2" s="109"/>
      <c r="B2" s="11"/>
      <c r="C2" s="582" t="str">
        <f t="array" ref="C2:D2">{"",Inventory!D2}</f>
        <v/>
      </c>
      <c r="D2" s="110"/>
      <c r="E2" s="11"/>
      <c r="F2" s="582"/>
      <c r="G2" s="11"/>
      <c r="H2" s="582"/>
      <c r="I2" s="582"/>
      <c r="J2" s="582"/>
      <c r="K2" s="11"/>
      <c r="L2" s="11"/>
      <c r="M2" s="11"/>
      <c r="N2" s="11"/>
      <c r="O2" s="582"/>
      <c r="P2" s="11"/>
      <c r="Q2" s="582"/>
      <c r="R2" s="582"/>
      <c r="S2" s="582"/>
      <c r="T2" s="113"/>
      <c r="U2" s="113"/>
      <c r="V2" s="14"/>
      <c r="W2" s="14"/>
      <c r="X2" s="582"/>
      <c r="Y2" s="113"/>
      <c r="Z2" s="14"/>
      <c r="AA2" s="14"/>
      <c r="AB2" s="14"/>
      <c r="AC2" s="113"/>
      <c r="AD2" s="113"/>
      <c r="AE2" s="14"/>
      <c r="AF2" s="14"/>
      <c r="AG2" s="582"/>
      <c r="AH2" s="14"/>
      <c r="AI2" s="14"/>
      <c r="AJ2" s="14"/>
      <c r="AK2" s="14"/>
      <c r="AL2" s="14"/>
      <c r="AM2" s="14"/>
      <c r="AN2" s="14"/>
      <c r="AO2" s="14"/>
      <c r="AP2" s="582"/>
      <c r="AQ2" s="14"/>
      <c r="AR2" s="14"/>
      <c r="AS2" s="14"/>
      <c r="AT2" s="14"/>
      <c r="AU2" s="14"/>
      <c r="AV2" s="114"/>
      <c r="AW2" s="14"/>
      <c r="AX2" s="14"/>
      <c r="AY2" s="582"/>
      <c r="AZ2" s="14"/>
      <c r="BA2" s="14"/>
      <c r="BB2" s="14"/>
      <c r="BC2" s="14"/>
      <c r="BD2" s="14"/>
      <c r="BE2" s="114"/>
      <c r="BF2" s="14"/>
      <c r="BG2" s="14"/>
      <c r="BH2" s="582"/>
      <c r="BI2" s="582"/>
      <c r="BJ2" s="14"/>
      <c r="BK2" s="14"/>
      <c r="BL2" s="14"/>
      <c r="BM2" s="14"/>
      <c r="BN2" s="14"/>
      <c r="BO2" s="14"/>
      <c r="BP2" s="14"/>
      <c r="BQ2" s="582"/>
      <c r="BR2" s="582"/>
      <c r="BS2" s="14"/>
      <c r="BT2" s="14"/>
      <c r="BU2" s="14"/>
      <c r="BV2" s="14"/>
      <c r="BW2" s="14"/>
      <c r="BX2" s="14"/>
      <c r="BY2" s="14"/>
      <c r="BZ2" s="14"/>
    </row>
    <row r="3">
      <c r="A3" s="115" t="s">
        <v>160</v>
      </c>
      <c r="B3" s="117"/>
      <c r="C3" s="582" t="str">
        <f t="array" ref="C3:D3">{"",Inventory!D3}</f>
        <v/>
      </c>
      <c r="D3" s="118"/>
      <c r="E3" s="117"/>
      <c r="F3" s="582" t="str">
        <f t="array" ref="F3:G3">{"",Inventory!F3}</f>
        <v/>
      </c>
      <c r="G3" s="119" t="s">
        <v>161</v>
      </c>
      <c r="H3" s="120"/>
      <c r="I3" s="120"/>
      <c r="J3" s="120"/>
      <c r="K3" s="120"/>
      <c r="L3" s="121"/>
      <c r="M3" s="11"/>
      <c r="N3" s="11"/>
      <c r="O3" s="582" t="str">
        <f t="array" ref="O3:P3">{"",Inventory!K3}</f>
        <v/>
      </c>
      <c r="P3" s="119" t="s">
        <v>162</v>
      </c>
      <c r="Q3" s="120"/>
      <c r="R3" s="120"/>
      <c r="S3" s="120"/>
      <c r="T3" s="120"/>
      <c r="U3" s="121"/>
      <c r="V3" s="11"/>
      <c r="W3" s="11"/>
      <c r="X3" s="582" t="str">
        <f t="array" ref="X3:Y3">{"",Inventory!P3}</f>
        <v/>
      </c>
      <c r="Y3" s="119" t="s">
        <v>163</v>
      </c>
      <c r="Z3" s="120"/>
      <c r="AA3" s="120"/>
      <c r="AB3" s="120"/>
      <c r="AC3" s="120"/>
      <c r="AD3" s="121"/>
      <c r="AE3" s="11"/>
      <c r="AF3" s="11"/>
      <c r="AG3" s="582" t="str">
        <f t="array" ref="AG3:AH3">{"",Inventory!U3}</f>
        <v/>
      </c>
      <c r="AH3" s="119" t="s">
        <v>164</v>
      </c>
      <c r="AI3" s="120"/>
      <c r="AJ3" s="120"/>
      <c r="AK3" s="120"/>
      <c r="AL3" s="120"/>
      <c r="AM3" s="121"/>
      <c r="AN3" s="11"/>
      <c r="AO3" s="11"/>
      <c r="AP3" s="582" t="str">
        <f t="array" ref="AP3:AQ3">{"",Inventory!Z3}</f>
        <v/>
      </c>
      <c r="AQ3" s="119" t="s">
        <v>165</v>
      </c>
      <c r="AR3" s="120"/>
      <c r="AS3" s="120"/>
      <c r="AT3" s="120"/>
      <c r="AU3" s="120"/>
      <c r="AV3" s="121"/>
      <c r="AW3" s="11"/>
      <c r="AX3" s="11"/>
      <c r="AY3" s="582" t="str">
        <f t="array" ref="AY3:AZ3">{"",Inventory!AE3}</f>
        <v/>
      </c>
      <c r="AZ3" s="122" t="s">
        <v>166</v>
      </c>
      <c r="BA3" s="120"/>
      <c r="BB3" s="120"/>
      <c r="BC3" s="120"/>
      <c r="BD3" s="120"/>
      <c r="BE3" s="121"/>
      <c r="BF3" s="11"/>
      <c r="BG3" s="11"/>
      <c r="BH3" s="582"/>
      <c r="BI3" s="582" t="str">
        <f t="array" ref="BI3:BJ3">{"",Inventory!AJ3}</f>
        <v/>
      </c>
      <c r="BJ3" s="119" t="s">
        <v>167</v>
      </c>
      <c r="BK3" s="120"/>
      <c r="BL3" s="120"/>
      <c r="BM3" s="120"/>
      <c r="BN3" s="120"/>
      <c r="BO3" s="121"/>
      <c r="BP3" s="11"/>
      <c r="BQ3" s="582"/>
      <c r="BR3" s="582" t="str">
        <f t="array" ref="BR3:BS3">{"",Inventory!AO3}</f>
        <v/>
      </c>
      <c r="BS3" s="119" t="s">
        <v>168</v>
      </c>
      <c r="BT3" s="120"/>
      <c r="BU3" s="120"/>
      <c r="BV3" s="120"/>
      <c r="BW3" s="120"/>
      <c r="BX3" s="121"/>
      <c r="BY3" s="11"/>
      <c r="BZ3" s="11"/>
    </row>
    <row r="4">
      <c r="B4" s="117"/>
      <c r="C4" s="582" t="str">
        <f t="array" ref="C4:D4">{"",Inventory!D4}</f>
        <v/>
      </c>
      <c r="D4" s="123" t="s">
        <v>169</v>
      </c>
      <c r="F4" s="582" t="str">
        <f t="array" ref="F4:G4">{"",Inventory!F4}</f>
        <v/>
      </c>
      <c r="G4" s="124" t="s">
        <v>170</v>
      </c>
      <c r="H4" s="582" t="str">
        <f>Inventory!G4</f>
        <v>Level</v>
      </c>
      <c r="I4" s="582" t="str">
        <f>Inventory!H4</f>
        <v>Stat</v>
      </c>
      <c r="J4" s="582" t="str">
        <f t="shared" ref="J4:J5" si="1">{"",H4}</f>
        <v>#REF!</v>
      </c>
      <c r="K4" s="125" t="s">
        <v>134</v>
      </c>
      <c r="L4" s="126" t="s">
        <v>171</v>
      </c>
      <c r="M4" s="11"/>
      <c r="N4" s="11"/>
      <c r="O4" s="582" t="str">
        <f t="array" ref="O4:P4">{"",Inventory!K4}</f>
        <v/>
      </c>
      <c r="P4" s="124" t="s">
        <v>170</v>
      </c>
      <c r="Q4" s="582" t="str">
        <f>Inventory!L4</f>
        <v>Level</v>
      </c>
      <c r="R4" s="582" t="str">
        <f>Inventory!M4</f>
        <v>Stat</v>
      </c>
      <c r="S4" s="582" t="str">
        <f t="shared" ref="S4:S5" si="2">{"",Q4}</f>
        <v>#REF!</v>
      </c>
      <c r="T4" s="125" t="s">
        <v>134</v>
      </c>
      <c r="U4" s="126" t="s">
        <v>171</v>
      </c>
      <c r="V4" s="11"/>
      <c r="W4" s="11"/>
      <c r="X4" s="582" t="str">
        <f t="array" ref="X4:Y4">{"",Inventory!P4}</f>
        <v/>
      </c>
      <c r="Y4" s="124" t="s">
        <v>170</v>
      </c>
      <c r="Z4" s="582" t="str">
        <f>Inventory!Q4</f>
        <v>Level</v>
      </c>
      <c r="AA4" s="582" t="str">
        <f>Inventory!R4</f>
        <v>Stat</v>
      </c>
      <c r="AB4" s="582" t="str">
        <f t="shared" ref="AB4:AB5" si="3">{"",Z4}</f>
        <v/>
      </c>
      <c r="AC4" s="125" t="s">
        <v>134</v>
      </c>
      <c r="AD4" s="126" t="s">
        <v>171</v>
      </c>
      <c r="AE4" s="11"/>
      <c r="AF4" s="11"/>
      <c r="AG4" s="582" t="str">
        <f t="array" ref="AG4:AH4">{"",Inventory!U4}</f>
        <v/>
      </c>
      <c r="AH4" s="124" t="s">
        <v>170</v>
      </c>
      <c r="AI4" s="582" t="str">
        <f>Inventory!V4</f>
        <v>Level</v>
      </c>
      <c r="AJ4" s="582" t="str">
        <f>Inventory!W4</f>
        <v>Stat</v>
      </c>
      <c r="AK4" s="582" t="str">
        <f t="shared" ref="AK4:AK5" si="4">{"",AI4}</f>
        <v>#REF!</v>
      </c>
      <c r="AL4" s="125" t="s">
        <v>134</v>
      </c>
      <c r="AM4" s="126" t="s">
        <v>171</v>
      </c>
      <c r="AN4" s="11"/>
      <c r="AO4" s="11"/>
      <c r="AP4" s="582" t="str">
        <f t="array" ref="AP4:AQ4">{"",Inventory!Z4}</f>
        <v/>
      </c>
      <c r="AQ4" s="124" t="s">
        <v>170</v>
      </c>
      <c r="AR4" s="582" t="str">
        <f>Inventory!AA4</f>
        <v>Level</v>
      </c>
      <c r="AS4" s="582" t="str">
        <f>Inventory!AB4</f>
        <v>Stat</v>
      </c>
      <c r="AT4" s="582" t="str">
        <f t="shared" ref="AT4:AT5" si="5">{"",AR4}</f>
        <v/>
      </c>
      <c r="AU4" s="125" t="s">
        <v>134</v>
      </c>
      <c r="AV4" s="126" t="s">
        <v>171</v>
      </c>
      <c r="AW4" s="11"/>
      <c r="AX4" s="11"/>
      <c r="AY4" s="582" t="str">
        <f t="array" ref="AY4:AZ4">{"",Inventory!AE4}</f>
        <v/>
      </c>
      <c r="AZ4" s="124" t="s">
        <v>170</v>
      </c>
      <c r="BA4" s="582" t="str">
        <f>Inventory!AF4</f>
        <v>Level</v>
      </c>
      <c r="BB4" s="582" t="str">
        <f>Inventory!AG4</f>
        <v>Stat</v>
      </c>
      <c r="BC4" s="582" t="str">
        <f t="shared" ref="BC4:BC5" si="6">{"",BA4}</f>
        <v/>
      </c>
      <c r="BD4" s="125" t="s">
        <v>134</v>
      </c>
      <c r="BE4" s="126" t="s">
        <v>171</v>
      </c>
      <c r="BF4" s="11"/>
      <c r="BG4" s="11"/>
      <c r="BH4" s="582"/>
      <c r="BI4" s="582" t="str">
        <f t="array" ref="BI4:BJ4">{"",Inventory!AJ4}</f>
        <v/>
      </c>
      <c r="BJ4" s="124" t="s">
        <v>170</v>
      </c>
      <c r="BK4" s="582" t="str">
        <f>Inventory!AK4</f>
        <v>Level</v>
      </c>
      <c r="BL4" s="582" t="str">
        <f>Inventory!AL4</f>
        <v>Stat</v>
      </c>
      <c r="BM4" s="582" t="str">
        <f t="shared" ref="BM4:BM5" si="7">{"",BK4}</f>
        <v/>
      </c>
      <c r="BN4" s="125" t="s">
        <v>134</v>
      </c>
      <c r="BO4" s="126" t="s">
        <v>171</v>
      </c>
      <c r="BP4" s="11"/>
      <c r="BQ4" s="582"/>
      <c r="BR4" s="582" t="str">
        <f t="array" ref="BR4:BS4">{"",Inventory!AO4}</f>
        <v/>
      </c>
      <c r="BS4" s="124" t="s">
        <v>170</v>
      </c>
      <c r="BT4" s="582" t="str">
        <f>Inventory!AP4</f>
        <v>Level</v>
      </c>
      <c r="BU4" s="582" t="str">
        <f>Inventory!AQ4</f>
        <v>Stat</v>
      </c>
      <c r="BV4" s="582" t="str">
        <f t="shared" ref="BV4:BV5" si="8">{"",BT4}</f>
        <v/>
      </c>
      <c r="BW4" s="125" t="s">
        <v>134</v>
      </c>
      <c r="BX4" s="126" t="s">
        <v>171</v>
      </c>
      <c r="BY4" s="11"/>
      <c r="BZ4" s="11"/>
    </row>
    <row r="5">
      <c r="B5" s="117"/>
      <c r="C5" s="582" t="str">
        <f t="array" ref="C5:D5">{"",Inventory!D5}</f>
        <v/>
      </c>
      <c r="D5" s="128">
        <v>164.0</v>
      </c>
      <c r="F5" s="582" t="str">
        <f t="array" ref="F5:G5">{"",Inventory!F5}</f>
        <v/>
      </c>
      <c r="G5" s="129" t="s">
        <v>173</v>
      </c>
      <c r="H5" s="582">
        <f>Inventory!G5</f>
        <v>160</v>
      </c>
      <c r="I5" s="583">
        <f>Inventory!H5</f>
        <v>8.19</v>
      </c>
      <c r="J5" s="582" t="str">
        <f t="shared" si="1"/>
        <v>#REF!</v>
      </c>
      <c r="K5" s="130">
        <f>CAP_MOD_LEVEL($D5,G5)</f>
        <v>160</v>
      </c>
      <c r="L5" s="131">
        <f>IF(G5="None",1,MODSTAT_CANNON(G5,K5))</f>
        <v>8.19</v>
      </c>
      <c r="M5" s="11"/>
      <c r="N5" s="11"/>
      <c r="O5" s="582" t="str">
        <f t="array" ref="O5:P5">{"",Inventory!K5}</f>
        <v/>
      </c>
      <c r="P5" s="129" t="s">
        <v>174</v>
      </c>
      <c r="Q5" s="582">
        <f>Inventory!L5</f>
        <v>164</v>
      </c>
      <c r="R5" s="583">
        <f>Inventory!M5</f>
        <v>9.04</v>
      </c>
      <c r="S5" s="582" t="str">
        <f t="shared" si="2"/>
        <v>#REF!</v>
      </c>
      <c r="T5" s="130">
        <f>CAP_MOD_LEVEL($D5,P5)</f>
        <v>164</v>
      </c>
      <c r="U5" s="131">
        <f>IF(P5="None",1,MODSTAT_CANNON(P5,T5))</f>
        <v>9.04</v>
      </c>
      <c r="V5" s="11"/>
      <c r="W5" s="11"/>
      <c r="X5" s="582" t="str">
        <f t="array" ref="X5:Y5">{"",Inventory!P5}</f>
        <v/>
      </c>
      <c r="Y5" s="129" t="s">
        <v>173</v>
      </c>
      <c r="Z5" s="582">
        <f>Inventory!Q5</f>
        <v>160</v>
      </c>
      <c r="AA5" s="583">
        <f>Inventory!R5</f>
        <v>8.19</v>
      </c>
      <c r="AB5" s="582" t="str">
        <f t="shared" si="3"/>
        <v>#REF!</v>
      </c>
      <c r="AC5" s="130">
        <f>CAP_MOD_LEVEL($D5,Y5)</f>
        <v>160</v>
      </c>
      <c r="AD5" s="131">
        <f>IF(Y5="None",1,MODSTAT_CANNON(Y5,AC5))</f>
        <v>8.19</v>
      </c>
      <c r="AE5" s="11"/>
      <c r="AF5" s="11"/>
      <c r="AG5" s="582" t="str">
        <f t="array" ref="AG5:AH5">{"",Inventory!U5}</f>
        <v/>
      </c>
      <c r="AH5" s="129" t="s">
        <v>174</v>
      </c>
      <c r="AI5" s="582">
        <f>Inventory!V5</f>
        <v>164</v>
      </c>
      <c r="AJ5" s="583">
        <f>Inventory!W5</f>
        <v>9.04</v>
      </c>
      <c r="AK5" s="582" t="str">
        <f t="shared" si="4"/>
        <v>#REF!</v>
      </c>
      <c r="AL5" s="130">
        <f>CAP_MOD_LEVEL($D5,AH5)</f>
        <v>164</v>
      </c>
      <c r="AM5" s="131">
        <f>IF(AH5="None",1,MODSTAT_CANNON(AH5,AL5))</f>
        <v>9.04</v>
      </c>
      <c r="AN5" s="11"/>
      <c r="AO5" s="11"/>
      <c r="AP5" s="582" t="str">
        <f t="array" ref="AP5:AQ5">{"",Inventory!Z5}</f>
        <v/>
      </c>
      <c r="AQ5" s="129" t="s">
        <v>175</v>
      </c>
      <c r="AR5" s="582">
        <f>Inventory!AA5</f>
        <v>100</v>
      </c>
      <c r="AS5" s="583">
        <f>Inventory!AB5</f>
        <v>2.27</v>
      </c>
      <c r="AT5" s="582" t="str">
        <f t="shared" si="5"/>
        <v>#REF!</v>
      </c>
      <c r="AU5" s="130">
        <f>CAP_MOD_LEVEL($D5,AQ5)</f>
        <v>100</v>
      </c>
      <c r="AV5" s="131">
        <f>IF(AQ5="None",1,MODSTAT_CANNON(AQ5,AU5))</f>
        <v>2.27</v>
      </c>
      <c r="AW5" s="11"/>
      <c r="AX5" s="11"/>
      <c r="AY5" s="582" t="str">
        <f t="array" ref="AY5:AZ5">{"",Inventory!AE5}</f>
        <v/>
      </c>
      <c r="AZ5" s="129" t="s">
        <v>174</v>
      </c>
      <c r="BA5" s="582">
        <f>Inventory!AF5</f>
        <v>164</v>
      </c>
      <c r="BB5" s="583">
        <f>Inventory!AG5</f>
        <v>9.04</v>
      </c>
      <c r="BC5" s="582" t="str">
        <f t="shared" si="6"/>
        <v>#REF!</v>
      </c>
      <c r="BD5" s="130">
        <f>CAP_MOD_LEVEL($D5,AZ5)</f>
        <v>164</v>
      </c>
      <c r="BE5" s="131">
        <f>IF(AZ5="None",1,MODSTAT_CANNON(AZ5,BD5))</f>
        <v>9.04</v>
      </c>
      <c r="BF5" s="11"/>
      <c r="BG5" s="11"/>
      <c r="BH5" s="582"/>
      <c r="BI5" s="582" t="str">
        <f t="array" ref="BI5:BJ5">{"",Inventory!AJ5}</f>
        <v/>
      </c>
      <c r="BJ5" s="132" t="s">
        <v>176</v>
      </c>
      <c r="BK5" s="582">
        <f>Inventory!AK5</f>
        <v>60</v>
      </c>
      <c r="BL5" s="583">
        <f>Inventory!AL5</f>
        <v>1.37</v>
      </c>
      <c r="BM5" s="582" t="str">
        <f t="shared" si="7"/>
        <v>#REF!</v>
      </c>
      <c r="BN5" s="133">
        <f>CAP_MOD_LEVEL($D5,BJ5)</f>
        <v>60</v>
      </c>
      <c r="BO5" s="134">
        <f>IF(BJ5="None",1,MODSTAT_CANNON(BJ5,BN5))</f>
        <v>1.37</v>
      </c>
      <c r="BP5" s="11"/>
      <c r="BQ5" s="582"/>
      <c r="BR5" s="582" t="str">
        <f t="array" ref="BR5:BS5">{"",Inventory!AO5}</f>
        <v/>
      </c>
      <c r="BS5" s="132" t="s">
        <v>177</v>
      </c>
      <c r="BT5" s="582">
        <f>Inventory!AP5</f>
        <v>20</v>
      </c>
      <c r="BU5" s="583">
        <f>Inventory!AQ5</f>
        <v>1.05</v>
      </c>
      <c r="BV5" s="582" t="str">
        <f t="shared" si="8"/>
        <v>#REF!</v>
      </c>
      <c r="BW5" s="133">
        <f>CAP_MOD_LEVEL($D5,BS5)</f>
        <v>20</v>
      </c>
      <c r="BX5" s="134">
        <f>IF(BS5="None",1,MODSTAT_CANNON(BS5,BW5))</f>
        <v>1.05</v>
      </c>
      <c r="BY5" s="11"/>
      <c r="BZ5" s="11"/>
    </row>
    <row r="6">
      <c r="B6" s="117"/>
      <c r="C6" s="582" t="str">
        <f t="array" ref="C6:D6">{"",Inventory!D6}</f>
        <v/>
      </c>
      <c r="D6" s="118"/>
      <c r="F6" s="582" t="str">
        <f t="array" ref="F6:G6">{"",Inventory!F6}</f>
        <v/>
      </c>
      <c r="G6" s="135"/>
      <c r="H6" s="29"/>
      <c r="I6" s="29"/>
      <c r="J6" s="29"/>
      <c r="K6" s="29"/>
      <c r="L6" s="136"/>
      <c r="M6" s="11"/>
      <c r="N6" s="11"/>
      <c r="O6" s="582" t="str">
        <f t="array" ref="O6:P6">{"",Inventory!K6}</f>
        <v/>
      </c>
      <c r="P6" s="135"/>
      <c r="Q6" s="29"/>
      <c r="R6" s="29"/>
      <c r="S6" s="29"/>
      <c r="T6" s="29"/>
      <c r="U6" s="136"/>
      <c r="V6" s="11"/>
      <c r="W6" s="11"/>
      <c r="X6" s="582" t="str">
        <f t="array" ref="X6:Y6">{"",Inventory!P6}</f>
        <v/>
      </c>
      <c r="Y6" s="135"/>
      <c r="Z6" s="29"/>
      <c r="AA6" s="29"/>
      <c r="AB6" s="29"/>
      <c r="AC6" s="29"/>
      <c r="AD6" s="136"/>
      <c r="AE6" s="11"/>
      <c r="AF6" s="11"/>
      <c r="AG6" s="582" t="str">
        <f t="array" ref="AG6:AH6">{"",Inventory!U6}</f>
        <v/>
      </c>
      <c r="AH6" s="135"/>
      <c r="AI6" s="29"/>
      <c r="AJ6" s="29"/>
      <c r="AK6" s="29"/>
      <c r="AL6" s="29"/>
      <c r="AM6" s="136"/>
      <c r="AN6" s="11"/>
      <c r="AO6" s="11"/>
      <c r="AP6" s="582" t="str">
        <f t="array" ref="AP6:AQ6">{"",Inventory!Z6}</f>
        <v/>
      </c>
      <c r="AQ6" s="135"/>
      <c r="AR6" s="29"/>
      <c r="AS6" s="29"/>
      <c r="AT6" s="29"/>
      <c r="AU6" s="29"/>
      <c r="AV6" s="136"/>
      <c r="AW6" s="11"/>
      <c r="AX6" s="11"/>
      <c r="AY6" s="582" t="str">
        <f t="array" ref="AY6:AZ6">{"",Inventory!AE6}</f>
        <v/>
      </c>
      <c r="AZ6" s="135"/>
      <c r="BA6" s="29"/>
      <c r="BB6" s="29"/>
      <c r="BC6" s="29"/>
      <c r="BD6" s="29"/>
      <c r="BE6" s="136"/>
      <c r="BF6" s="11"/>
      <c r="BG6" s="11"/>
      <c r="BH6" s="582"/>
      <c r="BI6" s="582" t="str">
        <f t="array" ref="BI6:BJ6">{"",Inventory!AJ6}</f>
        <v/>
      </c>
      <c r="BJ6" s="137"/>
      <c r="BK6" s="138"/>
      <c r="BL6" s="138"/>
      <c r="BM6" s="138"/>
      <c r="BN6" s="138"/>
      <c r="BO6" s="139"/>
      <c r="BP6" s="11"/>
      <c r="BQ6" s="582"/>
      <c r="BR6" s="582" t="str">
        <f t="array" ref="BR6:BS6">{"",Inventory!AO6}</f>
        <v/>
      </c>
      <c r="BS6" s="137"/>
      <c r="BT6" s="582"/>
      <c r="BU6" s="582" t="str">
        <f>Inventory!AQ6</f>
        <v/>
      </c>
      <c r="BV6" s="582"/>
      <c r="BW6" s="584"/>
      <c r="BX6" s="585"/>
      <c r="BY6" s="11"/>
      <c r="BZ6" s="11"/>
    </row>
    <row r="7">
      <c r="B7" s="117"/>
      <c r="C7" s="582" t="str">
        <f t="array" ref="C7:D7">{"",Inventory!D7}</f>
        <v/>
      </c>
      <c r="D7" s="123" t="s">
        <v>178</v>
      </c>
      <c r="F7" s="582" t="str">
        <f t="array" ref="F7:G7">{"",Inventory!F7}</f>
        <v/>
      </c>
      <c r="G7" s="140"/>
      <c r="H7" s="582" t="str">
        <f>Inventory!G7</f>
        <v/>
      </c>
      <c r="I7" s="582" t="str">
        <f>Inventory!H7</f>
        <v/>
      </c>
      <c r="J7" s="582" t="str">
        <f t="shared" ref="J7:J14" si="9">{"",H7}</f>
        <v/>
      </c>
      <c r="K7" s="586"/>
      <c r="L7" s="142" t="str">
        <f t="shared" ref="L7:L14" si="10">MOD_SUBSTAT_LOOKUP(G7,K7,1)</f>
        <v/>
      </c>
      <c r="M7" s="143" t="str">
        <f t="shared" ref="M7:M14" si="11">IF(ISBLANK(G7), "", MOD_SUBSTAT_LOOKUP(G7,K7,0))</f>
        <v/>
      </c>
      <c r="N7" s="11"/>
      <c r="O7" s="582" t="str">
        <f t="array" ref="O7:P7">{"",Inventory!K7}</f>
        <v/>
      </c>
      <c r="P7" s="144" t="s">
        <v>179</v>
      </c>
      <c r="Q7" s="582" t="str">
        <f>Inventory!L7</f>
        <v>Mythic</v>
      </c>
      <c r="R7" s="582" t="str">
        <f>Inventory!M7</f>
        <v>+3</v>
      </c>
      <c r="S7" s="582" t="str">
        <f t="shared" ref="S7:S14" si="12">{"",Q7}</f>
        <v/>
      </c>
      <c r="T7" s="586" t="s">
        <v>180</v>
      </c>
      <c r="U7" s="142" t="str">
        <f t="shared" ref="U7:U14" si="13">MOD_SUBSTAT_LOOKUP(P7,T7,1)</f>
        <v>+3</v>
      </c>
      <c r="V7" s="143">
        <f t="shared" ref="V7:V14" si="14">IF(ISBLANK(P7), "", MOD_SUBSTAT_LOOKUP(P7,T7,0))</f>
        <v>3</v>
      </c>
      <c r="W7" s="11"/>
      <c r="X7" s="582" t="str">
        <f t="array" ref="X7:Y7">{"",Inventory!P7}</f>
        <v/>
      </c>
      <c r="Y7" s="140" t="s">
        <v>181</v>
      </c>
      <c r="Z7" s="582" t="str">
        <f>Inventory!Q7</f>
        <v>Mythic</v>
      </c>
      <c r="AA7" s="582" t="str">
        <f>Inventory!R7</f>
        <v>+10%</v>
      </c>
      <c r="AB7" s="582" t="str">
        <f t="shared" ref="AB7:AB14" si="15">{"",Z7}</f>
        <v/>
      </c>
      <c r="AC7" s="586" t="s">
        <v>180</v>
      </c>
      <c r="AD7" s="142" t="str">
        <f t="shared" ref="AD7:AD14" si="16">MOD_SUBSTAT_LOOKUP(Y7,AC7,1)</f>
        <v>+10%</v>
      </c>
      <c r="AE7" s="143">
        <f t="shared" ref="AE7:AE14" si="17">IF(ISBLANK(Y7), "", MOD_SUBSTAT_LOOKUP(Y7,AC7,0))</f>
        <v>0.1</v>
      </c>
      <c r="AF7" s="11"/>
      <c r="AG7" s="582" t="str">
        <f t="array" ref="AG7:AH7">{"",Inventory!U7}</f>
        <v/>
      </c>
      <c r="AH7" s="144"/>
      <c r="AI7" s="582" t="str">
        <f>Inventory!V7</f>
        <v/>
      </c>
      <c r="AJ7" s="582" t="str">
        <f>Inventory!W7</f>
        <v/>
      </c>
      <c r="AK7" s="582" t="str">
        <f t="shared" ref="AK7:AK14" si="18">{"",AI7}</f>
        <v/>
      </c>
      <c r="AL7" s="586"/>
      <c r="AM7" s="142" t="str">
        <f t="shared" ref="AM7:AM14" si="19">MOD_SUBSTAT_LOOKUP(AH7,AL7,1)</f>
        <v/>
      </c>
      <c r="AN7" s="143" t="str">
        <f t="shared" ref="AN7:AN14" si="20">IF(ISBLANK(AH7), "", MOD_SUBSTAT_LOOKUP(AH7,AL7,0))</f>
        <v/>
      </c>
      <c r="AO7" s="11"/>
      <c r="AP7" s="582" t="str">
        <f t="array" ref="AP7:AQ7">{"",Inventory!Z7}</f>
        <v/>
      </c>
      <c r="AQ7" s="144"/>
      <c r="AR7" s="582" t="str">
        <f>Inventory!AA7</f>
        <v/>
      </c>
      <c r="AS7" s="582" t="str">
        <f>Inventory!AB7</f>
        <v/>
      </c>
      <c r="AT7" s="582" t="str">
        <f t="shared" ref="AT7:AT14" si="21">{"",AR7}</f>
        <v/>
      </c>
      <c r="AU7" s="586"/>
      <c r="AV7" s="142" t="str">
        <f t="shared" ref="AV7:AV14" si="22">MOD_SUBSTAT_LOOKUP(AQ7,AU7,1)</f>
        <v/>
      </c>
      <c r="AW7" s="143" t="str">
        <f t="shared" ref="AW7:AW12" si="23">IF(ISBLANK(AQ7), "", MOD_SUBSTAT_LOOKUP(AQ7,AU7,0))</f>
        <v/>
      </c>
      <c r="AX7" s="11"/>
      <c r="AY7" s="582" t="str">
        <f t="array" ref="AY7:AZ7">{"",Inventory!AE7}</f>
        <v/>
      </c>
      <c r="AZ7" s="144" t="s">
        <v>182</v>
      </c>
      <c r="BA7" s="582" t="str">
        <f>Inventory!AF7</f>
        <v>Mythic</v>
      </c>
      <c r="BB7" s="582" t="str">
        <f>Inventory!AG7</f>
        <v>+9%</v>
      </c>
      <c r="BC7" s="582" t="str">
        <f t="shared" ref="BC7:BC14" si="24">{"",BA7}</f>
        <v/>
      </c>
      <c r="BD7" s="586" t="s">
        <v>180</v>
      </c>
      <c r="BE7" s="142" t="str">
        <f t="shared" ref="BE7:BE14" si="25">MOD_SUBSTAT_LOOKUP(AZ7,BD7,1)</f>
        <v>+9%</v>
      </c>
      <c r="BF7" s="143">
        <f t="shared" ref="BF7:BF12" si="26">IF(ISBLANK(AZ7), "", MOD_SUBSTAT_LOOKUP(AZ7,BD7,0))</f>
        <v>0.09</v>
      </c>
      <c r="BG7" s="11"/>
      <c r="BH7" s="582"/>
      <c r="BI7" s="582" t="str">
        <f t="array" ref="BI7:BJ7">{"",Inventory!AJ7}</f>
        <v/>
      </c>
      <c r="BJ7" s="145"/>
      <c r="BK7" s="582" t="str">
        <f>Inventory!AK7</f>
        <v/>
      </c>
      <c r="BL7" s="582" t="str">
        <f>Inventory!AL7</f>
        <v/>
      </c>
      <c r="BM7" s="582" t="str">
        <f t="shared" ref="BM7:BM14" si="27">{"",BK7}</f>
        <v/>
      </c>
      <c r="BN7" s="587"/>
      <c r="BO7" s="588" t="str">
        <f t="shared" ref="BO7:BO14" si="28">MOD_SUBSTAT_LOOKUP(BJ7,BN7,1)</f>
        <v/>
      </c>
      <c r="BP7" s="143" t="str">
        <f t="shared" ref="BP7:BP14" si="29">IF(ISBLANK(BJ7), "", MOD_SUBSTAT_LOOKUP(BJ7,BN7,0))</f>
        <v/>
      </c>
      <c r="BQ7" s="582"/>
      <c r="BR7" s="582" t="str">
        <f t="array" ref="BR7:BS7">{"",Inventory!AO7}</f>
        <v/>
      </c>
      <c r="BS7" s="145"/>
      <c r="BT7" s="582" t="str">
        <f>Inventory!AP7</f>
        <v/>
      </c>
      <c r="BU7" s="582" t="str">
        <f>Inventory!AQ7</f>
        <v/>
      </c>
      <c r="BV7" s="582" t="str">
        <f t="shared" ref="BV7:BV14" si="30">{"",BT7}</f>
        <v/>
      </c>
      <c r="BW7" s="587"/>
      <c r="BX7" s="588" t="str">
        <f t="shared" ref="BX7:BX14" si="31">MOD_SUBSTAT_LOOKUP(BS7,BW7,1)</f>
        <v/>
      </c>
      <c r="BY7" s="143" t="str">
        <f t="shared" ref="BY7:BY14" si="32">IF(ISBLANK(BS7), "", MOD_SUBSTAT_LOOKUP(BS7,BW7,0))</f>
        <v/>
      </c>
      <c r="BZ7" s="11"/>
    </row>
    <row r="8">
      <c r="B8" s="117"/>
      <c r="C8" s="582" t="str">
        <f t="array" ref="C8:D8">{"",Inventory!D8}</f>
        <v/>
      </c>
      <c r="D8" s="128">
        <v>0.0</v>
      </c>
      <c r="F8" s="582" t="str">
        <f t="array" ref="F8:G8">{"",Inventory!F8}</f>
        <v/>
      </c>
      <c r="G8" s="140"/>
      <c r="H8" s="582" t="str">
        <f>Inventory!G8</f>
        <v/>
      </c>
      <c r="I8" s="582" t="str">
        <f>Inventory!H8</f>
        <v/>
      </c>
      <c r="J8" s="582" t="str">
        <f t="shared" si="9"/>
        <v/>
      </c>
      <c r="K8" s="586"/>
      <c r="L8" s="142" t="str">
        <f t="shared" si="10"/>
        <v/>
      </c>
      <c r="M8" s="143" t="str">
        <f t="shared" si="11"/>
        <v/>
      </c>
      <c r="N8" s="11"/>
      <c r="O8" s="582" t="str">
        <f t="array" ref="O8:P8">{"",Inventory!K8}</f>
        <v/>
      </c>
      <c r="P8" s="144" t="s">
        <v>183</v>
      </c>
      <c r="Q8" s="582" t="str">
        <f>Inventory!L8</f>
        <v>Mythic</v>
      </c>
      <c r="R8" s="582" t="str">
        <f>Inventory!M8</f>
        <v>+3</v>
      </c>
      <c r="S8" s="582" t="str">
        <f t="shared" si="12"/>
        <v/>
      </c>
      <c r="T8" s="586" t="s">
        <v>180</v>
      </c>
      <c r="U8" s="142" t="str">
        <f t="shared" si="13"/>
        <v>+3</v>
      </c>
      <c r="V8" s="143">
        <f t="shared" si="14"/>
        <v>3</v>
      </c>
      <c r="W8" s="11"/>
      <c r="X8" s="582" t="str">
        <f t="array" ref="X8:Y8">{"",Inventory!P8}</f>
        <v/>
      </c>
      <c r="Y8" s="140" t="s">
        <v>182</v>
      </c>
      <c r="Z8" s="582" t="str">
        <f>Inventory!Q8</f>
        <v>Mythic</v>
      </c>
      <c r="AA8" s="582" t="str">
        <f>Inventory!R8</f>
        <v>+9%</v>
      </c>
      <c r="AB8" s="582" t="str">
        <f t="shared" si="15"/>
        <v/>
      </c>
      <c r="AC8" s="586" t="s">
        <v>180</v>
      </c>
      <c r="AD8" s="142" t="str">
        <f t="shared" si="16"/>
        <v>+9%</v>
      </c>
      <c r="AE8" s="143">
        <f t="shared" si="17"/>
        <v>0.09</v>
      </c>
      <c r="AF8" s="11"/>
      <c r="AG8" s="582" t="str">
        <f t="array" ref="AG8:AH8">{"",Inventory!U8}</f>
        <v/>
      </c>
      <c r="AH8" s="144"/>
      <c r="AI8" s="582" t="str">
        <f>Inventory!V8</f>
        <v/>
      </c>
      <c r="AJ8" s="582" t="str">
        <f>Inventory!W8</f>
        <v/>
      </c>
      <c r="AK8" s="582" t="str">
        <f t="shared" si="18"/>
        <v/>
      </c>
      <c r="AL8" s="586"/>
      <c r="AM8" s="142" t="str">
        <f t="shared" si="19"/>
        <v/>
      </c>
      <c r="AN8" s="143" t="str">
        <f t="shared" si="20"/>
        <v/>
      </c>
      <c r="AO8" s="11"/>
      <c r="AP8" s="582" t="str">
        <f t="array" ref="AP8:AQ8">{"",Inventory!Z8}</f>
        <v/>
      </c>
      <c r="AQ8" s="144"/>
      <c r="AR8" s="582" t="str">
        <f>Inventory!AA8</f>
        <v/>
      </c>
      <c r="AS8" s="582" t="str">
        <f>Inventory!AB8</f>
        <v/>
      </c>
      <c r="AT8" s="582" t="str">
        <f t="shared" si="21"/>
        <v/>
      </c>
      <c r="AU8" s="586"/>
      <c r="AV8" s="142" t="str">
        <f t="shared" si="22"/>
        <v/>
      </c>
      <c r="AW8" s="143" t="str">
        <f t="shared" si="23"/>
        <v/>
      </c>
      <c r="AX8" s="11"/>
      <c r="AY8" s="582" t="str">
        <f t="array" ref="AY8:AZ8">{"",Inventory!AE8}</f>
        <v/>
      </c>
      <c r="AZ8" s="144" t="s">
        <v>179</v>
      </c>
      <c r="BA8" s="582" t="str">
        <f>Inventory!AF8</f>
        <v>Mythic</v>
      </c>
      <c r="BB8" s="582" t="str">
        <f>Inventory!AG8</f>
        <v>+3</v>
      </c>
      <c r="BC8" s="582" t="str">
        <f t="shared" si="24"/>
        <v/>
      </c>
      <c r="BD8" s="586" t="s">
        <v>180</v>
      </c>
      <c r="BE8" s="142" t="str">
        <f t="shared" si="25"/>
        <v>+3</v>
      </c>
      <c r="BF8" s="143">
        <f t="shared" si="26"/>
        <v>3</v>
      </c>
      <c r="BG8" s="11"/>
      <c r="BH8" s="582"/>
      <c r="BI8" s="582" t="str">
        <f t="array" ref="BI8:BJ8">{"",Inventory!AJ8}</f>
        <v/>
      </c>
      <c r="BJ8" s="145"/>
      <c r="BK8" s="582" t="str">
        <f>Inventory!AK8</f>
        <v/>
      </c>
      <c r="BL8" s="582" t="str">
        <f>Inventory!AL8</f>
        <v/>
      </c>
      <c r="BM8" s="582" t="str">
        <f t="shared" si="27"/>
        <v/>
      </c>
      <c r="BN8" s="586"/>
      <c r="BO8" s="142" t="str">
        <f t="shared" si="28"/>
        <v/>
      </c>
      <c r="BP8" s="143" t="str">
        <f t="shared" si="29"/>
        <v/>
      </c>
      <c r="BQ8" s="582"/>
      <c r="BR8" s="582" t="str">
        <f t="array" ref="BR8:BS8">{"",Inventory!AO8}</f>
        <v/>
      </c>
      <c r="BS8" s="145"/>
      <c r="BT8" s="582" t="str">
        <f>Inventory!AP8</f>
        <v/>
      </c>
      <c r="BU8" s="582" t="str">
        <f>Inventory!AQ8</f>
        <v/>
      </c>
      <c r="BV8" s="582" t="str">
        <f t="shared" si="30"/>
        <v/>
      </c>
      <c r="BW8" s="586"/>
      <c r="BX8" s="142" t="str">
        <f t="shared" si="31"/>
        <v/>
      </c>
      <c r="BY8" s="143" t="str">
        <f t="shared" si="32"/>
        <v/>
      </c>
      <c r="BZ8" s="11"/>
    </row>
    <row r="9">
      <c r="B9" s="117"/>
      <c r="C9" s="582" t="str">
        <f t="array" ref="C9:D9">{"",Inventory!D9}</f>
        <v/>
      </c>
      <c r="D9" s="118"/>
      <c r="F9" s="582" t="str">
        <f t="array" ref="F9:G9">{"",Inventory!F9}</f>
        <v/>
      </c>
      <c r="G9" s="140"/>
      <c r="H9" s="582" t="str">
        <f>Inventory!G9</f>
        <v/>
      </c>
      <c r="I9" s="582" t="str">
        <f>Inventory!H9</f>
        <v/>
      </c>
      <c r="J9" s="582" t="str">
        <f t="shared" si="9"/>
        <v/>
      </c>
      <c r="K9" s="586"/>
      <c r="L9" s="142" t="str">
        <f t="shared" si="10"/>
        <v/>
      </c>
      <c r="M9" s="143" t="str">
        <f t="shared" si="11"/>
        <v/>
      </c>
      <c r="N9" s="11"/>
      <c r="O9" s="582" t="str">
        <f t="array" ref="O9:P9">{"",Inventory!K9}</f>
        <v/>
      </c>
      <c r="P9" s="144" t="s">
        <v>184</v>
      </c>
      <c r="Q9" s="582" t="str">
        <f>Inventory!L9</f>
        <v>Mythic</v>
      </c>
      <c r="R9" s="582" t="str">
        <f>Inventory!M9</f>
        <v>+12x</v>
      </c>
      <c r="S9" s="582" t="str">
        <f t="shared" si="12"/>
        <v/>
      </c>
      <c r="T9" s="374" t="s">
        <v>180</v>
      </c>
      <c r="U9" s="142" t="str">
        <f t="shared" si="13"/>
        <v>+12x</v>
      </c>
      <c r="V9" s="143">
        <f t="shared" si="14"/>
        <v>12</v>
      </c>
      <c r="W9" s="11"/>
      <c r="X9" s="582" t="str">
        <f t="array" ref="X9:Y9">{"",Inventory!P9}</f>
        <v/>
      </c>
      <c r="Y9" s="140" t="s">
        <v>185</v>
      </c>
      <c r="Z9" s="582" t="str">
        <f>Inventory!Q9</f>
        <v>Mythic</v>
      </c>
      <c r="AA9" s="582" t="str">
        <f>Inventory!R9</f>
        <v>+3</v>
      </c>
      <c r="AB9" s="582" t="str">
        <f t="shared" si="15"/>
        <v/>
      </c>
      <c r="AC9" s="374" t="s">
        <v>180</v>
      </c>
      <c r="AD9" s="142" t="str">
        <f t="shared" si="16"/>
        <v>+3</v>
      </c>
      <c r="AE9" s="143">
        <f t="shared" si="17"/>
        <v>3</v>
      </c>
      <c r="AF9" s="11"/>
      <c r="AG9" s="582" t="str">
        <f t="array" ref="AG9:AH9">{"",Inventory!U9}</f>
        <v/>
      </c>
      <c r="AH9" s="144"/>
      <c r="AI9" s="582" t="str">
        <f>Inventory!V9</f>
        <v/>
      </c>
      <c r="AJ9" s="582" t="str">
        <f>Inventory!W9</f>
        <v/>
      </c>
      <c r="AK9" s="582" t="str">
        <f t="shared" si="18"/>
        <v/>
      </c>
      <c r="AL9" s="374"/>
      <c r="AM9" s="142" t="str">
        <f t="shared" si="19"/>
        <v/>
      </c>
      <c r="AN9" s="143" t="str">
        <f t="shared" si="20"/>
        <v/>
      </c>
      <c r="AO9" s="11"/>
      <c r="AP9" s="582" t="str">
        <f t="array" ref="AP9:AQ9">{"",Inventory!Z9}</f>
        <v/>
      </c>
      <c r="AQ9" s="144"/>
      <c r="AR9" s="582" t="str">
        <f>Inventory!AA9</f>
        <v/>
      </c>
      <c r="AS9" s="582" t="str">
        <f>Inventory!AB9</f>
        <v/>
      </c>
      <c r="AT9" s="582" t="str">
        <f t="shared" si="21"/>
        <v/>
      </c>
      <c r="AU9" s="374"/>
      <c r="AV9" s="142" t="str">
        <f t="shared" si="22"/>
        <v/>
      </c>
      <c r="AW9" s="143" t="str">
        <f t="shared" si="23"/>
        <v/>
      </c>
      <c r="AX9" s="11"/>
      <c r="AY9" s="582" t="str">
        <f t="array" ref="AY9:AZ9">{"",Inventory!AE9}</f>
        <v/>
      </c>
      <c r="AZ9" s="144" t="s">
        <v>183</v>
      </c>
      <c r="BA9" s="582" t="str">
        <f>Inventory!AF9</f>
        <v>Ancestral</v>
      </c>
      <c r="BB9" s="582" t="str">
        <f>Inventory!AG9</f>
        <v>+4</v>
      </c>
      <c r="BC9" s="582" t="str">
        <f t="shared" si="24"/>
        <v/>
      </c>
      <c r="BD9" s="374" t="s">
        <v>174</v>
      </c>
      <c r="BE9" s="142" t="str">
        <f t="shared" si="25"/>
        <v>+4</v>
      </c>
      <c r="BF9" s="143">
        <f t="shared" si="26"/>
        <v>4</v>
      </c>
      <c r="BG9" s="11"/>
      <c r="BH9" s="582"/>
      <c r="BI9" s="582" t="str">
        <f t="array" ref="BI9:BJ9">{"",Inventory!AJ9}</f>
        <v/>
      </c>
      <c r="BJ9" s="145"/>
      <c r="BK9" s="582" t="str">
        <f>Inventory!AK9</f>
        <v/>
      </c>
      <c r="BL9" s="582" t="str">
        <f>Inventory!AL9</f>
        <v/>
      </c>
      <c r="BM9" s="582" t="str">
        <f t="shared" si="27"/>
        <v/>
      </c>
      <c r="BN9" s="374"/>
      <c r="BO9" s="142" t="str">
        <f t="shared" si="28"/>
        <v/>
      </c>
      <c r="BP9" s="143" t="str">
        <f t="shared" si="29"/>
        <v/>
      </c>
      <c r="BQ9" s="582"/>
      <c r="BR9" s="582" t="str">
        <f t="array" ref="BR9:BS9">{"",Inventory!AO9}</f>
        <v/>
      </c>
      <c r="BS9" s="145"/>
      <c r="BT9" s="582" t="str">
        <f>Inventory!AP9</f>
        <v/>
      </c>
      <c r="BU9" s="582" t="str">
        <f>Inventory!AQ9</f>
        <v/>
      </c>
      <c r="BV9" s="582" t="str">
        <f t="shared" si="30"/>
        <v/>
      </c>
      <c r="BW9" s="374"/>
      <c r="BX9" s="142" t="str">
        <f t="shared" si="31"/>
        <v/>
      </c>
      <c r="BY9" s="143" t="str">
        <f t="shared" si="32"/>
        <v/>
      </c>
      <c r="BZ9" s="11"/>
    </row>
    <row r="10">
      <c r="B10" s="117"/>
      <c r="C10" s="582" t="str">
        <f t="array" ref="C10:D10">{"",Inventory!D10}</f>
        <v/>
      </c>
      <c r="D10" s="118"/>
      <c r="F10" s="582" t="str">
        <f t="array" ref="F10:G10">{"",Inventory!F10}</f>
        <v/>
      </c>
      <c r="G10" s="140"/>
      <c r="H10" s="582" t="str">
        <f>Inventory!G10</f>
        <v/>
      </c>
      <c r="I10" s="582" t="str">
        <f>Inventory!H10</f>
        <v/>
      </c>
      <c r="J10" s="582" t="str">
        <f t="shared" si="9"/>
        <v/>
      </c>
      <c r="K10" s="586"/>
      <c r="L10" s="142" t="str">
        <f t="shared" si="10"/>
        <v/>
      </c>
      <c r="M10" s="143" t="str">
        <f t="shared" si="11"/>
        <v/>
      </c>
      <c r="N10" s="11"/>
      <c r="O10" s="582" t="str">
        <f t="array" ref="O10:P10">{"",Inventory!K10}</f>
        <v/>
      </c>
      <c r="P10" s="144" t="s">
        <v>182</v>
      </c>
      <c r="Q10" s="582" t="str">
        <f>Inventory!L10</f>
        <v>Mythic</v>
      </c>
      <c r="R10" s="582" t="str">
        <f>Inventory!M10</f>
        <v>+9%</v>
      </c>
      <c r="S10" s="582" t="str">
        <f t="shared" si="12"/>
        <v/>
      </c>
      <c r="T10" s="374" t="s">
        <v>180</v>
      </c>
      <c r="U10" s="142" t="str">
        <f t="shared" si="13"/>
        <v>+9%</v>
      </c>
      <c r="V10" s="143">
        <f t="shared" si="14"/>
        <v>0.09</v>
      </c>
      <c r="W10" s="11"/>
      <c r="X10" s="582" t="str">
        <f t="array" ref="X10:Y10">{"",Inventory!P10}</f>
        <v/>
      </c>
      <c r="Y10" s="140" t="s">
        <v>183</v>
      </c>
      <c r="Z10" s="582" t="str">
        <f>Inventory!Q10</f>
        <v>Mythic</v>
      </c>
      <c r="AA10" s="582" t="str">
        <f>Inventory!R10</f>
        <v>+3</v>
      </c>
      <c r="AB10" s="582" t="str">
        <f t="shared" si="15"/>
        <v/>
      </c>
      <c r="AC10" s="374" t="s">
        <v>180</v>
      </c>
      <c r="AD10" s="142" t="str">
        <f t="shared" si="16"/>
        <v>+3</v>
      </c>
      <c r="AE10" s="143">
        <f t="shared" si="17"/>
        <v>3</v>
      </c>
      <c r="AF10" s="11"/>
      <c r="AG10" s="582" t="str">
        <f t="array" ref="AG10:AH10">{"",Inventory!U10}</f>
        <v/>
      </c>
      <c r="AH10" s="144"/>
      <c r="AI10" s="582" t="str">
        <f>Inventory!V10</f>
        <v/>
      </c>
      <c r="AJ10" s="582" t="str">
        <f>Inventory!W10</f>
        <v/>
      </c>
      <c r="AK10" s="582" t="str">
        <f t="shared" si="18"/>
        <v/>
      </c>
      <c r="AL10" s="374"/>
      <c r="AM10" s="142" t="str">
        <f t="shared" si="19"/>
        <v/>
      </c>
      <c r="AN10" s="143" t="str">
        <f t="shared" si="20"/>
        <v/>
      </c>
      <c r="AO10" s="11"/>
      <c r="AP10" s="582" t="str">
        <f t="array" ref="AP10:AQ10">{"",Inventory!Z10}</f>
        <v/>
      </c>
      <c r="AQ10" s="144"/>
      <c r="AR10" s="582" t="str">
        <f>Inventory!AA10</f>
        <v/>
      </c>
      <c r="AS10" s="582" t="str">
        <f>Inventory!AB10</f>
        <v/>
      </c>
      <c r="AT10" s="582" t="str">
        <f t="shared" si="21"/>
        <v/>
      </c>
      <c r="AU10" s="374"/>
      <c r="AV10" s="142" t="str">
        <f t="shared" si="22"/>
        <v/>
      </c>
      <c r="AW10" s="143" t="str">
        <f t="shared" si="23"/>
        <v/>
      </c>
      <c r="AX10" s="11"/>
      <c r="AY10" s="582" t="str">
        <f t="array" ref="AY10:AZ10">{"",Inventory!AE10}</f>
        <v/>
      </c>
      <c r="AZ10" s="144" t="s">
        <v>184</v>
      </c>
      <c r="BA10" s="582" t="str">
        <f>Inventory!AF10</f>
        <v>Ancestral</v>
      </c>
      <c r="BB10" s="582" t="str">
        <f>Inventory!AG10</f>
        <v>+15x</v>
      </c>
      <c r="BC10" s="582" t="str">
        <f t="shared" si="24"/>
        <v/>
      </c>
      <c r="BD10" s="374" t="s">
        <v>174</v>
      </c>
      <c r="BE10" s="142" t="str">
        <f t="shared" si="25"/>
        <v>+15x</v>
      </c>
      <c r="BF10" s="143">
        <f t="shared" si="26"/>
        <v>15</v>
      </c>
      <c r="BG10" s="11"/>
      <c r="BH10" s="582"/>
      <c r="BI10" s="582" t="str">
        <f t="array" ref="BI10:BJ10">{"",Inventory!AJ10}</f>
        <v/>
      </c>
      <c r="BJ10" s="145"/>
      <c r="BK10" s="582" t="str">
        <f>Inventory!AK10</f>
        <v/>
      </c>
      <c r="BL10" s="582" t="str">
        <f>Inventory!AL10</f>
        <v/>
      </c>
      <c r="BM10" s="582" t="str">
        <f t="shared" si="27"/>
        <v/>
      </c>
      <c r="BN10" s="374"/>
      <c r="BO10" s="142" t="str">
        <f t="shared" si="28"/>
        <v/>
      </c>
      <c r="BP10" s="143" t="str">
        <f t="shared" si="29"/>
        <v/>
      </c>
      <c r="BQ10" s="582"/>
      <c r="BR10" s="582" t="str">
        <f t="array" ref="BR10:BS10">{"",Inventory!AO10}</f>
        <v/>
      </c>
      <c r="BS10" s="145"/>
      <c r="BT10" s="582" t="str">
        <f>Inventory!AP10</f>
        <v/>
      </c>
      <c r="BU10" s="582" t="str">
        <f>Inventory!AQ10</f>
        <v/>
      </c>
      <c r="BV10" s="582" t="str">
        <f t="shared" si="30"/>
        <v/>
      </c>
      <c r="BW10" s="374"/>
      <c r="BX10" s="142" t="str">
        <f t="shared" si="31"/>
        <v/>
      </c>
      <c r="BY10" s="143" t="str">
        <f t="shared" si="32"/>
        <v/>
      </c>
      <c r="BZ10" s="11"/>
    </row>
    <row r="11" ht="15.75" customHeight="1">
      <c r="B11" s="117"/>
      <c r="C11" s="582" t="str">
        <f t="array" ref="C11:D11">{"",Inventory!D11}</f>
        <v/>
      </c>
      <c r="D11" s="118"/>
      <c r="F11" s="582" t="str">
        <f t="array" ref="F11:G11">{"",Inventory!F11}</f>
        <v/>
      </c>
      <c r="G11" s="140"/>
      <c r="H11" s="582" t="str">
        <f>Inventory!G11</f>
        <v/>
      </c>
      <c r="I11" s="582" t="str">
        <f>Inventory!H11</f>
        <v/>
      </c>
      <c r="J11" s="582" t="str">
        <f t="shared" si="9"/>
        <v/>
      </c>
      <c r="K11" s="586"/>
      <c r="L11" s="142" t="str">
        <f t="shared" si="10"/>
        <v/>
      </c>
      <c r="M11" s="143" t="str">
        <f t="shared" si="11"/>
        <v/>
      </c>
      <c r="N11" s="11"/>
      <c r="O11" s="582" t="str">
        <f t="array" ref="O11:P11">{"",Inventory!K11}</f>
        <v/>
      </c>
      <c r="P11" s="152"/>
      <c r="Q11" s="582" t="str">
        <f>Inventory!L11</f>
        <v/>
      </c>
      <c r="R11" s="582" t="str">
        <f>Inventory!M11</f>
        <v/>
      </c>
      <c r="S11" s="582" t="str">
        <f t="shared" si="12"/>
        <v/>
      </c>
      <c r="T11" s="374"/>
      <c r="U11" s="142" t="str">
        <f t="shared" si="13"/>
        <v/>
      </c>
      <c r="V11" s="143" t="str">
        <f t="shared" si="14"/>
        <v/>
      </c>
      <c r="W11" s="11"/>
      <c r="X11" s="582" t="str">
        <f t="array" ref="X11:Y11">{"",Inventory!P11}</f>
        <v/>
      </c>
      <c r="Y11" s="151"/>
      <c r="Z11" s="582" t="str">
        <f>Inventory!Q11</f>
        <v/>
      </c>
      <c r="AA11" s="582" t="str">
        <f>Inventory!R11</f>
        <v/>
      </c>
      <c r="AB11" s="582" t="str">
        <f t="shared" si="15"/>
        <v/>
      </c>
      <c r="AC11" s="374"/>
      <c r="AD11" s="142" t="str">
        <f t="shared" si="16"/>
        <v/>
      </c>
      <c r="AE11" s="143" t="str">
        <f t="shared" si="17"/>
        <v/>
      </c>
      <c r="AF11" s="11"/>
      <c r="AG11" s="582" t="str">
        <f t="array" ref="AG11:AH11">{"",Inventory!U11}</f>
        <v/>
      </c>
      <c r="AH11" s="152"/>
      <c r="AI11" s="582" t="str">
        <f>Inventory!V11</f>
        <v/>
      </c>
      <c r="AJ11" s="582" t="str">
        <f>Inventory!W11</f>
        <v/>
      </c>
      <c r="AK11" s="582" t="str">
        <f t="shared" si="18"/>
        <v/>
      </c>
      <c r="AL11" s="374"/>
      <c r="AM11" s="142" t="str">
        <f t="shared" si="19"/>
        <v/>
      </c>
      <c r="AN11" s="143" t="str">
        <f t="shared" si="20"/>
        <v/>
      </c>
      <c r="AO11" s="11"/>
      <c r="AP11" s="582" t="str">
        <f t="array" ref="AP11:AQ11">{"",Inventory!Z11}</f>
        <v/>
      </c>
      <c r="AQ11" s="152"/>
      <c r="AR11" s="582" t="str">
        <f>Inventory!AA11</f>
        <v/>
      </c>
      <c r="AS11" s="582" t="str">
        <f>Inventory!AB11</f>
        <v/>
      </c>
      <c r="AT11" s="582" t="str">
        <f t="shared" si="21"/>
        <v/>
      </c>
      <c r="AU11" s="374"/>
      <c r="AV11" s="142" t="str">
        <f t="shared" si="22"/>
        <v/>
      </c>
      <c r="AW11" s="143" t="str">
        <f t="shared" si="23"/>
        <v/>
      </c>
      <c r="AX11" s="11"/>
      <c r="AY11" s="582" t="str">
        <f t="array" ref="AY11:AZ11">{"",Inventory!AE11}</f>
        <v/>
      </c>
      <c r="AZ11" s="152" t="s">
        <v>186</v>
      </c>
      <c r="BA11" s="582" t="str">
        <f>Inventory!AF11</f>
        <v>Mythic</v>
      </c>
      <c r="BB11" s="582" t="str">
        <f>Inventory!AG11</f>
        <v>+5x</v>
      </c>
      <c r="BC11" s="582" t="str">
        <f t="shared" si="24"/>
        <v/>
      </c>
      <c r="BD11" s="374" t="s">
        <v>180</v>
      </c>
      <c r="BE11" s="142" t="str">
        <f t="shared" si="25"/>
        <v>+5x</v>
      </c>
      <c r="BF11" s="143">
        <f t="shared" si="26"/>
        <v>5</v>
      </c>
      <c r="BG11" s="11"/>
      <c r="BH11" s="582"/>
      <c r="BI11" s="582" t="str">
        <f t="array" ref="BI11:BJ11">{"",Inventory!AJ11}</f>
        <v/>
      </c>
      <c r="BJ11" s="145"/>
      <c r="BK11" s="582" t="str">
        <f>Inventory!AK11</f>
        <v/>
      </c>
      <c r="BL11" s="582" t="str">
        <f>Inventory!AL11</f>
        <v/>
      </c>
      <c r="BM11" s="582" t="str">
        <f t="shared" si="27"/>
        <v/>
      </c>
      <c r="BN11" s="374"/>
      <c r="BO11" s="142" t="str">
        <f t="shared" si="28"/>
        <v/>
      </c>
      <c r="BP11" s="143" t="str">
        <f t="shared" si="29"/>
        <v/>
      </c>
      <c r="BQ11" s="582"/>
      <c r="BR11" s="582" t="str">
        <f t="array" ref="BR11:BS11">{"",Inventory!AO11}</f>
        <v/>
      </c>
      <c r="BS11" s="145"/>
      <c r="BT11" s="582" t="str">
        <f>Inventory!AP11</f>
        <v/>
      </c>
      <c r="BU11" s="582" t="str">
        <f>Inventory!AQ11</f>
        <v/>
      </c>
      <c r="BV11" s="582" t="str">
        <f t="shared" si="30"/>
        <v/>
      </c>
      <c r="BW11" s="374"/>
      <c r="BX11" s="142" t="str">
        <f t="shared" si="31"/>
        <v/>
      </c>
      <c r="BY11" s="143" t="str">
        <f t="shared" si="32"/>
        <v/>
      </c>
      <c r="BZ11" s="11"/>
    </row>
    <row r="12" ht="15.0" customHeight="1">
      <c r="B12" s="117"/>
      <c r="C12" s="582" t="str">
        <f t="array" ref="C12:D12">{"",Inventory!D12}</f>
        <v/>
      </c>
      <c r="D12" s="118"/>
      <c r="F12" s="582" t="str">
        <f t="array" ref="F12:G12">{"",Inventory!F12}</f>
        <v/>
      </c>
      <c r="G12" s="140"/>
      <c r="H12" s="582" t="str">
        <f>Inventory!G12</f>
        <v/>
      </c>
      <c r="I12" s="582" t="str">
        <f>Inventory!H12</f>
        <v/>
      </c>
      <c r="J12" s="582" t="str">
        <f t="shared" si="9"/>
        <v/>
      </c>
      <c r="K12" s="586"/>
      <c r="L12" s="142" t="str">
        <f t="shared" si="10"/>
        <v/>
      </c>
      <c r="M12" s="143" t="str">
        <f t="shared" si="11"/>
        <v/>
      </c>
      <c r="N12" s="11"/>
      <c r="O12" s="582" t="str">
        <f t="array" ref="O12:P12">{"",Inventory!K12}</f>
        <v/>
      </c>
      <c r="P12" s="152"/>
      <c r="Q12" s="582" t="str">
        <f>Inventory!L12</f>
        <v/>
      </c>
      <c r="R12" s="582" t="str">
        <f>Inventory!M12</f>
        <v/>
      </c>
      <c r="S12" s="582" t="str">
        <f t="shared" si="12"/>
        <v/>
      </c>
      <c r="T12" s="374"/>
      <c r="U12" s="142" t="str">
        <f t="shared" si="13"/>
        <v/>
      </c>
      <c r="V12" s="143" t="str">
        <f t="shared" si="14"/>
        <v/>
      </c>
      <c r="W12" s="11"/>
      <c r="X12" s="582" t="str">
        <f t="array" ref="X12:Y12">{"",Inventory!P12}</f>
        <v/>
      </c>
      <c r="Y12" s="152"/>
      <c r="Z12" s="582" t="str">
        <f>Inventory!Q12</f>
        <v/>
      </c>
      <c r="AA12" s="582" t="str">
        <f>Inventory!R12</f>
        <v/>
      </c>
      <c r="AB12" s="582" t="str">
        <f t="shared" si="15"/>
        <v/>
      </c>
      <c r="AC12" s="374"/>
      <c r="AD12" s="142" t="str">
        <f t="shared" si="16"/>
        <v/>
      </c>
      <c r="AE12" s="143" t="str">
        <f t="shared" si="17"/>
        <v/>
      </c>
      <c r="AF12" s="11"/>
      <c r="AG12" s="582" t="str">
        <f t="array" ref="AG12:AH12">{"",Inventory!U12}</f>
        <v/>
      </c>
      <c r="AH12" s="152"/>
      <c r="AI12" s="582" t="str">
        <f>Inventory!V12</f>
        <v/>
      </c>
      <c r="AJ12" s="582" t="str">
        <f>Inventory!W12</f>
        <v/>
      </c>
      <c r="AK12" s="582" t="str">
        <f t="shared" si="18"/>
        <v/>
      </c>
      <c r="AL12" s="374"/>
      <c r="AM12" s="142" t="str">
        <f t="shared" si="19"/>
        <v/>
      </c>
      <c r="AN12" s="143" t="str">
        <f t="shared" si="20"/>
        <v/>
      </c>
      <c r="AO12" s="11"/>
      <c r="AP12" s="582" t="str">
        <f t="array" ref="AP12:AQ12">{"",Inventory!Z12}</f>
        <v/>
      </c>
      <c r="AQ12" s="152"/>
      <c r="AR12" s="582" t="str">
        <f>Inventory!AA12</f>
        <v/>
      </c>
      <c r="AS12" s="582" t="str">
        <f>Inventory!AB12</f>
        <v/>
      </c>
      <c r="AT12" s="582" t="str">
        <f t="shared" si="21"/>
        <v/>
      </c>
      <c r="AU12" s="374"/>
      <c r="AV12" s="142" t="str">
        <f t="shared" si="22"/>
        <v/>
      </c>
      <c r="AW12" s="143" t="str">
        <f t="shared" si="23"/>
        <v/>
      </c>
      <c r="AX12" s="11"/>
      <c r="AY12" s="582" t="str">
        <f t="array" ref="AY12:AZ12">{"",Inventory!AE12}</f>
        <v/>
      </c>
      <c r="AZ12" s="152"/>
      <c r="BA12" s="582" t="str">
        <f>Inventory!AF12</f>
        <v/>
      </c>
      <c r="BB12" s="582" t="str">
        <f>Inventory!AG12</f>
        <v/>
      </c>
      <c r="BC12" s="582" t="str">
        <f t="shared" si="24"/>
        <v/>
      </c>
      <c r="BD12" s="374"/>
      <c r="BE12" s="142" t="str">
        <f t="shared" si="25"/>
        <v/>
      </c>
      <c r="BF12" s="143" t="str">
        <f t="shared" si="26"/>
        <v/>
      </c>
      <c r="BG12" s="11"/>
      <c r="BH12" s="582"/>
      <c r="BI12" s="582" t="str">
        <f t="array" ref="BI12:BJ12">{"",Inventory!AJ12}</f>
        <v/>
      </c>
      <c r="BJ12" s="145"/>
      <c r="BK12" s="582" t="str">
        <f>Inventory!AK12</f>
        <v/>
      </c>
      <c r="BL12" s="582" t="str">
        <f>Inventory!AL12</f>
        <v/>
      </c>
      <c r="BM12" s="582" t="str">
        <f t="shared" si="27"/>
        <v/>
      </c>
      <c r="BN12" s="374"/>
      <c r="BO12" s="142" t="str">
        <f t="shared" si="28"/>
        <v/>
      </c>
      <c r="BP12" s="143" t="str">
        <f t="shared" si="29"/>
        <v/>
      </c>
      <c r="BQ12" s="582"/>
      <c r="BR12" s="582" t="str">
        <f t="array" ref="BR12:BS12">{"",Inventory!AO12}</f>
        <v/>
      </c>
      <c r="BS12" s="145"/>
      <c r="BT12" s="582" t="str">
        <f>Inventory!AP12</f>
        <v/>
      </c>
      <c r="BU12" s="582" t="str">
        <f>Inventory!AQ12</f>
        <v/>
      </c>
      <c r="BV12" s="582" t="str">
        <f t="shared" si="30"/>
        <v/>
      </c>
      <c r="BW12" s="374"/>
      <c r="BX12" s="142" t="str">
        <f t="shared" si="31"/>
        <v/>
      </c>
      <c r="BY12" s="143" t="str">
        <f t="shared" si="32"/>
        <v/>
      </c>
      <c r="BZ12" s="11"/>
    </row>
    <row r="13">
      <c r="B13" s="117"/>
      <c r="C13" s="582" t="str">
        <f t="array" ref="C13:D13">{"",Inventory!D13}</f>
        <v/>
      </c>
      <c r="D13" s="118"/>
      <c r="F13" s="582" t="str">
        <f t="array" ref="F13:G13">{"",Inventory!F13}</f>
        <v/>
      </c>
      <c r="G13" s="140"/>
      <c r="H13" s="582" t="str">
        <f>Inventory!G13</f>
        <v/>
      </c>
      <c r="I13" s="582" t="str">
        <f>Inventory!H13</f>
        <v/>
      </c>
      <c r="J13" s="582" t="str">
        <f t="shared" si="9"/>
        <v/>
      </c>
      <c r="K13" s="586"/>
      <c r="L13" s="142" t="str">
        <f t="shared" si="10"/>
        <v/>
      </c>
      <c r="M13" s="143" t="str">
        <f t="shared" si="11"/>
        <v/>
      </c>
      <c r="N13" s="11"/>
      <c r="O13" s="582" t="str">
        <f t="array" ref="O13:P13">{"",Inventory!K13}</f>
        <v/>
      </c>
      <c r="P13" s="152"/>
      <c r="Q13" s="582" t="str">
        <f>Inventory!L13</f>
        <v/>
      </c>
      <c r="R13" s="582" t="str">
        <f>Inventory!M13</f>
        <v/>
      </c>
      <c r="S13" s="582" t="str">
        <f t="shared" si="12"/>
        <v/>
      </c>
      <c r="T13" s="374"/>
      <c r="U13" s="142" t="str">
        <f t="shared" si="13"/>
        <v/>
      </c>
      <c r="V13" s="143" t="str">
        <f t="shared" si="14"/>
        <v/>
      </c>
      <c r="W13" s="11"/>
      <c r="X13" s="582" t="str">
        <f t="array" ref="X13:Y13">{"",Inventory!P13}</f>
        <v/>
      </c>
      <c r="Y13" s="152"/>
      <c r="Z13" s="582" t="str">
        <f>Inventory!Q13</f>
        <v/>
      </c>
      <c r="AA13" s="582" t="str">
        <f>Inventory!R13</f>
        <v/>
      </c>
      <c r="AB13" s="582" t="str">
        <f t="shared" si="15"/>
        <v/>
      </c>
      <c r="AC13" s="374"/>
      <c r="AD13" s="142" t="str">
        <f t="shared" si="16"/>
        <v/>
      </c>
      <c r="AE13" s="143" t="str">
        <f t="shared" si="17"/>
        <v/>
      </c>
      <c r="AF13" s="11"/>
      <c r="AG13" s="582" t="str">
        <f t="array" ref="AG13:AH13">{"",Inventory!U13}</f>
        <v/>
      </c>
      <c r="AH13" s="152"/>
      <c r="AI13" s="582" t="str">
        <f>Inventory!V13</f>
        <v/>
      </c>
      <c r="AJ13" s="582" t="str">
        <f>Inventory!W13</f>
        <v/>
      </c>
      <c r="AK13" s="582" t="str">
        <f t="shared" si="18"/>
        <v/>
      </c>
      <c r="AL13" s="374"/>
      <c r="AM13" s="142" t="str">
        <f t="shared" si="19"/>
        <v/>
      </c>
      <c r="AN13" s="143" t="str">
        <f t="shared" si="20"/>
        <v/>
      </c>
      <c r="AO13" s="11"/>
      <c r="AP13" s="582" t="str">
        <f t="array" ref="AP13:AQ13">{"",Inventory!Z13}</f>
        <v/>
      </c>
      <c r="AQ13" s="152"/>
      <c r="AR13" s="582" t="str">
        <f>Inventory!AA13</f>
        <v/>
      </c>
      <c r="AS13" s="582" t="str">
        <f>Inventory!AB13</f>
        <v/>
      </c>
      <c r="AT13" s="582" t="str">
        <f t="shared" si="21"/>
        <v/>
      </c>
      <c r="AU13" s="374"/>
      <c r="AV13" s="142" t="str">
        <f t="shared" si="22"/>
        <v/>
      </c>
      <c r="AW13" s="143"/>
      <c r="AX13" s="11"/>
      <c r="AY13" s="582" t="str">
        <f t="array" ref="AY13:AZ13">{"",Inventory!AE13}</f>
        <v/>
      </c>
      <c r="AZ13" s="152"/>
      <c r="BA13" s="582" t="str">
        <f>Inventory!AF13</f>
        <v/>
      </c>
      <c r="BB13" s="582" t="str">
        <f>Inventory!AG13</f>
        <v/>
      </c>
      <c r="BC13" s="582" t="str">
        <f t="shared" si="24"/>
        <v/>
      </c>
      <c r="BD13" s="374"/>
      <c r="BE13" s="142" t="str">
        <f t="shared" si="25"/>
        <v/>
      </c>
      <c r="BF13" s="143"/>
      <c r="BG13" s="11"/>
      <c r="BH13" s="582"/>
      <c r="BI13" s="582" t="str">
        <f t="array" ref="BI13:BJ13">{"",Inventory!AJ13}</f>
        <v/>
      </c>
      <c r="BJ13" s="145"/>
      <c r="BK13" s="582" t="str">
        <f>Inventory!AK13</f>
        <v/>
      </c>
      <c r="BL13" s="582" t="str">
        <f>Inventory!AL13</f>
        <v/>
      </c>
      <c r="BM13" s="582" t="str">
        <f t="shared" si="27"/>
        <v/>
      </c>
      <c r="BN13" s="374"/>
      <c r="BO13" s="142" t="str">
        <f t="shared" si="28"/>
        <v/>
      </c>
      <c r="BP13" s="143" t="str">
        <f t="shared" si="29"/>
        <v/>
      </c>
      <c r="BQ13" s="582"/>
      <c r="BR13" s="582" t="str">
        <f t="array" ref="BR13:BS13">{"",Inventory!AO13}</f>
        <v/>
      </c>
      <c r="BS13" s="145"/>
      <c r="BT13" s="582" t="str">
        <f>Inventory!AP13</f>
        <v/>
      </c>
      <c r="BU13" s="582" t="str">
        <f>Inventory!AQ13</f>
        <v/>
      </c>
      <c r="BV13" s="582" t="str">
        <f t="shared" si="30"/>
        <v/>
      </c>
      <c r="BW13" s="374"/>
      <c r="BX13" s="142" t="str">
        <f t="shared" si="31"/>
        <v/>
      </c>
      <c r="BY13" s="143" t="str">
        <f t="shared" si="32"/>
        <v/>
      </c>
      <c r="BZ13" s="11"/>
    </row>
    <row r="14">
      <c r="A14" s="138"/>
      <c r="B14" s="117"/>
      <c r="C14" s="582" t="str">
        <f t="array" ref="C14:D14">{"",Inventory!D14}</f>
        <v/>
      </c>
      <c r="D14" s="118"/>
      <c r="F14" s="582" t="str">
        <f t="array" ref="F14:G14">{"",Inventory!F14}</f>
        <v/>
      </c>
      <c r="G14" s="589"/>
      <c r="H14" s="590" t="str">
        <f>Inventory!G14</f>
        <v/>
      </c>
      <c r="I14" s="590" t="str">
        <f>Inventory!H14</f>
        <v/>
      </c>
      <c r="J14" s="590" t="str">
        <f t="shared" si="9"/>
        <v/>
      </c>
      <c r="K14" s="591"/>
      <c r="L14" s="155" t="str">
        <f t="shared" si="10"/>
        <v/>
      </c>
      <c r="M14" s="143" t="str">
        <f t="shared" si="11"/>
        <v/>
      </c>
      <c r="N14" s="11"/>
      <c r="O14" s="582" t="str">
        <f t="array" ref="O14:P14">{"",Inventory!K14}</f>
        <v/>
      </c>
      <c r="P14" s="153"/>
      <c r="Q14" s="590" t="str">
        <f>Inventory!L14</f>
        <v/>
      </c>
      <c r="R14" s="590" t="str">
        <f>Inventory!M14</f>
        <v/>
      </c>
      <c r="S14" s="590" t="str">
        <f t="shared" si="12"/>
        <v/>
      </c>
      <c r="T14" s="592"/>
      <c r="U14" s="155" t="str">
        <f t="shared" si="13"/>
        <v/>
      </c>
      <c r="V14" s="143" t="str">
        <f t="shared" si="14"/>
        <v/>
      </c>
      <c r="W14" s="11"/>
      <c r="X14" s="582" t="str">
        <f t="array" ref="X14:Y14">{"",Inventory!P14}</f>
        <v/>
      </c>
      <c r="Y14" s="153"/>
      <c r="Z14" s="590" t="str">
        <f>Inventory!Q14</f>
        <v/>
      </c>
      <c r="AA14" s="590" t="str">
        <f>Inventory!R14</f>
        <v/>
      </c>
      <c r="AB14" s="590" t="str">
        <f t="shared" si="15"/>
        <v/>
      </c>
      <c r="AC14" s="592"/>
      <c r="AD14" s="155" t="str">
        <f t="shared" si="16"/>
        <v/>
      </c>
      <c r="AE14" s="143" t="str">
        <f t="shared" si="17"/>
        <v/>
      </c>
      <c r="AF14" s="11"/>
      <c r="AG14" s="582" t="str">
        <f t="array" ref="AG14:AH14">{"",Inventory!U14}</f>
        <v/>
      </c>
      <c r="AH14" s="153"/>
      <c r="AI14" s="590" t="str">
        <f>Inventory!V14</f>
        <v/>
      </c>
      <c r="AJ14" s="590" t="str">
        <f>Inventory!W14</f>
        <v/>
      </c>
      <c r="AK14" s="590" t="str">
        <f t="shared" si="18"/>
        <v/>
      </c>
      <c r="AL14" s="592"/>
      <c r="AM14" s="155" t="str">
        <f t="shared" si="19"/>
        <v/>
      </c>
      <c r="AN14" s="143" t="str">
        <f t="shared" si="20"/>
        <v/>
      </c>
      <c r="AO14" s="11"/>
      <c r="AP14" s="582" t="str">
        <f t="array" ref="AP14:AQ14">{"",Inventory!Z14}</f>
        <v/>
      </c>
      <c r="AQ14" s="153"/>
      <c r="AR14" s="590" t="str">
        <f>Inventory!AA14</f>
        <v/>
      </c>
      <c r="AS14" s="590" t="str">
        <f>Inventory!AB14</f>
        <v/>
      </c>
      <c r="AT14" s="590" t="str">
        <f t="shared" si="21"/>
        <v/>
      </c>
      <c r="AU14" s="592"/>
      <c r="AV14" s="155" t="str">
        <f t="shared" si="22"/>
        <v/>
      </c>
      <c r="AW14" s="143" t="str">
        <f>IF(ISBLANK(AQ14), "", MOD_SUBSTAT_LOOKUP(AQ14,AU14,0))</f>
        <v/>
      </c>
      <c r="AX14" s="11"/>
      <c r="AY14" s="582" t="str">
        <f t="array" ref="AY14:AZ14">{"",Inventory!AE14}</f>
        <v/>
      </c>
      <c r="AZ14" s="153"/>
      <c r="BA14" s="590" t="str">
        <f>Inventory!AF14</f>
        <v/>
      </c>
      <c r="BB14" s="590" t="str">
        <f>Inventory!AG14</f>
        <v/>
      </c>
      <c r="BC14" s="590" t="str">
        <f t="shared" si="24"/>
        <v/>
      </c>
      <c r="BD14" s="592"/>
      <c r="BE14" s="155" t="str">
        <f t="shared" si="25"/>
        <v/>
      </c>
      <c r="BF14" s="143" t="str">
        <f>IF(ISBLANK(AZ14), "", MOD_SUBSTAT_LOOKUP(AZ14,BD14,0))</f>
        <v/>
      </c>
      <c r="BG14" s="11"/>
      <c r="BH14" s="582"/>
      <c r="BI14" s="582" t="str">
        <f t="array" ref="BI14:BJ14">{"",Inventory!AJ14}</f>
        <v/>
      </c>
      <c r="BJ14" s="156"/>
      <c r="BK14" s="590" t="str">
        <f>Inventory!AK14</f>
        <v/>
      </c>
      <c r="BL14" s="590" t="str">
        <f>Inventory!AL14</f>
        <v/>
      </c>
      <c r="BM14" s="590" t="str">
        <f t="shared" si="27"/>
        <v/>
      </c>
      <c r="BN14" s="592"/>
      <c r="BO14" s="155" t="str">
        <f t="shared" si="28"/>
        <v/>
      </c>
      <c r="BP14" s="143" t="str">
        <f t="shared" si="29"/>
        <v/>
      </c>
      <c r="BQ14" s="582"/>
      <c r="BR14" s="582" t="str">
        <f t="array" ref="BR14:BS14">{"",Inventory!AO14}</f>
        <v/>
      </c>
      <c r="BS14" s="156"/>
      <c r="BT14" s="590" t="str">
        <f>Inventory!AP14</f>
        <v/>
      </c>
      <c r="BU14" s="590" t="str">
        <f>Inventory!AQ14</f>
        <v/>
      </c>
      <c r="BV14" s="590" t="str">
        <f t="shared" si="30"/>
        <v/>
      </c>
      <c r="BW14" s="592"/>
      <c r="BX14" s="155" t="str">
        <f t="shared" si="31"/>
        <v/>
      </c>
      <c r="BY14" s="143" t="str">
        <f t="shared" si="32"/>
        <v/>
      </c>
      <c r="BZ14" s="11"/>
    </row>
    <row r="15">
      <c r="A15" s="157"/>
      <c r="B15" s="117"/>
      <c r="C15" s="582" t="str">
        <f t="array" ref="C15:D15">{"",Inventory!D15}</f>
        <v/>
      </c>
      <c r="D15" s="118"/>
      <c r="F15" s="582"/>
      <c r="G15" s="159"/>
      <c r="H15" s="582"/>
      <c r="I15" s="582"/>
      <c r="J15" s="582"/>
      <c r="K15" s="159"/>
      <c r="L15" s="159"/>
      <c r="M15" s="160"/>
      <c r="N15" s="160"/>
      <c r="O15" s="582"/>
      <c r="P15" s="159"/>
      <c r="Q15" s="582"/>
      <c r="R15" s="582"/>
      <c r="S15" s="582"/>
      <c r="T15" s="159"/>
      <c r="U15" s="159"/>
      <c r="V15" s="160"/>
      <c r="W15" s="11"/>
      <c r="X15" s="582"/>
      <c r="Y15" s="159"/>
      <c r="Z15" s="582"/>
      <c r="AA15" s="582"/>
      <c r="AB15" s="582"/>
      <c r="AC15" s="159"/>
      <c r="AD15" s="159"/>
      <c r="AE15" s="160"/>
      <c r="AF15" s="11"/>
      <c r="AG15" s="582"/>
      <c r="AH15" s="159"/>
      <c r="AI15" s="582"/>
      <c r="AJ15" s="582"/>
      <c r="AK15" s="582"/>
      <c r="AL15" s="159"/>
      <c r="AM15" s="159"/>
      <c r="AN15" s="160"/>
      <c r="AO15" s="11"/>
      <c r="AP15" s="582"/>
      <c r="AQ15" s="159"/>
      <c r="AR15" s="582"/>
      <c r="AS15" s="582"/>
      <c r="AT15" s="582"/>
      <c r="AU15" s="159"/>
      <c r="AV15" s="159"/>
      <c r="AW15" s="160"/>
      <c r="AX15" s="11"/>
      <c r="AY15" s="582"/>
      <c r="AZ15" s="159"/>
      <c r="BA15" s="582"/>
      <c r="BB15" s="582"/>
      <c r="BC15" s="582"/>
      <c r="BD15" s="159"/>
      <c r="BE15" s="159"/>
      <c r="BF15" s="160"/>
      <c r="BG15" s="11"/>
      <c r="BH15" s="582"/>
      <c r="BI15" s="582"/>
      <c r="BJ15" s="159"/>
      <c r="BK15" s="582"/>
      <c r="BL15" s="582"/>
      <c r="BM15" s="582"/>
      <c r="BN15" s="159"/>
      <c r="BO15" s="159"/>
      <c r="BP15" s="160"/>
      <c r="BQ15" s="582"/>
      <c r="BR15" s="582"/>
      <c r="BS15" s="159"/>
      <c r="BT15" s="582"/>
      <c r="BU15" s="582"/>
      <c r="BV15" s="582"/>
      <c r="BW15" s="159"/>
      <c r="BX15" s="159"/>
      <c r="BY15" s="160"/>
      <c r="BZ15" s="11"/>
    </row>
    <row r="16">
      <c r="A16" s="115" t="s">
        <v>187</v>
      </c>
      <c r="B16" s="117"/>
      <c r="C16" s="582" t="str">
        <f t="array" ref="C16:D16">{"",Inventory!D16}</f>
        <v/>
      </c>
      <c r="D16" s="118"/>
      <c r="F16" s="582" t="str">
        <f t="array" ref="F16:G16">{"",Inventory!F16}</f>
        <v/>
      </c>
      <c r="G16" s="161" t="s">
        <v>188</v>
      </c>
      <c r="H16" s="120"/>
      <c r="I16" s="120"/>
      <c r="J16" s="120"/>
      <c r="K16" s="120"/>
      <c r="L16" s="121"/>
      <c r="M16" s="11"/>
      <c r="N16" s="11"/>
      <c r="O16" s="582" t="str">
        <f t="array" ref="O16:P16">{"",Inventory!K16}</f>
        <v/>
      </c>
      <c r="P16" s="161" t="s">
        <v>189</v>
      </c>
      <c r="Q16" s="120"/>
      <c r="R16" s="120"/>
      <c r="S16" s="120"/>
      <c r="T16" s="120"/>
      <c r="U16" s="121"/>
      <c r="V16" s="11"/>
      <c r="W16" s="11"/>
      <c r="X16" s="582" t="str">
        <f t="array" ref="X16:Y16">{"",Inventory!P16}</f>
        <v/>
      </c>
      <c r="Y16" s="161" t="s">
        <v>190</v>
      </c>
      <c r="Z16" s="120"/>
      <c r="AA16" s="120"/>
      <c r="AB16" s="120"/>
      <c r="AC16" s="120"/>
      <c r="AD16" s="121"/>
      <c r="AE16" s="11"/>
      <c r="AF16" s="11"/>
      <c r="AG16" s="582" t="str">
        <f t="array" ref="AG16:AH16">{"",Inventory!U16}</f>
        <v/>
      </c>
      <c r="AH16" s="161" t="s">
        <v>191</v>
      </c>
      <c r="AI16" s="120"/>
      <c r="AJ16" s="120"/>
      <c r="AK16" s="120"/>
      <c r="AL16" s="120"/>
      <c r="AM16" s="121"/>
      <c r="AN16" s="11"/>
      <c r="AO16" s="11"/>
      <c r="AP16" s="582" t="str">
        <f t="array" ref="AP16:AQ16">{"",Inventory!Z16}</f>
        <v/>
      </c>
      <c r="AQ16" s="161" t="s">
        <v>192</v>
      </c>
      <c r="AR16" s="120"/>
      <c r="AS16" s="120"/>
      <c r="AT16" s="120"/>
      <c r="AU16" s="120"/>
      <c r="AV16" s="121"/>
      <c r="AW16" s="11"/>
      <c r="AX16" s="11"/>
      <c r="AY16" s="582" t="str">
        <f t="array" ref="AY16:AZ16">{"",Inventory!AE16}</f>
        <v/>
      </c>
      <c r="AZ16" s="162" t="s">
        <v>193</v>
      </c>
      <c r="BA16" s="120"/>
      <c r="BB16" s="120"/>
      <c r="BC16" s="120"/>
      <c r="BD16" s="120"/>
      <c r="BE16" s="121"/>
      <c r="BF16" s="11"/>
      <c r="BG16" s="11"/>
      <c r="BH16" s="582"/>
      <c r="BI16" s="582" t="str">
        <f t="array" ref="BI16:BJ16">{"",Inventory!AJ16}</f>
        <v/>
      </c>
      <c r="BJ16" s="163" t="s">
        <v>167</v>
      </c>
      <c r="BK16" s="120"/>
      <c r="BL16" s="120"/>
      <c r="BM16" s="120"/>
      <c r="BN16" s="120"/>
      <c r="BO16" s="121"/>
      <c r="BP16" s="11"/>
      <c r="BQ16" s="582"/>
      <c r="BR16" s="582" t="str">
        <f t="array" ref="BR16:BS16">{"",Inventory!AO16}</f>
        <v/>
      </c>
      <c r="BS16" s="163" t="s">
        <v>168</v>
      </c>
      <c r="BT16" s="120"/>
      <c r="BU16" s="120"/>
      <c r="BV16" s="120"/>
      <c r="BW16" s="120"/>
      <c r="BX16" s="121"/>
      <c r="BY16" s="11"/>
      <c r="BZ16" s="11"/>
    </row>
    <row r="17">
      <c r="B17" s="117"/>
      <c r="C17" s="582" t="str">
        <f t="array" ref="C17:D17">{"",Inventory!D17}</f>
        <v/>
      </c>
      <c r="D17" s="164" t="s">
        <v>169</v>
      </c>
      <c r="F17" s="582" t="str">
        <f t="array" ref="F17:G17">{"",Inventory!F17}</f>
        <v/>
      </c>
      <c r="G17" s="165" t="s">
        <v>170</v>
      </c>
      <c r="H17" s="582" t="str">
        <f>Inventory!G17</f>
        <v>Level</v>
      </c>
      <c r="I17" s="582" t="str">
        <f>Inventory!H17</f>
        <v>Stat</v>
      </c>
      <c r="J17" s="582" t="str">
        <f t="shared" ref="J17:J18" si="33">{"",H17}</f>
        <v>#REF!</v>
      </c>
      <c r="K17" s="166" t="s">
        <v>134</v>
      </c>
      <c r="L17" s="167" t="s">
        <v>171</v>
      </c>
      <c r="M17" s="11"/>
      <c r="N17" s="11"/>
      <c r="O17" s="582" t="str">
        <f t="array" ref="O17:P17">{"",Inventory!K17}</f>
        <v/>
      </c>
      <c r="P17" s="165" t="s">
        <v>170</v>
      </c>
      <c r="Q17" s="582" t="str">
        <f>Inventory!L17</f>
        <v>Level</v>
      </c>
      <c r="R17" s="582" t="str">
        <f>Inventory!M17</f>
        <v>Stat</v>
      </c>
      <c r="S17" s="582" t="str">
        <f t="shared" ref="S17:S18" si="34">{"",Q17}</f>
        <v>#REF!</v>
      </c>
      <c r="T17" s="166" t="s">
        <v>134</v>
      </c>
      <c r="U17" s="167" t="s">
        <v>171</v>
      </c>
      <c r="V17" s="11"/>
      <c r="W17" s="11"/>
      <c r="X17" s="582" t="str">
        <f t="array" ref="X17:Y17">{"",Inventory!P17}</f>
        <v/>
      </c>
      <c r="Y17" s="165" t="s">
        <v>170</v>
      </c>
      <c r="Z17" s="582" t="str">
        <f>Inventory!Q17</f>
        <v>Level</v>
      </c>
      <c r="AA17" s="582" t="str">
        <f>Inventory!R17</f>
        <v>Stat</v>
      </c>
      <c r="AB17" s="582" t="str">
        <f t="shared" ref="AB17:AB18" si="35">{"",Z17}</f>
        <v/>
      </c>
      <c r="AC17" s="166" t="s">
        <v>134</v>
      </c>
      <c r="AD17" s="167" t="s">
        <v>171</v>
      </c>
      <c r="AE17" s="11"/>
      <c r="AF17" s="11"/>
      <c r="AG17" s="582" t="str">
        <f t="array" ref="AG17:AH17">{"",Inventory!U17}</f>
        <v/>
      </c>
      <c r="AH17" s="165" t="s">
        <v>170</v>
      </c>
      <c r="AI17" s="582" t="str">
        <f>Inventory!V17</f>
        <v>Level</v>
      </c>
      <c r="AJ17" s="582" t="str">
        <f>Inventory!W17</f>
        <v>Stat</v>
      </c>
      <c r="AK17" s="582" t="str">
        <f t="shared" ref="AK17:AK18" si="36">{"",AI17}</f>
        <v>#REF!</v>
      </c>
      <c r="AL17" s="166" t="s">
        <v>134</v>
      </c>
      <c r="AM17" s="167" t="s">
        <v>171</v>
      </c>
      <c r="AN17" s="11"/>
      <c r="AO17" s="11"/>
      <c r="AP17" s="582" t="str">
        <f t="array" ref="AP17:AQ17">{"",Inventory!Z17}</f>
        <v/>
      </c>
      <c r="AQ17" s="165" t="s">
        <v>170</v>
      </c>
      <c r="AR17" s="582" t="str">
        <f>Inventory!AA17</f>
        <v>Level</v>
      </c>
      <c r="AS17" s="582" t="str">
        <f>Inventory!AB17</f>
        <v>Stat</v>
      </c>
      <c r="AT17" s="582" t="str">
        <f t="shared" ref="AT17:AT18" si="37">{"",AR17}</f>
        <v/>
      </c>
      <c r="AU17" s="166" t="s">
        <v>134</v>
      </c>
      <c r="AV17" s="167" t="s">
        <v>171</v>
      </c>
      <c r="AW17" s="11"/>
      <c r="AX17" s="11"/>
      <c r="AY17" s="582" t="str">
        <f t="array" ref="AY17:AZ17">{"",Inventory!AE17}</f>
        <v/>
      </c>
      <c r="AZ17" s="165" t="s">
        <v>170</v>
      </c>
      <c r="BA17" s="582" t="str">
        <f>Inventory!AF17</f>
        <v>Level</v>
      </c>
      <c r="BB17" s="582" t="str">
        <f>Inventory!AG17</f>
        <v>Stat</v>
      </c>
      <c r="BC17" s="582" t="str">
        <f t="shared" ref="BC17:BC18" si="38">{"",BA17}</f>
        <v/>
      </c>
      <c r="BD17" s="166" t="s">
        <v>134</v>
      </c>
      <c r="BE17" s="167" t="s">
        <v>171</v>
      </c>
      <c r="BF17" s="11"/>
      <c r="BG17" s="11"/>
      <c r="BH17" s="582"/>
      <c r="BI17" s="582" t="str">
        <f t="array" ref="BI17:BJ17">{"",Inventory!AJ17}</f>
        <v/>
      </c>
      <c r="BJ17" s="165" t="s">
        <v>170</v>
      </c>
      <c r="BK17" s="582" t="str">
        <f>Inventory!AK17</f>
        <v>Level</v>
      </c>
      <c r="BL17" s="582" t="str">
        <f>Inventory!AL17</f>
        <v>Stat</v>
      </c>
      <c r="BM17" s="582" t="str">
        <f t="shared" ref="BM17:BM18" si="39">{"",BK17}</f>
        <v/>
      </c>
      <c r="BN17" s="166" t="s">
        <v>134</v>
      </c>
      <c r="BO17" s="168" t="s">
        <v>171</v>
      </c>
      <c r="BP17" s="11"/>
      <c r="BQ17" s="582"/>
      <c r="BR17" s="582" t="str">
        <f t="array" ref="BR17:BS17">{"",Inventory!AO17}</f>
        <v/>
      </c>
      <c r="BS17" s="165" t="s">
        <v>170</v>
      </c>
      <c r="BT17" s="582" t="str">
        <f>Inventory!AP17</f>
        <v>Level</v>
      </c>
      <c r="BU17" s="582" t="str">
        <f>Inventory!AQ17</f>
        <v>Stat</v>
      </c>
      <c r="BV17" s="582" t="str">
        <f t="shared" ref="BV17:BV18" si="40">{"",BT17}</f>
        <v/>
      </c>
      <c r="BW17" s="166" t="s">
        <v>134</v>
      </c>
      <c r="BX17" s="168" t="s">
        <v>171</v>
      </c>
      <c r="BY17" s="11"/>
      <c r="BZ17" s="11"/>
    </row>
    <row r="18">
      <c r="B18" s="117"/>
      <c r="C18" s="582" t="str">
        <f t="array" ref="C18:D18">{"",Inventory!D18}</f>
        <v/>
      </c>
      <c r="D18" s="170">
        <v>163.0</v>
      </c>
      <c r="F18" s="582" t="str">
        <f t="array" ref="F18:G18">{"",Inventory!F18}</f>
        <v/>
      </c>
      <c r="G18" s="171" t="s">
        <v>173</v>
      </c>
      <c r="H18" s="582">
        <f>Inventory!G18</f>
        <v>160</v>
      </c>
      <c r="I18" s="583">
        <f>Inventory!H18</f>
        <v>8.19</v>
      </c>
      <c r="J18" s="582" t="str">
        <f t="shared" si="33"/>
        <v>#REF!</v>
      </c>
      <c r="K18" s="172">
        <f>CAP_MOD_LEVEL($D18,G18)</f>
        <v>160</v>
      </c>
      <c r="L18" s="173">
        <f>IF(G18="None",1,MODSTAT_ARMOR(G18,K18))</f>
        <v>8.19</v>
      </c>
      <c r="M18" s="11"/>
      <c r="N18" s="11"/>
      <c r="O18" s="582" t="str">
        <f t="array" ref="O18:P18">{"",Inventory!K18}</f>
        <v/>
      </c>
      <c r="P18" s="171" t="s">
        <v>175</v>
      </c>
      <c r="Q18" s="582">
        <f>Inventory!L18</f>
        <v>100</v>
      </c>
      <c r="R18" s="583">
        <f>Inventory!M18</f>
        <v>2.27</v>
      </c>
      <c r="S18" s="582" t="str">
        <f t="shared" si="34"/>
        <v>#REF!</v>
      </c>
      <c r="T18" s="172">
        <f>CAP_MOD_LEVEL($D18,P18)</f>
        <v>100</v>
      </c>
      <c r="U18" s="173">
        <f>IF(P18="None",1,MODSTAT_ARMOR(P18,T18))</f>
        <v>2.27</v>
      </c>
      <c r="V18" s="11"/>
      <c r="W18" s="11"/>
      <c r="X18" s="582" t="str">
        <f t="array" ref="X18:Y18">{"",Inventory!P18}</f>
        <v/>
      </c>
      <c r="Y18" s="171" t="s">
        <v>195</v>
      </c>
      <c r="Z18" s="582">
        <f>Inventory!Q18</f>
        <v>163</v>
      </c>
      <c r="AA18" s="583">
        <f>Inventory!R18</f>
        <v>9.467</v>
      </c>
      <c r="AB18" s="582" t="str">
        <f t="shared" si="35"/>
        <v>#REF!</v>
      </c>
      <c r="AC18" s="172">
        <f>CAP_MOD_LEVEL($D18,Y18)</f>
        <v>163</v>
      </c>
      <c r="AD18" s="173">
        <f>IF(Y18="None",1,MODSTAT_ARMOR(Y18,AC18))</f>
        <v>9.467</v>
      </c>
      <c r="AE18" s="11"/>
      <c r="AF18" s="11"/>
      <c r="AG18" s="582" t="str">
        <f t="array" ref="AG18:AH18">{"",Inventory!U18}</f>
        <v/>
      </c>
      <c r="AH18" s="171" t="s">
        <v>173</v>
      </c>
      <c r="AI18" s="582">
        <f>Inventory!V18</f>
        <v>160</v>
      </c>
      <c r="AJ18" s="583">
        <f>Inventory!W18</f>
        <v>8.19</v>
      </c>
      <c r="AK18" s="582" t="str">
        <f t="shared" si="36"/>
        <v>#REF!</v>
      </c>
      <c r="AL18" s="172">
        <f>CAP_MOD_LEVEL($D18,AH18)</f>
        <v>160</v>
      </c>
      <c r="AM18" s="173">
        <f>IF(AH18="None",1,MODSTAT_ARMOR(AH18,AL18))</f>
        <v>8.19</v>
      </c>
      <c r="AN18" s="11"/>
      <c r="AO18" s="11"/>
      <c r="AP18" s="582" t="str">
        <f t="array" ref="AP18:AQ18">{"",Inventory!Z18}</f>
        <v/>
      </c>
      <c r="AQ18" s="171" t="s">
        <v>174</v>
      </c>
      <c r="AR18" s="582">
        <f>Inventory!AA18</f>
        <v>163</v>
      </c>
      <c r="AS18" s="583">
        <f>Inventory!AB18</f>
        <v>8.84</v>
      </c>
      <c r="AT18" s="582" t="str">
        <f t="shared" si="37"/>
        <v>#REF!</v>
      </c>
      <c r="AU18" s="172">
        <f>CAP_MOD_LEVEL($D18,AQ18)</f>
        <v>163</v>
      </c>
      <c r="AV18" s="173">
        <f>IF(AQ18="None",1,MODSTAT_ARMOR(AQ18,AU18))</f>
        <v>8.84</v>
      </c>
      <c r="AW18" s="11"/>
      <c r="AX18" s="11"/>
      <c r="AY18" s="582" t="str">
        <f t="array" ref="AY18:AZ18">{"",Inventory!AE18}</f>
        <v/>
      </c>
      <c r="AZ18" s="171" t="s">
        <v>196</v>
      </c>
      <c r="BA18" s="582">
        <f>Inventory!AF18</f>
        <v>163</v>
      </c>
      <c r="BB18" s="583">
        <f>Inventory!AG18</f>
        <v>9.154</v>
      </c>
      <c r="BC18" s="582" t="str">
        <f t="shared" si="38"/>
        <v>#REF!</v>
      </c>
      <c r="BD18" s="172">
        <f>CAP_MOD_LEVEL($D18,AZ18)</f>
        <v>163</v>
      </c>
      <c r="BE18" s="173">
        <f>IF(AZ18="None",1,MODSTAT_ARMOR(AZ18,BD18))</f>
        <v>9.154</v>
      </c>
      <c r="BF18" s="11"/>
      <c r="BG18" s="11"/>
      <c r="BH18" s="582"/>
      <c r="BI18" s="582" t="str">
        <f t="array" ref="BI18:BJ18">{"",Inventory!AJ18}</f>
        <v/>
      </c>
      <c r="BJ18" s="132" t="s">
        <v>176</v>
      </c>
      <c r="BK18" s="582">
        <f>Inventory!AK18</f>
        <v>60</v>
      </c>
      <c r="BL18" s="583">
        <f>Inventory!AL18</f>
        <v>1.37</v>
      </c>
      <c r="BM18" s="582" t="str">
        <f t="shared" si="39"/>
        <v>#REF!</v>
      </c>
      <c r="BN18" s="133">
        <f>CAP_MOD_LEVEL($D18,BJ18)</f>
        <v>60</v>
      </c>
      <c r="BO18" s="134">
        <f>IF(BJ18="None",1,MODSTAT_ARMOR(BJ18,BN18))</f>
        <v>1.37</v>
      </c>
      <c r="BP18" s="11"/>
      <c r="BQ18" s="582"/>
      <c r="BR18" s="582" t="str">
        <f t="array" ref="BR18:BS18">{"",Inventory!AO18}</f>
        <v/>
      </c>
      <c r="BS18" s="132" t="s">
        <v>177</v>
      </c>
      <c r="BT18" s="582">
        <f>Inventory!AP18</f>
        <v>20</v>
      </c>
      <c r="BU18" s="583">
        <f>Inventory!AQ18</f>
        <v>1.05</v>
      </c>
      <c r="BV18" s="582" t="str">
        <f t="shared" si="40"/>
        <v>#REF!</v>
      </c>
      <c r="BW18" s="133">
        <f>CAP_MOD_LEVEL($D18,BS18)</f>
        <v>20</v>
      </c>
      <c r="BX18" s="134">
        <f>IF(BS18="None",1,MODSTAT_ARMOR(BS18,BW18))</f>
        <v>1.05</v>
      </c>
      <c r="BY18" s="11"/>
      <c r="BZ18" s="11"/>
    </row>
    <row r="19">
      <c r="B19" s="117"/>
      <c r="C19" s="582" t="str">
        <f t="array" ref="C19:D19">{"",Inventory!D19}</f>
        <v/>
      </c>
      <c r="D19" s="118"/>
      <c r="F19" s="582" t="str">
        <f t="array" ref="F19:G19">{"",Inventory!F19}</f>
        <v/>
      </c>
      <c r="G19" s="174"/>
      <c r="H19" s="29"/>
      <c r="I19" s="29"/>
      <c r="J19" s="29"/>
      <c r="K19" s="29"/>
      <c r="L19" s="136"/>
      <c r="M19" s="11"/>
      <c r="N19" s="11"/>
      <c r="O19" s="582" t="str">
        <f t="array" ref="O19:P19">{"",Inventory!K19}</f>
        <v/>
      </c>
      <c r="P19" s="174"/>
      <c r="Q19" s="29"/>
      <c r="R19" s="29"/>
      <c r="S19" s="29"/>
      <c r="T19" s="29"/>
      <c r="U19" s="136"/>
      <c r="V19" s="11"/>
      <c r="W19" s="11"/>
      <c r="X19" s="582" t="str">
        <f t="array" ref="X19:Y19">{"",Inventory!P19}</f>
        <v/>
      </c>
      <c r="Y19" s="174"/>
      <c r="Z19" s="29"/>
      <c r="AA19" s="29"/>
      <c r="AB19" s="29"/>
      <c r="AC19" s="29"/>
      <c r="AD19" s="136"/>
      <c r="AE19" s="11"/>
      <c r="AF19" s="11"/>
      <c r="AG19" s="582" t="str">
        <f t="array" ref="AG19:AH19">{"",Inventory!U19}</f>
        <v/>
      </c>
      <c r="AH19" s="174"/>
      <c r="AI19" s="29"/>
      <c r="AJ19" s="29"/>
      <c r="AK19" s="29"/>
      <c r="AL19" s="29"/>
      <c r="AM19" s="136"/>
      <c r="AN19" s="11"/>
      <c r="AO19" s="11"/>
      <c r="AP19" s="582" t="str">
        <f t="array" ref="AP19:AQ19">{"",Inventory!Z19}</f>
        <v/>
      </c>
      <c r="AQ19" s="174"/>
      <c r="AR19" s="29"/>
      <c r="AS19" s="29"/>
      <c r="AT19" s="29"/>
      <c r="AU19" s="29"/>
      <c r="AV19" s="136"/>
      <c r="AW19" s="11"/>
      <c r="AX19" s="11"/>
      <c r="AY19" s="582" t="str">
        <f t="array" ref="AY19:AZ19">{"",Inventory!AE19}</f>
        <v/>
      </c>
      <c r="AZ19" s="174"/>
      <c r="BA19" s="29"/>
      <c r="BB19" s="29"/>
      <c r="BC19" s="29"/>
      <c r="BD19" s="29"/>
      <c r="BE19" s="136"/>
      <c r="BF19" s="11"/>
      <c r="BG19" s="11"/>
      <c r="BH19" s="582"/>
      <c r="BI19" s="582" t="str">
        <f t="array" ref="BI19:BJ19">{"",Inventory!AJ19}</f>
        <v/>
      </c>
      <c r="BJ19" s="137"/>
      <c r="BK19" s="138"/>
      <c r="BL19" s="138"/>
      <c r="BM19" s="138"/>
      <c r="BN19" s="138"/>
      <c r="BO19" s="139"/>
      <c r="BP19" s="11"/>
      <c r="BQ19" s="582"/>
      <c r="BR19" s="582" t="str">
        <f t="array" ref="BR19:BS19">{"",Inventory!AO19}</f>
        <v/>
      </c>
      <c r="BS19" s="137"/>
      <c r="BT19" s="582"/>
      <c r="BU19" s="582"/>
      <c r="BV19" s="582"/>
      <c r="BW19" s="584"/>
      <c r="BX19" s="585"/>
      <c r="BY19" s="11"/>
      <c r="BZ19" s="11"/>
    </row>
    <row r="20">
      <c r="B20" s="117"/>
      <c r="C20" s="582" t="str">
        <f t="array" ref="C20:D20">{"",Inventory!D20}</f>
        <v/>
      </c>
      <c r="D20" s="164" t="s">
        <v>178</v>
      </c>
      <c r="F20" s="582" t="str">
        <f t="array" ref="F20:G20">{"",Inventory!F20}</f>
        <v/>
      </c>
      <c r="G20" s="176" t="s">
        <v>197</v>
      </c>
      <c r="H20" s="582" t="str">
        <f>Inventory!G20</f>
        <v>Legendary</v>
      </c>
      <c r="I20" s="582" t="str">
        <f>Inventory!H20</f>
        <v>+1.5</v>
      </c>
      <c r="J20" s="582" t="str">
        <f t="shared" ref="J20:J27" si="41">{"",H20}</f>
        <v/>
      </c>
      <c r="K20" s="586" t="s">
        <v>175</v>
      </c>
      <c r="L20" s="142" t="str">
        <f t="shared" ref="L20:L27" si="42">MOD_SUBSTAT_LOOKUP(G20,K20,1)</f>
        <v>+1.5</v>
      </c>
      <c r="M20" s="143">
        <f t="shared" ref="M20:M27" si="43">IF(ISBLANK(G20), "", MOD_SUBSTAT_LOOKUP(G20,K20,0))</f>
        <v>1.5</v>
      </c>
      <c r="N20" s="11"/>
      <c r="O20" s="582" t="str">
        <f t="array" ref="O20:P20">{"",Inventory!K20}</f>
        <v/>
      </c>
      <c r="P20" s="176"/>
      <c r="Q20" s="582" t="str">
        <f>Inventory!L20</f>
        <v/>
      </c>
      <c r="R20" s="582" t="str">
        <f>Inventory!M20</f>
        <v/>
      </c>
      <c r="S20" s="582" t="str">
        <f t="shared" ref="S20:S27" si="44">{"",Q20}</f>
        <v/>
      </c>
      <c r="T20" s="586"/>
      <c r="U20" s="142" t="str">
        <f t="shared" ref="U20:U27" si="45">MOD_SUBSTAT_LOOKUP(P20,T20,1)</f>
        <v/>
      </c>
      <c r="V20" s="143" t="str">
        <f t="shared" ref="V20:V27" si="46">IF(ISBLANK(P20), "", MOD_SUBSTAT_LOOKUP(P20,T20,0))</f>
        <v/>
      </c>
      <c r="W20" s="11"/>
      <c r="X20" s="582" t="str">
        <f t="array" ref="X20:Y20">{"",Inventory!P20}</f>
        <v/>
      </c>
      <c r="Y20" s="176"/>
      <c r="Z20" s="582" t="str">
        <f>Inventory!Q20</f>
        <v/>
      </c>
      <c r="AA20" s="582" t="str">
        <f>Inventory!R20</f>
        <v/>
      </c>
      <c r="AB20" s="582" t="str">
        <f t="shared" ref="AB20:AB27" si="47">{"",Z20}</f>
        <v/>
      </c>
      <c r="AC20" s="586"/>
      <c r="AD20" s="142" t="str">
        <f t="shared" ref="AD20:AD27" si="48">MOD_SUBSTAT_LOOKUP(Y20,AC20,1)</f>
        <v/>
      </c>
      <c r="AE20" s="143" t="str">
        <f t="shared" ref="AE20:AE27" si="49">IF(ISBLANK(Y20), "", MOD_SUBSTAT_LOOKUP(Y20,AC20,0))</f>
        <v/>
      </c>
      <c r="AF20" s="11"/>
      <c r="AG20" s="582" t="str">
        <f t="array" ref="AG20:AH20">{"",Inventory!U20}</f>
        <v/>
      </c>
      <c r="AH20" s="175" t="s">
        <v>198</v>
      </c>
      <c r="AI20" s="582" t="str">
        <f>Inventory!V20</f>
        <v>Legendary</v>
      </c>
      <c r="AJ20" s="582" t="str">
        <f>Inventory!W20</f>
        <v>+5%</v>
      </c>
      <c r="AK20" s="582" t="str">
        <f t="shared" ref="AK20:AK27" si="50">{"",AI20}</f>
        <v/>
      </c>
      <c r="AL20" s="586" t="s">
        <v>175</v>
      </c>
      <c r="AM20" s="142" t="str">
        <f t="shared" ref="AM20:AM27" si="51">MOD_SUBSTAT_LOOKUP(AH20,AL20,1)</f>
        <v>+5%</v>
      </c>
      <c r="AN20" s="143">
        <f t="shared" ref="AN20:AN27" si="52">IF(ISBLANK(AH20), "", MOD_SUBSTAT_LOOKUP(AH20,AL20,0))</f>
        <v>0.05</v>
      </c>
      <c r="AO20" s="11"/>
      <c r="AP20" s="582" t="str">
        <f t="array" ref="AP20:AQ20">{"",Inventory!Z20}</f>
        <v/>
      </c>
      <c r="AQ20" s="175" t="s">
        <v>199</v>
      </c>
      <c r="AR20" s="582" t="str">
        <f>Inventory!AA20</f>
        <v>Ancestral</v>
      </c>
      <c r="AS20" s="582" t="str">
        <f>Inventory!AB20</f>
        <v>+400%</v>
      </c>
      <c r="AT20" s="582" t="str">
        <f t="shared" ref="AT20:AT27" si="53">{"",AR20}</f>
        <v/>
      </c>
      <c r="AU20" s="586" t="s">
        <v>174</v>
      </c>
      <c r="AV20" s="142" t="str">
        <f t="shared" ref="AV20:AV27" si="54">MOD_SUBSTAT_LOOKUP(AQ20,AU20,1)</f>
        <v>+400%</v>
      </c>
      <c r="AW20" s="143">
        <f t="shared" ref="AW20:AW27" si="55">IF(ISBLANK(AQ20), "", MOD_SUBSTAT_LOOKUP(AQ20,AU20,0))</f>
        <v>4</v>
      </c>
      <c r="AX20" s="11"/>
      <c r="AY20" s="582" t="str">
        <f t="array" ref="AY20:AZ20">{"",Inventory!AE20}</f>
        <v/>
      </c>
      <c r="AZ20" s="176" t="s">
        <v>198</v>
      </c>
      <c r="BA20" s="582" t="str">
        <f>Inventory!AF20</f>
        <v>Ancestral</v>
      </c>
      <c r="BB20" s="582" t="str">
        <f>Inventory!AG20</f>
        <v>+8%</v>
      </c>
      <c r="BC20" s="582" t="str">
        <f t="shared" ref="BC20:BC27" si="56">{"",BA20}</f>
        <v/>
      </c>
      <c r="BD20" s="586" t="s">
        <v>174</v>
      </c>
      <c r="BE20" s="142" t="str">
        <f t="shared" ref="BE20:BE27" si="57">MOD_SUBSTAT_LOOKUP(AZ20,BD20,1)</f>
        <v>+8%</v>
      </c>
      <c r="BF20" s="143">
        <f t="shared" ref="BF20:BF27" si="58">IF(ISBLANK(AZ20), "", MOD_SUBSTAT_LOOKUP(AZ20,BD20,0))</f>
        <v>0.08</v>
      </c>
      <c r="BG20" s="11"/>
      <c r="BH20" s="582"/>
      <c r="BI20" s="582" t="str">
        <f t="array" ref="BI20:BJ20">{"",Inventory!AJ20}</f>
        <v/>
      </c>
      <c r="BJ20" s="145"/>
      <c r="BK20" s="582" t="str">
        <f>Inventory!AK20</f>
        <v/>
      </c>
      <c r="BL20" s="582" t="str">
        <f>Inventory!AL20</f>
        <v/>
      </c>
      <c r="BM20" s="582" t="str">
        <f t="shared" ref="BM20:BM27" si="59">{"",BK20}</f>
        <v/>
      </c>
      <c r="BN20" s="587"/>
      <c r="BO20" s="588" t="str">
        <f t="shared" ref="BO20:BO27" si="60">MOD_SUBSTAT_LOOKUP(BJ20,BN20,1)</f>
        <v/>
      </c>
      <c r="BP20" s="143" t="str">
        <f t="shared" ref="BP20:BP27" si="61">IF(ISBLANK(BJ20), "", MOD_SUBSTAT_LOOKUP(BJ20,BN20,0))</f>
        <v/>
      </c>
      <c r="BQ20" s="582"/>
      <c r="BR20" s="582" t="str">
        <f t="array" ref="BR20:BS20">{"",Inventory!AO20}</f>
        <v/>
      </c>
      <c r="BS20" s="145"/>
      <c r="BT20" s="582" t="str">
        <f>Inventory!AP20</f>
        <v/>
      </c>
      <c r="BU20" s="582" t="str">
        <f>Inventory!AQ20</f>
        <v/>
      </c>
      <c r="BV20" s="582" t="str">
        <f t="shared" ref="BV20:BV27" si="62">{"",BT20}</f>
        <v/>
      </c>
      <c r="BW20" s="587"/>
      <c r="BX20" s="588" t="str">
        <f t="shared" ref="BX20:BX27" si="63">MOD_SUBSTAT_LOOKUP(BS20,BW20,1)</f>
        <v/>
      </c>
      <c r="BY20" s="143" t="str">
        <f t="shared" ref="BY20:BY27" si="64">IF(ISBLANK(BS20), "", MOD_SUBSTAT_LOOKUP(BS20,BW20,0))</f>
        <v/>
      </c>
      <c r="BZ20" s="11"/>
    </row>
    <row r="21">
      <c r="B21" s="117"/>
      <c r="C21" s="582" t="str">
        <f t="array" ref="C21:D21">{"",Inventory!D21}</f>
        <v/>
      </c>
      <c r="D21" s="170">
        <v>41.0</v>
      </c>
      <c r="F21" s="582" t="str">
        <f t="array" ref="F21:G21">{"",Inventory!F21}</f>
        <v/>
      </c>
      <c r="G21" s="176" t="s">
        <v>200</v>
      </c>
      <c r="H21" s="582" t="str">
        <f>Inventory!G21</f>
        <v>Legendary</v>
      </c>
      <c r="I21" s="582" t="str">
        <f>Inventory!H21</f>
        <v>+0.3</v>
      </c>
      <c r="J21" s="582" t="str">
        <f t="shared" si="41"/>
        <v/>
      </c>
      <c r="K21" s="586" t="s">
        <v>175</v>
      </c>
      <c r="L21" s="142" t="str">
        <f t="shared" si="42"/>
        <v>+0.3</v>
      </c>
      <c r="M21" s="143">
        <f t="shared" si="43"/>
        <v>0.3</v>
      </c>
      <c r="N21" s="11"/>
      <c r="O21" s="582" t="str">
        <f t="array" ref="O21:P21">{"",Inventory!K21}</f>
        <v/>
      </c>
      <c r="P21" s="176"/>
      <c r="Q21" s="582" t="str">
        <f>Inventory!L21</f>
        <v/>
      </c>
      <c r="R21" s="582" t="str">
        <f>Inventory!M21</f>
        <v/>
      </c>
      <c r="S21" s="582" t="str">
        <f t="shared" si="44"/>
        <v/>
      </c>
      <c r="T21" s="586"/>
      <c r="U21" s="142" t="str">
        <f t="shared" si="45"/>
        <v/>
      </c>
      <c r="V21" s="143" t="str">
        <f t="shared" si="46"/>
        <v/>
      </c>
      <c r="W21" s="11"/>
      <c r="X21" s="582" t="str">
        <f t="array" ref="X21:Y21">{"",Inventory!P21}</f>
        <v/>
      </c>
      <c r="Y21" s="176"/>
      <c r="Z21" s="582" t="str">
        <f>Inventory!Q21</f>
        <v/>
      </c>
      <c r="AA21" s="582" t="str">
        <f>Inventory!R21</f>
        <v/>
      </c>
      <c r="AB21" s="582" t="str">
        <f t="shared" si="47"/>
        <v/>
      </c>
      <c r="AC21" s="586"/>
      <c r="AD21" s="142" t="str">
        <f t="shared" si="48"/>
        <v/>
      </c>
      <c r="AE21" s="143" t="str">
        <f t="shared" si="49"/>
        <v/>
      </c>
      <c r="AF21" s="11"/>
      <c r="AG21" s="582" t="str">
        <f t="array" ref="AG21:AH21">{"",Inventory!U21}</f>
        <v/>
      </c>
      <c r="AH21" s="175" t="s">
        <v>201</v>
      </c>
      <c r="AI21" s="582" t="str">
        <f>Inventory!V21</f>
        <v>Legendary</v>
      </c>
      <c r="AJ21" s="582" t="str">
        <f>Inventory!W21</f>
        <v>+40%</v>
      </c>
      <c r="AK21" s="582" t="str">
        <f t="shared" si="50"/>
        <v/>
      </c>
      <c r="AL21" s="586" t="s">
        <v>175</v>
      </c>
      <c r="AM21" s="142" t="str">
        <f t="shared" si="51"/>
        <v>+40%</v>
      </c>
      <c r="AN21" s="143">
        <f t="shared" si="52"/>
        <v>0.4</v>
      </c>
      <c r="AO21" s="11"/>
      <c r="AP21" s="582" t="str">
        <f t="array" ref="AP21:AQ21">{"",Inventory!Z21}</f>
        <v/>
      </c>
      <c r="AQ21" s="175" t="s">
        <v>202</v>
      </c>
      <c r="AR21" s="582" t="str">
        <f>Inventory!AA21</f>
        <v>Mythic</v>
      </c>
      <c r="AS21" s="582" t="str">
        <f>Inventory!AB21</f>
        <v>+0.9</v>
      </c>
      <c r="AT21" s="582" t="str">
        <f t="shared" si="53"/>
        <v/>
      </c>
      <c r="AU21" s="586" t="s">
        <v>180</v>
      </c>
      <c r="AV21" s="142" t="str">
        <f t="shared" si="54"/>
        <v>+0.9</v>
      </c>
      <c r="AW21" s="143">
        <f t="shared" si="55"/>
        <v>0.9</v>
      </c>
      <c r="AX21" s="11"/>
      <c r="AY21" s="582" t="str">
        <f t="array" ref="AY21:AZ21">{"",Inventory!AE21}</f>
        <v/>
      </c>
      <c r="AZ21" s="175" t="s">
        <v>199</v>
      </c>
      <c r="BA21" s="582" t="str">
        <f>Inventory!AF21</f>
        <v>Ancestral</v>
      </c>
      <c r="BB21" s="582" t="str">
        <f>Inventory!AG21</f>
        <v>+400%</v>
      </c>
      <c r="BC21" s="582" t="str">
        <f t="shared" si="56"/>
        <v/>
      </c>
      <c r="BD21" s="586" t="s">
        <v>174</v>
      </c>
      <c r="BE21" s="142" t="str">
        <f t="shared" si="57"/>
        <v>+400%</v>
      </c>
      <c r="BF21" s="143">
        <f t="shared" si="58"/>
        <v>4</v>
      </c>
      <c r="BG21" s="11"/>
      <c r="BH21" s="582"/>
      <c r="BI21" s="582" t="str">
        <f t="array" ref="BI21:BJ21">{"",Inventory!AJ21}</f>
        <v/>
      </c>
      <c r="BJ21" s="145"/>
      <c r="BK21" s="582" t="str">
        <f>Inventory!AK21</f>
        <v/>
      </c>
      <c r="BL21" s="582" t="str">
        <f>Inventory!AL21</f>
        <v/>
      </c>
      <c r="BM21" s="582" t="str">
        <f t="shared" si="59"/>
        <v/>
      </c>
      <c r="BN21" s="586"/>
      <c r="BO21" s="142" t="str">
        <f t="shared" si="60"/>
        <v/>
      </c>
      <c r="BP21" s="143" t="str">
        <f t="shared" si="61"/>
        <v/>
      </c>
      <c r="BQ21" s="582"/>
      <c r="BR21" s="582" t="str">
        <f t="array" ref="BR21:BS21">{"",Inventory!AO21}</f>
        <v/>
      </c>
      <c r="BS21" s="145"/>
      <c r="BT21" s="582" t="str">
        <f>Inventory!AP21</f>
        <v/>
      </c>
      <c r="BU21" s="582" t="str">
        <f>Inventory!AQ21</f>
        <v/>
      </c>
      <c r="BV21" s="582" t="str">
        <f t="shared" si="62"/>
        <v/>
      </c>
      <c r="BW21" s="586"/>
      <c r="BX21" s="142" t="str">
        <f t="shared" si="63"/>
        <v/>
      </c>
      <c r="BY21" s="143" t="str">
        <f t="shared" si="64"/>
        <v/>
      </c>
      <c r="BZ21" s="11"/>
    </row>
    <row r="22">
      <c r="B22" s="117"/>
      <c r="C22" s="582" t="str">
        <f t="array" ref="C22:D22">{"",Inventory!D22}</f>
        <v/>
      </c>
      <c r="D22" s="118"/>
      <c r="F22" s="582" t="str">
        <f t="array" ref="F22:G22">{"",Inventory!F22}</f>
        <v/>
      </c>
      <c r="G22" s="176" t="s">
        <v>203</v>
      </c>
      <c r="H22" s="582" t="str">
        <f>Inventory!G22</f>
        <v>Legendary</v>
      </c>
      <c r="I22" s="582" t="str">
        <f>Inventory!H22</f>
        <v>+1.5%</v>
      </c>
      <c r="J22" s="582" t="str">
        <f t="shared" si="41"/>
        <v/>
      </c>
      <c r="K22" s="374" t="s">
        <v>175</v>
      </c>
      <c r="L22" s="142" t="str">
        <f t="shared" si="42"/>
        <v>+1.5%</v>
      </c>
      <c r="M22" s="143">
        <f t="shared" si="43"/>
        <v>0.015</v>
      </c>
      <c r="N22" s="11"/>
      <c r="O22" s="582" t="str">
        <f t="array" ref="O22:P22">{"",Inventory!K22}</f>
        <v/>
      </c>
      <c r="P22" s="176"/>
      <c r="Q22" s="582" t="str">
        <f>Inventory!L22</f>
        <v/>
      </c>
      <c r="R22" s="582" t="str">
        <f>Inventory!M22</f>
        <v/>
      </c>
      <c r="S22" s="582" t="str">
        <f t="shared" si="44"/>
        <v/>
      </c>
      <c r="T22" s="374"/>
      <c r="U22" s="142" t="str">
        <f t="shared" si="45"/>
        <v/>
      </c>
      <c r="V22" s="143" t="str">
        <f t="shared" si="46"/>
        <v/>
      </c>
      <c r="W22" s="11"/>
      <c r="X22" s="582" t="str">
        <f t="array" ref="X22:Y22">{"",Inventory!P22}</f>
        <v/>
      </c>
      <c r="Y22" s="176"/>
      <c r="Z22" s="582" t="str">
        <f>Inventory!Q22</f>
        <v/>
      </c>
      <c r="AA22" s="582" t="str">
        <f>Inventory!R22</f>
        <v/>
      </c>
      <c r="AB22" s="582" t="str">
        <f t="shared" si="47"/>
        <v/>
      </c>
      <c r="AC22" s="374"/>
      <c r="AD22" s="142" t="str">
        <f t="shared" si="48"/>
        <v/>
      </c>
      <c r="AE22" s="143" t="str">
        <f t="shared" si="49"/>
        <v/>
      </c>
      <c r="AF22" s="11"/>
      <c r="AG22" s="582" t="str">
        <f t="array" ref="AG22:AH22">{"",Inventory!U22}</f>
        <v/>
      </c>
      <c r="AH22" s="175" t="s">
        <v>199</v>
      </c>
      <c r="AI22" s="582" t="str">
        <f>Inventory!V22</f>
        <v>Legendary</v>
      </c>
      <c r="AJ22" s="582" t="str">
        <f>Inventory!W22</f>
        <v>+100%</v>
      </c>
      <c r="AK22" s="582" t="str">
        <f t="shared" si="50"/>
        <v/>
      </c>
      <c r="AL22" s="374" t="s">
        <v>175</v>
      </c>
      <c r="AM22" s="142" t="str">
        <f t="shared" si="51"/>
        <v>+100%</v>
      </c>
      <c r="AN22" s="87">
        <f t="shared" si="52"/>
        <v>1</v>
      </c>
      <c r="AO22" s="11"/>
      <c r="AP22" s="582" t="str">
        <f t="array" ref="AP22:AQ22">{"",Inventory!Z22}</f>
        <v/>
      </c>
      <c r="AQ22" s="175" t="s">
        <v>198</v>
      </c>
      <c r="AR22" s="582" t="str">
        <f>Inventory!AA22</f>
        <v>Ancestral</v>
      </c>
      <c r="AS22" s="582" t="str">
        <f>Inventory!AB22</f>
        <v>+8%</v>
      </c>
      <c r="AT22" s="582" t="str">
        <f t="shared" si="53"/>
        <v/>
      </c>
      <c r="AU22" s="374" t="s">
        <v>174</v>
      </c>
      <c r="AV22" s="142" t="str">
        <f t="shared" si="54"/>
        <v>+8%</v>
      </c>
      <c r="AW22" s="143">
        <f t="shared" si="55"/>
        <v>0.08</v>
      </c>
      <c r="AX22" s="11"/>
      <c r="AY22" s="582" t="str">
        <f t="array" ref="AY22:AZ22">{"",Inventory!AE22}</f>
        <v/>
      </c>
      <c r="AZ22" s="176" t="s">
        <v>201</v>
      </c>
      <c r="BA22" s="582" t="str">
        <f>Inventory!AF22</f>
        <v>Ancestral</v>
      </c>
      <c r="BB22" s="582" t="str">
        <f>Inventory!AG22</f>
        <v>+120%</v>
      </c>
      <c r="BC22" s="582" t="str">
        <f t="shared" si="56"/>
        <v/>
      </c>
      <c r="BD22" s="374" t="s">
        <v>174</v>
      </c>
      <c r="BE22" s="142" t="str">
        <f t="shared" si="57"/>
        <v>+120%</v>
      </c>
      <c r="BF22" s="143">
        <f t="shared" si="58"/>
        <v>1.2</v>
      </c>
      <c r="BG22" s="11"/>
      <c r="BH22" s="582"/>
      <c r="BI22" s="582" t="str">
        <f t="array" ref="BI22:BJ22">{"",Inventory!AJ22}</f>
        <v/>
      </c>
      <c r="BJ22" s="147"/>
      <c r="BK22" s="582" t="str">
        <f>Inventory!AK22</f>
        <v/>
      </c>
      <c r="BL22" s="582" t="str">
        <f>Inventory!AL22</f>
        <v/>
      </c>
      <c r="BM22" s="582" t="str">
        <f t="shared" si="59"/>
        <v/>
      </c>
      <c r="BN22" s="374"/>
      <c r="BO22" s="142" t="str">
        <f t="shared" si="60"/>
        <v/>
      </c>
      <c r="BP22" s="143" t="str">
        <f t="shared" si="61"/>
        <v/>
      </c>
      <c r="BQ22" s="582"/>
      <c r="BR22" s="582" t="str">
        <f t="array" ref="BR22:BS22">{"",Inventory!AO22}</f>
        <v/>
      </c>
      <c r="BS22" s="147"/>
      <c r="BT22" s="582" t="str">
        <f>Inventory!AP22</f>
        <v/>
      </c>
      <c r="BU22" s="582" t="str">
        <f>Inventory!AQ22</f>
        <v/>
      </c>
      <c r="BV22" s="582" t="str">
        <f t="shared" si="62"/>
        <v/>
      </c>
      <c r="BW22" s="374"/>
      <c r="BX22" s="142" t="str">
        <f t="shared" si="63"/>
        <v/>
      </c>
      <c r="BY22" s="143" t="str">
        <f t="shared" si="64"/>
        <v/>
      </c>
      <c r="BZ22" s="11"/>
    </row>
    <row r="23">
      <c r="B23" s="117"/>
      <c r="C23" s="582" t="str">
        <f t="array" ref="C23:D23">{"",Inventory!D23}</f>
        <v/>
      </c>
      <c r="D23" s="118"/>
      <c r="F23" s="582" t="str">
        <f t="array" ref="F23:G23">{"",Inventory!F23}</f>
        <v/>
      </c>
      <c r="G23" s="176"/>
      <c r="H23" s="582" t="str">
        <f>Inventory!G23</f>
        <v/>
      </c>
      <c r="I23" s="582" t="str">
        <f>Inventory!H23</f>
        <v/>
      </c>
      <c r="J23" s="582" t="str">
        <f t="shared" si="41"/>
        <v/>
      </c>
      <c r="K23" s="374"/>
      <c r="L23" s="142" t="str">
        <f t="shared" si="42"/>
        <v/>
      </c>
      <c r="M23" s="143" t="str">
        <f t="shared" si="43"/>
        <v/>
      </c>
      <c r="N23" s="11"/>
      <c r="O23" s="582" t="str">
        <f t="array" ref="O23:P23">{"",Inventory!K23}</f>
        <v/>
      </c>
      <c r="P23" s="176"/>
      <c r="Q23" s="582" t="str">
        <f>Inventory!L23</f>
        <v/>
      </c>
      <c r="R23" s="582" t="str">
        <f>Inventory!M23</f>
        <v/>
      </c>
      <c r="S23" s="582" t="str">
        <f t="shared" si="44"/>
        <v/>
      </c>
      <c r="T23" s="374"/>
      <c r="U23" s="142" t="str">
        <f t="shared" si="45"/>
        <v/>
      </c>
      <c r="V23" s="143" t="str">
        <f t="shared" si="46"/>
        <v/>
      </c>
      <c r="W23" s="11"/>
      <c r="X23" s="582" t="str">
        <f t="array" ref="X23:Y23">{"",Inventory!P23}</f>
        <v/>
      </c>
      <c r="Y23" s="176"/>
      <c r="Z23" s="582" t="str">
        <f>Inventory!Q23</f>
        <v/>
      </c>
      <c r="AA23" s="582" t="str">
        <f>Inventory!R23</f>
        <v/>
      </c>
      <c r="AB23" s="582" t="str">
        <f t="shared" si="47"/>
        <v/>
      </c>
      <c r="AC23" s="374"/>
      <c r="AD23" s="142" t="str">
        <f t="shared" si="48"/>
        <v/>
      </c>
      <c r="AE23" s="143" t="str">
        <f t="shared" si="49"/>
        <v/>
      </c>
      <c r="AF23" s="11"/>
      <c r="AG23" s="582" t="str">
        <f t="array" ref="AG23:AH23">{"",Inventory!U23}</f>
        <v/>
      </c>
      <c r="AH23" s="175"/>
      <c r="AI23" s="582" t="str">
        <f>Inventory!V23</f>
        <v/>
      </c>
      <c r="AJ23" s="582" t="str">
        <f>Inventory!W23</f>
        <v/>
      </c>
      <c r="AK23" s="582" t="str">
        <f t="shared" si="50"/>
        <v/>
      </c>
      <c r="AL23" s="374"/>
      <c r="AM23" s="142" t="str">
        <f t="shared" si="51"/>
        <v/>
      </c>
      <c r="AN23" s="87" t="str">
        <f t="shared" si="52"/>
        <v/>
      </c>
      <c r="AO23" s="11"/>
      <c r="AP23" s="582" t="str">
        <f t="array" ref="AP23:AQ23">{"",Inventory!Z23}</f>
        <v/>
      </c>
      <c r="AQ23" s="175" t="s">
        <v>201</v>
      </c>
      <c r="AR23" s="582" t="str">
        <f>Inventory!AA23</f>
        <v>Ancestral</v>
      </c>
      <c r="AS23" s="582" t="str">
        <f>Inventory!AB23</f>
        <v>+120%</v>
      </c>
      <c r="AT23" s="582" t="str">
        <f t="shared" si="53"/>
        <v/>
      </c>
      <c r="AU23" s="374" t="s">
        <v>174</v>
      </c>
      <c r="AV23" s="142" t="str">
        <f t="shared" si="54"/>
        <v>+120%</v>
      </c>
      <c r="AW23" s="143">
        <f t="shared" si="55"/>
        <v>1.2</v>
      </c>
      <c r="AX23" s="11"/>
      <c r="AY23" s="582" t="str">
        <f t="array" ref="AY23:AZ23">{"",Inventory!AE23}</f>
        <v/>
      </c>
      <c r="AZ23" s="176" t="s">
        <v>204</v>
      </c>
      <c r="BA23" s="582" t="str">
        <f>Inventory!AF23</f>
        <v>Ancestral</v>
      </c>
      <c r="BB23" s="582" t="str">
        <f>Inventory!AG23</f>
        <v>+10%</v>
      </c>
      <c r="BC23" s="582" t="str">
        <f t="shared" si="56"/>
        <v/>
      </c>
      <c r="BD23" s="374" t="s">
        <v>174</v>
      </c>
      <c r="BE23" s="142" t="str">
        <f t="shared" si="57"/>
        <v>+10%</v>
      </c>
      <c r="BF23" s="143">
        <f t="shared" si="58"/>
        <v>0.1</v>
      </c>
      <c r="BG23" s="11"/>
      <c r="BH23" s="582"/>
      <c r="BI23" s="582" t="str">
        <f t="array" ref="BI23:BJ23">{"",Inventory!AJ23}</f>
        <v/>
      </c>
      <c r="BJ23" s="145"/>
      <c r="BK23" s="582" t="str">
        <f>Inventory!AK23</f>
        <v/>
      </c>
      <c r="BL23" s="582" t="str">
        <f>Inventory!AL23</f>
        <v/>
      </c>
      <c r="BM23" s="582" t="str">
        <f t="shared" si="59"/>
        <v/>
      </c>
      <c r="BN23" s="374"/>
      <c r="BO23" s="142" t="str">
        <f t="shared" si="60"/>
        <v/>
      </c>
      <c r="BP23" s="143" t="str">
        <f t="shared" si="61"/>
        <v/>
      </c>
      <c r="BQ23" s="582"/>
      <c r="BR23" s="582" t="str">
        <f t="array" ref="BR23:BS23">{"",Inventory!AO23}</f>
        <v/>
      </c>
      <c r="BS23" s="145"/>
      <c r="BT23" s="582" t="str">
        <f>Inventory!AP23</f>
        <v/>
      </c>
      <c r="BU23" s="582" t="str">
        <f>Inventory!AQ23</f>
        <v/>
      </c>
      <c r="BV23" s="582" t="str">
        <f t="shared" si="62"/>
        <v/>
      </c>
      <c r="BW23" s="374"/>
      <c r="BX23" s="142" t="str">
        <f t="shared" si="63"/>
        <v/>
      </c>
      <c r="BY23" s="143" t="str">
        <f t="shared" si="64"/>
        <v/>
      </c>
      <c r="BZ23" s="11"/>
    </row>
    <row r="24">
      <c r="B24" s="117"/>
      <c r="C24" s="582" t="str">
        <f t="array" ref="C24:D24">{"",Inventory!D24}</f>
        <v/>
      </c>
      <c r="D24" s="118"/>
      <c r="F24" s="582" t="str">
        <f t="array" ref="F24:G24">{"",Inventory!F24}</f>
        <v/>
      </c>
      <c r="G24" s="176"/>
      <c r="H24" s="582" t="str">
        <f>Inventory!G24</f>
        <v/>
      </c>
      <c r="I24" s="582" t="str">
        <f>Inventory!H24</f>
        <v/>
      </c>
      <c r="J24" s="582" t="str">
        <f t="shared" si="41"/>
        <v/>
      </c>
      <c r="K24" s="374"/>
      <c r="L24" s="142" t="str">
        <f t="shared" si="42"/>
        <v/>
      </c>
      <c r="M24" s="143" t="str">
        <f t="shared" si="43"/>
        <v/>
      </c>
      <c r="N24" s="11"/>
      <c r="O24" s="582" t="str">
        <f t="array" ref="O24:P24">{"",Inventory!K24}</f>
        <v/>
      </c>
      <c r="P24" s="177"/>
      <c r="Q24" s="582" t="str">
        <f>Inventory!L24</f>
        <v/>
      </c>
      <c r="R24" s="582" t="str">
        <f>Inventory!M24</f>
        <v/>
      </c>
      <c r="S24" s="582" t="str">
        <f t="shared" si="44"/>
        <v/>
      </c>
      <c r="T24" s="374"/>
      <c r="U24" s="142" t="str">
        <f t="shared" si="45"/>
        <v/>
      </c>
      <c r="V24" s="143" t="str">
        <f t="shared" si="46"/>
        <v/>
      </c>
      <c r="W24" s="11"/>
      <c r="X24" s="582" t="str">
        <f t="array" ref="X24:Y24">{"",Inventory!P24}</f>
        <v/>
      </c>
      <c r="Y24" s="177"/>
      <c r="Z24" s="582" t="str">
        <f>Inventory!Q24</f>
        <v/>
      </c>
      <c r="AA24" s="582" t="str">
        <f>Inventory!R24</f>
        <v/>
      </c>
      <c r="AB24" s="582" t="str">
        <f t="shared" si="47"/>
        <v/>
      </c>
      <c r="AC24" s="374"/>
      <c r="AD24" s="142" t="str">
        <f t="shared" si="48"/>
        <v/>
      </c>
      <c r="AE24" s="143" t="str">
        <f t="shared" si="49"/>
        <v/>
      </c>
      <c r="AF24" s="11"/>
      <c r="AG24" s="582" t="str">
        <f t="array" ref="AG24:AH24">{"",Inventory!U24}</f>
        <v/>
      </c>
      <c r="AH24" s="177"/>
      <c r="AI24" s="582" t="str">
        <f>Inventory!V24</f>
        <v/>
      </c>
      <c r="AJ24" s="582" t="str">
        <f>Inventory!W24</f>
        <v/>
      </c>
      <c r="AK24" s="582" t="str">
        <f t="shared" si="50"/>
        <v/>
      </c>
      <c r="AL24" s="374"/>
      <c r="AM24" s="142" t="str">
        <f t="shared" si="51"/>
        <v/>
      </c>
      <c r="AN24" s="87" t="str">
        <f t="shared" si="52"/>
        <v/>
      </c>
      <c r="AO24" s="11"/>
      <c r="AP24" s="582" t="str">
        <f t="array" ref="AP24:AQ24">{"",Inventory!Z24}</f>
        <v/>
      </c>
      <c r="AQ24" s="177" t="s">
        <v>204</v>
      </c>
      <c r="AR24" s="582" t="str">
        <f>Inventory!AA24</f>
        <v>Ancestral</v>
      </c>
      <c r="AS24" s="582" t="str">
        <f>Inventory!AB24</f>
        <v>+10%</v>
      </c>
      <c r="AT24" s="582" t="str">
        <f t="shared" si="53"/>
        <v/>
      </c>
      <c r="AU24" s="374" t="s">
        <v>174</v>
      </c>
      <c r="AV24" s="142" t="str">
        <f t="shared" si="54"/>
        <v>+10%</v>
      </c>
      <c r="AW24" s="143">
        <f t="shared" si="55"/>
        <v>0.1</v>
      </c>
      <c r="AX24" s="11"/>
      <c r="AY24" s="582" t="str">
        <f t="array" ref="AY24:AZ24">{"",Inventory!AE24}</f>
        <v/>
      </c>
      <c r="AZ24" s="177"/>
      <c r="BA24" s="582" t="str">
        <f>Inventory!AF24</f>
        <v/>
      </c>
      <c r="BB24" s="582" t="str">
        <f>Inventory!AG24</f>
        <v/>
      </c>
      <c r="BC24" s="582" t="str">
        <f t="shared" si="56"/>
        <v/>
      </c>
      <c r="BD24" s="374"/>
      <c r="BE24" s="142" t="str">
        <f t="shared" si="57"/>
        <v/>
      </c>
      <c r="BF24" s="143" t="str">
        <f t="shared" si="58"/>
        <v/>
      </c>
      <c r="BG24" s="11"/>
      <c r="BH24" s="582"/>
      <c r="BI24" s="582" t="str">
        <f t="array" ref="BI24:BJ24">{"",Inventory!AJ24}</f>
        <v/>
      </c>
      <c r="BJ24" s="145"/>
      <c r="BK24" s="582" t="str">
        <f>Inventory!AK24</f>
        <v/>
      </c>
      <c r="BL24" s="582" t="str">
        <f>Inventory!AL24</f>
        <v/>
      </c>
      <c r="BM24" s="582" t="str">
        <f t="shared" si="59"/>
        <v/>
      </c>
      <c r="BN24" s="374"/>
      <c r="BO24" s="142" t="str">
        <f t="shared" si="60"/>
        <v/>
      </c>
      <c r="BP24" s="143" t="str">
        <f t="shared" si="61"/>
        <v/>
      </c>
      <c r="BQ24" s="582"/>
      <c r="BR24" s="582" t="str">
        <f t="array" ref="BR24:BS24">{"",Inventory!AO24}</f>
        <v/>
      </c>
      <c r="BS24" s="145"/>
      <c r="BT24" s="582" t="str">
        <f>Inventory!AP24</f>
        <v/>
      </c>
      <c r="BU24" s="582" t="str">
        <f>Inventory!AQ24</f>
        <v/>
      </c>
      <c r="BV24" s="582" t="str">
        <f t="shared" si="62"/>
        <v/>
      </c>
      <c r="BW24" s="374"/>
      <c r="BX24" s="142" t="str">
        <f t="shared" si="63"/>
        <v/>
      </c>
      <c r="BY24" s="143" t="str">
        <f t="shared" si="64"/>
        <v/>
      </c>
      <c r="BZ24" s="11"/>
    </row>
    <row r="25">
      <c r="B25" s="117"/>
      <c r="C25" s="582" t="str">
        <f t="array" ref="C25:D25">{"",Inventory!D25}</f>
        <v/>
      </c>
      <c r="D25" s="118"/>
      <c r="F25" s="582" t="str">
        <f t="array" ref="F25:G25">{"",Inventory!F25}</f>
        <v/>
      </c>
      <c r="G25" s="176"/>
      <c r="H25" s="582" t="str">
        <f>Inventory!G25</f>
        <v/>
      </c>
      <c r="I25" s="582" t="str">
        <f>Inventory!H25</f>
        <v/>
      </c>
      <c r="J25" s="582" t="str">
        <f t="shared" si="41"/>
        <v/>
      </c>
      <c r="K25" s="374"/>
      <c r="L25" s="142" t="str">
        <f t="shared" si="42"/>
        <v/>
      </c>
      <c r="M25" s="143" t="str">
        <f t="shared" si="43"/>
        <v/>
      </c>
      <c r="N25" s="11"/>
      <c r="O25" s="582" t="str">
        <f t="array" ref="O25:P25">{"",Inventory!K25}</f>
        <v/>
      </c>
      <c r="P25" s="177"/>
      <c r="Q25" s="582" t="str">
        <f>Inventory!L25</f>
        <v/>
      </c>
      <c r="R25" s="582" t="str">
        <f>Inventory!M25</f>
        <v/>
      </c>
      <c r="S25" s="582" t="str">
        <f t="shared" si="44"/>
        <v/>
      </c>
      <c r="T25" s="374"/>
      <c r="U25" s="142" t="str">
        <f t="shared" si="45"/>
        <v/>
      </c>
      <c r="V25" s="143" t="str">
        <f t="shared" si="46"/>
        <v/>
      </c>
      <c r="W25" s="11"/>
      <c r="X25" s="582" t="str">
        <f t="array" ref="X25:Y25">{"",Inventory!P25}</f>
        <v/>
      </c>
      <c r="Y25" s="177"/>
      <c r="Z25" s="582" t="str">
        <f>Inventory!Q25</f>
        <v/>
      </c>
      <c r="AA25" s="582" t="str">
        <f>Inventory!R25</f>
        <v/>
      </c>
      <c r="AB25" s="582" t="str">
        <f t="shared" si="47"/>
        <v/>
      </c>
      <c r="AC25" s="374"/>
      <c r="AD25" s="142" t="str">
        <f t="shared" si="48"/>
        <v/>
      </c>
      <c r="AE25" s="143" t="str">
        <f t="shared" si="49"/>
        <v/>
      </c>
      <c r="AF25" s="11"/>
      <c r="AG25" s="582" t="str">
        <f t="array" ref="AG25:AH25">{"",Inventory!U25}</f>
        <v/>
      </c>
      <c r="AH25" s="177"/>
      <c r="AI25" s="582" t="str">
        <f>Inventory!V25</f>
        <v/>
      </c>
      <c r="AJ25" s="582" t="str">
        <f>Inventory!W25</f>
        <v/>
      </c>
      <c r="AK25" s="582" t="str">
        <f t="shared" si="50"/>
        <v/>
      </c>
      <c r="AL25" s="374"/>
      <c r="AM25" s="142" t="str">
        <f t="shared" si="51"/>
        <v/>
      </c>
      <c r="AN25" s="87" t="str">
        <f t="shared" si="52"/>
        <v/>
      </c>
      <c r="AO25" s="11"/>
      <c r="AP25" s="582" t="str">
        <f t="array" ref="AP25:AQ25">{"",Inventory!Z25}</f>
        <v/>
      </c>
      <c r="AQ25" s="177" t="s">
        <v>197</v>
      </c>
      <c r="AR25" s="582" t="str">
        <f>Inventory!AA25</f>
        <v>Epic</v>
      </c>
      <c r="AS25" s="582" t="str">
        <f>Inventory!AB25</f>
        <v>+1</v>
      </c>
      <c r="AT25" s="582" t="str">
        <f t="shared" si="53"/>
        <v/>
      </c>
      <c r="AU25" s="374" t="s">
        <v>176</v>
      </c>
      <c r="AV25" s="142" t="str">
        <f t="shared" si="54"/>
        <v>+1</v>
      </c>
      <c r="AW25" s="143">
        <f t="shared" si="55"/>
        <v>1</v>
      </c>
      <c r="AX25" s="11"/>
      <c r="AY25" s="582" t="str">
        <f t="array" ref="AY25:AZ25">{"",Inventory!AE25}</f>
        <v/>
      </c>
      <c r="AZ25" s="177"/>
      <c r="BA25" s="582" t="str">
        <f>Inventory!AF25</f>
        <v/>
      </c>
      <c r="BB25" s="582" t="str">
        <f>Inventory!AG25</f>
        <v/>
      </c>
      <c r="BC25" s="582" t="str">
        <f t="shared" si="56"/>
        <v/>
      </c>
      <c r="BD25" s="374"/>
      <c r="BE25" s="142" t="str">
        <f t="shared" si="57"/>
        <v/>
      </c>
      <c r="BF25" s="143" t="str">
        <f t="shared" si="58"/>
        <v/>
      </c>
      <c r="BG25" s="11"/>
      <c r="BH25" s="582"/>
      <c r="BI25" s="582" t="str">
        <f t="array" ref="BI25:BJ25">{"",Inventory!AJ25}</f>
        <v/>
      </c>
      <c r="BJ25" s="145"/>
      <c r="BK25" s="582" t="str">
        <f>Inventory!AK25</f>
        <v/>
      </c>
      <c r="BL25" s="582" t="str">
        <f>Inventory!AL25</f>
        <v/>
      </c>
      <c r="BM25" s="582" t="str">
        <f t="shared" si="59"/>
        <v/>
      </c>
      <c r="BN25" s="374"/>
      <c r="BO25" s="142" t="str">
        <f t="shared" si="60"/>
        <v/>
      </c>
      <c r="BP25" s="143" t="str">
        <f t="shared" si="61"/>
        <v/>
      </c>
      <c r="BQ25" s="582"/>
      <c r="BR25" s="582" t="str">
        <f t="array" ref="BR25:BS25">{"",Inventory!AO25}</f>
        <v/>
      </c>
      <c r="BS25" s="145"/>
      <c r="BT25" s="582" t="str">
        <f>Inventory!AP25</f>
        <v/>
      </c>
      <c r="BU25" s="582" t="str">
        <f>Inventory!AQ25</f>
        <v/>
      </c>
      <c r="BV25" s="582" t="str">
        <f t="shared" si="62"/>
        <v/>
      </c>
      <c r="BW25" s="374"/>
      <c r="BX25" s="142" t="str">
        <f t="shared" si="63"/>
        <v/>
      </c>
      <c r="BY25" s="143" t="str">
        <f t="shared" si="64"/>
        <v/>
      </c>
      <c r="BZ25" s="11"/>
    </row>
    <row r="26">
      <c r="B26" s="117"/>
      <c r="C26" s="582" t="str">
        <f t="array" ref="C26:D26">{"",Inventory!D26}</f>
        <v/>
      </c>
      <c r="D26" s="118"/>
      <c r="F26" s="582" t="str">
        <f t="array" ref="F26:G26">{"",Inventory!F26}</f>
        <v/>
      </c>
      <c r="G26" s="176"/>
      <c r="H26" s="582" t="str">
        <f>Inventory!G26</f>
        <v/>
      </c>
      <c r="I26" s="582" t="str">
        <f>Inventory!H26</f>
        <v/>
      </c>
      <c r="J26" s="582" t="str">
        <f t="shared" si="41"/>
        <v/>
      </c>
      <c r="K26" s="374"/>
      <c r="L26" s="142" t="str">
        <f t="shared" si="42"/>
        <v/>
      </c>
      <c r="M26" s="143" t="str">
        <f t="shared" si="43"/>
        <v/>
      </c>
      <c r="N26" s="11"/>
      <c r="O26" s="582" t="str">
        <f t="array" ref="O26:P26">{"",Inventory!K26}</f>
        <v/>
      </c>
      <c r="P26" s="177"/>
      <c r="Q26" s="582" t="str">
        <f>Inventory!L26</f>
        <v/>
      </c>
      <c r="R26" s="582" t="str">
        <f>Inventory!M26</f>
        <v/>
      </c>
      <c r="S26" s="582" t="str">
        <f t="shared" si="44"/>
        <v/>
      </c>
      <c r="T26" s="374"/>
      <c r="U26" s="142" t="str">
        <f t="shared" si="45"/>
        <v/>
      </c>
      <c r="V26" s="143" t="str">
        <f t="shared" si="46"/>
        <v/>
      </c>
      <c r="W26" s="11"/>
      <c r="X26" s="582" t="str">
        <f t="array" ref="X26:Y26">{"",Inventory!P26}</f>
        <v/>
      </c>
      <c r="Y26" s="177"/>
      <c r="Z26" s="582" t="str">
        <f>Inventory!Q26</f>
        <v/>
      </c>
      <c r="AA26" s="582" t="str">
        <f>Inventory!R26</f>
        <v/>
      </c>
      <c r="AB26" s="582" t="str">
        <f t="shared" si="47"/>
        <v/>
      </c>
      <c r="AC26" s="374"/>
      <c r="AD26" s="142" t="str">
        <f t="shared" si="48"/>
        <v/>
      </c>
      <c r="AE26" s="143" t="str">
        <f t="shared" si="49"/>
        <v/>
      </c>
      <c r="AF26" s="11"/>
      <c r="AG26" s="582" t="str">
        <f t="array" ref="AG26:AH26">{"",Inventory!U26}</f>
        <v/>
      </c>
      <c r="AH26" s="177"/>
      <c r="AI26" s="582" t="str">
        <f>Inventory!V26</f>
        <v/>
      </c>
      <c r="AJ26" s="582" t="str">
        <f>Inventory!W26</f>
        <v/>
      </c>
      <c r="AK26" s="582" t="str">
        <f t="shared" si="50"/>
        <v/>
      </c>
      <c r="AL26" s="374"/>
      <c r="AM26" s="142" t="str">
        <f t="shared" si="51"/>
        <v/>
      </c>
      <c r="AN26" s="87" t="str">
        <f t="shared" si="52"/>
        <v/>
      </c>
      <c r="AO26" s="11"/>
      <c r="AP26" s="582" t="str">
        <f t="array" ref="AP26:AQ26">{"",Inventory!Z26}</f>
        <v/>
      </c>
      <c r="AQ26" s="177"/>
      <c r="AR26" s="582" t="str">
        <f>Inventory!AA26</f>
        <v/>
      </c>
      <c r="AS26" s="582" t="str">
        <f>Inventory!AB26</f>
        <v/>
      </c>
      <c r="AT26" s="582" t="str">
        <f t="shared" si="53"/>
        <v/>
      </c>
      <c r="AU26" s="374"/>
      <c r="AV26" s="142" t="str">
        <f t="shared" si="54"/>
        <v/>
      </c>
      <c r="AW26" s="143" t="str">
        <f t="shared" si="55"/>
        <v/>
      </c>
      <c r="AX26" s="11"/>
      <c r="AY26" s="582" t="str">
        <f t="array" ref="AY26:AZ26">{"",Inventory!AE26}</f>
        <v/>
      </c>
      <c r="AZ26" s="177"/>
      <c r="BA26" s="582" t="str">
        <f>Inventory!AF26</f>
        <v/>
      </c>
      <c r="BB26" s="582" t="str">
        <f>Inventory!AG26</f>
        <v/>
      </c>
      <c r="BC26" s="582" t="str">
        <f t="shared" si="56"/>
        <v/>
      </c>
      <c r="BD26" s="374"/>
      <c r="BE26" s="142" t="str">
        <f t="shared" si="57"/>
        <v/>
      </c>
      <c r="BF26" s="143" t="str">
        <f t="shared" si="58"/>
        <v/>
      </c>
      <c r="BG26" s="11"/>
      <c r="BH26" s="582"/>
      <c r="BI26" s="582" t="str">
        <f t="array" ref="BI26:BJ26">{"",Inventory!AJ26}</f>
        <v/>
      </c>
      <c r="BJ26" s="145"/>
      <c r="BK26" s="582" t="str">
        <f>Inventory!AK26</f>
        <v/>
      </c>
      <c r="BL26" s="582" t="str">
        <f>Inventory!AL26</f>
        <v/>
      </c>
      <c r="BM26" s="582" t="str">
        <f t="shared" si="59"/>
        <v/>
      </c>
      <c r="BN26" s="374"/>
      <c r="BO26" s="142" t="str">
        <f t="shared" si="60"/>
        <v/>
      </c>
      <c r="BP26" s="143" t="str">
        <f t="shared" si="61"/>
        <v/>
      </c>
      <c r="BQ26" s="582"/>
      <c r="BR26" s="582" t="str">
        <f t="array" ref="BR26:BS26">{"",Inventory!AO26}</f>
        <v/>
      </c>
      <c r="BS26" s="145"/>
      <c r="BT26" s="582" t="str">
        <f>Inventory!AP26</f>
        <v/>
      </c>
      <c r="BU26" s="582" t="str">
        <f>Inventory!AQ26</f>
        <v/>
      </c>
      <c r="BV26" s="582" t="str">
        <f t="shared" si="62"/>
        <v/>
      </c>
      <c r="BW26" s="374"/>
      <c r="BX26" s="142" t="str">
        <f t="shared" si="63"/>
        <v/>
      </c>
      <c r="BY26" s="143" t="str">
        <f t="shared" si="64"/>
        <v/>
      </c>
      <c r="BZ26" s="11"/>
    </row>
    <row r="27">
      <c r="A27" s="138"/>
      <c r="B27" s="117"/>
      <c r="C27" s="582" t="str">
        <f t="array" ref="C27:D27">{"",Inventory!D27}</f>
        <v/>
      </c>
      <c r="D27" s="118"/>
      <c r="F27" s="582" t="str">
        <f t="array" ref="F27:G27">{"",Inventory!F27}</f>
        <v/>
      </c>
      <c r="G27" s="593"/>
      <c r="H27" s="590" t="str">
        <f>Inventory!G27</f>
        <v/>
      </c>
      <c r="I27" s="590" t="str">
        <f>Inventory!H27</f>
        <v/>
      </c>
      <c r="J27" s="590" t="str">
        <f t="shared" si="41"/>
        <v/>
      </c>
      <c r="K27" s="592"/>
      <c r="L27" s="155" t="str">
        <f t="shared" si="42"/>
        <v/>
      </c>
      <c r="M27" s="143" t="str">
        <f t="shared" si="43"/>
        <v/>
      </c>
      <c r="N27" s="11"/>
      <c r="O27" s="582" t="str">
        <f t="array" ref="O27:P27">{"",Inventory!K27}</f>
        <v/>
      </c>
      <c r="P27" s="179"/>
      <c r="Q27" s="590" t="str">
        <f>Inventory!L27</f>
        <v/>
      </c>
      <c r="R27" s="590" t="str">
        <f>Inventory!M27</f>
        <v/>
      </c>
      <c r="S27" s="590" t="str">
        <f t="shared" si="44"/>
        <v/>
      </c>
      <c r="T27" s="592"/>
      <c r="U27" s="155" t="str">
        <f t="shared" si="45"/>
        <v/>
      </c>
      <c r="V27" s="143" t="str">
        <f t="shared" si="46"/>
        <v/>
      </c>
      <c r="W27" s="11"/>
      <c r="X27" s="582" t="str">
        <f t="array" ref="X27:Y27">{"",Inventory!P27}</f>
        <v/>
      </c>
      <c r="Y27" s="179"/>
      <c r="Z27" s="590" t="str">
        <f>Inventory!Q27</f>
        <v/>
      </c>
      <c r="AA27" s="590" t="str">
        <f>Inventory!R27</f>
        <v/>
      </c>
      <c r="AB27" s="590" t="str">
        <f t="shared" si="47"/>
        <v/>
      </c>
      <c r="AC27" s="592"/>
      <c r="AD27" s="155" t="str">
        <f t="shared" si="48"/>
        <v/>
      </c>
      <c r="AE27" s="143" t="str">
        <f t="shared" si="49"/>
        <v/>
      </c>
      <c r="AF27" s="11"/>
      <c r="AG27" s="582" t="str">
        <f t="array" ref="AG27:AH27">{"",Inventory!U27}</f>
        <v/>
      </c>
      <c r="AH27" s="179"/>
      <c r="AI27" s="590" t="str">
        <f>Inventory!V27</f>
        <v/>
      </c>
      <c r="AJ27" s="590" t="str">
        <f>Inventory!W27</f>
        <v/>
      </c>
      <c r="AK27" s="590" t="str">
        <f t="shared" si="50"/>
        <v/>
      </c>
      <c r="AL27" s="592"/>
      <c r="AM27" s="155" t="str">
        <f t="shared" si="51"/>
        <v/>
      </c>
      <c r="AN27" s="87" t="str">
        <f t="shared" si="52"/>
        <v/>
      </c>
      <c r="AO27" s="11"/>
      <c r="AP27" s="582" t="str">
        <f t="array" ref="AP27:AQ27">{"",Inventory!Z27}</f>
        <v/>
      </c>
      <c r="AQ27" s="179"/>
      <c r="AR27" s="590" t="str">
        <f>Inventory!AA27</f>
        <v/>
      </c>
      <c r="AS27" s="590" t="str">
        <f>Inventory!AB27</f>
        <v/>
      </c>
      <c r="AT27" s="590" t="str">
        <f t="shared" si="53"/>
        <v/>
      </c>
      <c r="AU27" s="592"/>
      <c r="AV27" s="155" t="str">
        <f t="shared" si="54"/>
        <v/>
      </c>
      <c r="AW27" s="143" t="str">
        <f t="shared" si="55"/>
        <v/>
      </c>
      <c r="AX27" s="11"/>
      <c r="AY27" s="582" t="str">
        <f t="array" ref="AY27:AZ27">{"",Inventory!AE27}</f>
        <v/>
      </c>
      <c r="AZ27" s="179"/>
      <c r="BA27" s="590" t="str">
        <f>Inventory!AF27</f>
        <v/>
      </c>
      <c r="BB27" s="590" t="str">
        <f>Inventory!AG27</f>
        <v/>
      </c>
      <c r="BC27" s="590" t="str">
        <f t="shared" si="56"/>
        <v/>
      </c>
      <c r="BD27" s="592"/>
      <c r="BE27" s="155" t="str">
        <f t="shared" si="57"/>
        <v/>
      </c>
      <c r="BF27" s="143" t="str">
        <f t="shared" si="58"/>
        <v/>
      </c>
      <c r="BG27" s="11"/>
      <c r="BH27" s="582"/>
      <c r="BI27" s="582" t="str">
        <f t="array" ref="BI27:BJ27">{"",Inventory!AJ27}</f>
        <v/>
      </c>
      <c r="BJ27" s="156"/>
      <c r="BK27" s="590" t="str">
        <f>Inventory!AK27</f>
        <v/>
      </c>
      <c r="BL27" s="590" t="str">
        <f>Inventory!AL27</f>
        <v/>
      </c>
      <c r="BM27" s="590" t="str">
        <f t="shared" si="59"/>
        <v/>
      </c>
      <c r="BN27" s="592"/>
      <c r="BO27" s="155" t="str">
        <f t="shared" si="60"/>
        <v/>
      </c>
      <c r="BP27" s="143" t="str">
        <f t="shared" si="61"/>
        <v/>
      </c>
      <c r="BQ27" s="582"/>
      <c r="BR27" s="582" t="str">
        <f t="array" ref="BR27:BS27">{"",Inventory!AO27}</f>
        <v/>
      </c>
      <c r="BS27" s="156"/>
      <c r="BT27" s="590" t="str">
        <f>Inventory!AP27</f>
        <v/>
      </c>
      <c r="BU27" s="590" t="str">
        <f>Inventory!AQ27</f>
        <v/>
      </c>
      <c r="BV27" s="590" t="str">
        <f t="shared" si="62"/>
        <v/>
      </c>
      <c r="BW27" s="592"/>
      <c r="BX27" s="155" t="str">
        <f t="shared" si="63"/>
        <v/>
      </c>
      <c r="BY27" s="143" t="str">
        <f t="shared" si="64"/>
        <v/>
      </c>
      <c r="BZ27" s="11"/>
    </row>
    <row r="28">
      <c r="A28" s="157"/>
      <c r="B28" s="117"/>
      <c r="C28" s="582" t="str">
        <f t="array" ref="C28:D28">{"",Inventory!D28}</f>
        <v/>
      </c>
      <c r="D28" s="118"/>
      <c r="F28" s="582"/>
      <c r="G28" s="159"/>
      <c r="H28" s="582"/>
      <c r="I28" s="582"/>
      <c r="J28" s="582"/>
      <c r="K28" s="159"/>
      <c r="L28" s="159"/>
      <c r="M28" s="160"/>
      <c r="N28" s="160"/>
      <c r="O28" s="582"/>
      <c r="P28" s="159"/>
      <c r="Q28" s="582"/>
      <c r="R28" s="582"/>
      <c r="S28" s="582"/>
      <c r="T28" s="159"/>
      <c r="U28" s="159"/>
      <c r="V28" s="160"/>
      <c r="W28" s="11"/>
      <c r="X28" s="582"/>
      <c r="Y28" s="11"/>
      <c r="Z28" s="582"/>
      <c r="AA28" s="582"/>
      <c r="AB28" s="582"/>
      <c r="AC28" s="11"/>
      <c r="AD28" s="11"/>
      <c r="AE28" s="160"/>
      <c r="AF28" s="11"/>
      <c r="AG28" s="582"/>
      <c r="AH28" s="159"/>
      <c r="AI28" s="582"/>
      <c r="AJ28" s="582"/>
      <c r="AK28" s="582"/>
      <c r="AL28" s="159"/>
      <c r="AM28" s="159"/>
      <c r="AN28" s="160"/>
      <c r="AO28" s="11"/>
      <c r="AP28" s="582"/>
      <c r="AQ28" s="11"/>
      <c r="AR28" s="582"/>
      <c r="AS28" s="582"/>
      <c r="AT28" s="582"/>
      <c r="AU28" s="11"/>
      <c r="AV28" s="11"/>
      <c r="AW28" s="160"/>
      <c r="AX28" s="11"/>
      <c r="AY28" s="582"/>
      <c r="AZ28" s="11"/>
      <c r="BA28" s="582"/>
      <c r="BB28" s="582"/>
      <c r="BC28" s="582"/>
      <c r="BD28" s="11"/>
      <c r="BE28" s="11"/>
      <c r="BF28" s="160"/>
      <c r="BG28" s="11"/>
      <c r="BH28" s="582"/>
      <c r="BI28" s="582"/>
      <c r="BJ28" s="11"/>
      <c r="BK28" s="582"/>
      <c r="BL28" s="582"/>
      <c r="BM28" s="582"/>
      <c r="BN28" s="11"/>
      <c r="BO28" s="11"/>
      <c r="BP28" s="160"/>
      <c r="BQ28" s="582"/>
      <c r="BR28" s="582"/>
      <c r="BS28" s="11"/>
      <c r="BT28" s="582"/>
      <c r="BU28" s="582"/>
      <c r="BV28" s="582"/>
      <c r="BW28" s="11"/>
      <c r="BX28" s="11"/>
      <c r="BY28" s="160"/>
      <c r="BZ28" s="11"/>
    </row>
    <row r="29">
      <c r="A29" s="115" t="s">
        <v>205</v>
      </c>
      <c r="B29" s="117"/>
      <c r="C29" s="582" t="str">
        <f t="array" ref="C29:D29">{"",Inventory!D29}</f>
        <v/>
      </c>
      <c r="D29" s="118"/>
      <c r="F29" s="582" t="str">
        <f t="array" ref="F29:G29">{"",Inventory!F29}</f>
        <v/>
      </c>
      <c r="G29" s="180" t="s">
        <v>206</v>
      </c>
      <c r="H29" s="120"/>
      <c r="I29" s="120"/>
      <c r="J29" s="120"/>
      <c r="K29" s="120"/>
      <c r="L29" s="121"/>
      <c r="M29" s="11"/>
      <c r="N29" s="11"/>
      <c r="O29" s="582" t="str">
        <f t="array" ref="O29:P29">{"",Inventory!K29}</f>
        <v/>
      </c>
      <c r="P29" s="180" t="s">
        <v>207</v>
      </c>
      <c r="Q29" s="120"/>
      <c r="R29" s="120"/>
      <c r="S29" s="120"/>
      <c r="T29" s="120"/>
      <c r="U29" s="121"/>
      <c r="V29" s="11"/>
      <c r="W29" s="11"/>
      <c r="X29" s="582" t="str">
        <f t="array" ref="X29:Y29">{"",Inventory!P29}</f>
        <v/>
      </c>
      <c r="Y29" s="180" t="s">
        <v>208</v>
      </c>
      <c r="Z29" s="120"/>
      <c r="AA29" s="120"/>
      <c r="AB29" s="120"/>
      <c r="AC29" s="120"/>
      <c r="AD29" s="121"/>
      <c r="AE29" s="11"/>
      <c r="AF29" s="11"/>
      <c r="AG29" s="582" t="str">
        <f t="array" ref="AG29:AH29">{"",Inventory!U29}</f>
        <v/>
      </c>
      <c r="AH29" s="180" t="s">
        <v>209</v>
      </c>
      <c r="AI29" s="120"/>
      <c r="AJ29" s="120"/>
      <c r="AK29" s="120"/>
      <c r="AL29" s="120"/>
      <c r="AM29" s="121"/>
      <c r="AN29" s="11"/>
      <c r="AO29" s="11"/>
      <c r="AP29" s="582" t="str">
        <f t="array" ref="AP29:AQ29">{"",Inventory!Z29}</f>
        <v/>
      </c>
      <c r="AQ29" s="180" t="s">
        <v>210</v>
      </c>
      <c r="AR29" s="120"/>
      <c r="AS29" s="120"/>
      <c r="AT29" s="120"/>
      <c r="AU29" s="120"/>
      <c r="AV29" s="121"/>
      <c r="AW29" s="11"/>
      <c r="AX29" s="11"/>
      <c r="AY29" s="582" t="str">
        <f t="array" ref="AY29:AZ29">{"",Inventory!AE29}</f>
        <v/>
      </c>
      <c r="AZ29" s="181" t="s">
        <v>211</v>
      </c>
      <c r="BA29" s="120"/>
      <c r="BB29" s="120"/>
      <c r="BC29" s="120"/>
      <c r="BD29" s="120"/>
      <c r="BE29" s="121"/>
      <c r="BF29" s="11"/>
      <c r="BG29" s="11"/>
      <c r="BH29" s="582"/>
      <c r="BI29" s="582" t="str">
        <f t="array" ref="BI29:BJ29">{"",Inventory!AJ29}</f>
        <v/>
      </c>
      <c r="BJ29" s="182" t="s">
        <v>167</v>
      </c>
      <c r="BK29" s="120"/>
      <c r="BL29" s="120"/>
      <c r="BM29" s="120"/>
      <c r="BN29" s="120"/>
      <c r="BO29" s="121"/>
      <c r="BP29" s="11"/>
      <c r="BQ29" s="582"/>
      <c r="BR29" s="582" t="str">
        <f t="array" ref="BR29:BS29">{"",Inventory!AO29}</f>
        <v/>
      </c>
      <c r="BS29" s="182" t="s">
        <v>168</v>
      </c>
      <c r="BT29" s="120"/>
      <c r="BU29" s="120"/>
      <c r="BV29" s="120"/>
      <c r="BW29" s="120"/>
      <c r="BX29" s="121"/>
      <c r="BY29" s="11"/>
      <c r="BZ29" s="11"/>
    </row>
    <row r="30">
      <c r="B30" s="117"/>
      <c r="C30" s="582" t="str">
        <f t="array" ref="C30:D30">{"",Inventory!D30}</f>
        <v/>
      </c>
      <c r="D30" s="183" t="s">
        <v>169</v>
      </c>
      <c r="F30" s="582" t="str">
        <f t="array" ref="F30:G30">{"",Inventory!F30}</f>
        <v/>
      </c>
      <c r="G30" s="184" t="s">
        <v>170</v>
      </c>
      <c r="H30" s="582" t="str">
        <f>Inventory!G30</f>
        <v>Level</v>
      </c>
      <c r="I30" s="582" t="str">
        <f>Inventory!H30</f>
        <v>Stat</v>
      </c>
      <c r="J30" s="582" t="str">
        <f t="shared" ref="J30:J31" si="65">{"",H30}</f>
        <v>#REF!</v>
      </c>
      <c r="K30" s="185" t="s">
        <v>134</v>
      </c>
      <c r="L30" s="186" t="s">
        <v>171</v>
      </c>
      <c r="M30" s="11"/>
      <c r="N30" s="11"/>
      <c r="O30" s="582" t="str">
        <f t="array" ref="O30:P30">{"",Inventory!K30}</f>
        <v/>
      </c>
      <c r="P30" s="184" t="s">
        <v>170</v>
      </c>
      <c r="Q30" s="582" t="str">
        <f>Inventory!L30</f>
        <v>Level</v>
      </c>
      <c r="R30" s="582" t="str">
        <f>Inventory!M30</f>
        <v>Stat</v>
      </c>
      <c r="S30" s="582" t="str">
        <f t="shared" ref="S30:S31" si="66">{"",Q30}</f>
        <v>#REF!</v>
      </c>
      <c r="T30" s="185" t="s">
        <v>134</v>
      </c>
      <c r="U30" s="186" t="s">
        <v>171</v>
      </c>
      <c r="V30" s="11"/>
      <c r="W30" s="11"/>
      <c r="X30" s="582" t="str">
        <f t="array" ref="X30:Y30">{"",Inventory!P30}</f>
        <v/>
      </c>
      <c r="Y30" s="184" t="s">
        <v>170</v>
      </c>
      <c r="Z30" s="582" t="str">
        <f>Inventory!Q30</f>
        <v>Level</v>
      </c>
      <c r="AA30" s="582" t="str">
        <f>Inventory!R30</f>
        <v>Stat</v>
      </c>
      <c r="AB30" s="582" t="str">
        <f t="shared" ref="AB30:AB31" si="67">{"",Z30}</f>
        <v/>
      </c>
      <c r="AC30" s="185" t="s">
        <v>134</v>
      </c>
      <c r="AD30" s="186" t="s">
        <v>171</v>
      </c>
      <c r="AE30" s="11"/>
      <c r="AF30" s="11"/>
      <c r="AG30" s="582" t="str">
        <f t="array" ref="AG30:AH30">{"",Inventory!U30}</f>
        <v/>
      </c>
      <c r="AH30" s="184" t="s">
        <v>170</v>
      </c>
      <c r="AI30" s="582" t="str">
        <f>Inventory!V30</f>
        <v>Level</v>
      </c>
      <c r="AJ30" s="582" t="str">
        <f>Inventory!W30</f>
        <v>Stat</v>
      </c>
      <c r="AK30" s="582" t="str">
        <f t="shared" ref="AK30:AK31" si="68">{"",AI30}</f>
        <v>#REF!</v>
      </c>
      <c r="AL30" s="185" t="s">
        <v>134</v>
      </c>
      <c r="AM30" s="186" t="s">
        <v>171</v>
      </c>
      <c r="AN30" s="11"/>
      <c r="AO30" s="11"/>
      <c r="AP30" s="582" t="str">
        <f t="array" ref="AP30:AQ30">{"",Inventory!Z30}</f>
        <v/>
      </c>
      <c r="AQ30" s="184" t="s">
        <v>170</v>
      </c>
      <c r="AR30" s="582" t="str">
        <f>Inventory!AA30</f>
        <v>Level</v>
      </c>
      <c r="AS30" s="582" t="str">
        <f>Inventory!AB30</f>
        <v>Stat</v>
      </c>
      <c r="AT30" s="582" t="str">
        <f t="shared" ref="AT30:AT31" si="69">{"",AR30}</f>
        <v/>
      </c>
      <c r="AU30" s="185" t="s">
        <v>134</v>
      </c>
      <c r="AV30" s="186" t="s">
        <v>171</v>
      </c>
      <c r="AW30" s="11"/>
      <c r="AX30" s="11"/>
      <c r="AY30" s="582" t="str">
        <f t="array" ref="AY30:AZ30">{"",Inventory!AE30}</f>
        <v/>
      </c>
      <c r="AZ30" s="184" t="s">
        <v>170</v>
      </c>
      <c r="BA30" s="582" t="str">
        <f>Inventory!AF30</f>
        <v>Level</v>
      </c>
      <c r="BB30" s="582" t="str">
        <f>Inventory!AG30</f>
        <v>Stat</v>
      </c>
      <c r="BC30" s="582" t="str">
        <f t="shared" ref="BC30:BC31" si="70">{"",BA30}</f>
        <v/>
      </c>
      <c r="BD30" s="185" t="s">
        <v>134</v>
      </c>
      <c r="BE30" s="186" t="s">
        <v>171</v>
      </c>
      <c r="BF30" s="11"/>
      <c r="BG30" s="11"/>
      <c r="BH30" s="582"/>
      <c r="BI30" s="582" t="str">
        <f t="array" ref="BI30:BJ30">{"",Inventory!AJ30}</f>
        <v/>
      </c>
      <c r="BJ30" s="184" t="s">
        <v>170</v>
      </c>
      <c r="BK30" s="582" t="str">
        <f>Inventory!AK30</f>
        <v>Level</v>
      </c>
      <c r="BL30" s="582" t="str">
        <f>Inventory!AL30</f>
        <v>Stat</v>
      </c>
      <c r="BM30" s="582" t="str">
        <f t="shared" ref="BM30:BM31" si="71">{"",BK30}</f>
        <v/>
      </c>
      <c r="BN30" s="185" t="s">
        <v>134</v>
      </c>
      <c r="BO30" s="187" t="s">
        <v>171</v>
      </c>
      <c r="BP30" s="11"/>
      <c r="BQ30" s="582"/>
      <c r="BR30" s="582" t="str">
        <f t="array" ref="BR30:BS30">{"",Inventory!AO30}</f>
        <v/>
      </c>
      <c r="BS30" s="184" t="s">
        <v>170</v>
      </c>
      <c r="BT30" s="582" t="str">
        <f>Inventory!AP30</f>
        <v>Level</v>
      </c>
      <c r="BU30" s="582" t="str">
        <f>Inventory!AQ30</f>
        <v>Stat</v>
      </c>
      <c r="BV30" s="582" t="str">
        <f t="shared" ref="BV30:BV31" si="72">{"",BT30}</f>
        <v/>
      </c>
      <c r="BW30" s="185" t="s">
        <v>134</v>
      </c>
      <c r="BX30" s="187" t="s">
        <v>171</v>
      </c>
      <c r="BY30" s="11"/>
      <c r="BZ30" s="11"/>
    </row>
    <row r="31">
      <c r="B31" s="117"/>
      <c r="C31" s="582" t="str">
        <f t="array" ref="C31:D31">{"",Inventory!D31}</f>
        <v/>
      </c>
      <c r="D31" s="189">
        <v>161.0</v>
      </c>
      <c r="F31" s="582" t="str">
        <f t="array" ref="F31:G31">{"",Inventory!F31}</f>
        <v/>
      </c>
      <c r="G31" s="190" t="s">
        <v>175</v>
      </c>
      <c r="H31" s="582">
        <f>Inventory!G31</f>
        <v>100</v>
      </c>
      <c r="I31" s="583">
        <f>Inventory!H31</f>
        <v>1.275</v>
      </c>
      <c r="J31" s="582" t="str">
        <f t="shared" si="65"/>
        <v>#REF!</v>
      </c>
      <c r="K31" s="191">
        <f>CAP_MOD_LEVEL($D31,G31)</f>
        <v>100</v>
      </c>
      <c r="L31" s="192">
        <f>IF(G31="None",1,MODSTAT_GENERATOR(G31,K31))</f>
        <v>1.275</v>
      </c>
      <c r="M31" s="11"/>
      <c r="N31" s="11"/>
      <c r="O31" s="582" t="str">
        <f t="array" ref="O31:P31">{"",Inventory!K31}</f>
        <v/>
      </c>
      <c r="P31" s="190" t="s">
        <v>173</v>
      </c>
      <c r="Q31" s="582">
        <f>Inventory!L31</f>
        <v>160</v>
      </c>
      <c r="R31" s="583">
        <f>Inventory!M31</f>
        <v>1.665</v>
      </c>
      <c r="S31" s="582" t="str">
        <f t="shared" si="66"/>
        <v>#REF!</v>
      </c>
      <c r="T31" s="191">
        <f>CAP_MOD_LEVEL($D31,P31)</f>
        <v>160</v>
      </c>
      <c r="U31" s="192">
        <f>IF(P31="None",1,MODSTAT_GENERATOR(P31,T31))</f>
        <v>1.665</v>
      </c>
      <c r="V31" s="11"/>
      <c r="W31" s="11"/>
      <c r="X31" s="582" t="str">
        <f t="array" ref="X31:Y31">{"",Inventory!P31}</f>
        <v/>
      </c>
      <c r="Y31" s="190" t="s">
        <v>174</v>
      </c>
      <c r="Z31" s="582">
        <f>Inventory!Q31</f>
        <v>161</v>
      </c>
      <c r="AA31" s="583">
        <f>Inventory!R31</f>
        <v>1.68</v>
      </c>
      <c r="AB31" s="582" t="str">
        <f t="shared" si="67"/>
        <v>#REF!</v>
      </c>
      <c r="AC31" s="191">
        <f>CAP_MOD_LEVEL($D31,Y31)</f>
        <v>161</v>
      </c>
      <c r="AD31" s="192">
        <f>IF(Y31="None",1,MODSTAT_GENERATOR(Y31,AC31))</f>
        <v>1.68</v>
      </c>
      <c r="AE31" s="11"/>
      <c r="AF31" s="11"/>
      <c r="AG31" s="582" t="str">
        <f t="array" ref="AG31:AH31">{"",Inventory!U31}</f>
        <v/>
      </c>
      <c r="AH31" s="190" t="s">
        <v>196</v>
      </c>
      <c r="AI31" s="582">
        <f>Inventory!V31</f>
        <v>161</v>
      </c>
      <c r="AJ31" s="583">
        <f>Inventory!W31</f>
        <v>1.707</v>
      </c>
      <c r="AK31" s="582" t="str">
        <f t="shared" si="68"/>
        <v>#REF!</v>
      </c>
      <c r="AL31" s="191">
        <f>CAP_MOD_LEVEL($D31,AH31)</f>
        <v>161</v>
      </c>
      <c r="AM31" s="192">
        <f>IF(AH31="None",1,MODSTAT_GENERATOR(AH31,AL31))</f>
        <v>1.707</v>
      </c>
      <c r="AN31" s="11"/>
      <c r="AO31" s="11"/>
      <c r="AP31" s="582" t="str">
        <f t="array" ref="AP31:AQ31">{"",Inventory!Z31}</f>
        <v/>
      </c>
      <c r="AQ31" s="190" t="s">
        <v>173</v>
      </c>
      <c r="AR31" s="582">
        <f>Inventory!AA31</f>
        <v>160</v>
      </c>
      <c r="AS31" s="583">
        <f>Inventory!AB31</f>
        <v>1.665</v>
      </c>
      <c r="AT31" s="582" t="str">
        <f t="shared" si="69"/>
        <v>#REF!</v>
      </c>
      <c r="AU31" s="191">
        <f>CAP_MOD_LEVEL($D31,AQ31)</f>
        <v>160</v>
      </c>
      <c r="AV31" s="192">
        <f>IF(AQ31="None",1,MODSTAT_GENERATOR(AQ31,AU31))</f>
        <v>1.665</v>
      </c>
      <c r="AW31" s="11"/>
      <c r="AX31" s="11"/>
      <c r="AY31" s="582" t="str">
        <f t="array" ref="AY31:AZ31">{"",Inventory!AE31}</f>
        <v/>
      </c>
      <c r="AZ31" s="190" t="s">
        <v>173</v>
      </c>
      <c r="BA31" s="582">
        <f>Inventory!AF31</f>
        <v>160</v>
      </c>
      <c r="BB31" s="583">
        <f>Inventory!AG31</f>
        <v>1.665</v>
      </c>
      <c r="BC31" s="582" t="str">
        <f t="shared" si="70"/>
        <v>#REF!</v>
      </c>
      <c r="BD31" s="191">
        <f>CAP_MOD_LEVEL($D31,AZ31)</f>
        <v>160</v>
      </c>
      <c r="BE31" s="192">
        <f>IF(AZ31="None",1,MODSTAT_GENERATOR(AZ31,BD31))</f>
        <v>1.665</v>
      </c>
      <c r="BF31" s="11"/>
      <c r="BG31" s="11"/>
      <c r="BH31" s="582"/>
      <c r="BI31" s="582" t="str">
        <f t="array" ref="BI31:BJ31">{"",Inventory!AJ31}</f>
        <v/>
      </c>
      <c r="BJ31" s="132" t="s">
        <v>175</v>
      </c>
      <c r="BK31" s="582">
        <f>Inventory!AK31</f>
        <v>100</v>
      </c>
      <c r="BL31" s="583">
        <f>Inventory!AL31</f>
        <v>1.275</v>
      </c>
      <c r="BM31" s="582" t="str">
        <f t="shared" si="71"/>
        <v>#REF!</v>
      </c>
      <c r="BN31" s="133">
        <f>CAP_MOD_LEVEL($D31,BJ31)</f>
        <v>100</v>
      </c>
      <c r="BO31" s="193">
        <f>IF(BJ31="None",1,MODSTAT_GENERATOR(BJ31,BN31))</f>
        <v>1.275</v>
      </c>
      <c r="BP31" s="11"/>
      <c r="BQ31" s="582"/>
      <c r="BR31" s="582" t="str">
        <f t="array" ref="BR31:BS31">{"",Inventory!AO31}</f>
        <v/>
      </c>
      <c r="BS31" s="132" t="s">
        <v>177</v>
      </c>
      <c r="BT31" s="582">
        <f>Inventory!AP31</f>
        <v>20</v>
      </c>
      <c r="BU31" s="583">
        <f>Inventory!AQ31</f>
        <v>1.03</v>
      </c>
      <c r="BV31" s="582" t="str">
        <f t="shared" si="72"/>
        <v>#REF!</v>
      </c>
      <c r="BW31" s="133">
        <f>CAP_MOD_LEVEL($D31,BS31)</f>
        <v>20</v>
      </c>
      <c r="BX31" s="193">
        <f>IF(BS31="None",1,MODSTAT_GENERATOR(BS31,BW31))</f>
        <v>1.03</v>
      </c>
      <c r="BY31" s="11"/>
      <c r="BZ31" s="11"/>
    </row>
    <row r="32">
      <c r="B32" s="117"/>
      <c r="C32" s="582" t="str">
        <f t="array" ref="C32:D32">{"",Inventory!D32}</f>
        <v/>
      </c>
      <c r="D32" s="118"/>
      <c r="F32" s="582" t="str">
        <f t="array" ref="F32:G32">{"",Inventory!F32}</f>
        <v/>
      </c>
      <c r="G32" s="594"/>
      <c r="H32" s="29"/>
      <c r="I32" s="29"/>
      <c r="J32" s="29"/>
      <c r="K32" s="29"/>
      <c r="L32" s="136"/>
      <c r="M32" s="11"/>
      <c r="N32" s="11"/>
      <c r="O32" s="582" t="str">
        <f t="array" ref="O32:P32">{"",Inventory!K32}</f>
        <v/>
      </c>
      <c r="P32" s="194"/>
      <c r="Q32" s="29"/>
      <c r="R32" s="29"/>
      <c r="S32" s="29"/>
      <c r="T32" s="29"/>
      <c r="U32" s="136"/>
      <c r="V32" s="11"/>
      <c r="W32" s="11"/>
      <c r="X32" s="582" t="str">
        <f t="array" ref="X32:Y32">{"",Inventory!P32}</f>
        <v/>
      </c>
      <c r="Y32" s="194"/>
      <c r="Z32" s="29"/>
      <c r="AA32" s="29"/>
      <c r="AB32" s="29"/>
      <c r="AC32" s="29"/>
      <c r="AD32" s="136"/>
      <c r="AE32" s="11"/>
      <c r="AF32" s="11"/>
      <c r="AG32" s="582" t="str">
        <f t="array" ref="AG32:AH32">{"",Inventory!U32}</f>
        <v/>
      </c>
      <c r="AH32" s="194"/>
      <c r="AI32" s="29"/>
      <c r="AJ32" s="29"/>
      <c r="AK32" s="29"/>
      <c r="AL32" s="29"/>
      <c r="AM32" s="136"/>
      <c r="AN32" s="11"/>
      <c r="AO32" s="11"/>
      <c r="AP32" s="582" t="str">
        <f t="array" ref="AP32:AQ32">{"",Inventory!Z32}</f>
        <v/>
      </c>
      <c r="AQ32" s="194"/>
      <c r="AR32" s="29"/>
      <c r="AS32" s="29"/>
      <c r="AT32" s="29"/>
      <c r="AU32" s="29"/>
      <c r="AV32" s="136"/>
      <c r="AW32" s="11"/>
      <c r="AX32" s="11"/>
      <c r="AY32" s="582" t="str">
        <f t="array" ref="AY32:AZ32">{"",Inventory!AE32}</f>
        <v/>
      </c>
      <c r="AZ32" s="194"/>
      <c r="BA32" s="29"/>
      <c r="BB32" s="29"/>
      <c r="BC32" s="29"/>
      <c r="BD32" s="29"/>
      <c r="BE32" s="136"/>
      <c r="BF32" s="11"/>
      <c r="BG32" s="11"/>
      <c r="BH32" s="582"/>
      <c r="BI32" s="582" t="str">
        <f t="array" ref="BI32:BJ32">{"",Inventory!AJ32}</f>
        <v/>
      </c>
      <c r="BJ32" s="137"/>
      <c r="BK32" s="138"/>
      <c r="BL32" s="138"/>
      <c r="BM32" s="138"/>
      <c r="BN32" s="138"/>
      <c r="BO32" s="139"/>
      <c r="BP32" s="11"/>
      <c r="BQ32" s="582"/>
      <c r="BR32" s="582" t="str">
        <f t="array" ref="BR32:BS32">{"",Inventory!AO32}</f>
        <v/>
      </c>
      <c r="BS32" s="137"/>
      <c r="BT32" s="582" t="str">
        <f>Inventory!AP32</f>
        <v/>
      </c>
      <c r="BU32" s="582"/>
      <c r="BV32" s="582"/>
      <c r="BW32" s="584"/>
      <c r="BX32" s="585"/>
      <c r="BY32" s="11"/>
      <c r="BZ32" s="11"/>
    </row>
    <row r="33">
      <c r="B33" s="117"/>
      <c r="C33" s="582" t="str">
        <f t="array" ref="C33:D33">{"",Inventory!D33}</f>
        <v/>
      </c>
      <c r="D33" s="183" t="s">
        <v>178</v>
      </c>
      <c r="F33" s="582" t="str">
        <f t="array" ref="F33:G33">{"",Inventory!F33}</f>
        <v/>
      </c>
      <c r="G33" s="195" t="s">
        <v>213</v>
      </c>
      <c r="H33" s="582" t="str">
        <f>Inventory!G33</f>
        <v>Legendary</v>
      </c>
      <c r="I33" s="582" t="str">
        <f>Inventory!H33</f>
        <v>+0.4x</v>
      </c>
      <c r="J33" s="582" t="str">
        <f t="shared" ref="J33:J40" si="73">{"",H33}</f>
        <v/>
      </c>
      <c r="K33" s="586" t="s">
        <v>175</v>
      </c>
      <c r="L33" s="142" t="str">
        <f t="shared" ref="L33:L40" si="74">MOD_SUBSTAT_LOOKUP(G33,K33,1)</f>
        <v>+0.4x</v>
      </c>
      <c r="M33" s="143">
        <f t="shared" ref="M33:M40" si="75">IF(ISBLANK(G33), "", MOD_SUBSTAT_LOOKUP(G33,K33,0))</f>
        <v>0.4</v>
      </c>
      <c r="N33" s="11"/>
      <c r="O33" s="582" t="str">
        <f t="array" ref="O33:P33">{"",Inventory!K33}</f>
        <v/>
      </c>
      <c r="P33" s="195" t="s">
        <v>214</v>
      </c>
      <c r="Q33" s="582" t="str">
        <f>Inventory!L33</f>
        <v>Legendary</v>
      </c>
      <c r="R33" s="582" t="str">
        <f>Inventory!M33</f>
        <v>+8%</v>
      </c>
      <c r="S33" s="582" t="str">
        <f t="shared" ref="S33:S40" si="76">{"",Q33}</f>
        <v/>
      </c>
      <c r="T33" s="586" t="s">
        <v>175</v>
      </c>
      <c r="U33" s="142" t="str">
        <f t="shared" ref="U33:U40" si="77">MOD_SUBSTAT_LOOKUP(P33,T33,1)</f>
        <v>+8%</v>
      </c>
      <c r="V33" s="143">
        <f t="shared" ref="V33:V40" si="78">IF(ISBLANK(P33), "", MOD_SUBSTAT_LOOKUP(P33,T33,0))</f>
        <v>0.08</v>
      </c>
      <c r="W33" s="11"/>
      <c r="X33" s="582" t="str">
        <f t="array" ref="X33:Y33">{"",Inventory!P33}</f>
        <v/>
      </c>
      <c r="Y33" s="595" t="s">
        <v>215</v>
      </c>
      <c r="Z33" s="582" t="str">
        <f>Inventory!Q33</f>
        <v>Mythic</v>
      </c>
      <c r="AA33" s="582" t="str">
        <f>Inventory!R33</f>
        <v>+10%</v>
      </c>
      <c r="AB33" s="582" t="str">
        <f t="shared" ref="AB33:AB40" si="79">{"",Z33}</f>
        <v/>
      </c>
      <c r="AC33" s="586" t="s">
        <v>180</v>
      </c>
      <c r="AD33" s="142" t="str">
        <f t="shared" ref="AD33:AD40" si="80">MOD_SUBSTAT_LOOKUP(Y33,AC33,1)</f>
        <v>+10%</v>
      </c>
      <c r="AE33" s="143">
        <f t="shared" ref="AE33:AE40" si="81">IF(ISBLANK(Y33), "", MOD_SUBSTAT_LOOKUP(Y33,AC33,0))</f>
        <v>0.1</v>
      </c>
      <c r="AF33" s="11"/>
      <c r="AG33" s="582" t="str">
        <f t="array" ref="AG33:AH33">{"",Inventory!U33}</f>
        <v/>
      </c>
      <c r="AH33" s="195" t="s">
        <v>215</v>
      </c>
      <c r="AI33" s="582" t="str">
        <f>Inventory!V33</f>
        <v>Ancestral</v>
      </c>
      <c r="AJ33" s="582" t="str">
        <f>Inventory!W33</f>
        <v>+12%</v>
      </c>
      <c r="AK33" s="582" t="str">
        <f t="shared" ref="AK33:AK40" si="82">{"",AI33}</f>
        <v/>
      </c>
      <c r="AL33" s="586" t="s">
        <v>174</v>
      </c>
      <c r="AM33" s="142" t="str">
        <f t="shared" ref="AM33:AM40" si="83">MOD_SUBSTAT_LOOKUP(AH33,AL33,1)</f>
        <v>+12%</v>
      </c>
      <c r="AN33" s="143">
        <f t="shared" ref="AN33:AN40" si="84">IF(ISBLANK(AH33), "", MOD_SUBSTAT_LOOKUP(AH33,AL33,0))</f>
        <v>0.12</v>
      </c>
      <c r="AO33" s="11"/>
      <c r="AP33" s="582" t="str">
        <f t="array" ref="AP33:AQ33">{"",Inventory!Z33}</f>
        <v/>
      </c>
      <c r="AQ33" s="195" t="s">
        <v>216</v>
      </c>
      <c r="AR33" s="582" t="str">
        <f>Inventory!AA33</f>
        <v>Mythic</v>
      </c>
      <c r="AS33" s="582" t="str">
        <f>Inventory!AB33</f>
        <v>+6%</v>
      </c>
      <c r="AT33" s="582" t="str">
        <f t="shared" ref="AT33:AT40" si="85">{"",AR33}</f>
        <v/>
      </c>
      <c r="AU33" s="586" t="s">
        <v>180</v>
      </c>
      <c r="AV33" s="142" t="str">
        <f t="shared" ref="AV33:AV40" si="86">MOD_SUBSTAT_LOOKUP(AQ33,AU33,1)</f>
        <v>+6%</v>
      </c>
      <c r="AW33" s="143">
        <f t="shared" ref="AW33:AW40" si="87">IF(ISBLANK(AQ33), "", MOD_SUBSTAT_LOOKUP(AQ33,AU33,0))</f>
        <v>0.06</v>
      </c>
      <c r="AX33" s="11"/>
      <c r="AY33" s="582" t="str">
        <f t="array" ref="AY33:AZ33">{"",Inventory!AE33}</f>
        <v/>
      </c>
      <c r="AZ33" s="595" t="s">
        <v>217</v>
      </c>
      <c r="BA33" s="582" t="str">
        <f>Inventory!AF33</f>
        <v>Mythic</v>
      </c>
      <c r="BB33" s="582" t="str">
        <f>Inventory!AG33</f>
        <v>+6%</v>
      </c>
      <c r="BC33" s="582" t="str">
        <f t="shared" ref="BC33:BC40" si="88">{"",BA33}</f>
        <v/>
      </c>
      <c r="BD33" s="586" t="s">
        <v>180</v>
      </c>
      <c r="BE33" s="142" t="str">
        <f t="shared" ref="BE33:BE40" si="89">MOD_SUBSTAT_LOOKUP(AZ33,BD33,1)</f>
        <v>+6%</v>
      </c>
      <c r="BF33" s="143">
        <f t="shared" ref="BF33:BF40" si="90">IF(ISBLANK(AZ33), "", MOD_SUBSTAT_LOOKUP(AZ33,BD33,0))</f>
        <v>0.06</v>
      </c>
      <c r="BG33" s="11"/>
      <c r="BH33" s="582"/>
      <c r="BI33" s="582" t="str">
        <f t="array" ref="BI33:BJ33">{"",Inventory!AJ33}</f>
        <v/>
      </c>
      <c r="BJ33" s="147" t="s">
        <v>216</v>
      </c>
      <c r="BK33" s="582" t="str">
        <f>Inventory!AK33</f>
        <v>Legendary</v>
      </c>
      <c r="BL33" s="582" t="str">
        <f>Inventory!AL33</f>
        <v>+4%</v>
      </c>
      <c r="BM33" s="582" t="str">
        <f t="shared" ref="BM33:BM40" si="91">{"",BK33}</f>
        <v/>
      </c>
      <c r="BN33" s="587" t="s">
        <v>175</v>
      </c>
      <c r="BO33" s="588" t="str">
        <f t="shared" ref="BO33:BO40" si="92">MOD_SUBSTAT_LOOKUP(BJ33,BN33,1)</f>
        <v>+4%</v>
      </c>
      <c r="BP33" s="143">
        <f t="shared" ref="BP33:BP40" si="93">IF(ISBLANK(BJ33), "", MOD_SUBSTAT_LOOKUP(BJ33,BN33,0))</f>
        <v>0.04</v>
      </c>
      <c r="BQ33" s="582"/>
      <c r="BR33" s="582" t="str">
        <f t="array" ref="BR33:BS33">{"",Inventory!AO33}</f>
        <v/>
      </c>
      <c r="BS33" s="145"/>
      <c r="BT33" s="582" t="str">
        <f>Inventory!AP33</f>
        <v/>
      </c>
      <c r="BU33" s="582" t="str">
        <f>Inventory!AQ33</f>
        <v/>
      </c>
      <c r="BV33" s="582" t="str">
        <f t="shared" ref="BV33:BV40" si="94">{"",BT33}</f>
        <v/>
      </c>
      <c r="BW33" s="587"/>
      <c r="BX33" s="588" t="str">
        <f t="shared" ref="BX33:BX40" si="95">MOD_SUBSTAT_LOOKUP(BS33,BW33,1)</f>
        <v/>
      </c>
      <c r="BY33" s="143" t="str">
        <f t="shared" ref="BY33:BY40" si="96">IF(ISBLANK(BS33), "", MOD_SUBSTAT_LOOKUP(BS33,BW33,0))</f>
        <v/>
      </c>
      <c r="BZ33" s="11"/>
    </row>
    <row r="34">
      <c r="B34" s="117"/>
      <c r="C34" s="582" t="str">
        <f t="array" ref="C34:D34">{"",Inventory!D34}</f>
        <v/>
      </c>
      <c r="D34" s="189">
        <v>97.0</v>
      </c>
      <c r="F34" s="582" t="str">
        <f t="array" ref="F34:G34">{"",Inventory!F34}</f>
        <v/>
      </c>
      <c r="G34" s="195" t="s">
        <v>216</v>
      </c>
      <c r="H34" s="582" t="str">
        <f>Inventory!G34</f>
        <v>Legendary</v>
      </c>
      <c r="I34" s="582" t="str">
        <f>Inventory!H34</f>
        <v>+4%</v>
      </c>
      <c r="J34" s="582" t="str">
        <f t="shared" si="73"/>
        <v/>
      </c>
      <c r="K34" s="586" t="s">
        <v>175</v>
      </c>
      <c r="L34" s="142" t="str">
        <f t="shared" si="74"/>
        <v>+4%</v>
      </c>
      <c r="M34" s="143">
        <f t="shared" si="75"/>
        <v>0.04</v>
      </c>
      <c r="N34" s="11"/>
      <c r="O34" s="582" t="str">
        <f t="array" ref="O34:P34">{"",Inventory!K34}</f>
        <v/>
      </c>
      <c r="P34" s="195" t="s">
        <v>216</v>
      </c>
      <c r="Q34" s="582" t="str">
        <f>Inventory!L34</f>
        <v>Legendary</v>
      </c>
      <c r="R34" s="582" t="str">
        <f>Inventory!M34</f>
        <v>+4%</v>
      </c>
      <c r="S34" s="582" t="str">
        <f t="shared" si="76"/>
        <v/>
      </c>
      <c r="T34" s="586" t="s">
        <v>175</v>
      </c>
      <c r="U34" s="142" t="str">
        <f t="shared" si="77"/>
        <v>+4%</v>
      </c>
      <c r="V34" s="143">
        <f t="shared" si="78"/>
        <v>0.04</v>
      </c>
      <c r="W34" s="11"/>
      <c r="X34" s="582" t="str">
        <f t="array" ref="X34:Y34">{"",Inventory!P34}</f>
        <v/>
      </c>
      <c r="Y34" s="595" t="s">
        <v>213</v>
      </c>
      <c r="Z34" s="582" t="str">
        <f>Inventory!Q34</f>
        <v>Mythic</v>
      </c>
      <c r="AA34" s="582" t="str">
        <f>Inventory!R34</f>
        <v>+0.5x</v>
      </c>
      <c r="AB34" s="582" t="str">
        <f t="shared" si="79"/>
        <v/>
      </c>
      <c r="AC34" s="586" t="s">
        <v>180</v>
      </c>
      <c r="AD34" s="142" t="str">
        <f t="shared" si="80"/>
        <v>+0.5x</v>
      </c>
      <c r="AE34" s="143">
        <f t="shared" si="81"/>
        <v>0.5</v>
      </c>
      <c r="AF34" s="11"/>
      <c r="AG34" s="582" t="str">
        <f t="array" ref="AG34:AH34">{"",Inventory!U34}</f>
        <v/>
      </c>
      <c r="AH34" s="195" t="s">
        <v>216</v>
      </c>
      <c r="AI34" s="582" t="str">
        <f>Inventory!V34</f>
        <v>Ancestral</v>
      </c>
      <c r="AJ34" s="582" t="str">
        <f>Inventory!W34</f>
        <v>+8%</v>
      </c>
      <c r="AK34" s="582" t="str">
        <f t="shared" si="82"/>
        <v/>
      </c>
      <c r="AL34" s="586" t="s">
        <v>174</v>
      </c>
      <c r="AM34" s="142" t="str">
        <f t="shared" si="83"/>
        <v>+8%</v>
      </c>
      <c r="AN34" s="143">
        <f t="shared" si="84"/>
        <v>0.08</v>
      </c>
      <c r="AO34" s="11"/>
      <c r="AP34" s="582" t="str">
        <f t="array" ref="AP34:AQ34">{"",Inventory!Z34}</f>
        <v/>
      </c>
      <c r="AQ34" s="195" t="s">
        <v>217</v>
      </c>
      <c r="AR34" s="582" t="str">
        <f>Inventory!AA34</f>
        <v>Mythic</v>
      </c>
      <c r="AS34" s="582" t="str">
        <f>Inventory!AB34</f>
        <v>+6%</v>
      </c>
      <c r="AT34" s="582" t="str">
        <f t="shared" si="85"/>
        <v/>
      </c>
      <c r="AU34" s="586" t="s">
        <v>180</v>
      </c>
      <c r="AV34" s="142" t="str">
        <f t="shared" si="86"/>
        <v>+6%</v>
      </c>
      <c r="AW34" s="143">
        <f t="shared" si="87"/>
        <v>0.06</v>
      </c>
      <c r="AX34" s="11"/>
      <c r="AY34" s="582" t="str">
        <f t="array" ref="AY34:AZ34">{"",Inventory!AE34}</f>
        <v/>
      </c>
      <c r="AZ34" s="595" t="s">
        <v>216</v>
      </c>
      <c r="BA34" s="582" t="str">
        <f>Inventory!AF34</f>
        <v>Mythic</v>
      </c>
      <c r="BB34" s="582" t="str">
        <f>Inventory!AG34</f>
        <v>+6%</v>
      </c>
      <c r="BC34" s="582" t="str">
        <f t="shared" si="88"/>
        <v/>
      </c>
      <c r="BD34" s="586" t="s">
        <v>180</v>
      </c>
      <c r="BE34" s="142" t="str">
        <f t="shared" si="89"/>
        <v>+6%</v>
      </c>
      <c r="BF34" s="143">
        <f t="shared" si="90"/>
        <v>0.06</v>
      </c>
      <c r="BG34" s="11"/>
      <c r="BH34" s="582"/>
      <c r="BI34" s="582" t="str">
        <f t="array" ref="BI34:BJ34">{"",Inventory!AJ34}</f>
        <v/>
      </c>
      <c r="BJ34" s="145" t="s">
        <v>213</v>
      </c>
      <c r="BK34" s="582" t="str">
        <f>Inventory!AK34</f>
        <v>Epic</v>
      </c>
      <c r="BL34" s="582" t="str">
        <f>Inventory!AL34</f>
        <v>+0.3x</v>
      </c>
      <c r="BM34" s="582" t="str">
        <f t="shared" si="91"/>
        <v/>
      </c>
      <c r="BN34" s="586" t="s">
        <v>176</v>
      </c>
      <c r="BO34" s="142" t="str">
        <f t="shared" si="92"/>
        <v>+0.3x</v>
      </c>
      <c r="BP34" s="143">
        <f t="shared" si="93"/>
        <v>0.3</v>
      </c>
      <c r="BQ34" s="582"/>
      <c r="BR34" s="582" t="str">
        <f t="array" ref="BR34:BS34">{"",Inventory!AO34}</f>
        <v/>
      </c>
      <c r="BS34" s="145"/>
      <c r="BT34" s="582" t="str">
        <f>Inventory!AP34</f>
        <v/>
      </c>
      <c r="BU34" s="582" t="str">
        <f>Inventory!AQ34</f>
        <v/>
      </c>
      <c r="BV34" s="582" t="str">
        <f t="shared" si="94"/>
        <v/>
      </c>
      <c r="BW34" s="586"/>
      <c r="BX34" s="142" t="str">
        <f t="shared" si="95"/>
        <v/>
      </c>
      <c r="BY34" s="143" t="str">
        <f t="shared" si="96"/>
        <v/>
      </c>
      <c r="BZ34" s="11"/>
    </row>
    <row r="35">
      <c r="B35" s="117"/>
      <c r="C35" s="582" t="str">
        <f t="array" ref="C35:D35">{"",Inventory!D35}</f>
        <v/>
      </c>
      <c r="D35" s="118"/>
      <c r="F35" s="582" t="str">
        <f t="array" ref="F35:G35">{"",Inventory!F35}</f>
        <v/>
      </c>
      <c r="G35" s="196" t="s">
        <v>215</v>
      </c>
      <c r="H35" s="582" t="str">
        <f>Inventory!G35</f>
        <v>Legendary</v>
      </c>
      <c r="I35" s="582" t="str">
        <f>Inventory!H35</f>
        <v>+8%</v>
      </c>
      <c r="J35" s="582" t="str">
        <f t="shared" si="73"/>
        <v/>
      </c>
      <c r="K35" s="374" t="s">
        <v>175</v>
      </c>
      <c r="L35" s="142" t="str">
        <f t="shared" si="74"/>
        <v>+8%</v>
      </c>
      <c r="M35" s="143">
        <f t="shared" si="75"/>
        <v>0.08</v>
      </c>
      <c r="N35" s="11"/>
      <c r="O35" s="582" t="str">
        <f t="array" ref="O35:P35">{"",Inventory!K35}</f>
        <v/>
      </c>
      <c r="P35" s="196" t="s">
        <v>215</v>
      </c>
      <c r="Q35" s="582" t="str">
        <f>Inventory!L35</f>
        <v>Legendary</v>
      </c>
      <c r="R35" s="582" t="str">
        <f>Inventory!M35</f>
        <v>+8%</v>
      </c>
      <c r="S35" s="582" t="str">
        <f t="shared" si="76"/>
        <v/>
      </c>
      <c r="T35" s="374" t="s">
        <v>175</v>
      </c>
      <c r="U35" s="142" t="str">
        <f t="shared" si="77"/>
        <v>+8%</v>
      </c>
      <c r="V35" s="143">
        <f t="shared" si="78"/>
        <v>0.08</v>
      </c>
      <c r="W35" s="11"/>
      <c r="X35" s="582" t="str">
        <f t="array" ref="X35:Y35">{"",Inventory!P35}</f>
        <v/>
      </c>
      <c r="Y35" s="197" t="s">
        <v>217</v>
      </c>
      <c r="Z35" s="582" t="str">
        <f>Inventory!Q35</f>
        <v>Mythic</v>
      </c>
      <c r="AA35" s="582" t="str">
        <f>Inventory!R35</f>
        <v>+6%</v>
      </c>
      <c r="AB35" s="582" t="str">
        <f t="shared" si="79"/>
        <v/>
      </c>
      <c r="AC35" s="374" t="s">
        <v>180</v>
      </c>
      <c r="AD35" s="142" t="str">
        <f t="shared" si="80"/>
        <v>+6%</v>
      </c>
      <c r="AE35" s="143">
        <f t="shared" si="81"/>
        <v>0.06</v>
      </c>
      <c r="AF35" s="11"/>
      <c r="AG35" s="582" t="str">
        <f t="array" ref="AG35:AH35">{"",Inventory!U35}</f>
        <v/>
      </c>
      <c r="AH35" s="196" t="s">
        <v>213</v>
      </c>
      <c r="AI35" s="582" t="str">
        <f>Inventory!V35</f>
        <v>Ancestral</v>
      </c>
      <c r="AJ35" s="582" t="str">
        <f>Inventory!W35</f>
        <v>+0.6x</v>
      </c>
      <c r="AK35" s="582" t="str">
        <f t="shared" si="82"/>
        <v/>
      </c>
      <c r="AL35" s="374" t="s">
        <v>174</v>
      </c>
      <c r="AM35" s="142" t="str">
        <f t="shared" si="83"/>
        <v>+0.6x</v>
      </c>
      <c r="AN35" s="87">
        <f t="shared" si="84"/>
        <v>0.6</v>
      </c>
      <c r="AO35" s="11"/>
      <c r="AP35" s="582" t="str">
        <f t="array" ref="AP35:AQ35">{"",Inventory!Z35}</f>
        <v/>
      </c>
      <c r="AQ35" s="196" t="s">
        <v>215</v>
      </c>
      <c r="AR35" s="582" t="str">
        <f>Inventory!AA35</f>
        <v>Mythic</v>
      </c>
      <c r="AS35" s="582" t="str">
        <f>Inventory!AB35</f>
        <v>+10%</v>
      </c>
      <c r="AT35" s="582" t="str">
        <f t="shared" si="85"/>
        <v/>
      </c>
      <c r="AU35" s="374" t="s">
        <v>180</v>
      </c>
      <c r="AV35" s="142" t="str">
        <f t="shared" si="86"/>
        <v>+10%</v>
      </c>
      <c r="AW35" s="143">
        <f t="shared" si="87"/>
        <v>0.1</v>
      </c>
      <c r="AX35" s="11"/>
      <c r="AY35" s="582" t="str">
        <f t="array" ref="AY35:AZ35">{"",Inventory!AE35}</f>
        <v/>
      </c>
      <c r="AZ35" s="197" t="s">
        <v>215</v>
      </c>
      <c r="BA35" s="582" t="str">
        <f>Inventory!AF35</f>
        <v>Legendary</v>
      </c>
      <c r="BB35" s="582" t="str">
        <f>Inventory!AG35</f>
        <v>+8%</v>
      </c>
      <c r="BC35" s="582" t="str">
        <f t="shared" si="88"/>
        <v/>
      </c>
      <c r="BD35" s="374" t="s">
        <v>175</v>
      </c>
      <c r="BE35" s="142" t="str">
        <f t="shared" si="89"/>
        <v>+8%</v>
      </c>
      <c r="BF35" s="143">
        <f t="shared" si="90"/>
        <v>0.08</v>
      </c>
      <c r="BG35" s="11"/>
      <c r="BH35" s="582"/>
      <c r="BI35" s="582" t="str">
        <f t="array" ref="BI35:BJ35">{"",Inventory!AJ35}</f>
        <v/>
      </c>
      <c r="BJ35" s="145" t="s">
        <v>215</v>
      </c>
      <c r="BK35" s="582" t="str">
        <f>Inventory!AK35</f>
        <v>Legendary</v>
      </c>
      <c r="BL35" s="582" t="str">
        <f>Inventory!AL35</f>
        <v>+8%</v>
      </c>
      <c r="BM35" s="582" t="str">
        <f t="shared" si="91"/>
        <v/>
      </c>
      <c r="BN35" s="374" t="s">
        <v>175</v>
      </c>
      <c r="BO35" s="142" t="str">
        <f t="shared" si="92"/>
        <v>+8%</v>
      </c>
      <c r="BP35" s="143">
        <f t="shared" si="93"/>
        <v>0.08</v>
      </c>
      <c r="BQ35" s="582"/>
      <c r="BR35" s="582" t="str">
        <f t="array" ref="BR35:BS35">{"",Inventory!AO35}</f>
        <v/>
      </c>
      <c r="BS35" s="145"/>
      <c r="BT35" s="582" t="str">
        <f>Inventory!AP35</f>
        <v/>
      </c>
      <c r="BU35" s="582" t="str">
        <f>Inventory!AQ35</f>
        <v/>
      </c>
      <c r="BV35" s="582" t="str">
        <f t="shared" si="94"/>
        <v/>
      </c>
      <c r="BW35" s="374"/>
      <c r="BX35" s="142" t="str">
        <f t="shared" si="95"/>
        <v/>
      </c>
      <c r="BY35" s="143" t="str">
        <f t="shared" si="96"/>
        <v/>
      </c>
      <c r="BZ35" s="11"/>
    </row>
    <row r="36">
      <c r="B36" s="117"/>
      <c r="C36" s="582" t="str">
        <f t="array" ref="C36:D36">{"",Inventory!D36}</f>
        <v/>
      </c>
      <c r="D36" s="118"/>
      <c r="F36" s="582" t="str">
        <f t="array" ref="F36:G36">{"",Inventory!F36}</f>
        <v/>
      </c>
      <c r="G36" s="196"/>
      <c r="H36" s="582" t="str">
        <f>Inventory!G36</f>
        <v/>
      </c>
      <c r="I36" s="582" t="str">
        <f>Inventory!H36</f>
        <v/>
      </c>
      <c r="J36" s="582" t="str">
        <f t="shared" si="73"/>
        <v/>
      </c>
      <c r="K36" s="374"/>
      <c r="L36" s="142" t="str">
        <f t="shared" si="74"/>
        <v/>
      </c>
      <c r="M36" s="143" t="str">
        <f t="shared" si="75"/>
        <v/>
      </c>
      <c r="N36" s="11"/>
      <c r="O36" s="582" t="str">
        <f t="array" ref="O36:P36">{"",Inventory!K36}</f>
        <v/>
      </c>
      <c r="P36" s="196"/>
      <c r="Q36" s="582" t="str">
        <f>Inventory!L36</f>
        <v/>
      </c>
      <c r="R36" s="582" t="str">
        <f>Inventory!M36</f>
        <v/>
      </c>
      <c r="S36" s="582" t="str">
        <f t="shared" si="76"/>
        <v/>
      </c>
      <c r="T36" s="374"/>
      <c r="U36" s="142" t="str">
        <f t="shared" si="77"/>
        <v/>
      </c>
      <c r="V36" s="143" t="str">
        <f t="shared" si="78"/>
        <v/>
      </c>
      <c r="W36" s="11"/>
      <c r="X36" s="582" t="str">
        <f t="array" ref="X36:Y36">{"",Inventory!P36}</f>
        <v/>
      </c>
      <c r="Y36" s="197" t="s">
        <v>216</v>
      </c>
      <c r="Z36" s="582" t="str">
        <f>Inventory!Q36</f>
        <v>Ancestral</v>
      </c>
      <c r="AA36" s="582" t="str">
        <f>Inventory!R36</f>
        <v>+8%</v>
      </c>
      <c r="AB36" s="582" t="str">
        <f t="shared" si="79"/>
        <v/>
      </c>
      <c r="AC36" s="374" t="s">
        <v>174</v>
      </c>
      <c r="AD36" s="142" t="str">
        <f t="shared" si="80"/>
        <v>+8%</v>
      </c>
      <c r="AE36" s="143">
        <f t="shared" si="81"/>
        <v>0.08</v>
      </c>
      <c r="AF36" s="11"/>
      <c r="AG36" s="582" t="str">
        <f t="array" ref="AG36:AH36">{"",Inventory!U36}</f>
        <v/>
      </c>
      <c r="AH36" s="196" t="s">
        <v>217</v>
      </c>
      <c r="AI36" s="582" t="str">
        <f>Inventory!V36</f>
        <v>Ancestral</v>
      </c>
      <c r="AJ36" s="582" t="str">
        <f>Inventory!W36</f>
        <v>+8%</v>
      </c>
      <c r="AK36" s="582" t="str">
        <f t="shared" si="82"/>
        <v/>
      </c>
      <c r="AL36" s="374" t="s">
        <v>174</v>
      </c>
      <c r="AM36" s="142" t="str">
        <f t="shared" si="83"/>
        <v>+8%</v>
      </c>
      <c r="AN36" s="87">
        <f t="shared" si="84"/>
        <v>0.08</v>
      </c>
      <c r="AO36" s="11"/>
      <c r="AP36" s="582" t="str">
        <f t="array" ref="AP36:AQ36">{"",Inventory!Z36}</f>
        <v/>
      </c>
      <c r="AQ36" s="196" t="s">
        <v>218</v>
      </c>
      <c r="AR36" s="582" t="str">
        <f>Inventory!AA36</f>
        <v>Epic</v>
      </c>
      <c r="AS36" s="582" t="str">
        <f>Inventory!AB36</f>
        <v>+6%</v>
      </c>
      <c r="AT36" s="582" t="str">
        <f t="shared" si="85"/>
        <v/>
      </c>
      <c r="AU36" s="374" t="s">
        <v>176</v>
      </c>
      <c r="AV36" s="142" t="str">
        <f t="shared" si="86"/>
        <v>+6%</v>
      </c>
      <c r="AW36" s="143">
        <f t="shared" si="87"/>
        <v>0.06</v>
      </c>
      <c r="AX36" s="11"/>
      <c r="AY36" s="582" t="str">
        <f t="array" ref="AY36:AZ36">{"",Inventory!AE36}</f>
        <v/>
      </c>
      <c r="AZ36" s="197" t="s">
        <v>214</v>
      </c>
      <c r="BA36" s="582" t="str">
        <f>Inventory!AF36</f>
        <v>Mythic</v>
      </c>
      <c r="BB36" s="582" t="str">
        <f>Inventory!AG36</f>
        <v>+11%</v>
      </c>
      <c r="BC36" s="582" t="str">
        <f t="shared" si="88"/>
        <v/>
      </c>
      <c r="BD36" s="374" t="s">
        <v>180</v>
      </c>
      <c r="BE36" s="142" t="str">
        <f t="shared" si="89"/>
        <v>+11%</v>
      </c>
      <c r="BF36" s="143">
        <f t="shared" si="90"/>
        <v>0.11</v>
      </c>
      <c r="BG36" s="11"/>
      <c r="BH36" s="582"/>
      <c r="BI36" s="582" t="str">
        <f t="array" ref="BI36:BJ36">{"",Inventory!AJ36}</f>
        <v/>
      </c>
      <c r="BJ36" s="145" t="s">
        <v>219</v>
      </c>
      <c r="BK36" s="582" t="str">
        <f>Inventory!AK36</f>
        <v>Legendary</v>
      </c>
      <c r="BL36" s="582" t="str">
        <f>Inventory!AL36</f>
        <v>+8%</v>
      </c>
      <c r="BM36" s="582" t="str">
        <f t="shared" si="91"/>
        <v/>
      </c>
      <c r="BN36" s="374" t="s">
        <v>175</v>
      </c>
      <c r="BO36" s="142" t="str">
        <f t="shared" si="92"/>
        <v>+8%</v>
      </c>
      <c r="BP36" s="143">
        <f t="shared" si="93"/>
        <v>0.08</v>
      </c>
      <c r="BQ36" s="582"/>
      <c r="BR36" s="582" t="str">
        <f t="array" ref="BR36:BS36">{"",Inventory!AO36}</f>
        <v/>
      </c>
      <c r="BS36" s="145"/>
      <c r="BT36" s="582" t="str">
        <f>Inventory!AP36</f>
        <v/>
      </c>
      <c r="BU36" s="582" t="str">
        <f>Inventory!AQ36</f>
        <v/>
      </c>
      <c r="BV36" s="582" t="str">
        <f t="shared" si="94"/>
        <v/>
      </c>
      <c r="BW36" s="374"/>
      <c r="BX36" s="142" t="str">
        <f t="shared" si="95"/>
        <v/>
      </c>
      <c r="BY36" s="143" t="str">
        <f t="shared" si="96"/>
        <v/>
      </c>
      <c r="BZ36" s="11"/>
    </row>
    <row r="37">
      <c r="B37" s="117"/>
      <c r="C37" s="582" t="str">
        <f t="array" ref="C37:D37">{"",Inventory!D37}</f>
        <v/>
      </c>
      <c r="D37" s="118"/>
      <c r="F37" s="582" t="str">
        <f t="array" ref="F37:G37">{"",Inventory!F37}</f>
        <v/>
      </c>
      <c r="G37" s="196"/>
      <c r="H37" s="582" t="str">
        <f>Inventory!G37</f>
        <v/>
      </c>
      <c r="I37" s="582" t="str">
        <f>Inventory!H37</f>
        <v/>
      </c>
      <c r="J37" s="582" t="str">
        <f t="shared" si="73"/>
        <v/>
      </c>
      <c r="K37" s="374"/>
      <c r="L37" s="142" t="str">
        <f t="shared" si="74"/>
        <v/>
      </c>
      <c r="M37" s="143" t="str">
        <f t="shared" si="75"/>
        <v/>
      </c>
      <c r="N37" s="11"/>
      <c r="O37" s="582" t="str">
        <f t="array" ref="O37:P37">{"",Inventory!K37}</f>
        <v/>
      </c>
      <c r="P37" s="197"/>
      <c r="Q37" s="582" t="str">
        <f>Inventory!L37</f>
        <v/>
      </c>
      <c r="R37" s="582" t="str">
        <f>Inventory!M37</f>
        <v/>
      </c>
      <c r="S37" s="582" t="str">
        <f t="shared" si="76"/>
        <v/>
      </c>
      <c r="T37" s="374"/>
      <c r="U37" s="142" t="str">
        <f t="shared" si="77"/>
        <v/>
      </c>
      <c r="V37" s="143" t="str">
        <f t="shared" si="78"/>
        <v/>
      </c>
      <c r="W37" s="11"/>
      <c r="X37" s="582" t="str">
        <f t="array" ref="X37:Y37">{"",Inventory!P37}</f>
        <v/>
      </c>
      <c r="Y37" s="197" t="s">
        <v>214</v>
      </c>
      <c r="Z37" s="582" t="str">
        <f>Inventory!Q37</f>
        <v>Mythic</v>
      </c>
      <c r="AA37" s="582" t="str">
        <f>Inventory!R37</f>
        <v>+11%</v>
      </c>
      <c r="AB37" s="582" t="str">
        <f t="shared" si="79"/>
        <v/>
      </c>
      <c r="AC37" s="374" t="s">
        <v>180</v>
      </c>
      <c r="AD37" s="142" t="str">
        <f t="shared" si="80"/>
        <v>+11%</v>
      </c>
      <c r="AE37" s="143">
        <f t="shared" si="81"/>
        <v>0.11</v>
      </c>
      <c r="AF37" s="11"/>
      <c r="AG37" s="582" t="str">
        <f t="array" ref="AG37:AH37">{"",Inventory!U37}</f>
        <v/>
      </c>
      <c r="AH37" s="197" t="s">
        <v>214</v>
      </c>
      <c r="AI37" s="582" t="str">
        <f>Inventory!V37</f>
        <v>Epic</v>
      </c>
      <c r="AJ37" s="582" t="str">
        <f>Inventory!W37</f>
        <v>+5%</v>
      </c>
      <c r="AK37" s="582" t="str">
        <f t="shared" si="82"/>
        <v/>
      </c>
      <c r="AL37" s="374" t="s">
        <v>176</v>
      </c>
      <c r="AM37" s="142" t="str">
        <f t="shared" si="83"/>
        <v>+5%</v>
      </c>
      <c r="AN37" s="87">
        <f t="shared" si="84"/>
        <v>0.05</v>
      </c>
      <c r="AO37" s="11"/>
      <c r="AP37" s="582" t="str">
        <f t="array" ref="AP37:AQ37">{"",Inventory!Z37}</f>
        <v/>
      </c>
      <c r="AQ37" s="197" t="s">
        <v>214</v>
      </c>
      <c r="AR37" s="582" t="str">
        <f>Inventory!AA37</f>
        <v>Mythic</v>
      </c>
      <c r="AS37" s="582" t="str">
        <f>Inventory!AB37</f>
        <v>+11%</v>
      </c>
      <c r="AT37" s="582" t="str">
        <f t="shared" si="85"/>
        <v/>
      </c>
      <c r="AU37" s="374" t="s">
        <v>180</v>
      </c>
      <c r="AV37" s="142" t="str">
        <f t="shared" si="86"/>
        <v>+11%</v>
      </c>
      <c r="AW37" s="143">
        <f t="shared" si="87"/>
        <v>0.11</v>
      </c>
      <c r="AX37" s="11"/>
      <c r="AY37" s="582" t="str">
        <f t="array" ref="AY37:AZ37">{"",Inventory!AE37}</f>
        <v/>
      </c>
      <c r="AZ37" s="197"/>
      <c r="BA37" s="582" t="str">
        <f>Inventory!AF37</f>
        <v/>
      </c>
      <c r="BB37" s="582" t="str">
        <f>Inventory!AG37</f>
        <v/>
      </c>
      <c r="BC37" s="582" t="str">
        <f t="shared" si="88"/>
        <v/>
      </c>
      <c r="BD37" s="374"/>
      <c r="BE37" s="142" t="str">
        <f t="shared" si="89"/>
        <v/>
      </c>
      <c r="BF37" s="143" t="str">
        <f t="shared" si="90"/>
        <v/>
      </c>
      <c r="BG37" s="11"/>
      <c r="BH37" s="582"/>
      <c r="BI37" s="582" t="str">
        <f t="array" ref="BI37:BJ37">{"",Inventory!AJ37}</f>
        <v/>
      </c>
      <c r="BJ37" s="145"/>
      <c r="BK37" s="582" t="str">
        <f>Inventory!AK37</f>
        <v/>
      </c>
      <c r="BL37" s="582" t="str">
        <f>Inventory!AL37</f>
        <v/>
      </c>
      <c r="BM37" s="582" t="str">
        <f t="shared" si="91"/>
        <v/>
      </c>
      <c r="BN37" s="374"/>
      <c r="BO37" s="142" t="str">
        <f t="shared" si="92"/>
        <v/>
      </c>
      <c r="BP37" s="143" t="str">
        <f t="shared" si="93"/>
        <v/>
      </c>
      <c r="BQ37" s="582"/>
      <c r="BR37" s="582" t="str">
        <f t="array" ref="BR37:BS37">{"",Inventory!AO37}</f>
        <v/>
      </c>
      <c r="BS37" s="145"/>
      <c r="BT37" s="582" t="str">
        <f>Inventory!AP37</f>
        <v/>
      </c>
      <c r="BU37" s="582" t="str">
        <f>Inventory!AQ37</f>
        <v/>
      </c>
      <c r="BV37" s="582" t="str">
        <f t="shared" si="94"/>
        <v/>
      </c>
      <c r="BW37" s="374"/>
      <c r="BX37" s="142" t="str">
        <f t="shared" si="95"/>
        <v/>
      </c>
      <c r="BY37" s="143" t="str">
        <f t="shared" si="96"/>
        <v/>
      </c>
      <c r="BZ37" s="11"/>
    </row>
    <row r="38">
      <c r="B38" s="117"/>
      <c r="C38" s="582" t="str">
        <f t="array" ref="C38:D38">{"",Inventory!D38}</f>
        <v/>
      </c>
      <c r="D38" s="118"/>
      <c r="F38" s="582" t="str">
        <f t="array" ref="F38:G38">{"",Inventory!F38}</f>
        <v/>
      </c>
      <c r="G38" s="197"/>
      <c r="H38" s="582" t="str">
        <f>Inventory!G38</f>
        <v/>
      </c>
      <c r="I38" s="582" t="str">
        <f>Inventory!H38</f>
        <v/>
      </c>
      <c r="J38" s="582" t="str">
        <f t="shared" si="73"/>
        <v/>
      </c>
      <c r="K38" s="374"/>
      <c r="L38" s="142" t="str">
        <f t="shared" si="74"/>
        <v/>
      </c>
      <c r="M38" s="143" t="str">
        <f t="shared" si="75"/>
        <v/>
      </c>
      <c r="N38" s="11"/>
      <c r="O38" s="582" t="str">
        <f t="array" ref="O38:P38">{"",Inventory!K38}</f>
        <v/>
      </c>
      <c r="P38" s="197"/>
      <c r="Q38" s="582" t="str">
        <f>Inventory!L38</f>
        <v/>
      </c>
      <c r="R38" s="582" t="str">
        <f>Inventory!M38</f>
        <v/>
      </c>
      <c r="S38" s="582" t="str">
        <f t="shared" si="76"/>
        <v/>
      </c>
      <c r="T38" s="374"/>
      <c r="U38" s="142" t="str">
        <f t="shared" si="77"/>
        <v/>
      </c>
      <c r="V38" s="143" t="str">
        <f t="shared" si="78"/>
        <v/>
      </c>
      <c r="W38" s="11"/>
      <c r="X38" s="582" t="str">
        <f t="array" ref="X38:Y38">{"",Inventory!P38}</f>
        <v/>
      </c>
      <c r="Y38" s="197"/>
      <c r="Z38" s="582" t="str">
        <f>Inventory!Q38</f>
        <v/>
      </c>
      <c r="AA38" s="582" t="str">
        <f>Inventory!R38</f>
        <v/>
      </c>
      <c r="AB38" s="582" t="str">
        <f t="shared" si="79"/>
        <v/>
      </c>
      <c r="AC38" s="374"/>
      <c r="AD38" s="142" t="str">
        <f t="shared" si="80"/>
        <v/>
      </c>
      <c r="AE38" s="143" t="str">
        <f t="shared" si="81"/>
        <v/>
      </c>
      <c r="AF38" s="11"/>
      <c r="AG38" s="582" t="str">
        <f t="array" ref="AG38:AH38">{"",Inventory!U38}</f>
        <v/>
      </c>
      <c r="AH38" s="197"/>
      <c r="AI38" s="582" t="str">
        <f>Inventory!V38</f>
        <v/>
      </c>
      <c r="AJ38" s="582" t="str">
        <f>Inventory!W38</f>
        <v/>
      </c>
      <c r="AK38" s="582" t="str">
        <f t="shared" si="82"/>
        <v/>
      </c>
      <c r="AL38" s="374"/>
      <c r="AM38" s="142" t="str">
        <f t="shared" si="83"/>
        <v/>
      </c>
      <c r="AN38" s="87" t="str">
        <f t="shared" si="84"/>
        <v/>
      </c>
      <c r="AO38" s="11"/>
      <c r="AP38" s="582" t="str">
        <f t="array" ref="AP38:AQ38">{"",Inventory!Z38}</f>
        <v/>
      </c>
      <c r="AQ38" s="197"/>
      <c r="AR38" s="582" t="str">
        <f>Inventory!AA38</f>
        <v/>
      </c>
      <c r="AS38" s="582" t="str">
        <f>Inventory!AB38</f>
        <v/>
      </c>
      <c r="AT38" s="582" t="str">
        <f t="shared" si="85"/>
        <v/>
      </c>
      <c r="AU38" s="374"/>
      <c r="AV38" s="142" t="str">
        <f t="shared" si="86"/>
        <v/>
      </c>
      <c r="AW38" s="143" t="str">
        <f t="shared" si="87"/>
        <v/>
      </c>
      <c r="AX38" s="11"/>
      <c r="AY38" s="582" t="str">
        <f t="array" ref="AY38:AZ38">{"",Inventory!AE38}</f>
        <v/>
      </c>
      <c r="AZ38" s="197"/>
      <c r="BA38" s="582" t="str">
        <f>Inventory!AF38</f>
        <v/>
      </c>
      <c r="BB38" s="582" t="str">
        <f>Inventory!AG38</f>
        <v/>
      </c>
      <c r="BC38" s="582" t="str">
        <f t="shared" si="88"/>
        <v/>
      </c>
      <c r="BD38" s="374"/>
      <c r="BE38" s="142" t="str">
        <f t="shared" si="89"/>
        <v/>
      </c>
      <c r="BF38" s="143" t="str">
        <f t="shared" si="90"/>
        <v/>
      </c>
      <c r="BG38" s="11"/>
      <c r="BH38" s="582"/>
      <c r="BI38" s="582" t="str">
        <f t="array" ref="BI38:BJ38">{"",Inventory!AJ38}</f>
        <v/>
      </c>
      <c r="BJ38" s="145"/>
      <c r="BK38" s="582" t="str">
        <f>Inventory!AK38</f>
        <v/>
      </c>
      <c r="BL38" s="582" t="str">
        <f>Inventory!AL38</f>
        <v/>
      </c>
      <c r="BM38" s="582" t="str">
        <f t="shared" si="91"/>
        <v/>
      </c>
      <c r="BN38" s="374"/>
      <c r="BO38" s="142" t="str">
        <f t="shared" si="92"/>
        <v/>
      </c>
      <c r="BP38" s="143" t="str">
        <f t="shared" si="93"/>
        <v/>
      </c>
      <c r="BQ38" s="582"/>
      <c r="BR38" s="582" t="str">
        <f t="array" ref="BR38:BS38">{"",Inventory!AO38}</f>
        <v/>
      </c>
      <c r="BS38" s="145"/>
      <c r="BT38" s="582" t="str">
        <f>Inventory!AP38</f>
        <v/>
      </c>
      <c r="BU38" s="582" t="str">
        <f>Inventory!AQ38</f>
        <v/>
      </c>
      <c r="BV38" s="582" t="str">
        <f t="shared" si="94"/>
        <v/>
      </c>
      <c r="BW38" s="374"/>
      <c r="BX38" s="142" t="str">
        <f t="shared" si="95"/>
        <v/>
      </c>
      <c r="BY38" s="143" t="str">
        <f t="shared" si="96"/>
        <v/>
      </c>
      <c r="BZ38" s="11"/>
    </row>
    <row r="39">
      <c r="B39" s="117"/>
      <c r="C39" s="582" t="str">
        <f t="array" ref="C39:D39">{"",Inventory!D39}</f>
        <v/>
      </c>
      <c r="D39" s="118"/>
      <c r="F39" s="582" t="str">
        <f t="array" ref="F39:G39">{"",Inventory!F39}</f>
        <v/>
      </c>
      <c r="G39" s="197"/>
      <c r="H39" s="582" t="str">
        <f>Inventory!G39</f>
        <v/>
      </c>
      <c r="I39" s="582" t="str">
        <f>Inventory!H39</f>
        <v/>
      </c>
      <c r="J39" s="582" t="str">
        <f t="shared" si="73"/>
        <v/>
      </c>
      <c r="K39" s="374"/>
      <c r="L39" s="142" t="str">
        <f t="shared" si="74"/>
        <v/>
      </c>
      <c r="M39" s="143" t="str">
        <f t="shared" si="75"/>
        <v/>
      </c>
      <c r="N39" s="11"/>
      <c r="O39" s="582" t="str">
        <f t="array" ref="O39:P39">{"",Inventory!K39}</f>
        <v/>
      </c>
      <c r="P39" s="197"/>
      <c r="Q39" s="582" t="str">
        <f>Inventory!L39</f>
        <v/>
      </c>
      <c r="R39" s="582" t="str">
        <f>Inventory!M39</f>
        <v/>
      </c>
      <c r="S39" s="582" t="str">
        <f t="shared" si="76"/>
        <v/>
      </c>
      <c r="T39" s="374"/>
      <c r="U39" s="142" t="str">
        <f t="shared" si="77"/>
        <v/>
      </c>
      <c r="V39" s="143" t="str">
        <f t="shared" si="78"/>
        <v/>
      </c>
      <c r="W39" s="11"/>
      <c r="X39" s="582" t="str">
        <f t="array" ref="X39:Y39">{"",Inventory!P39}</f>
        <v/>
      </c>
      <c r="Y39" s="197"/>
      <c r="Z39" s="582" t="str">
        <f>Inventory!Q39</f>
        <v/>
      </c>
      <c r="AA39" s="582" t="str">
        <f>Inventory!R39</f>
        <v/>
      </c>
      <c r="AB39" s="582" t="str">
        <f t="shared" si="79"/>
        <v/>
      </c>
      <c r="AC39" s="374"/>
      <c r="AD39" s="142" t="str">
        <f t="shared" si="80"/>
        <v/>
      </c>
      <c r="AE39" s="143" t="str">
        <f t="shared" si="81"/>
        <v/>
      </c>
      <c r="AF39" s="11"/>
      <c r="AG39" s="582" t="str">
        <f t="array" ref="AG39:AH39">{"",Inventory!U39}</f>
        <v/>
      </c>
      <c r="AH39" s="197"/>
      <c r="AI39" s="582" t="str">
        <f>Inventory!V39</f>
        <v/>
      </c>
      <c r="AJ39" s="582" t="str">
        <f>Inventory!W39</f>
        <v/>
      </c>
      <c r="AK39" s="582" t="str">
        <f t="shared" si="82"/>
        <v/>
      </c>
      <c r="AL39" s="374"/>
      <c r="AM39" s="142" t="str">
        <f t="shared" si="83"/>
        <v/>
      </c>
      <c r="AN39" s="87" t="str">
        <f t="shared" si="84"/>
        <v/>
      </c>
      <c r="AO39" s="11"/>
      <c r="AP39" s="582" t="str">
        <f t="array" ref="AP39:AQ39">{"",Inventory!Z39}</f>
        <v/>
      </c>
      <c r="AQ39" s="197"/>
      <c r="AR39" s="582" t="str">
        <f>Inventory!AA39</f>
        <v/>
      </c>
      <c r="AS39" s="582" t="str">
        <f>Inventory!AB39</f>
        <v/>
      </c>
      <c r="AT39" s="582" t="str">
        <f t="shared" si="85"/>
        <v/>
      </c>
      <c r="AU39" s="374"/>
      <c r="AV39" s="142" t="str">
        <f t="shared" si="86"/>
        <v/>
      </c>
      <c r="AW39" s="143" t="str">
        <f t="shared" si="87"/>
        <v/>
      </c>
      <c r="AX39" s="11"/>
      <c r="AY39" s="582" t="str">
        <f t="array" ref="AY39:AZ39">{"",Inventory!AE39}</f>
        <v/>
      </c>
      <c r="AZ39" s="197"/>
      <c r="BA39" s="582" t="str">
        <f>Inventory!AF39</f>
        <v/>
      </c>
      <c r="BB39" s="582" t="str">
        <f>Inventory!AG39</f>
        <v/>
      </c>
      <c r="BC39" s="582" t="str">
        <f t="shared" si="88"/>
        <v/>
      </c>
      <c r="BD39" s="374"/>
      <c r="BE39" s="142" t="str">
        <f t="shared" si="89"/>
        <v/>
      </c>
      <c r="BF39" s="143" t="str">
        <f t="shared" si="90"/>
        <v/>
      </c>
      <c r="BG39" s="11"/>
      <c r="BH39" s="582"/>
      <c r="BI39" s="582" t="str">
        <f t="array" ref="BI39:BJ39">{"",Inventory!AJ39}</f>
        <v/>
      </c>
      <c r="BJ39" s="145"/>
      <c r="BK39" s="582" t="str">
        <f>Inventory!AK39</f>
        <v/>
      </c>
      <c r="BL39" s="582" t="str">
        <f>Inventory!AL39</f>
        <v/>
      </c>
      <c r="BM39" s="582" t="str">
        <f t="shared" si="91"/>
        <v/>
      </c>
      <c r="BN39" s="374"/>
      <c r="BO39" s="142" t="str">
        <f t="shared" si="92"/>
        <v/>
      </c>
      <c r="BP39" s="143" t="str">
        <f t="shared" si="93"/>
        <v/>
      </c>
      <c r="BQ39" s="582"/>
      <c r="BR39" s="582" t="str">
        <f t="array" ref="BR39:BS39">{"",Inventory!AO39}</f>
        <v/>
      </c>
      <c r="BS39" s="145"/>
      <c r="BT39" s="582" t="str">
        <f>Inventory!AP39</f>
        <v/>
      </c>
      <c r="BU39" s="582" t="str">
        <f>Inventory!AQ39</f>
        <v/>
      </c>
      <c r="BV39" s="582" t="str">
        <f t="shared" si="94"/>
        <v/>
      </c>
      <c r="BW39" s="374"/>
      <c r="BX39" s="142" t="str">
        <f t="shared" si="95"/>
        <v/>
      </c>
      <c r="BY39" s="143" t="str">
        <f t="shared" si="96"/>
        <v/>
      </c>
      <c r="BZ39" s="11"/>
    </row>
    <row r="40">
      <c r="A40" s="138"/>
      <c r="B40" s="117"/>
      <c r="C40" s="582" t="str">
        <f t="array" ref="C40:D40">{"",Inventory!D40}</f>
        <v/>
      </c>
      <c r="D40" s="118"/>
      <c r="F40" s="582" t="str">
        <f t="array" ref="F40:G40">{"",Inventory!F40}</f>
        <v/>
      </c>
      <c r="G40" s="198"/>
      <c r="H40" s="590" t="str">
        <f>Inventory!G40</f>
        <v/>
      </c>
      <c r="I40" s="590" t="str">
        <f>Inventory!H40</f>
        <v/>
      </c>
      <c r="J40" s="590" t="str">
        <f t="shared" si="73"/>
        <v/>
      </c>
      <c r="K40" s="592"/>
      <c r="L40" s="155" t="str">
        <f t="shared" si="74"/>
        <v/>
      </c>
      <c r="M40" s="143" t="str">
        <f t="shared" si="75"/>
        <v/>
      </c>
      <c r="N40" s="11"/>
      <c r="O40" s="582" t="str">
        <f t="array" ref="O40:P40">{"",Inventory!K40}</f>
        <v/>
      </c>
      <c r="P40" s="198"/>
      <c r="Q40" s="590" t="str">
        <f>Inventory!L40</f>
        <v/>
      </c>
      <c r="R40" s="590" t="str">
        <f>Inventory!M40</f>
        <v/>
      </c>
      <c r="S40" s="590" t="str">
        <f t="shared" si="76"/>
        <v/>
      </c>
      <c r="T40" s="592"/>
      <c r="U40" s="155" t="str">
        <f t="shared" si="77"/>
        <v/>
      </c>
      <c r="V40" s="143" t="str">
        <f t="shared" si="78"/>
        <v/>
      </c>
      <c r="W40" s="11"/>
      <c r="X40" s="582" t="str">
        <f t="array" ref="X40:Y40">{"",Inventory!P40}</f>
        <v/>
      </c>
      <c r="Y40" s="198"/>
      <c r="Z40" s="590" t="str">
        <f>Inventory!Q40</f>
        <v/>
      </c>
      <c r="AA40" s="590" t="str">
        <f>Inventory!R40</f>
        <v/>
      </c>
      <c r="AB40" s="590" t="str">
        <f t="shared" si="79"/>
        <v/>
      </c>
      <c r="AC40" s="592"/>
      <c r="AD40" s="155" t="str">
        <f t="shared" si="80"/>
        <v/>
      </c>
      <c r="AE40" s="143" t="str">
        <f t="shared" si="81"/>
        <v/>
      </c>
      <c r="AF40" s="11"/>
      <c r="AG40" s="582" t="str">
        <f t="array" ref="AG40:AH40">{"",Inventory!U40}</f>
        <v/>
      </c>
      <c r="AH40" s="198"/>
      <c r="AI40" s="590" t="str">
        <f>Inventory!V40</f>
        <v/>
      </c>
      <c r="AJ40" s="590" t="str">
        <f>Inventory!W40</f>
        <v/>
      </c>
      <c r="AK40" s="590" t="str">
        <f t="shared" si="82"/>
        <v/>
      </c>
      <c r="AL40" s="592"/>
      <c r="AM40" s="155" t="str">
        <f t="shared" si="83"/>
        <v/>
      </c>
      <c r="AN40" s="87" t="str">
        <f t="shared" si="84"/>
        <v/>
      </c>
      <c r="AO40" s="11"/>
      <c r="AP40" s="582" t="str">
        <f t="array" ref="AP40:AQ40">{"",Inventory!Z40}</f>
        <v/>
      </c>
      <c r="AQ40" s="198"/>
      <c r="AR40" s="590" t="str">
        <f>Inventory!AA40</f>
        <v/>
      </c>
      <c r="AS40" s="590" t="str">
        <f>Inventory!AB40</f>
        <v/>
      </c>
      <c r="AT40" s="590" t="str">
        <f t="shared" si="85"/>
        <v/>
      </c>
      <c r="AU40" s="592"/>
      <c r="AV40" s="155" t="str">
        <f t="shared" si="86"/>
        <v/>
      </c>
      <c r="AW40" s="143" t="str">
        <f t="shared" si="87"/>
        <v/>
      </c>
      <c r="AX40" s="11"/>
      <c r="AY40" s="582" t="str">
        <f t="array" ref="AY40:AZ40">{"",Inventory!AE40}</f>
        <v/>
      </c>
      <c r="AZ40" s="198"/>
      <c r="BA40" s="590" t="str">
        <f>Inventory!AF40</f>
        <v/>
      </c>
      <c r="BB40" s="590" t="str">
        <f>Inventory!AG40</f>
        <v/>
      </c>
      <c r="BC40" s="590" t="str">
        <f t="shared" si="88"/>
        <v/>
      </c>
      <c r="BD40" s="592"/>
      <c r="BE40" s="155" t="str">
        <f t="shared" si="89"/>
        <v/>
      </c>
      <c r="BF40" s="143" t="str">
        <f t="shared" si="90"/>
        <v/>
      </c>
      <c r="BG40" s="11"/>
      <c r="BH40" s="582"/>
      <c r="BI40" s="582" t="str">
        <f t="array" ref="BI40:BJ40">{"",Inventory!AJ40}</f>
        <v/>
      </c>
      <c r="BJ40" s="156"/>
      <c r="BK40" s="590" t="str">
        <f>Inventory!AK40</f>
        <v/>
      </c>
      <c r="BL40" s="590" t="str">
        <f>Inventory!AL40</f>
        <v/>
      </c>
      <c r="BM40" s="590" t="str">
        <f t="shared" si="91"/>
        <v/>
      </c>
      <c r="BN40" s="592"/>
      <c r="BO40" s="155" t="str">
        <f t="shared" si="92"/>
        <v/>
      </c>
      <c r="BP40" s="143" t="str">
        <f t="shared" si="93"/>
        <v/>
      </c>
      <c r="BQ40" s="582"/>
      <c r="BR40" s="582" t="str">
        <f t="array" ref="BR40:BS40">{"",Inventory!AO40}</f>
        <v/>
      </c>
      <c r="BS40" s="156"/>
      <c r="BT40" s="590" t="str">
        <f>Inventory!AP40</f>
        <v/>
      </c>
      <c r="BU40" s="590" t="str">
        <f>Inventory!AQ40</f>
        <v/>
      </c>
      <c r="BV40" s="590" t="str">
        <f t="shared" si="94"/>
        <v/>
      </c>
      <c r="BW40" s="592"/>
      <c r="BX40" s="155" t="str">
        <f t="shared" si="95"/>
        <v/>
      </c>
      <c r="BY40" s="143" t="str">
        <f t="shared" si="96"/>
        <v/>
      </c>
      <c r="BZ40" s="11"/>
    </row>
    <row r="41">
      <c r="A41" s="157"/>
      <c r="B41" s="117"/>
      <c r="C41" s="582" t="str">
        <f t="array" ref="C41:D41">{"",Inventory!D41}</f>
        <v/>
      </c>
      <c r="D41" s="118"/>
      <c r="F41" s="582"/>
      <c r="G41" s="159"/>
      <c r="H41" s="582"/>
      <c r="I41" s="582"/>
      <c r="J41" s="582"/>
      <c r="K41" s="159"/>
      <c r="L41" s="159"/>
      <c r="M41" s="160"/>
      <c r="N41" s="160"/>
      <c r="O41" s="582"/>
      <c r="P41" s="159"/>
      <c r="Q41" s="582"/>
      <c r="R41" s="582"/>
      <c r="S41" s="582"/>
      <c r="T41" s="159"/>
      <c r="U41" s="159"/>
      <c r="V41" s="160"/>
      <c r="W41" s="11"/>
      <c r="X41" s="582"/>
      <c r="Y41" s="11"/>
      <c r="Z41" s="582"/>
      <c r="AA41" s="582"/>
      <c r="AB41" s="582"/>
      <c r="AC41" s="11"/>
      <c r="AD41" s="11"/>
      <c r="AE41" s="160"/>
      <c r="AF41" s="11"/>
      <c r="AG41" s="582"/>
      <c r="AH41" s="159"/>
      <c r="AI41" s="582"/>
      <c r="AJ41" s="582"/>
      <c r="AK41" s="582"/>
      <c r="AL41" s="159"/>
      <c r="AM41" s="159"/>
      <c r="AN41" s="160"/>
      <c r="AO41" s="11"/>
      <c r="AP41" s="582"/>
      <c r="AQ41" s="11"/>
      <c r="AR41" s="582"/>
      <c r="AS41" s="582"/>
      <c r="AT41" s="582"/>
      <c r="AU41" s="11"/>
      <c r="AV41" s="11"/>
      <c r="AW41" s="160"/>
      <c r="AX41" s="11"/>
      <c r="AY41" s="582"/>
      <c r="AZ41" s="11"/>
      <c r="BA41" s="582"/>
      <c r="BB41" s="582"/>
      <c r="BC41" s="582"/>
      <c r="BD41" s="11"/>
      <c r="BE41" s="11"/>
      <c r="BF41" s="160"/>
      <c r="BG41" s="11"/>
      <c r="BH41" s="582"/>
      <c r="BI41" s="582"/>
      <c r="BJ41" s="11"/>
      <c r="BK41" s="582"/>
      <c r="BL41" s="582"/>
      <c r="BM41" s="582"/>
      <c r="BN41" s="11"/>
      <c r="BO41" s="11"/>
      <c r="BP41" s="160"/>
      <c r="BQ41" s="582"/>
      <c r="BR41" s="582"/>
      <c r="BS41" s="11"/>
      <c r="BT41" s="582"/>
      <c r="BU41" s="582"/>
      <c r="BV41" s="582"/>
      <c r="BW41" s="11"/>
      <c r="BX41" s="11"/>
      <c r="BY41" s="160"/>
      <c r="BZ41" s="11"/>
    </row>
    <row r="42">
      <c r="A42" s="115" t="s">
        <v>220</v>
      </c>
      <c r="B42" s="117"/>
      <c r="C42" s="582" t="str">
        <f t="array" ref="C42:D42">{"",Inventory!D42}</f>
        <v/>
      </c>
      <c r="D42" s="118"/>
      <c r="F42" s="582" t="str">
        <f t="array" ref="F42:G42">{"",Inventory!F42}</f>
        <v/>
      </c>
      <c r="G42" s="199" t="s">
        <v>221</v>
      </c>
      <c r="H42" s="120"/>
      <c r="I42" s="120"/>
      <c r="J42" s="120"/>
      <c r="K42" s="120"/>
      <c r="L42" s="121"/>
      <c r="M42" s="11"/>
      <c r="N42" s="11"/>
      <c r="O42" s="582" t="str">
        <f t="array" ref="O42:P42">{"",Inventory!K42}</f>
        <v/>
      </c>
      <c r="P42" s="199" t="s">
        <v>222</v>
      </c>
      <c r="Q42" s="120"/>
      <c r="R42" s="120"/>
      <c r="S42" s="120"/>
      <c r="T42" s="120"/>
      <c r="U42" s="121"/>
      <c r="V42" s="11"/>
      <c r="W42" s="11"/>
      <c r="X42" s="582" t="str">
        <f t="array" ref="X42:Y42">{"",Inventory!P42}</f>
        <v/>
      </c>
      <c r="Y42" s="199" t="s">
        <v>223</v>
      </c>
      <c r="Z42" s="120"/>
      <c r="AA42" s="120"/>
      <c r="AB42" s="120"/>
      <c r="AC42" s="120"/>
      <c r="AD42" s="121"/>
      <c r="AE42" s="11"/>
      <c r="AF42" s="11"/>
      <c r="AG42" s="582" t="str">
        <f t="array" ref="AG42:AH42">{"",Inventory!U42}</f>
        <v/>
      </c>
      <c r="AH42" s="199" t="s">
        <v>224</v>
      </c>
      <c r="AI42" s="120"/>
      <c r="AJ42" s="120"/>
      <c r="AK42" s="120"/>
      <c r="AL42" s="120"/>
      <c r="AM42" s="121"/>
      <c r="AN42" s="11"/>
      <c r="AO42" s="11"/>
      <c r="AP42" s="582" t="str">
        <f t="array" ref="AP42:AQ42">{"",Inventory!Z42}</f>
        <v/>
      </c>
      <c r="AQ42" s="199" t="s">
        <v>225</v>
      </c>
      <c r="AR42" s="120"/>
      <c r="AS42" s="120"/>
      <c r="AT42" s="120"/>
      <c r="AU42" s="120"/>
      <c r="AV42" s="121"/>
      <c r="AW42" s="11"/>
      <c r="AX42" s="11"/>
      <c r="AY42" s="582" t="str">
        <f t="array" ref="AY42:AZ42">{"",Inventory!AE42}</f>
        <v/>
      </c>
      <c r="AZ42" s="200" t="s">
        <v>226</v>
      </c>
      <c r="BA42" s="120"/>
      <c r="BB42" s="120"/>
      <c r="BC42" s="120"/>
      <c r="BD42" s="120"/>
      <c r="BE42" s="121"/>
      <c r="BF42" s="11"/>
      <c r="BG42" s="11"/>
      <c r="BH42" s="596"/>
      <c r="BI42" s="596" t="str">
        <f t="array" ref="BI42:BJ42">{"",Inventory!AJ42}</f>
        <v/>
      </c>
      <c r="BJ42" s="201" t="s">
        <v>167</v>
      </c>
      <c r="BK42" s="120"/>
      <c r="BL42" s="120"/>
      <c r="BM42" s="120"/>
      <c r="BN42" s="120"/>
      <c r="BO42" s="121"/>
      <c r="BP42" s="11"/>
      <c r="BQ42" s="582"/>
      <c r="BR42" s="582" t="str">
        <f t="array" ref="BR42:BS42">{"",Inventory!AO42}</f>
        <v/>
      </c>
      <c r="BS42" s="201" t="s">
        <v>168</v>
      </c>
      <c r="BT42" s="120"/>
      <c r="BU42" s="120"/>
      <c r="BV42" s="120"/>
      <c r="BW42" s="120"/>
      <c r="BX42" s="121"/>
      <c r="BY42" s="11"/>
      <c r="BZ42" s="11"/>
    </row>
    <row r="43">
      <c r="B43" s="117"/>
      <c r="C43" s="582" t="str">
        <f t="array" ref="C43:D43">{"",Inventory!D43}</f>
        <v/>
      </c>
      <c r="D43" s="202" t="s">
        <v>169</v>
      </c>
      <c r="F43" s="582" t="str">
        <f t="array" ref="F43:G43">{"",Inventory!F43}</f>
        <v/>
      </c>
      <c r="G43" s="203" t="s">
        <v>170</v>
      </c>
      <c r="H43" s="582" t="str">
        <f>Inventory!G43</f>
        <v>Level</v>
      </c>
      <c r="I43" s="582" t="str">
        <f>Inventory!H43</f>
        <v>Stat</v>
      </c>
      <c r="J43" s="582" t="str">
        <f t="shared" ref="J43:J44" si="97">{"",H43}</f>
        <v>#REF!</v>
      </c>
      <c r="K43" s="204" t="s">
        <v>134</v>
      </c>
      <c r="L43" s="205" t="s">
        <v>171</v>
      </c>
      <c r="M43" s="11"/>
      <c r="N43" s="11"/>
      <c r="O43" s="582" t="str">
        <f t="array" ref="O43:P43">{"",Inventory!K43}</f>
        <v/>
      </c>
      <c r="P43" s="203" t="s">
        <v>170</v>
      </c>
      <c r="Q43" s="582" t="str">
        <f>Inventory!L43</f>
        <v>Level</v>
      </c>
      <c r="R43" s="582" t="str">
        <f>Inventory!M43</f>
        <v>Stat</v>
      </c>
      <c r="S43" s="582" t="str">
        <f t="shared" ref="S43:S44" si="98">{"",Q43}</f>
        <v>#REF!</v>
      </c>
      <c r="T43" s="204" t="s">
        <v>134</v>
      </c>
      <c r="U43" s="205" t="s">
        <v>171</v>
      </c>
      <c r="V43" s="11"/>
      <c r="W43" s="11"/>
      <c r="X43" s="582" t="str">
        <f t="array" ref="X43:Y43">{"",Inventory!P43}</f>
        <v/>
      </c>
      <c r="Y43" s="203" t="s">
        <v>170</v>
      </c>
      <c r="Z43" s="582" t="str">
        <f>Inventory!Q43</f>
        <v>Level</v>
      </c>
      <c r="AA43" s="582" t="str">
        <f>Inventory!R43</f>
        <v>Stat</v>
      </c>
      <c r="AB43" s="582" t="str">
        <f t="shared" ref="AB43:AB44" si="99">{"",Z43}</f>
        <v/>
      </c>
      <c r="AC43" s="204" t="s">
        <v>134</v>
      </c>
      <c r="AD43" s="205" t="s">
        <v>171</v>
      </c>
      <c r="AE43" s="11"/>
      <c r="AF43" s="11"/>
      <c r="AG43" s="582" t="str">
        <f t="array" ref="AG43:AH43">{"",Inventory!U43}</f>
        <v/>
      </c>
      <c r="AH43" s="203" t="s">
        <v>170</v>
      </c>
      <c r="AI43" s="582" t="str">
        <f>Inventory!V43</f>
        <v>Level</v>
      </c>
      <c r="AJ43" s="582" t="str">
        <f>Inventory!W43</f>
        <v>Stat</v>
      </c>
      <c r="AK43" s="582" t="str">
        <f t="shared" ref="AK43:AK44" si="100">{"",AI43}</f>
        <v>#REF!</v>
      </c>
      <c r="AL43" s="204" t="s">
        <v>134</v>
      </c>
      <c r="AM43" s="205" t="s">
        <v>171</v>
      </c>
      <c r="AN43" s="11"/>
      <c r="AO43" s="11"/>
      <c r="AP43" s="582" t="str">
        <f t="array" ref="AP43:AQ43">{"",Inventory!Z43}</f>
        <v/>
      </c>
      <c r="AQ43" s="203" t="s">
        <v>170</v>
      </c>
      <c r="AR43" s="582" t="str">
        <f>Inventory!AA43</f>
        <v>Level</v>
      </c>
      <c r="AS43" s="582" t="str">
        <f>Inventory!AB43</f>
        <v>Stat</v>
      </c>
      <c r="AT43" s="582" t="str">
        <f t="shared" ref="AT43:AT44" si="101">{"",AR43}</f>
        <v/>
      </c>
      <c r="AU43" s="204" t="s">
        <v>134</v>
      </c>
      <c r="AV43" s="205" t="s">
        <v>171</v>
      </c>
      <c r="AW43" s="11"/>
      <c r="AX43" s="11"/>
      <c r="AY43" s="582" t="str">
        <f t="array" ref="AY43:AZ43">{"",Inventory!AE43}</f>
        <v/>
      </c>
      <c r="AZ43" s="203" t="s">
        <v>170</v>
      </c>
      <c r="BA43" s="582" t="str">
        <f>Inventory!AF43</f>
        <v>Level</v>
      </c>
      <c r="BB43" s="582" t="str">
        <f>Inventory!AG43</f>
        <v>Stat</v>
      </c>
      <c r="BC43" s="582" t="str">
        <f t="array" ref="BC43:BD43">{"",BA43}</f>
        <v/>
      </c>
      <c r="BD43" s="204" t="s">
        <v>134</v>
      </c>
      <c r="BE43" s="205" t="s">
        <v>171</v>
      </c>
      <c r="BF43" s="11"/>
      <c r="BG43" s="11"/>
      <c r="BH43" s="582"/>
      <c r="BI43" s="582" t="str">
        <f t="array" ref="BI43:BJ43">{"",Inventory!AJ43}</f>
        <v/>
      </c>
      <c r="BJ43" s="203" t="s">
        <v>170</v>
      </c>
      <c r="BK43" s="582" t="str">
        <f>Inventory!AK43</f>
        <v>Level</v>
      </c>
      <c r="BL43" s="582" t="str">
        <f>Inventory!AL43</f>
        <v>Stat</v>
      </c>
      <c r="BM43" s="582" t="str">
        <f t="shared" ref="BM43:BM44" si="102">{"",BK43}</f>
        <v/>
      </c>
      <c r="BN43" s="204" t="s">
        <v>134</v>
      </c>
      <c r="BO43" s="206" t="s">
        <v>171</v>
      </c>
      <c r="BP43" s="11"/>
      <c r="BQ43" s="582"/>
      <c r="BR43" s="582" t="str">
        <f t="array" ref="BR43:BS43">{"",Inventory!AO43}</f>
        <v/>
      </c>
      <c r="BS43" s="203" t="s">
        <v>170</v>
      </c>
      <c r="BT43" s="582" t="str">
        <f>Inventory!AP43</f>
        <v>Level</v>
      </c>
      <c r="BU43" s="582" t="str">
        <f>Inventory!AQ43</f>
        <v>Stat</v>
      </c>
      <c r="BV43" s="582" t="str">
        <f t="shared" ref="BV43:BV44" si="103">{"",BT43}</f>
        <v/>
      </c>
      <c r="BW43" s="204" t="s">
        <v>134</v>
      </c>
      <c r="BX43" s="206" t="s">
        <v>171</v>
      </c>
      <c r="BY43" s="11"/>
      <c r="BZ43" s="11"/>
    </row>
    <row r="44">
      <c r="B44" s="117"/>
      <c r="C44" s="582" t="str">
        <f t="array" ref="C44:D44">{"",Inventory!D44}</f>
        <v/>
      </c>
      <c r="D44" s="208">
        <v>159.0</v>
      </c>
      <c r="F44" s="582" t="str">
        <f t="array" ref="F44:G44">{"",Inventory!F44}</f>
        <v/>
      </c>
      <c r="G44" s="209" t="s">
        <v>195</v>
      </c>
      <c r="H44" s="582">
        <f>Inventory!G44</f>
        <v>159</v>
      </c>
      <c r="I44" s="583">
        <f>Inventory!H44</f>
        <v>11.692</v>
      </c>
      <c r="J44" s="582" t="str">
        <f t="shared" si="97"/>
        <v>#REF!</v>
      </c>
      <c r="K44" s="210">
        <f>CAP_MOD_LEVEL($D44,G44)</f>
        <v>159</v>
      </c>
      <c r="L44" s="211">
        <f>IF(G44="None",1,MODSTAT_CORE(G44,K44))</f>
        <v>11.692</v>
      </c>
      <c r="M44" s="11"/>
      <c r="N44" s="11"/>
      <c r="O44" s="582" t="str">
        <f t="array" ref="O44:P44">{"",Inventory!K44}</f>
        <v/>
      </c>
      <c r="P44" s="209" t="s">
        <v>174</v>
      </c>
      <c r="Q44" s="582">
        <f>Inventory!L44</f>
        <v>159</v>
      </c>
      <c r="R44" s="583">
        <f>Inventory!M44</f>
        <v>10.9</v>
      </c>
      <c r="S44" s="582" t="str">
        <f t="shared" si="98"/>
        <v>#REF!</v>
      </c>
      <c r="T44" s="210">
        <f>CAP_MOD_LEVEL($D44,P44)</f>
        <v>159</v>
      </c>
      <c r="U44" s="211">
        <f>IF(P44="None",1,MODSTAT_CORE(P44,T44))</f>
        <v>10.9</v>
      </c>
      <c r="V44" s="11"/>
      <c r="W44" s="11"/>
      <c r="X44" s="582" t="str">
        <f t="array" ref="X44:Y44">{"",Inventory!P44}</f>
        <v/>
      </c>
      <c r="Y44" s="209" t="s">
        <v>228</v>
      </c>
      <c r="Z44" s="582">
        <f>Inventory!Q44</f>
        <v>159</v>
      </c>
      <c r="AA44" s="583">
        <f>Inventory!R44</f>
        <v>12.88</v>
      </c>
      <c r="AB44" s="582" t="str">
        <f t="shared" si="99"/>
        <v>#REF!</v>
      </c>
      <c r="AC44" s="210">
        <f>CAP_MOD_LEVEL($D44,Y44)</f>
        <v>159</v>
      </c>
      <c r="AD44" s="211">
        <f>IF(Y44="None",1,MODSTAT_CORE(Y44,AC44))</f>
        <v>12.88</v>
      </c>
      <c r="AE44" s="11"/>
      <c r="AF44" s="11"/>
      <c r="AG44" s="582" t="str">
        <f t="array" ref="AG44:AH44">{"",Inventory!U44}</f>
        <v/>
      </c>
      <c r="AH44" s="209" t="s">
        <v>174</v>
      </c>
      <c r="AI44" s="582">
        <f>Inventory!V44</f>
        <v>159</v>
      </c>
      <c r="AJ44" s="583">
        <f>Inventory!W44</f>
        <v>10.9</v>
      </c>
      <c r="AK44" s="582" t="str">
        <f t="shared" si="100"/>
        <v>#REF!</v>
      </c>
      <c r="AL44" s="210">
        <f>CAP_MOD_LEVEL($D44,AH44)</f>
        <v>159</v>
      </c>
      <c r="AM44" s="211">
        <f>IF(AH44="None",1,MODSTAT_CORE(AH44,AL44))</f>
        <v>10.9</v>
      </c>
      <c r="AN44" s="11"/>
      <c r="AO44" s="11"/>
      <c r="AP44" s="582" t="str">
        <f t="array" ref="AP44:AQ44">{"",Inventory!Z44}</f>
        <v/>
      </c>
      <c r="AQ44" s="209" t="s">
        <v>174</v>
      </c>
      <c r="AR44" s="582">
        <f>Inventory!AA44</f>
        <v>159</v>
      </c>
      <c r="AS44" s="583">
        <f>Inventory!AB44</f>
        <v>10.9</v>
      </c>
      <c r="AT44" s="582" t="str">
        <f t="shared" si="101"/>
        <v>#REF!</v>
      </c>
      <c r="AU44" s="210">
        <f>CAP_MOD_LEVEL($D44,AQ44)</f>
        <v>159</v>
      </c>
      <c r="AV44" s="211">
        <f>IF(AQ44="None",1,MODSTAT_CORE(AQ44,AU44))</f>
        <v>10.9</v>
      </c>
      <c r="AW44" s="11"/>
      <c r="AX44" s="11"/>
      <c r="AY44" s="582" t="str">
        <f t="array" ref="AY44:AZ44">{"",Inventory!AE44}</f>
        <v/>
      </c>
      <c r="AZ44" s="209" t="s">
        <v>195</v>
      </c>
      <c r="BA44" s="582">
        <f>Inventory!AF44</f>
        <v>159</v>
      </c>
      <c r="BB44" s="583">
        <f>Inventory!AG44</f>
        <v>11.692</v>
      </c>
      <c r="BC44" s="582"/>
      <c r="BD44" s="210">
        <f>CAP_MOD_LEVEL($D44,AZ44)</f>
        <v>159</v>
      </c>
      <c r="BE44" s="211">
        <f>IF(AZ44="None",1,MODSTAT_CORE(AZ44,BD44))</f>
        <v>11.692</v>
      </c>
      <c r="BF44" s="11"/>
      <c r="BG44" s="11"/>
      <c r="BH44" s="582"/>
      <c r="BI44" s="582" t="str">
        <f t="array" ref="BI44:BJ44">{"",Inventory!AJ44}</f>
        <v/>
      </c>
      <c r="BJ44" s="132" t="s">
        <v>176</v>
      </c>
      <c r="BK44" s="582">
        <f>Inventory!AK44</f>
        <v>60</v>
      </c>
      <c r="BL44" s="583">
        <f>Inventory!AL44</f>
        <v>2.17</v>
      </c>
      <c r="BM44" s="582" t="str">
        <f t="shared" si="102"/>
        <v>#REF!</v>
      </c>
      <c r="BN44" s="133">
        <f>CAP_MOD_LEVEL($D44,BJ44)</f>
        <v>60</v>
      </c>
      <c r="BO44" s="193">
        <f>IF(BJ44="None",1,MODSTAT_CORE(BJ44,BN44))</f>
        <v>2.17</v>
      </c>
      <c r="BP44" s="11"/>
      <c r="BQ44" s="582"/>
      <c r="BR44" s="582" t="str">
        <f t="array" ref="BR44:BS44">{"",Inventory!AO44}</f>
        <v/>
      </c>
      <c r="BS44" s="132" t="s">
        <v>177</v>
      </c>
      <c r="BT44" s="582">
        <f>Inventory!AP44</f>
        <v>20</v>
      </c>
      <c r="BU44" s="583">
        <f>Inventory!AQ44</f>
        <v>1.23</v>
      </c>
      <c r="BV44" s="582" t="str">
        <f t="shared" si="103"/>
        <v>#REF!</v>
      </c>
      <c r="BW44" s="133">
        <f>CAP_MOD_LEVEL($D44,BS44)</f>
        <v>20</v>
      </c>
      <c r="BX44" s="193">
        <f>IF(BS44="None",1,MODSTAT_CORE(BS44,BW44))</f>
        <v>1.23</v>
      </c>
      <c r="BY44" s="11"/>
      <c r="BZ44" s="11"/>
    </row>
    <row r="45">
      <c r="B45" s="117"/>
      <c r="C45" s="582" t="str">
        <f t="array" ref="C45:D45">{"",Inventory!D45}</f>
        <v/>
      </c>
      <c r="D45" s="118"/>
      <c r="F45" s="582" t="str">
        <f t="array" ref="F45:G45">{"",Inventory!F45}</f>
        <v/>
      </c>
      <c r="G45" s="597"/>
      <c r="H45" s="29"/>
      <c r="I45" s="29"/>
      <c r="J45" s="29"/>
      <c r="K45" s="29"/>
      <c r="L45" s="136"/>
      <c r="M45" s="11"/>
      <c r="N45" s="11"/>
      <c r="O45" s="582" t="str">
        <f t="array" ref="O45:P45">{"",Inventory!K45}</f>
        <v/>
      </c>
      <c r="P45" s="212"/>
      <c r="Q45" s="29"/>
      <c r="R45" s="29"/>
      <c r="S45" s="29"/>
      <c r="T45" s="29"/>
      <c r="U45" s="136"/>
      <c r="V45" s="11"/>
      <c r="W45" s="11"/>
      <c r="X45" s="582" t="str">
        <f t="array" ref="X45:Y45">{"",Inventory!P45}</f>
        <v/>
      </c>
      <c r="Y45" s="212"/>
      <c r="Z45" s="29"/>
      <c r="AA45" s="29"/>
      <c r="AB45" s="29"/>
      <c r="AC45" s="29"/>
      <c r="AD45" s="136"/>
      <c r="AE45" s="11"/>
      <c r="AF45" s="11"/>
      <c r="AG45" s="582" t="str">
        <f t="array" ref="AG45:AH45">{"",Inventory!U45}</f>
        <v/>
      </c>
      <c r="AH45" s="212"/>
      <c r="AI45" s="29"/>
      <c r="AJ45" s="29"/>
      <c r="AK45" s="29"/>
      <c r="AL45" s="29"/>
      <c r="AM45" s="136"/>
      <c r="AN45" s="11"/>
      <c r="AO45" s="11"/>
      <c r="AP45" s="582" t="str">
        <f t="array" ref="AP45:AQ45">{"",Inventory!Z45}</f>
        <v/>
      </c>
      <c r="AQ45" s="212"/>
      <c r="AR45" s="29"/>
      <c r="AS45" s="29"/>
      <c r="AT45" s="29"/>
      <c r="AU45" s="29"/>
      <c r="AV45" s="136"/>
      <c r="AW45" s="11"/>
      <c r="AX45" s="11"/>
      <c r="AY45" s="582" t="str">
        <f t="array" ref="AY45:AZ45">{"",Inventory!AE45}</f>
        <v/>
      </c>
      <c r="AZ45" s="212"/>
      <c r="BA45" s="29"/>
      <c r="BB45" s="29"/>
      <c r="BC45" s="29"/>
      <c r="BD45" s="29"/>
      <c r="BE45" s="136"/>
      <c r="BF45" s="11"/>
      <c r="BG45" s="11"/>
      <c r="BH45" s="582"/>
      <c r="BI45" s="582" t="str">
        <f t="array" ref="BI45:BJ45">{"",Inventory!AJ45}</f>
        <v/>
      </c>
      <c r="BJ45" s="137"/>
      <c r="BK45" s="138"/>
      <c r="BL45" s="138"/>
      <c r="BM45" s="138"/>
      <c r="BN45" s="138"/>
      <c r="BO45" s="139"/>
      <c r="BP45" s="11"/>
      <c r="BQ45" s="582"/>
      <c r="BR45" s="582" t="str">
        <f t="array" ref="BR45:BS45">{"",Inventory!AO45}</f>
        <v/>
      </c>
      <c r="BS45" s="137"/>
      <c r="BT45" s="582"/>
      <c r="BU45" s="582" t="str">
        <f>Inventory!AQ45</f>
        <v/>
      </c>
      <c r="BV45" s="582"/>
      <c r="BW45" s="584"/>
      <c r="BX45" s="585"/>
      <c r="BY45" s="11"/>
      <c r="BZ45" s="11"/>
    </row>
    <row r="46">
      <c r="B46" s="117"/>
      <c r="C46" s="582" t="str">
        <f t="array" ref="C46:D46">{"",Inventory!D46}</f>
        <v/>
      </c>
      <c r="D46" s="202" t="s">
        <v>178</v>
      </c>
      <c r="F46" s="582" t="str">
        <f t="array" ref="F46:G46">{"",Inventory!F46}</f>
        <v/>
      </c>
      <c r="G46" s="213" t="s">
        <v>229</v>
      </c>
      <c r="H46" s="582" t="str">
        <f>Inventory!G46</f>
        <v>Legendary</v>
      </c>
      <c r="I46" s="582" t="str">
        <f>Inventory!H46</f>
        <v>+1</v>
      </c>
      <c r="J46" s="582" t="str">
        <f t="shared" ref="J46:J53" si="104">{"",H46}</f>
        <v/>
      </c>
      <c r="K46" s="586" t="s">
        <v>175</v>
      </c>
      <c r="L46" s="142" t="str">
        <f t="shared" ref="L46:L53" si="105">MOD_SUBSTAT_LOOKUP(G46,K46,1)</f>
        <v>+1</v>
      </c>
      <c r="M46" s="143">
        <f t="shared" ref="M46:M53" si="106">IF(ISBLANK(G46), "", MOD_SUBSTAT_LOOKUP(G46,K46,0))</f>
        <v>1</v>
      </c>
      <c r="N46" s="11"/>
      <c r="O46" s="582" t="str">
        <f t="array" ref="O46:P46">{"",Inventory!K46}</f>
        <v/>
      </c>
      <c r="P46" s="213" t="s">
        <v>230</v>
      </c>
      <c r="Q46" s="582" t="str">
        <f>Inventory!L46</f>
        <v>Mythic</v>
      </c>
      <c r="R46" s="582" t="str">
        <f>Inventory!M46</f>
        <v>+12%</v>
      </c>
      <c r="S46" s="582" t="str">
        <f t="shared" ref="S46:S53" si="107">{"",Q46}</f>
        <v/>
      </c>
      <c r="T46" s="586" t="s">
        <v>180</v>
      </c>
      <c r="U46" s="142" t="str">
        <f t="shared" ref="U46:U53" si="108">MOD_SUBSTAT_LOOKUP(P46,T46,1)</f>
        <v>+12%</v>
      </c>
      <c r="V46" s="143">
        <f t="shared" ref="V46:V53" si="109">IF(ISBLANK(P46), "", MOD_SUBSTAT_LOOKUP(P46,T46,0))</f>
        <v>0.12</v>
      </c>
      <c r="W46" s="11"/>
      <c r="X46" s="582" t="str">
        <f t="array" ref="X46:Y46">{"",Inventory!P46}</f>
        <v/>
      </c>
      <c r="Y46" s="214"/>
      <c r="Z46" s="582" t="str">
        <f>Inventory!Q46</f>
        <v/>
      </c>
      <c r="AA46" s="582" t="str">
        <f>Inventory!R46</f>
        <v/>
      </c>
      <c r="AB46" s="582" t="str">
        <f t="shared" ref="AB46:AB53" si="110">{"",Z46}</f>
        <v/>
      </c>
      <c r="AC46" s="586"/>
      <c r="AD46" s="142" t="str">
        <f t="shared" ref="AD46:AD53" si="111">MOD_SUBSTAT_LOOKUP(Y46,AC46,1)</f>
        <v/>
      </c>
      <c r="AE46" s="143" t="str">
        <f t="shared" ref="AE46:AE53" si="112">IF(ISBLANK(Y46), "", MOD_SUBSTAT_LOOKUP(Y46,AC46,0))</f>
        <v/>
      </c>
      <c r="AF46" s="11"/>
      <c r="AG46" s="582" t="str">
        <f t="array" ref="AG46:AH46">{"",Inventory!U46}</f>
        <v/>
      </c>
      <c r="AH46" s="213" t="s">
        <v>231</v>
      </c>
      <c r="AI46" s="582" t="str">
        <f>Inventory!V46</f>
        <v>Mythic</v>
      </c>
      <c r="AJ46" s="582" t="str">
        <f>Inventory!W46</f>
        <v>+7s</v>
      </c>
      <c r="AK46" s="582" t="str">
        <f t="shared" ref="AK46:AK53" si="113">{"",AI46}</f>
        <v/>
      </c>
      <c r="AL46" s="586" t="s">
        <v>180</v>
      </c>
      <c r="AM46" s="142" t="str">
        <f t="shared" ref="AM46:AM53" si="114">MOD_SUBSTAT_LOOKUP(AH46,AL46,1)</f>
        <v>+7s</v>
      </c>
      <c r="AN46" s="143">
        <f t="shared" ref="AN46:AN53" si="115">IF(ISBLANK(AH46), "", MOD_SUBSTAT_LOOKUP(AH46,AL46,0))</f>
        <v>7</v>
      </c>
      <c r="AO46" s="11"/>
      <c r="AP46" s="582" t="str">
        <f t="array" ref="AP46:AQ46">{"",Inventory!Z46}</f>
        <v/>
      </c>
      <c r="AQ46" s="214"/>
      <c r="AR46" s="582" t="str">
        <f>Inventory!AA46</f>
        <v/>
      </c>
      <c r="AS46" s="582" t="str">
        <f>Inventory!AB46</f>
        <v/>
      </c>
      <c r="AT46" s="582" t="str">
        <f t="shared" ref="AT46:AT53" si="116">{"",AR46}</f>
        <v/>
      </c>
      <c r="AU46" s="586"/>
      <c r="AV46" s="142" t="str">
        <f t="shared" ref="AV46:AV53" si="117">MOD_SUBSTAT_LOOKUP(AQ46,AU46,1)</f>
        <v/>
      </c>
      <c r="AW46" s="143" t="str">
        <f t="shared" ref="AW46:AW53" si="118">IF(ISBLANK(AQ46), "", MOD_SUBSTAT_LOOKUP(AQ46,AU46,0))</f>
        <v/>
      </c>
      <c r="AX46" s="11"/>
      <c r="AY46" s="582" t="str">
        <f t="array" ref="AY46:AZ46">{"",Inventory!AE46}</f>
        <v/>
      </c>
      <c r="AZ46" s="214" t="s">
        <v>232</v>
      </c>
      <c r="BA46" s="582" t="str">
        <f>Inventory!AF46</f>
        <v>Ancestral</v>
      </c>
      <c r="BB46" s="582" t="str">
        <f>Inventory!AG46</f>
        <v>+4s</v>
      </c>
      <c r="BC46" s="582" t="str">
        <f t="shared" ref="BC46:BC53" si="119">{"",BA46}</f>
        <v/>
      </c>
      <c r="BD46" s="586" t="s">
        <v>174</v>
      </c>
      <c r="BE46" s="142" t="str">
        <f t="shared" ref="BE46:BE53" si="120">MOD_SUBSTAT_LOOKUP(AZ46,BD46,1)</f>
        <v>+4s</v>
      </c>
      <c r="BF46" s="143">
        <f t="shared" ref="BF46:BF53" si="121">IF(ISBLANK(AZ46), "", MOD_SUBSTAT_LOOKUP(AZ46,BD46,0))</f>
        <v>4</v>
      </c>
      <c r="BG46" s="11"/>
      <c r="BH46" s="582"/>
      <c r="BI46" s="582" t="str">
        <f t="array" ref="BI46:BJ46">{"",Inventory!AJ46}</f>
        <v/>
      </c>
      <c r="BJ46" s="145"/>
      <c r="BK46" s="582" t="str">
        <f>Inventory!AK46</f>
        <v/>
      </c>
      <c r="BL46" s="582" t="str">
        <f>Inventory!AL46</f>
        <v/>
      </c>
      <c r="BM46" s="582" t="str">
        <f t="shared" ref="BM46:BM53" si="122">{"",BK46}</f>
        <v/>
      </c>
      <c r="BN46" s="587"/>
      <c r="BO46" s="588" t="str">
        <f t="shared" ref="BO46:BO53" si="123">MOD_SUBSTAT_LOOKUP(BJ46,BN46,1)</f>
        <v/>
      </c>
      <c r="BP46" s="143" t="str">
        <f t="shared" ref="BP46:BP53" si="124">IF(ISBLANK(BJ46), "", MOD_SUBSTAT_LOOKUP(BJ46,BN46,0))</f>
        <v/>
      </c>
      <c r="BQ46" s="582"/>
      <c r="BR46" s="582" t="str">
        <f t="array" ref="BR46:BS46">{"",Inventory!AO46}</f>
        <v/>
      </c>
      <c r="BS46" s="147"/>
      <c r="BT46" s="582" t="str">
        <f>Inventory!AP46</f>
        <v/>
      </c>
      <c r="BU46" s="582" t="str">
        <f>Inventory!AQ46</f>
        <v/>
      </c>
      <c r="BV46" s="582" t="str">
        <f t="shared" ref="BV46:BV53" si="125">{"",BT46}</f>
        <v/>
      </c>
      <c r="BW46" s="587"/>
      <c r="BX46" s="588" t="str">
        <f t="shared" ref="BX46:BX53" si="126">MOD_SUBSTAT_LOOKUP(BS46,BW46,1)</f>
        <v/>
      </c>
      <c r="BY46" s="143" t="str">
        <f t="shared" ref="BY46:BY53" si="127">IF(ISBLANK(BS46), "", MOD_SUBSTAT_LOOKUP(BS46,BW46,0))</f>
        <v/>
      </c>
      <c r="BZ46" s="11"/>
    </row>
    <row r="47">
      <c r="B47" s="117"/>
      <c r="C47" s="582" t="str">
        <f t="array" ref="C47:D47">{"",Inventory!D47}</f>
        <v/>
      </c>
      <c r="D47" s="208">
        <v>101.0</v>
      </c>
      <c r="F47" s="582" t="str">
        <f t="array" ref="F47:G47">{"",Inventory!F47}</f>
        <v/>
      </c>
      <c r="G47" s="214" t="s">
        <v>233</v>
      </c>
      <c r="H47" s="582" t="str">
        <f>Inventory!G47</f>
        <v>Legendary</v>
      </c>
      <c r="I47" s="582" t="str">
        <f>Inventory!H47</f>
        <v>+2x</v>
      </c>
      <c r="J47" s="582" t="str">
        <f t="shared" si="104"/>
        <v/>
      </c>
      <c r="K47" s="586" t="s">
        <v>175</v>
      </c>
      <c r="L47" s="142" t="str">
        <f t="shared" si="105"/>
        <v>+2x</v>
      </c>
      <c r="M47" s="143">
        <f t="shared" si="106"/>
        <v>2</v>
      </c>
      <c r="N47" s="11"/>
      <c r="O47" s="582" t="str">
        <f t="array" ref="O47:P47">{"",Inventory!K47}</f>
        <v/>
      </c>
      <c r="P47" s="213" t="s">
        <v>234</v>
      </c>
      <c r="Q47" s="582" t="str">
        <f>Inventory!L47</f>
        <v>Mythic</v>
      </c>
      <c r="R47" s="582" t="str">
        <f>Inventory!M47</f>
        <v>+11°</v>
      </c>
      <c r="S47" s="582" t="str">
        <f t="shared" si="107"/>
        <v/>
      </c>
      <c r="T47" s="586" t="s">
        <v>180</v>
      </c>
      <c r="U47" s="142" t="str">
        <f t="shared" si="108"/>
        <v>+11°</v>
      </c>
      <c r="V47" s="143">
        <f t="shared" si="109"/>
        <v>11</v>
      </c>
      <c r="W47" s="11"/>
      <c r="X47" s="582" t="str">
        <f t="array" ref="X47:Y47">{"",Inventory!P47}</f>
        <v/>
      </c>
      <c r="Y47" s="214"/>
      <c r="Z47" s="582" t="str">
        <f>Inventory!Q47</f>
        <v/>
      </c>
      <c r="AA47" s="582" t="str">
        <f>Inventory!R47</f>
        <v/>
      </c>
      <c r="AB47" s="582" t="str">
        <f t="shared" si="110"/>
        <v/>
      </c>
      <c r="AC47" s="586"/>
      <c r="AD47" s="142" t="str">
        <f t="shared" si="111"/>
        <v/>
      </c>
      <c r="AE47" s="143" t="str">
        <f t="shared" si="112"/>
        <v/>
      </c>
      <c r="AF47" s="11"/>
      <c r="AG47" s="582" t="str">
        <f t="array" ref="AG47:AH47">{"",Inventory!U47}</f>
        <v/>
      </c>
      <c r="AH47" s="213" t="s">
        <v>235</v>
      </c>
      <c r="AI47" s="582" t="str">
        <f>Inventory!V47</f>
        <v>Mythic</v>
      </c>
      <c r="AJ47" s="582" t="str">
        <f>Inventory!W47</f>
        <v>+15x</v>
      </c>
      <c r="AK47" s="582" t="str">
        <f t="shared" si="113"/>
        <v/>
      </c>
      <c r="AL47" s="586" t="s">
        <v>180</v>
      </c>
      <c r="AM47" s="142" t="str">
        <f t="shared" si="114"/>
        <v>+15x</v>
      </c>
      <c r="AN47" s="143">
        <f t="shared" si="115"/>
        <v>15</v>
      </c>
      <c r="AO47" s="11"/>
      <c r="AP47" s="582" t="str">
        <f t="array" ref="AP47:AQ47">{"",Inventory!Z47}</f>
        <v/>
      </c>
      <c r="AQ47" s="214"/>
      <c r="AR47" s="582" t="str">
        <f>Inventory!AA47</f>
        <v/>
      </c>
      <c r="AS47" s="582" t="str">
        <f>Inventory!AB47</f>
        <v/>
      </c>
      <c r="AT47" s="582" t="str">
        <f t="shared" si="116"/>
        <v/>
      </c>
      <c r="AU47" s="586"/>
      <c r="AV47" s="142" t="str">
        <f t="shared" si="117"/>
        <v/>
      </c>
      <c r="AW47" s="143" t="str">
        <f t="shared" si="118"/>
        <v/>
      </c>
      <c r="AX47" s="11"/>
      <c r="AY47" s="582" t="str">
        <f t="array" ref="AY47:AZ47">{"",Inventory!AE47}</f>
        <v/>
      </c>
      <c r="AZ47" s="214" t="s">
        <v>236</v>
      </c>
      <c r="BA47" s="582" t="str">
        <f>Inventory!AF47</f>
        <v>Ancestral</v>
      </c>
      <c r="BB47" s="582" t="str">
        <f>Inventory!AG47</f>
        <v>-4s</v>
      </c>
      <c r="BC47" s="582" t="str">
        <f t="shared" si="119"/>
        <v/>
      </c>
      <c r="BD47" s="586" t="s">
        <v>174</v>
      </c>
      <c r="BE47" s="142" t="str">
        <f t="shared" si="120"/>
        <v>-4s</v>
      </c>
      <c r="BF47" s="143">
        <f t="shared" si="121"/>
        <v>-4</v>
      </c>
      <c r="BG47" s="11"/>
      <c r="BH47" s="582"/>
      <c r="BI47" s="582" t="str">
        <f t="array" ref="BI47:BJ47">{"",Inventory!AJ47}</f>
        <v/>
      </c>
      <c r="BJ47" s="145"/>
      <c r="BK47" s="582" t="str">
        <f>Inventory!AK47</f>
        <v/>
      </c>
      <c r="BL47" s="582" t="str">
        <f>Inventory!AL47</f>
        <v/>
      </c>
      <c r="BM47" s="582" t="str">
        <f t="shared" si="122"/>
        <v/>
      </c>
      <c r="BN47" s="586"/>
      <c r="BO47" s="142" t="str">
        <f t="shared" si="123"/>
        <v/>
      </c>
      <c r="BP47" s="143" t="str">
        <f t="shared" si="124"/>
        <v/>
      </c>
      <c r="BQ47" s="582"/>
      <c r="BR47" s="582" t="str">
        <f t="array" ref="BR47:BS47">{"",Inventory!AO47}</f>
        <v/>
      </c>
      <c r="BS47" s="145"/>
      <c r="BT47" s="582" t="str">
        <f>Inventory!AP47</f>
        <v/>
      </c>
      <c r="BU47" s="582" t="str">
        <f>Inventory!AQ47</f>
        <v/>
      </c>
      <c r="BV47" s="582" t="str">
        <f t="shared" si="125"/>
        <v/>
      </c>
      <c r="BW47" s="586"/>
      <c r="BX47" s="142" t="str">
        <f t="shared" si="126"/>
        <v/>
      </c>
      <c r="BY47" s="143" t="str">
        <f t="shared" si="127"/>
        <v/>
      </c>
      <c r="BZ47" s="11"/>
    </row>
    <row r="48">
      <c r="B48" s="117"/>
      <c r="C48" s="582" t="str">
        <f t="array" ref="C48:D48">{"",Inventory!D48}</f>
        <v/>
      </c>
      <c r="D48" s="118"/>
      <c r="F48" s="582" t="str">
        <f t="array" ref="F48:G48">{"",Inventory!F48}</f>
        <v/>
      </c>
      <c r="G48" s="214" t="s">
        <v>237</v>
      </c>
      <c r="H48" s="582" t="str">
        <f>Inventory!G48</f>
        <v>Legendary</v>
      </c>
      <c r="I48" s="582" t="str">
        <f>Inventory!H48</f>
        <v>+8.00m</v>
      </c>
      <c r="J48" s="582" t="str">
        <f t="shared" si="104"/>
        <v/>
      </c>
      <c r="K48" s="374" t="s">
        <v>175</v>
      </c>
      <c r="L48" s="142" t="str">
        <f t="shared" si="105"/>
        <v>+8.00m</v>
      </c>
      <c r="M48" s="143">
        <f t="shared" si="106"/>
        <v>8</v>
      </c>
      <c r="N48" s="11"/>
      <c r="O48" s="582" t="str">
        <f t="array" ref="O48:P48">{"",Inventory!K48}</f>
        <v/>
      </c>
      <c r="P48" s="213" t="s">
        <v>235</v>
      </c>
      <c r="Q48" s="582" t="str">
        <f>Inventory!L48</f>
        <v>Mythic</v>
      </c>
      <c r="R48" s="582" t="str">
        <f>Inventory!M48</f>
        <v>+15x</v>
      </c>
      <c r="S48" s="582" t="str">
        <f t="shared" si="107"/>
        <v/>
      </c>
      <c r="T48" s="374" t="s">
        <v>180</v>
      </c>
      <c r="U48" s="142" t="str">
        <f t="shared" si="108"/>
        <v>+15x</v>
      </c>
      <c r="V48" s="143">
        <f t="shared" si="109"/>
        <v>15</v>
      </c>
      <c r="W48" s="11"/>
      <c r="X48" s="582" t="str">
        <f t="array" ref="X48:Y48">{"",Inventory!P48}</f>
        <v/>
      </c>
      <c r="Y48" s="214"/>
      <c r="Z48" s="582" t="str">
        <f>Inventory!Q48</f>
        <v/>
      </c>
      <c r="AA48" s="582" t="str">
        <f>Inventory!R48</f>
        <v/>
      </c>
      <c r="AB48" s="582" t="str">
        <f t="shared" si="110"/>
        <v/>
      </c>
      <c r="AC48" s="374"/>
      <c r="AD48" s="142" t="str">
        <f t="shared" si="111"/>
        <v/>
      </c>
      <c r="AE48" s="143" t="str">
        <f t="shared" si="112"/>
        <v/>
      </c>
      <c r="AF48" s="11"/>
      <c r="AG48" s="582" t="str">
        <f t="array" ref="AG48:AH48">{"",Inventory!U48}</f>
        <v/>
      </c>
      <c r="AH48" s="213" t="s">
        <v>234</v>
      </c>
      <c r="AI48" s="582" t="str">
        <f>Inventory!V48</f>
        <v>Epic</v>
      </c>
      <c r="AJ48" s="582" t="str">
        <f>Inventory!W48</f>
        <v>+3°</v>
      </c>
      <c r="AK48" s="582" t="str">
        <f t="shared" si="113"/>
        <v/>
      </c>
      <c r="AL48" s="374" t="s">
        <v>176</v>
      </c>
      <c r="AM48" s="142" t="str">
        <f t="shared" si="114"/>
        <v>+3°</v>
      </c>
      <c r="AN48" s="143">
        <f t="shared" si="115"/>
        <v>3</v>
      </c>
      <c r="AO48" s="11"/>
      <c r="AP48" s="582" t="str">
        <f t="array" ref="AP48:AQ48">{"",Inventory!Z48}</f>
        <v/>
      </c>
      <c r="AQ48" s="214"/>
      <c r="AR48" s="582" t="str">
        <f>Inventory!AA48</f>
        <v/>
      </c>
      <c r="AS48" s="582" t="str">
        <f>Inventory!AB48</f>
        <v/>
      </c>
      <c r="AT48" s="582" t="str">
        <f t="shared" si="116"/>
        <v/>
      </c>
      <c r="AU48" s="374"/>
      <c r="AV48" s="142" t="str">
        <f t="shared" si="117"/>
        <v/>
      </c>
      <c r="AW48" s="143" t="str">
        <f t="shared" si="118"/>
        <v/>
      </c>
      <c r="AX48" s="11"/>
      <c r="AY48" s="582" t="str">
        <f t="array" ref="AY48:AZ48">{"",Inventory!AE48}</f>
        <v/>
      </c>
      <c r="AZ48" s="214" t="s">
        <v>229</v>
      </c>
      <c r="BA48" s="582" t="str">
        <f>Inventory!AF48</f>
        <v>Mythic</v>
      </c>
      <c r="BB48" s="582" t="str">
        <f>Inventory!AG48</f>
        <v>+2</v>
      </c>
      <c r="BC48" s="582" t="str">
        <f t="shared" si="119"/>
        <v/>
      </c>
      <c r="BD48" s="374" t="s">
        <v>180</v>
      </c>
      <c r="BE48" s="142" t="str">
        <f t="shared" si="120"/>
        <v>+2</v>
      </c>
      <c r="BF48" s="143">
        <f t="shared" si="121"/>
        <v>2</v>
      </c>
      <c r="BG48" s="11"/>
      <c r="BH48" s="582"/>
      <c r="BI48" s="582" t="str">
        <f t="array" ref="BI48:BJ48">{"",Inventory!AJ48}</f>
        <v/>
      </c>
      <c r="BJ48" s="145"/>
      <c r="BK48" s="582" t="str">
        <f>Inventory!AK48</f>
        <v/>
      </c>
      <c r="BL48" s="582" t="str">
        <f>Inventory!AL48</f>
        <v/>
      </c>
      <c r="BM48" s="582" t="str">
        <f t="shared" si="122"/>
        <v/>
      </c>
      <c r="BN48" s="374"/>
      <c r="BO48" s="142" t="str">
        <f t="shared" si="123"/>
        <v/>
      </c>
      <c r="BP48" s="143" t="str">
        <f t="shared" si="124"/>
        <v/>
      </c>
      <c r="BQ48" s="582"/>
      <c r="BR48" s="582" t="str">
        <f t="array" ref="BR48:BS48">{"",Inventory!AO48}</f>
        <v/>
      </c>
      <c r="BS48" s="145"/>
      <c r="BT48" s="582" t="str">
        <f>Inventory!AP48</f>
        <v/>
      </c>
      <c r="BU48" s="582" t="str">
        <f>Inventory!AQ48</f>
        <v/>
      </c>
      <c r="BV48" s="582" t="str">
        <f t="shared" si="125"/>
        <v/>
      </c>
      <c r="BW48" s="374"/>
      <c r="BX48" s="142" t="str">
        <f t="shared" si="126"/>
        <v/>
      </c>
      <c r="BY48" s="143" t="str">
        <f t="shared" si="127"/>
        <v/>
      </c>
      <c r="BZ48" s="11"/>
    </row>
    <row r="49">
      <c r="B49" s="117"/>
      <c r="C49" s="582" t="str">
        <f t="array" ref="C49:D49">{"",Inventory!D49}</f>
        <v/>
      </c>
      <c r="D49" s="118"/>
      <c r="F49" s="582" t="str">
        <f t="array" ref="F49:G49">{"",Inventory!F49}</f>
        <v/>
      </c>
      <c r="G49" s="214" t="s">
        <v>234</v>
      </c>
      <c r="H49" s="582" t="str">
        <f>Inventory!G49</f>
        <v/>
      </c>
      <c r="I49" s="582" t="str">
        <f>Inventory!H49</f>
        <v/>
      </c>
      <c r="J49" s="582" t="str">
        <f t="shared" si="104"/>
        <v/>
      </c>
      <c r="K49" s="374"/>
      <c r="L49" s="142" t="str">
        <f t="shared" si="105"/>
        <v/>
      </c>
      <c r="M49" s="143" t="str">
        <f t="shared" si="106"/>
        <v/>
      </c>
      <c r="N49" s="11"/>
      <c r="O49" s="582" t="str">
        <f t="array" ref="O49:P49">{"",Inventory!K49}</f>
        <v/>
      </c>
      <c r="P49" s="213" t="s">
        <v>238</v>
      </c>
      <c r="Q49" s="582" t="str">
        <f>Inventory!L49</f>
        <v>Mythic</v>
      </c>
      <c r="R49" s="582" t="str">
        <f>Inventory!M49</f>
        <v>+3</v>
      </c>
      <c r="S49" s="582" t="str">
        <f t="shared" si="107"/>
        <v/>
      </c>
      <c r="T49" s="374" t="s">
        <v>180</v>
      </c>
      <c r="U49" s="142" t="str">
        <f t="shared" si="108"/>
        <v>+3</v>
      </c>
      <c r="V49" s="143">
        <f t="shared" si="109"/>
        <v>3</v>
      </c>
      <c r="W49" s="11"/>
      <c r="X49" s="582" t="str">
        <f t="array" ref="X49:Y49">{"",Inventory!P49}</f>
        <v/>
      </c>
      <c r="Y49" s="214"/>
      <c r="Z49" s="582" t="str">
        <f>Inventory!Q49</f>
        <v/>
      </c>
      <c r="AA49" s="582" t="str">
        <f>Inventory!R49</f>
        <v/>
      </c>
      <c r="AB49" s="582" t="str">
        <f t="shared" si="110"/>
        <v/>
      </c>
      <c r="AC49" s="374"/>
      <c r="AD49" s="142" t="str">
        <f t="shared" si="111"/>
        <v/>
      </c>
      <c r="AE49" s="143" t="str">
        <f t="shared" si="112"/>
        <v/>
      </c>
      <c r="AF49" s="11"/>
      <c r="AG49" s="582" t="str">
        <f t="array" ref="AG49:AH49">{"",Inventory!U49}</f>
        <v/>
      </c>
      <c r="AH49" s="213" t="s">
        <v>230</v>
      </c>
      <c r="AI49" s="582" t="str">
        <f>Inventory!V49</f>
        <v>Rare</v>
      </c>
      <c r="AJ49" s="582" t="str">
        <f>Inventory!W49</f>
        <v>+4%</v>
      </c>
      <c r="AK49" s="582" t="str">
        <f t="shared" si="113"/>
        <v/>
      </c>
      <c r="AL49" s="374" t="s">
        <v>239</v>
      </c>
      <c r="AM49" s="142" t="str">
        <f t="shared" si="114"/>
        <v>+4%</v>
      </c>
      <c r="AN49" s="87">
        <f t="shared" si="115"/>
        <v>0.04</v>
      </c>
      <c r="AO49" s="11"/>
      <c r="AP49" s="582" t="str">
        <f t="array" ref="AP49:AQ49">{"",Inventory!Z49}</f>
        <v/>
      </c>
      <c r="AQ49" s="214"/>
      <c r="AR49" s="582" t="str">
        <f>Inventory!AA49</f>
        <v/>
      </c>
      <c r="AS49" s="582" t="str">
        <f>Inventory!AB49</f>
        <v/>
      </c>
      <c r="AT49" s="582" t="str">
        <f t="shared" si="116"/>
        <v/>
      </c>
      <c r="AU49" s="374"/>
      <c r="AV49" s="142" t="str">
        <f t="shared" si="117"/>
        <v/>
      </c>
      <c r="AW49" s="143" t="str">
        <f t="shared" si="118"/>
        <v/>
      </c>
      <c r="AX49" s="11"/>
      <c r="AY49" s="582" t="str">
        <f t="array" ref="AY49:AZ49">{"",Inventory!AE49}</f>
        <v/>
      </c>
      <c r="AZ49" s="214" t="s">
        <v>234</v>
      </c>
      <c r="BA49" s="582" t="str">
        <f>Inventory!AF49</f>
        <v>Ancestral</v>
      </c>
      <c r="BB49" s="582" t="str">
        <f>Inventory!AG49</f>
        <v>+15°</v>
      </c>
      <c r="BC49" s="582" t="str">
        <f t="shared" si="119"/>
        <v/>
      </c>
      <c r="BD49" s="374" t="s">
        <v>174</v>
      </c>
      <c r="BE49" s="142" t="str">
        <f t="shared" si="120"/>
        <v>+15°</v>
      </c>
      <c r="BF49" s="143">
        <f t="shared" si="121"/>
        <v>15</v>
      </c>
      <c r="BG49" s="11"/>
      <c r="BH49" s="582"/>
      <c r="BI49" s="582" t="str">
        <f t="array" ref="BI49:BJ49">{"",Inventory!AJ49}</f>
        <v/>
      </c>
      <c r="BJ49" s="145"/>
      <c r="BK49" s="582" t="str">
        <f>Inventory!AK49</f>
        <v/>
      </c>
      <c r="BL49" s="582" t="str">
        <f>Inventory!AL49</f>
        <v/>
      </c>
      <c r="BM49" s="582" t="str">
        <f t="shared" si="122"/>
        <v/>
      </c>
      <c r="BN49" s="374"/>
      <c r="BO49" s="142" t="str">
        <f t="shared" si="123"/>
        <v/>
      </c>
      <c r="BP49" s="143" t="str">
        <f t="shared" si="124"/>
        <v/>
      </c>
      <c r="BQ49" s="582"/>
      <c r="BR49" s="582" t="str">
        <f t="array" ref="BR49:BS49">{"",Inventory!AO49}</f>
        <v/>
      </c>
      <c r="BS49" s="145"/>
      <c r="BT49" s="582" t="str">
        <f>Inventory!AP49</f>
        <v/>
      </c>
      <c r="BU49" s="582" t="str">
        <f>Inventory!AQ49</f>
        <v/>
      </c>
      <c r="BV49" s="582" t="str">
        <f t="shared" si="125"/>
        <v/>
      </c>
      <c r="BW49" s="374"/>
      <c r="BX49" s="142" t="str">
        <f t="shared" si="126"/>
        <v/>
      </c>
      <c r="BY49" s="143" t="str">
        <f t="shared" si="127"/>
        <v/>
      </c>
      <c r="BZ49" s="11"/>
    </row>
    <row r="50">
      <c r="B50" s="117"/>
      <c r="C50" s="582" t="str">
        <f t="array" ref="C50:D50">{"",Inventory!D50}</f>
        <v/>
      </c>
      <c r="D50" s="118"/>
      <c r="F50" s="582" t="str">
        <f t="array" ref="F50:G50">{"",Inventory!F50}</f>
        <v/>
      </c>
      <c r="G50" s="216" t="s">
        <v>229</v>
      </c>
      <c r="H50" s="582" t="str">
        <f>Inventory!G50</f>
        <v/>
      </c>
      <c r="I50" s="582" t="str">
        <f>Inventory!H50</f>
        <v/>
      </c>
      <c r="J50" s="582" t="str">
        <f t="shared" si="104"/>
        <v/>
      </c>
      <c r="K50" s="374"/>
      <c r="L50" s="142" t="str">
        <f t="shared" si="105"/>
        <v/>
      </c>
      <c r="M50" s="143" t="str">
        <f t="shared" si="106"/>
        <v/>
      </c>
      <c r="N50" s="11"/>
      <c r="O50" s="582" t="str">
        <f t="array" ref="O50:P50">{"",Inventory!K50}</f>
        <v/>
      </c>
      <c r="P50" s="216" t="s">
        <v>240</v>
      </c>
      <c r="Q50" s="582" t="str">
        <f>Inventory!L50</f>
        <v>Legendary</v>
      </c>
      <c r="R50" s="582" t="str">
        <f>Inventory!M50</f>
        <v>+50x</v>
      </c>
      <c r="S50" s="582" t="str">
        <f t="shared" si="107"/>
        <v/>
      </c>
      <c r="T50" s="374" t="s">
        <v>175</v>
      </c>
      <c r="U50" s="142" t="str">
        <f t="shared" si="108"/>
        <v>+50x</v>
      </c>
      <c r="V50" s="143">
        <f t="shared" si="109"/>
        <v>50</v>
      </c>
      <c r="W50" s="11"/>
      <c r="X50" s="582" t="str">
        <f t="array" ref="X50:Y50">{"",Inventory!P50}</f>
        <v/>
      </c>
      <c r="Y50" s="216"/>
      <c r="Z50" s="582" t="str">
        <f>Inventory!Q50</f>
        <v/>
      </c>
      <c r="AA50" s="582" t="str">
        <f>Inventory!R50</f>
        <v/>
      </c>
      <c r="AB50" s="582" t="str">
        <f t="shared" si="110"/>
        <v/>
      </c>
      <c r="AC50" s="374"/>
      <c r="AD50" s="142" t="str">
        <f t="shared" si="111"/>
        <v/>
      </c>
      <c r="AE50" s="143" t="str">
        <f t="shared" si="112"/>
        <v/>
      </c>
      <c r="AF50" s="11"/>
      <c r="AG50" s="582" t="str">
        <f t="array" ref="AG50:AH50">{"",Inventory!U50}</f>
        <v/>
      </c>
      <c r="AH50" s="216"/>
      <c r="AI50" s="582" t="str">
        <f>Inventory!V50</f>
        <v/>
      </c>
      <c r="AJ50" s="582" t="str">
        <f>Inventory!W50</f>
        <v/>
      </c>
      <c r="AK50" s="582" t="str">
        <f t="shared" si="113"/>
        <v/>
      </c>
      <c r="AL50" s="374"/>
      <c r="AM50" s="142" t="str">
        <f t="shared" si="114"/>
        <v/>
      </c>
      <c r="AN50" s="87" t="str">
        <f t="shared" si="115"/>
        <v/>
      </c>
      <c r="AO50" s="11"/>
      <c r="AP50" s="582" t="str">
        <f t="array" ref="AP50:AQ50">{"",Inventory!Z50}</f>
        <v/>
      </c>
      <c r="AQ50" s="216"/>
      <c r="AR50" s="582" t="str">
        <f>Inventory!AA50</f>
        <v/>
      </c>
      <c r="AS50" s="582" t="str">
        <f>Inventory!AB50</f>
        <v/>
      </c>
      <c r="AT50" s="582" t="str">
        <f t="shared" si="116"/>
        <v/>
      </c>
      <c r="AU50" s="374"/>
      <c r="AV50" s="142" t="str">
        <f t="shared" si="117"/>
        <v/>
      </c>
      <c r="AW50" s="143" t="str">
        <f t="shared" si="118"/>
        <v/>
      </c>
      <c r="AX50" s="11"/>
      <c r="AY50" s="582" t="str">
        <f t="array" ref="AY50:AZ50">{"",Inventory!AE50}</f>
        <v/>
      </c>
      <c r="AZ50" s="216"/>
      <c r="BA50" s="582" t="str">
        <f>Inventory!AF50</f>
        <v/>
      </c>
      <c r="BB50" s="582" t="str">
        <f>Inventory!AG50</f>
        <v/>
      </c>
      <c r="BC50" s="582" t="str">
        <f t="shared" si="119"/>
        <v/>
      </c>
      <c r="BD50" s="374"/>
      <c r="BE50" s="142" t="str">
        <f t="shared" si="120"/>
        <v/>
      </c>
      <c r="BF50" s="143" t="str">
        <f t="shared" si="121"/>
        <v/>
      </c>
      <c r="BG50" s="11"/>
      <c r="BH50" s="582"/>
      <c r="BI50" s="582" t="str">
        <f t="array" ref="BI50:BJ50">{"",Inventory!AJ50}</f>
        <v/>
      </c>
      <c r="BJ50" s="145"/>
      <c r="BK50" s="582" t="str">
        <f>Inventory!AK50</f>
        <v/>
      </c>
      <c r="BL50" s="582" t="str">
        <f>Inventory!AL50</f>
        <v/>
      </c>
      <c r="BM50" s="582" t="str">
        <f t="shared" si="122"/>
        <v/>
      </c>
      <c r="BN50" s="374"/>
      <c r="BO50" s="142" t="str">
        <f t="shared" si="123"/>
        <v/>
      </c>
      <c r="BP50" s="143" t="str">
        <f t="shared" si="124"/>
        <v/>
      </c>
      <c r="BQ50" s="582"/>
      <c r="BR50" s="582" t="str">
        <f t="array" ref="BR50:BS50">{"",Inventory!AO50}</f>
        <v/>
      </c>
      <c r="BS50" s="145"/>
      <c r="BT50" s="582" t="str">
        <f>Inventory!AP50</f>
        <v/>
      </c>
      <c r="BU50" s="582" t="str">
        <f>Inventory!AQ50</f>
        <v/>
      </c>
      <c r="BV50" s="582" t="str">
        <f t="shared" si="125"/>
        <v/>
      </c>
      <c r="BW50" s="374"/>
      <c r="BX50" s="142" t="str">
        <f t="shared" si="126"/>
        <v/>
      </c>
      <c r="BY50" s="143" t="str">
        <f t="shared" si="127"/>
        <v/>
      </c>
      <c r="BZ50" s="11"/>
    </row>
    <row r="51">
      <c r="B51" s="117"/>
      <c r="C51" s="582" t="str">
        <f t="array" ref="C51:D51">{"",Inventory!D51}</f>
        <v/>
      </c>
      <c r="D51" s="118"/>
      <c r="F51" s="582" t="str">
        <f t="array" ref="F51:G51">{"",Inventory!F51}</f>
        <v/>
      </c>
      <c r="G51" s="216" t="s">
        <v>241</v>
      </c>
      <c r="H51" s="582" t="str">
        <f>Inventory!G51</f>
        <v/>
      </c>
      <c r="I51" s="582" t="str">
        <f>Inventory!H51</f>
        <v/>
      </c>
      <c r="J51" s="582" t="str">
        <f t="shared" si="104"/>
        <v/>
      </c>
      <c r="K51" s="374"/>
      <c r="L51" s="142" t="str">
        <f t="shared" si="105"/>
        <v/>
      </c>
      <c r="M51" s="143" t="str">
        <f t="shared" si="106"/>
        <v/>
      </c>
      <c r="N51" s="11"/>
      <c r="O51" s="582" t="str">
        <f t="array" ref="O51:P51">{"",Inventory!K51}</f>
        <v/>
      </c>
      <c r="P51" s="216" t="s">
        <v>242</v>
      </c>
      <c r="Q51" s="582" t="str">
        <f>Inventory!L51</f>
        <v/>
      </c>
      <c r="R51" s="582" t="str">
        <f>Inventory!M51</f>
        <v/>
      </c>
      <c r="S51" s="582" t="str">
        <f t="shared" si="107"/>
        <v/>
      </c>
      <c r="T51" s="374"/>
      <c r="U51" s="142" t="str">
        <f t="shared" si="108"/>
        <v/>
      </c>
      <c r="V51" s="143" t="str">
        <f t="shared" si="109"/>
        <v/>
      </c>
      <c r="W51" s="11"/>
      <c r="X51" s="582" t="str">
        <f t="array" ref="X51:Y51">{"",Inventory!P51}</f>
        <v/>
      </c>
      <c r="Y51" s="216"/>
      <c r="Z51" s="582" t="str">
        <f>Inventory!Q51</f>
        <v/>
      </c>
      <c r="AA51" s="582" t="str">
        <f>Inventory!R51</f>
        <v/>
      </c>
      <c r="AB51" s="582" t="str">
        <f t="shared" si="110"/>
        <v/>
      </c>
      <c r="AC51" s="374"/>
      <c r="AD51" s="142" t="str">
        <f t="shared" si="111"/>
        <v/>
      </c>
      <c r="AE51" s="143" t="str">
        <f t="shared" si="112"/>
        <v/>
      </c>
      <c r="AF51" s="11"/>
      <c r="AG51" s="582" t="str">
        <f t="array" ref="AG51:AH51">{"",Inventory!U51}</f>
        <v/>
      </c>
      <c r="AH51" s="216"/>
      <c r="AI51" s="582" t="str">
        <f>Inventory!V51</f>
        <v/>
      </c>
      <c r="AJ51" s="582" t="str">
        <f>Inventory!W51</f>
        <v/>
      </c>
      <c r="AK51" s="582" t="str">
        <f t="shared" si="113"/>
        <v/>
      </c>
      <c r="AL51" s="374"/>
      <c r="AM51" s="142" t="str">
        <f t="shared" si="114"/>
        <v/>
      </c>
      <c r="AN51" s="87" t="str">
        <f t="shared" si="115"/>
        <v/>
      </c>
      <c r="AO51" s="11"/>
      <c r="AP51" s="582" t="str">
        <f t="array" ref="AP51:AQ51">{"",Inventory!Z51}</f>
        <v/>
      </c>
      <c r="AQ51" s="216"/>
      <c r="AR51" s="582" t="str">
        <f>Inventory!AA51</f>
        <v/>
      </c>
      <c r="AS51" s="582" t="str">
        <f>Inventory!AB51</f>
        <v/>
      </c>
      <c r="AT51" s="582" t="str">
        <f t="shared" si="116"/>
        <v/>
      </c>
      <c r="AU51" s="374"/>
      <c r="AV51" s="142" t="str">
        <f t="shared" si="117"/>
        <v/>
      </c>
      <c r="AW51" s="143" t="str">
        <f t="shared" si="118"/>
        <v/>
      </c>
      <c r="AX51" s="11"/>
      <c r="AY51" s="582" t="str">
        <f t="array" ref="AY51:AZ51">{"",Inventory!AE51}</f>
        <v/>
      </c>
      <c r="AZ51" s="216"/>
      <c r="BA51" s="582" t="str">
        <f>Inventory!AF51</f>
        <v/>
      </c>
      <c r="BB51" s="582" t="str">
        <f>Inventory!AG51</f>
        <v/>
      </c>
      <c r="BC51" s="582" t="str">
        <f t="shared" si="119"/>
        <v/>
      </c>
      <c r="BD51" s="374"/>
      <c r="BE51" s="142" t="str">
        <f t="shared" si="120"/>
        <v/>
      </c>
      <c r="BF51" s="143" t="str">
        <f t="shared" si="121"/>
        <v/>
      </c>
      <c r="BG51" s="11"/>
      <c r="BH51" s="582"/>
      <c r="BI51" s="582" t="str">
        <f t="array" ref="BI51:BJ51">{"",Inventory!AJ51}</f>
        <v/>
      </c>
      <c r="BJ51" s="145"/>
      <c r="BK51" s="582" t="str">
        <f>Inventory!AK51</f>
        <v/>
      </c>
      <c r="BL51" s="582" t="str">
        <f>Inventory!AL51</f>
        <v/>
      </c>
      <c r="BM51" s="582" t="str">
        <f t="shared" si="122"/>
        <v/>
      </c>
      <c r="BN51" s="374"/>
      <c r="BO51" s="142" t="str">
        <f t="shared" si="123"/>
        <v/>
      </c>
      <c r="BP51" s="143" t="str">
        <f t="shared" si="124"/>
        <v/>
      </c>
      <c r="BQ51" s="582"/>
      <c r="BR51" s="582" t="str">
        <f t="array" ref="BR51:BS51">{"",Inventory!AO51}</f>
        <v/>
      </c>
      <c r="BS51" s="145"/>
      <c r="BT51" s="582" t="str">
        <f>Inventory!AP51</f>
        <v/>
      </c>
      <c r="BU51" s="582" t="str">
        <f>Inventory!AQ51</f>
        <v/>
      </c>
      <c r="BV51" s="582" t="str">
        <f t="shared" si="125"/>
        <v/>
      </c>
      <c r="BW51" s="374"/>
      <c r="BX51" s="142" t="str">
        <f t="shared" si="126"/>
        <v/>
      </c>
      <c r="BY51" s="143" t="str">
        <f t="shared" si="127"/>
        <v/>
      </c>
      <c r="BZ51" s="11"/>
    </row>
    <row r="52">
      <c r="B52" s="117"/>
      <c r="C52" s="582" t="str">
        <f t="array" ref="C52:D52">{"",Inventory!D52}</f>
        <v/>
      </c>
      <c r="D52" s="118"/>
      <c r="F52" s="582" t="str">
        <f t="array" ref="F52:G52">{"",Inventory!F52}</f>
        <v/>
      </c>
      <c r="G52" s="216" t="s">
        <v>233</v>
      </c>
      <c r="H52" s="582" t="str">
        <f>Inventory!G52</f>
        <v/>
      </c>
      <c r="I52" s="582" t="str">
        <f>Inventory!H52</f>
        <v/>
      </c>
      <c r="J52" s="582" t="str">
        <f t="shared" si="104"/>
        <v/>
      </c>
      <c r="K52" s="374"/>
      <c r="L52" s="142" t="str">
        <f t="shared" si="105"/>
        <v/>
      </c>
      <c r="M52" s="143" t="str">
        <f t="shared" si="106"/>
        <v/>
      </c>
      <c r="N52" s="11"/>
      <c r="O52" s="582" t="str">
        <f t="array" ref="O52:P52">{"",Inventory!K52}</f>
        <v/>
      </c>
      <c r="P52" s="216" t="s">
        <v>243</v>
      </c>
      <c r="Q52" s="582" t="str">
        <f>Inventory!L52</f>
        <v/>
      </c>
      <c r="R52" s="582" t="str">
        <f>Inventory!M52</f>
        <v/>
      </c>
      <c r="S52" s="582" t="str">
        <f t="shared" si="107"/>
        <v/>
      </c>
      <c r="T52" s="374"/>
      <c r="U52" s="142" t="str">
        <f t="shared" si="108"/>
        <v/>
      </c>
      <c r="V52" s="143" t="str">
        <f t="shared" si="109"/>
        <v/>
      </c>
      <c r="W52" s="11"/>
      <c r="X52" s="582" t="str">
        <f t="array" ref="X52:Y52">{"",Inventory!P52}</f>
        <v/>
      </c>
      <c r="Y52" s="216"/>
      <c r="Z52" s="582" t="str">
        <f>Inventory!Q52</f>
        <v/>
      </c>
      <c r="AA52" s="582" t="str">
        <f>Inventory!R52</f>
        <v/>
      </c>
      <c r="AB52" s="582" t="str">
        <f t="shared" si="110"/>
        <v/>
      </c>
      <c r="AC52" s="374"/>
      <c r="AD52" s="142" t="str">
        <f t="shared" si="111"/>
        <v/>
      </c>
      <c r="AE52" s="143" t="str">
        <f t="shared" si="112"/>
        <v/>
      </c>
      <c r="AF52" s="11"/>
      <c r="AG52" s="582" t="str">
        <f t="array" ref="AG52:AH52">{"",Inventory!U52}</f>
        <v/>
      </c>
      <c r="AH52" s="216"/>
      <c r="AI52" s="582" t="str">
        <f>Inventory!V52</f>
        <v/>
      </c>
      <c r="AJ52" s="582" t="str">
        <f>Inventory!W52</f>
        <v/>
      </c>
      <c r="AK52" s="582" t="str">
        <f t="shared" si="113"/>
        <v/>
      </c>
      <c r="AL52" s="374"/>
      <c r="AM52" s="142" t="str">
        <f t="shared" si="114"/>
        <v/>
      </c>
      <c r="AN52" s="87" t="str">
        <f t="shared" si="115"/>
        <v/>
      </c>
      <c r="AO52" s="11"/>
      <c r="AP52" s="582" t="str">
        <f t="array" ref="AP52:AQ52">{"",Inventory!Z52}</f>
        <v/>
      </c>
      <c r="AQ52" s="216"/>
      <c r="AR52" s="582" t="str">
        <f>Inventory!AA52</f>
        <v/>
      </c>
      <c r="AS52" s="582" t="str">
        <f>Inventory!AB52</f>
        <v/>
      </c>
      <c r="AT52" s="582" t="str">
        <f t="shared" si="116"/>
        <v/>
      </c>
      <c r="AU52" s="374"/>
      <c r="AV52" s="142" t="str">
        <f t="shared" si="117"/>
        <v/>
      </c>
      <c r="AW52" s="143" t="str">
        <f t="shared" si="118"/>
        <v/>
      </c>
      <c r="AX52" s="11"/>
      <c r="AY52" s="582" t="str">
        <f t="array" ref="AY52:AZ52">{"",Inventory!AE52}</f>
        <v/>
      </c>
      <c r="AZ52" s="216"/>
      <c r="BA52" s="582" t="str">
        <f>Inventory!AF52</f>
        <v/>
      </c>
      <c r="BB52" s="582" t="str">
        <f>Inventory!AG52</f>
        <v/>
      </c>
      <c r="BC52" s="582" t="str">
        <f t="shared" si="119"/>
        <v/>
      </c>
      <c r="BD52" s="374"/>
      <c r="BE52" s="142" t="str">
        <f t="shared" si="120"/>
        <v/>
      </c>
      <c r="BF52" s="143" t="str">
        <f t="shared" si="121"/>
        <v/>
      </c>
      <c r="BG52" s="11"/>
      <c r="BH52" s="582"/>
      <c r="BI52" s="582" t="str">
        <f t="array" ref="BI52:BJ52">{"",Inventory!AJ52}</f>
        <v/>
      </c>
      <c r="BJ52" s="145"/>
      <c r="BK52" s="582" t="str">
        <f>Inventory!AK52</f>
        <v/>
      </c>
      <c r="BL52" s="582" t="str">
        <f>Inventory!AL52</f>
        <v/>
      </c>
      <c r="BM52" s="582" t="str">
        <f t="shared" si="122"/>
        <v/>
      </c>
      <c r="BN52" s="374"/>
      <c r="BO52" s="142" t="str">
        <f t="shared" si="123"/>
        <v/>
      </c>
      <c r="BP52" s="143" t="str">
        <f t="shared" si="124"/>
        <v/>
      </c>
      <c r="BQ52" s="582"/>
      <c r="BR52" s="582" t="str">
        <f t="array" ref="BR52:BS52">{"",Inventory!AO52}</f>
        <v/>
      </c>
      <c r="BS52" s="145"/>
      <c r="BT52" s="582" t="str">
        <f>Inventory!AP52</f>
        <v/>
      </c>
      <c r="BU52" s="582" t="str">
        <f>Inventory!AQ52</f>
        <v/>
      </c>
      <c r="BV52" s="582" t="str">
        <f t="shared" si="125"/>
        <v/>
      </c>
      <c r="BW52" s="374"/>
      <c r="BX52" s="142" t="str">
        <f t="shared" si="126"/>
        <v/>
      </c>
      <c r="BY52" s="143" t="str">
        <f t="shared" si="127"/>
        <v/>
      </c>
      <c r="BZ52" s="11"/>
    </row>
    <row r="53">
      <c r="A53" s="138"/>
      <c r="B53" s="117"/>
      <c r="C53" s="582" t="str">
        <f t="array" ref="C53:D53">{"",Inventory!D53}</f>
        <v/>
      </c>
      <c r="D53" s="118"/>
      <c r="F53" s="582" t="str">
        <f t="array" ref="F53:G53">{"",Inventory!F53}</f>
        <v/>
      </c>
      <c r="G53" s="218" t="s">
        <v>244</v>
      </c>
      <c r="H53" s="590" t="str">
        <f>Inventory!G53</f>
        <v>Common</v>
      </c>
      <c r="I53" s="590" t="str">
        <f>Inventory!H53</f>
        <v>+8x</v>
      </c>
      <c r="J53" s="590" t="str">
        <f t="shared" si="104"/>
        <v/>
      </c>
      <c r="K53" s="592" t="s">
        <v>177</v>
      </c>
      <c r="L53" s="155" t="str">
        <f t="shared" si="105"/>
        <v>+8x</v>
      </c>
      <c r="M53" s="143">
        <f t="shared" si="106"/>
        <v>8</v>
      </c>
      <c r="N53" s="11"/>
      <c r="O53" s="582" t="str">
        <f t="array" ref="O53:P53">{"",Inventory!K53}</f>
        <v/>
      </c>
      <c r="P53" s="218"/>
      <c r="Q53" s="590" t="str">
        <f>Inventory!L53</f>
        <v/>
      </c>
      <c r="R53" s="590" t="str">
        <f>Inventory!M53</f>
        <v/>
      </c>
      <c r="S53" s="590" t="str">
        <f t="shared" si="107"/>
        <v/>
      </c>
      <c r="T53" s="592"/>
      <c r="U53" s="155" t="str">
        <f t="shared" si="108"/>
        <v/>
      </c>
      <c r="V53" s="143" t="str">
        <f t="shared" si="109"/>
        <v/>
      </c>
      <c r="W53" s="11"/>
      <c r="X53" s="582" t="str">
        <f t="array" ref="X53:Y53">{"",Inventory!P53}</f>
        <v/>
      </c>
      <c r="Y53" s="218"/>
      <c r="Z53" s="590" t="str">
        <f>Inventory!Q53</f>
        <v/>
      </c>
      <c r="AA53" s="590" t="str">
        <f>Inventory!R53</f>
        <v/>
      </c>
      <c r="AB53" s="590" t="str">
        <f t="shared" si="110"/>
        <v/>
      </c>
      <c r="AC53" s="592"/>
      <c r="AD53" s="155" t="str">
        <f t="shared" si="111"/>
        <v/>
      </c>
      <c r="AE53" s="143" t="str">
        <f t="shared" si="112"/>
        <v/>
      </c>
      <c r="AF53" s="11"/>
      <c r="AG53" s="582" t="str">
        <f t="array" ref="AG53:AH53">{"",Inventory!U53}</f>
        <v/>
      </c>
      <c r="AH53" s="218"/>
      <c r="AI53" s="590" t="str">
        <f>Inventory!V53</f>
        <v/>
      </c>
      <c r="AJ53" s="590" t="str">
        <f>Inventory!W53</f>
        <v/>
      </c>
      <c r="AK53" s="590" t="str">
        <f t="shared" si="113"/>
        <v/>
      </c>
      <c r="AL53" s="592"/>
      <c r="AM53" s="155" t="str">
        <f t="shared" si="114"/>
        <v/>
      </c>
      <c r="AN53" s="87" t="str">
        <f t="shared" si="115"/>
        <v/>
      </c>
      <c r="AO53" s="11"/>
      <c r="AP53" s="582" t="str">
        <f t="array" ref="AP53:AQ53">{"",Inventory!Z53}</f>
        <v/>
      </c>
      <c r="AQ53" s="218"/>
      <c r="AR53" s="590" t="str">
        <f>Inventory!AA53</f>
        <v/>
      </c>
      <c r="AS53" s="590" t="str">
        <f>Inventory!AB53</f>
        <v/>
      </c>
      <c r="AT53" s="590" t="str">
        <f t="shared" si="116"/>
        <v/>
      </c>
      <c r="AU53" s="592"/>
      <c r="AV53" s="155" t="str">
        <f t="shared" si="117"/>
        <v/>
      </c>
      <c r="AW53" s="143" t="str">
        <f t="shared" si="118"/>
        <v/>
      </c>
      <c r="AX53" s="11"/>
      <c r="AY53" s="582" t="str">
        <f t="array" ref="AY53:AZ53">{"",Inventory!AE53}</f>
        <v/>
      </c>
      <c r="AZ53" s="218"/>
      <c r="BA53" s="590" t="str">
        <f>Inventory!AF53</f>
        <v/>
      </c>
      <c r="BB53" s="590" t="str">
        <f>Inventory!AG53</f>
        <v/>
      </c>
      <c r="BC53" s="590" t="str">
        <f t="shared" si="119"/>
        <v/>
      </c>
      <c r="BD53" s="592"/>
      <c r="BE53" s="155" t="str">
        <f t="shared" si="120"/>
        <v/>
      </c>
      <c r="BF53" s="143" t="str">
        <f t="shared" si="121"/>
        <v/>
      </c>
      <c r="BG53" s="11"/>
      <c r="BH53" s="582"/>
      <c r="BI53" s="582" t="str">
        <f t="array" ref="BI53:BJ53">{"",Inventory!AJ53}</f>
        <v/>
      </c>
      <c r="BJ53" s="156"/>
      <c r="BK53" s="590" t="str">
        <f>Inventory!AK53</f>
        <v/>
      </c>
      <c r="BL53" s="590" t="str">
        <f>Inventory!AL53</f>
        <v/>
      </c>
      <c r="BM53" s="590" t="str">
        <f t="shared" si="122"/>
        <v/>
      </c>
      <c r="BN53" s="592"/>
      <c r="BO53" s="155" t="str">
        <f t="shared" si="123"/>
        <v/>
      </c>
      <c r="BP53" s="143" t="str">
        <f t="shared" si="124"/>
        <v/>
      </c>
      <c r="BQ53" s="582"/>
      <c r="BR53" s="582" t="str">
        <f t="array" ref="BR53:BS53">{"",Inventory!AO53}</f>
        <v/>
      </c>
      <c r="BS53" s="156"/>
      <c r="BT53" s="590" t="str">
        <f>Inventory!AP53</f>
        <v/>
      </c>
      <c r="BU53" s="590" t="str">
        <f>Inventory!AQ53</f>
        <v/>
      </c>
      <c r="BV53" s="590" t="str">
        <f t="shared" si="125"/>
        <v/>
      </c>
      <c r="BW53" s="592"/>
      <c r="BX53" s="155" t="str">
        <f t="shared" si="126"/>
        <v/>
      </c>
      <c r="BY53" s="143" t="str">
        <f t="shared" si="127"/>
        <v/>
      </c>
      <c r="BZ53" s="11"/>
    </row>
    <row r="54">
      <c r="A54" s="157"/>
      <c r="B54" s="220"/>
      <c r="C54" s="582" t="str">
        <f t="array" ref="C54:D54">{"",Inventory!D54}</f>
        <v/>
      </c>
      <c r="D54" s="110"/>
      <c r="E54" s="221"/>
      <c r="F54" s="582"/>
      <c r="G54" s="222"/>
      <c r="H54" s="582"/>
      <c r="I54" s="582"/>
      <c r="J54" s="582"/>
      <c r="K54" s="222"/>
      <c r="L54" s="222"/>
      <c r="M54" s="160"/>
      <c r="N54" s="160"/>
      <c r="O54" s="582"/>
      <c r="P54" s="222"/>
      <c r="Q54" s="582"/>
      <c r="R54" s="582"/>
      <c r="S54" s="582"/>
      <c r="T54" s="222"/>
      <c r="U54" s="222"/>
      <c r="V54" s="160"/>
      <c r="W54" s="11"/>
      <c r="X54" s="582"/>
      <c r="Y54" s="11"/>
      <c r="Z54" s="11"/>
      <c r="AA54" s="11"/>
      <c r="AB54" s="11"/>
      <c r="AC54" s="11"/>
      <c r="AD54" s="11"/>
      <c r="AE54" s="160"/>
      <c r="AF54" s="11"/>
      <c r="AG54" s="582"/>
      <c r="AH54" s="11"/>
      <c r="AI54" s="11"/>
      <c r="AJ54" s="11"/>
      <c r="AK54" s="11"/>
      <c r="AL54" s="11"/>
      <c r="AM54" s="11"/>
      <c r="AN54" s="11"/>
      <c r="AO54" s="11"/>
      <c r="AP54" s="582"/>
      <c r="AQ54" s="11"/>
      <c r="AR54" s="582"/>
      <c r="AS54" s="582"/>
      <c r="AT54" s="11"/>
      <c r="AU54" s="11"/>
      <c r="AV54" s="11"/>
      <c r="AW54" s="11"/>
      <c r="AX54" s="11"/>
      <c r="AY54" s="582"/>
      <c r="AZ54" s="11"/>
      <c r="BA54" s="582"/>
      <c r="BB54" s="582"/>
      <c r="BC54" s="11"/>
      <c r="BD54" s="11"/>
      <c r="BE54" s="11"/>
      <c r="BF54" s="11"/>
      <c r="BG54" s="11"/>
      <c r="BH54" s="582"/>
      <c r="BI54" s="582"/>
      <c r="BJ54" s="11"/>
      <c r="BK54" s="582"/>
      <c r="BL54" s="582"/>
      <c r="BM54" s="11"/>
      <c r="BN54" s="11"/>
      <c r="BO54" s="11"/>
      <c r="BP54" s="11"/>
      <c r="BQ54" s="582"/>
      <c r="BR54" s="582"/>
      <c r="BS54" s="11"/>
      <c r="BT54" s="582"/>
      <c r="BU54" s="582"/>
      <c r="BV54" s="11"/>
      <c r="BW54" s="11"/>
      <c r="BX54" s="11"/>
      <c r="BY54" s="11"/>
      <c r="BZ54" s="11"/>
    </row>
  </sheetData>
  <mergeCells count="66">
    <mergeCell ref="A29:A40"/>
    <mergeCell ref="G29:L29"/>
    <mergeCell ref="G32:L32"/>
    <mergeCell ref="AH29:AM29"/>
    <mergeCell ref="P32:U32"/>
    <mergeCell ref="Y32:AD32"/>
    <mergeCell ref="AH32:AM32"/>
    <mergeCell ref="A42:A53"/>
    <mergeCell ref="G42:L42"/>
    <mergeCell ref="G45:L45"/>
    <mergeCell ref="P42:U42"/>
    <mergeCell ref="Y42:AD42"/>
    <mergeCell ref="AQ42:AV42"/>
    <mergeCell ref="AZ42:BE42"/>
    <mergeCell ref="BJ42:BO42"/>
    <mergeCell ref="BS42:BX42"/>
    <mergeCell ref="AH42:AM42"/>
    <mergeCell ref="P45:U45"/>
    <mergeCell ref="Y45:AD45"/>
    <mergeCell ref="AH45:AM45"/>
    <mergeCell ref="AQ45:AV45"/>
    <mergeCell ref="AZ45:BE45"/>
    <mergeCell ref="BJ45:BO45"/>
    <mergeCell ref="G1:U1"/>
    <mergeCell ref="A3:A14"/>
    <mergeCell ref="E3:E53"/>
    <mergeCell ref="P3:U3"/>
    <mergeCell ref="Y3:AD3"/>
    <mergeCell ref="AH3:AM3"/>
    <mergeCell ref="A16:A27"/>
    <mergeCell ref="AQ3:AV3"/>
    <mergeCell ref="AZ3:BE3"/>
    <mergeCell ref="BJ3:BO3"/>
    <mergeCell ref="BS3:BX3"/>
    <mergeCell ref="G6:L6"/>
    <mergeCell ref="P6:U6"/>
    <mergeCell ref="Y6:AD6"/>
    <mergeCell ref="AH6:AM6"/>
    <mergeCell ref="AQ6:AV6"/>
    <mergeCell ref="AZ6:BE6"/>
    <mergeCell ref="BJ6:BO6"/>
    <mergeCell ref="G3:L3"/>
    <mergeCell ref="G16:L16"/>
    <mergeCell ref="P16:U16"/>
    <mergeCell ref="Y16:AD16"/>
    <mergeCell ref="AQ16:AV16"/>
    <mergeCell ref="AZ16:BE16"/>
    <mergeCell ref="BJ16:BO16"/>
    <mergeCell ref="BS16:BX16"/>
    <mergeCell ref="AH16:AM16"/>
    <mergeCell ref="G19:L19"/>
    <mergeCell ref="P19:U19"/>
    <mergeCell ref="Y19:AD19"/>
    <mergeCell ref="AH19:AM19"/>
    <mergeCell ref="AQ19:AV19"/>
    <mergeCell ref="AZ19:BE19"/>
    <mergeCell ref="BJ19:BO19"/>
    <mergeCell ref="AZ32:BE32"/>
    <mergeCell ref="BJ32:BO32"/>
    <mergeCell ref="P29:U29"/>
    <mergeCell ref="Y29:AD29"/>
    <mergeCell ref="AQ29:AV29"/>
    <mergeCell ref="AZ29:BE29"/>
    <mergeCell ref="BJ29:BO29"/>
    <mergeCell ref="BS29:BX29"/>
    <mergeCell ref="AQ32:AV32"/>
  </mergeCells>
  <conditionalFormatting sqref="K5 T5 AC5 AL5 AU5 BD5 BN5 BW5 K18 T18 AC18 AL18 AU18 BD18 BN18 BW18 K31 T31 AC31 AL31 AU31 BD31 BN31 BW31 K44 T44 AC44 AL44 AU44 BD44 BN44 BW44">
    <cfRule type="expression" dxfId="18" priority="1">
      <formula>NOT(ISFORMULA(K5))</formula>
    </cfRule>
  </conditionalFormatting>
  <conditionalFormatting sqref="D1:D54 G2:G54 P2:P54 Y2:Y54 AH2:AH54 AQ2:AQ54 AZ2:AZ54 BJ2:BJ54 BS2:BS54">
    <cfRule type="expression" dxfId="19" priority="2">
      <formula>ISERROR(C1)</formula>
    </cfRule>
  </conditionalFormatting>
  <conditionalFormatting sqref="K7:K14 T7:W14 Y7:AC14 AL7:AL14 AU7:AU14 BD7:BD14 BN7:BN14 BW7:BW14 K20:K27 T20:T27 AL20:AL27 AU20:AU27 BD20:BD27 BN20:BN27 BW20:BW27 K33:K40 T33:T40 AL33:AL40 AU33:AU40 BD33:BD40 BN33:BN40 BW33:BW40 K46:K53 T46:T53 AL46:AL53 AU46:AU53 BD46:BD53 BN46:BN53 BW46:BW53">
    <cfRule type="expression" dxfId="19" priority="3">
      <formula>ISERROR(J7)</formula>
    </cfRule>
  </conditionalFormatting>
  <conditionalFormatting sqref="AD1:AD54 AM1:AM54 AV1:AV54 BE1:BE54 BO1:BO54 BX1:BX2 L2:L54 U2:U54 BX4:BX5 K5 T5 AC5 AL5 AU5 BD5 BN5 BW5 BX7:BX15 BX17:BX18 K18 T18 AC18 AL18 AU18 BD18 BN18 BW18 BX20:BX28 BX30:BX31 K31 T31 AC31 AL31 AU31 BD31 BN31 BW31 BX33:BX41 BX43:BX44 K44 T44 AC44 AL44 AU44 BD44 BN44 BW44 BX46:BX54">
    <cfRule type="expression" dxfId="13" priority="4">
      <formula>AD1&lt;&gt;AA1</formula>
    </cfRule>
  </conditionalFormatting>
  <dataValidations>
    <dataValidation type="list" allowBlank="1" showErrorMessage="1" sqref="BJ16 BS16">
      <formula1>"Spare Anti-Cube Portal,Spare Negative Mass Projector,Spare Space Displacer,Spare Wormhole Redirector,Spare Sharp Fortitude,Any Other,Any Other 2"</formula1>
    </dataValidation>
    <dataValidation type="list" allowBlank="1" showErrorMessage="1" sqref="BJ29 BS29">
      <formula1>"Spare Black Hole Digestor,Spare Galaxy Compressor,Spare Singularity Harness,Spare Pulsar Harvester,Spare Project Funding,Any Other,Any Other 2"</formula1>
    </dataValidation>
    <dataValidation type="list" allowBlank="1" showErrorMessage="1" sqref="K7:K14 T7:T14 AC7:AC14 AL7:AL14 AU7:AU14 BD7:BD14 BN7:BN14 BW7:BW14 K20:K27 T20:T27 AC20:AC27 AL20:AL27 AU20:AU27 BD20:BD27 BN20:BN27 BW20:BW27 K33:K40 T33:T40 AC33:AC40 AL33:AL40 AU33:AU40 BD33:BD40 BN33:BN40 BW33:BW40 K46:K53 T46:T53 AC46:AC53 AL46:AL53 AU46:AU53 BD46:BD53 BN46:BN53 BW46:BW53">
      <formula1>DVT_Mod_Stat_Rarity</formula1>
    </dataValidation>
    <dataValidation type="list" allowBlank="1" showErrorMessage="1" sqref="G5 P5 Y5 AH5 AQ5 AZ5 G18 P18 Y18 AH18 AQ18 AZ18 G31 P31 Y31 AH31 AQ31 AZ31 G44 P44 Y44 AH44 AQ44 AZ44">
      <formula1>DVT_Mod_Base_Rarity_Uniques</formula1>
    </dataValidation>
    <dataValidation type="list" allowBlank="1" showErrorMessage="1" sqref="BJ5 BJ18 BJ31 BJ44">
      <formula1>DVT_Mod_Base_Rarity</formula1>
    </dataValidation>
    <dataValidation type="list" allowBlank="1" showErrorMessage="1" sqref="G7:G14 P7:P14 Y7:Y14 AH7:AH14 AQ7:AQ14 AZ7:AZ14 BJ7:BJ14 BS7:BS14">
      <formula1>DVT_Mod_Cannon_Substats</formula1>
    </dataValidation>
    <dataValidation type="list" allowBlank="1" showErrorMessage="1" sqref="G20:G27 P20:P27 Y20:Y27 AH20:AH27 AQ20:AQ27 AZ20:AZ27 BJ20:BJ27 BS20:BS27">
      <formula1>DVT_Mod_Armor_Substats</formula1>
    </dataValidation>
    <dataValidation type="list" allowBlank="1" showErrorMessage="1" sqref="BJ42 BS42">
      <formula1>"Spare Multiverse Nexus,Spare Dimension Core,Spare Harmony Conductor,Spare Om Chip,Spare Magnetic Hook,Spare Primordial Collapse,Any Other,Any Other 2"</formula1>
    </dataValidation>
    <dataValidation type="list" allowBlank="1" showErrorMessage="1" sqref="G46:G53 P46:P53 Y46:Y53 AH46:AH53 AQ46:AQ53 AZ46:AZ53 BJ46:BJ53 BS46:BS53">
      <formula1>DVT_Mod_Core_Substats</formula1>
    </dataValidation>
    <dataValidation type="list" allowBlank="1" showErrorMessage="1" sqref="BS5 BS18 BS31 BS44">
      <formula1>DVT_Mod_Base_Rarity</formula1>
    </dataValidation>
    <dataValidation type="list" allowBlank="1" showErrorMessage="1" sqref="G33:G40 P33:P40 Y33:Y40 AH33:AH40 AQ33:AQ40 AZ33:AZ40 BJ33:BJ40 BS33:BS40">
      <formula1>DVT_Mod_Generator_Substats</formula1>
    </dataValidation>
    <dataValidation type="list" allowBlank="1" showErrorMessage="1" sqref="BJ3 BS3">
      <formula1>"Spare Astral Deliverance,Spare Being Annihilator,Spare Death Penalty,Spare Havoc Bringer,Spare Shrink Ray,Spare Amplifying Strike,Any Other,Any Other 2"</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75" outlineLevelCol="1"/>
  <cols>
    <col customWidth="1" min="1" max="1" width="10.43"/>
    <col customWidth="1" min="2" max="2" width="6.86"/>
    <col customWidth="1" min="3" max="3" width="4.29"/>
    <col customWidth="1" min="4" max="5" width="6.86"/>
    <col customWidth="1" min="6" max="6" width="9.29"/>
    <col customWidth="1" min="7" max="7" width="4.29"/>
    <col customWidth="1" min="8" max="8" width="6.86"/>
    <col customWidth="1" min="9" max="9" width="4.29"/>
    <col customWidth="1" min="10" max="11" width="6.86"/>
    <col customWidth="1" min="12" max="12" width="9.29"/>
    <col customWidth="1" min="13" max="13" width="4.29"/>
    <col customWidth="1" min="14" max="14" width="10.43"/>
    <col customWidth="1" min="15" max="15" width="11.29" outlineLevel="1"/>
    <col customWidth="1" min="16" max="16" width="17.57" outlineLevel="1"/>
    <col customWidth="1" min="17" max="19" width="6.29" outlineLevel="1"/>
    <col customWidth="1" min="20" max="20" width="4.14" outlineLevel="1"/>
    <col customWidth="1" min="21" max="21" width="11.29" outlineLevel="1"/>
    <col customWidth="1" min="22" max="22" width="17.57" outlineLevel="1"/>
    <col customWidth="1" min="23" max="25" width="6.29" outlineLevel="1"/>
    <col customWidth="1" min="26" max="26" width="4.14" outlineLevel="1"/>
    <col customWidth="1" min="27" max="27" width="11.29" outlineLevel="1"/>
    <col customWidth="1" min="28" max="28" width="17.57" outlineLevel="1"/>
    <col customWidth="1" min="29" max="31" width="6.29" outlineLevel="1"/>
    <col customWidth="1" min="32" max="32" width="4.14" outlineLevel="1"/>
    <col customWidth="1" min="33" max="33" width="11.29" outlineLevel="1"/>
    <col customWidth="1" min="34" max="34" width="17.57" outlineLevel="1"/>
    <col customWidth="1" min="35" max="37" width="6.29" outlineLevel="1"/>
    <col customWidth="1" min="38" max="38" width="4.14" outlineLevel="1"/>
    <col customWidth="1" min="39" max="39" width="11.57" outlineLevel="1"/>
    <col customWidth="1" min="40" max="40" width="17.71" outlineLevel="1"/>
    <col customWidth="1" min="41" max="43" width="6.29" outlineLevel="1"/>
    <col customWidth="1" min="44" max="44" width="4.14" outlineLevel="1"/>
    <col customWidth="1" min="45" max="45" width="11.57" outlineLevel="1"/>
    <col customWidth="1" min="46" max="46" width="17.71" outlineLevel="1"/>
    <col customWidth="1" min="47" max="49" width="6.71" outlineLevel="1"/>
    <col customWidth="1" min="50" max="50" width="4.14" outlineLevel="1"/>
    <col customWidth="1" min="51" max="51" width="10.43"/>
    <col customWidth="1" min="52" max="52" width="13.0" outlineLevel="1"/>
    <col customWidth="1" min="53" max="54" width="5.43" outlineLevel="1"/>
    <col customWidth="1" min="55" max="55" width="9.29" outlineLevel="1"/>
    <col customWidth="1" min="56" max="56" width="5.43" outlineLevel="1"/>
    <col customWidth="1" min="57" max="57" width="7.71" outlineLevel="1"/>
    <col customWidth="1" min="58" max="58" width="7.71"/>
    <col customWidth="1" min="59" max="59" width="4.14"/>
  </cols>
  <sheetData>
    <row r="1">
      <c r="A1" s="598" t="s">
        <v>388</v>
      </c>
      <c r="B1" s="111" t="s">
        <v>389</v>
      </c>
      <c r="C1" s="112"/>
      <c r="D1" s="112"/>
      <c r="E1" s="112"/>
      <c r="F1" s="112"/>
      <c r="G1" s="112"/>
      <c r="H1" s="112"/>
      <c r="I1" s="112"/>
      <c r="J1" s="112"/>
      <c r="K1" s="112"/>
      <c r="L1" s="112"/>
      <c r="M1" s="599"/>
      <c r="N1" s="599"/>
      <c r="O1" s="111" t="s">
        <v>390</v>
      </c>
      <c r="P1" s="112"/>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c r="AP1" s="112"/>
      <c r="AQ1" s="112"/>
      <c r="AR1" s="112"/>
      <c r="AS1" s="112"/>
      <c r="AT1" s="112"/>
      <c r="AU1" s="112"/>
      <c r="AV1" s="112"/>
      <c r="AW1" s="112"/>
      <c r="AX1" s="14"/>
      <c r="AY1" s="599"/>
      <c r="AZ1" s="111" t="s">
        <v>391</v>
      </c>
      <c r="BA1" s="112"/>
      <c r="BB1" s="112"/>
      <c r="BC1" s="112"/>
      <c r="BD1" s="112"/>
      <c r="BE1" s="112"/>
      <c r="BF1" s="14"/>
      <c r="BG1" s="14"/>
    </row>
    <row r="2">
      <c r="A2" s="599" t="b">
        <v>1</v>
      </c>
      <c r="B2" s="14"/>
      <c r="C2" s="14"/>
      <c r="D2" s="14"/>
      <c r="E2" s="14"/>
      <c r="F2" s="14"/>
      <c r="G2" s="14"/>
      <c r="H2" s="14"/>
      <c r="I2" s="14"/>
      <c r="J2" s="14"/>
      <c r="K2" s="14"/>
      <c r="L2" s="14"/>
      <c r="M2" s="14"/>
      <c r="N2" s="14"/>
      <c r="O2" s="11"/>
      <c r="P2" s="11"/>
      <c r="Q2" s="11"/>
      <c r="R2" s="11"/>
      <c r="S2" s="11"/>
      <c r="T2" s="11"/>
      <c r="U2" s="11"/>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row>
    <row r="3" ht="30.75" customHeight="1">
      <c r="A3" s="600" t="s">
        <v>392</v>
      </c>
      <c r="B3" s="601" t="s">
        <v>393</v>
      </c>
      <c r="C3" s="120"/>
      <c r="D3" s="120"/>
      <c r="E3" s="120"/>
      <c r="F3" s="121"/>
      <c r="G3" s="602"/>
      <c r="H3" s="603" t="s">
        <v>394</v>
      </c>
      <c r="I3" s="120"/>
      <c r="J3" s="120"/>
      <c r="K3" s="120"/>
      <c r="L3" s="121"/>
      <c r="M3" s="604"/>
      <c r="N3" s="600" t="s">
        <v>160</v>
      </c>
      <c r="O3" s="361" t="s">
        <v>161</v>
      </c>
      <c r="P3" s="120"/>
      <c r="Q3" s="120"/>
      <c r="R3" s="605">
        <f>IFS(
P5 = "Ancestral 5*", 35,
AND(P5 = "Ancestral 4*",COUNTIF(P6:P9, "Epic+") &gt;= 1),34,
AND(P5 = "Ancestral 4*",Q12 = 17),33,
P5 = "Ancestral 4*",32,
AND(P5 = "Ancestral 3*",COUNTIF(P6:P9, "Epic+") &gt;= 1),31,
AND(P5 = "Ancestral 3*",Q12 = 15),30,
P5 = "Ancestral 3*",29,
AND(P5 = "Ancestral 2*",COUNTIF(P6:P9, "Epic+") &gt;= 1),28,
AND(P5 = "Ancestral 2*",Q12 = 13),27,
P5 = "Ancestral 2*",26,
AND(P5 = "Ancestral 1*",COUNTIF(P6:P9, "Epic+") &gt;= 1),25,
AND(P5 = "Ancestral 1*",Q12 = 11),24,
P5 = "Ancestral 1*",23,
AND(P5 = "Ancestral",COUNTIF(P6:P9, "Epic+") &gt;= 1),22,
AND(P5 = "Ancestral",Q12 = 9),21,
P5 = "Ancestral",20,
AND(P5 = "Mythic+",COUNTIF(P6:P9, "Epic+") &gt;= 2),19,
AND(P5 = "Mythic+",Q12 = 7),18,
AND(P5 = "Mythic+",Q12 = 6),17,
AND(P5 = "Mythic+",Q12 = 5),16,
P5 = "Mythic+",15,
AND(P5 = "Mythic",AY11 &gt;= 1),14,
AND(P5 = "Mythic",SUM($BD5:$BD11) &gt;= 72),13,
P5 = "Mythic",12,
AND(P5 = "Legendary+",AY11 &gt;= 1),11,
AND(P5 = "Legendary+",SUM($BD5:$BD11) &gt;= 72),10,
P5 = "Legendary+", 9,
AND(P5 = "Legendary", OR(P6 = "Epic+", P7 = "Epic+", P8 = "Epic+", P9 = "Epic+")), 8,
AND(P5 = "Legendary",Q12 = 3),7,
P5 = "Legendary", 6,
AND(P5 = "Epic+",AY8 &gt;= 2),5,
AND(P5 = "Epic+",SUM($BD5:$BD11) &gt;= 36),4,
P5 = "Epic+",3,
AND(Q12 = 2,OR(P6 = "Epic", P7 = "Epic", P9 = "Epic", P8 = "Epic")),2,
Q12 = 1,1,
TRUE,0
)
/35</f>
        <v>0.4285714286</v>
      </c>
      <c r="S3" s="121"/>
      <c r="T3" s="11"/>
      <c r="U3" s="361" t="s">
        <v>162</v>
      </c>
      <c r="V3" s="120"/>
      <c r="W3" s="120"/>
      <c r="X3" s="605">
        <f>IFS(
V5 = "Ancestral 5*", 35,
AND(V5 = "Ancestral 4*",COUNTIF(V6:V9, "Epic+") &gt;= 1),34,
AND(V5 = "Ancestral 4*",W12 = 17),33,
V5 = "Ancestral 4*",32,
AND(V5 = "Ancestral 3*",COUNTIF(V6:V9, "Epic+") &gt;= 1),31,
AND(V5 = "Ancestral 3*",W12 = 15),30,
V5 = "Ancestral 3*",29,
AND(V5 = "Ancestral 2*",COUNTIF(V6:V9, "Epic+") &gt;= 1),28,
AND(V5 = "Ancestral 2*",W12 = 13),27,
V5 = "Ancestral 2*",26,
AND(V5 = "Ancestral 1*",COUNTIF(V6:V9, "Epic+") &gt;= 1),25,
AND(V5 = "Ancestral 1*",W12 = 11),24,
V5 = "Ancestral 1*",23,
AND(V5 = "Ancestral",COUNTIF(V6:V9, "Epic+") &gt;= 1),22,
AND(V5 = "Ancestral",W12 = 9),21,
V5 = "Ancestral",20,
AND(V5 = "Mythic+",COUNTIF(V6:V9, "Epic+") &gt;= 2),19,
AND(V5 = "Mythic+",W12 = 7),18,
AND(V5 = "Mythic+",W12 = 6),17,
AND(V5 = "Mythic+",W12 = 5),16,
V5 = "Mythic+",15,
AND(V5 = "Mythic",BE11 &gt;= 1),14,
AND(V5 = "Mythic",SUM($BD5:$BD11) &gt;= 72),13,
V5 = "Mythic",12,
AND(V5 = "Legendary+",BE11 &gt;= 1),11,
AND(V5 = "Legendary+",SUM($BD5:$BD11) &gt;= 72),10,
V5 = "Legendary+", 9,
AND(V5 = "Legendary", OR(V6 = "Epic+", V7 = "Epic+", V8 = "Epic+", V9 = "Epic+")), 8,
AND(V5 = "Legendary",W12 = 3),7,
V5 = "Legendary", 6,
AND(V5 = "Epic+",BE8 &gt;= 2),5,
AND(V5 = "Epic+",SUM($BD5:$BD11) &gt;= 36),4,
V5 = "Epic+",3,
AND(W12 = 2,OR(V6 = "Epic", V7 = "Epic", V9 = "Epic", V8 = "Epic")),2,
W12 = 1,1,
TRUE,0
)
/35</f>
        <v>0.6</v>
      </c>
      <c r="Y3" s="121"/>
      <c r="Z3" s="11"/>
      <c r="AA3" s="361" t="s">
        <v>163</v>
      </c>
      <c r="AB3" s="120"/>
      <c r="AC3" s="120"/>
      <c r="AD3" s="605">
        <f>IFS(
AB5 = "Ancestral 5*", 35,
AND(AB5 = "Ancestral 4*",COUNTIF(AB6:AB9, "Epic+") &gt;= 1),34,
AND(AB5 = "Ancestral 4*",AC12 = 17),33,
AB5 = "Ancestral 4*",32,
AND(AB5 = "Ancestral 3*",COUNTIF(AB6:AB9, "Epic+") &gt;= 1),31,
AND(AB5 = "Ancestral 3*",AC12 = 15),30,
AB5 = "Ancestral 3*",29,
AND(AB5 = "Ancestral 2*",COUNTIF(AB6:AB9, "Epic+") &gt;= 1),28,
AND(AB5 = "Ancestral 2*",AC12 = 13),27,
AB5 = "Ancestral 2*",26,
AND(AB5 = "Ancestral 1*",COUNTIF(AB6:AB9, "Epic+") &gt;= 1),25,
AND(AB5 = "Ancestral 1*",AC12 = 11),24,
AB5 = "Ancestral 1*",23,
AND(AB5 = "Ancestral",COUNTIF(AB6:AB9, "Epic+") &gt;= 1),22,
AND(AB5 = "Ancestral",AC12 = 9),21,
AB5 = "Ancestral",20,
AND(AB5 = "Mythic+",COUNTIF(AB6:AB9, "Epic+") &gt;= 2),19,
AND(AB5 = "Mythic+",AC12 = 7),18,
AND(AB5 = "Mythic+",AC12 = 6),17,
AND(AB5 = "Mythic+",AC12 = 5),16,
AB5 = "Mythic+",15,
AND(AB5 = "Mythic",BK11 &gt;= 1),14,
AND(AB5 = "Mythic",SUM($BD5:$BD11) &gt;= 72),13,
AB5 = "Mythic",12,
AND(AB5 = "Legendary+",BK11 &gt;= 1),11,
AND(AB5 = "Legendary+",SUM($BD5:$BD11) &gt;= 72),10,
AB5 = "Legendary+", 9,
AND(AB5 = "Legendary", OR(AB6 = "Epic+", AB7 = "Epic+", AB8 = "Epic+", AB9 = "Epic+")), 8,
AND(AB5 = "Legendary",AC12 = 3),7,
AB5 = "Legendary", 6,
AND(AB5 = "Epic+",BK8 &gt;= 2),5,
AND(AB5 = "Epic+",SUM($BD5:$BD11) &gt;= 36),4,
AB5 = "Epic+",3,
AND(AC12 = 2,OR(AB6 = "Epic", AB7 = "Epic", AB9 = "Epic", AB8 = "Epic")),2,
AC12 = 1,1,
TRUE,0
)
/35</f>
        <v>0.5142857143</v>
      </c>
      <c r="AE3" s="121"/>
      <c r="AF3" s="11"/>
      <c r="AG3" s="361" t="s">
        <v>164</v>
      </c>
      <c r="AH3" s="120"/>
      <c r="AI3" s="120"/>
      <c r="AJ3" s="605">
        <f>IFS(
AH5 = "Ancestral 5*", 35,
AND(AH5 = "Ancestral 4*",COUNTIF(AH6:AH9, "Epic+") &gt;= 1),34,
AND(AH5 = "Ancestral 4*",AI12 = 17),33,
AH5 = "Ancestral 4*",32,
AND(AH5 = "Ancestral 3*",COUNTIF(AH6:AH9, "Epic+") &gt;= 1),31,
AND(AH5 = "Ancestral 3*",AI12 = 15),30,
AH5 = "Ancestral 3*",29,
AND(AH5 = "Ancestral 2*",COUNTIF(AH6:AH9, "Epic+") &gt;= 1),28,
AND(AH5 = "Ancestral 2*",AI12 = 13),27,
AH5 = "Ancestral 2*",26,
AND(AH5 = "Ancestral 1*",COUNTIF(AH6:AH9, "Epic+") &gt;= 1),25,
AND(AH5 = "Ancestral 1*",AI12 = 11),24,
AH5 = "Ancestral 1*",23,
AND(AH5 = "Ancestral",COUNTIF(AH6:AH9, "Epic+") &gt;= 1),22,
AND(AH5 = "Ancestral",AI12 = 9),21,
AH5 = "Ancestral",20,
AND(AH5 = "Mythic+",COUNTIF(AH6:AH9, "Epic+") &gt;= 2),19,
AND(AH5 = "Mythic+",AI12 = 7),18,
AND(AH5 = "Mythic+",AI12 = 6),17,
AND(AH5 = "Mythic+",AI12 = 5),16,
AH5 = "Mythic+",15,
AND(AH5 = "Mythic",BQ11 &gt;= 1),14,
AND(AH5 = "Mythic",SUM($BD5:$BD11) &gt;= 72),13,
AH5 = "Mythic",12,
AND(AH5 = "Legendary+",BQ11 &gt;= 1),11,
AND(AH5 = "Legendary+",SUM($BD5:$BD11) &gt;= 72),10,
AH5 = "Legendary+", 9,
AND(AH5 = "Legendary", OR(AH6 = "Epic+", AH7 = "Epic+", AH8 = "Epic+", AH9 = "Epic+")), 8,
AND(AH5 = "Legendary",AI12 = 3),7,
AH5 = "Legendary", 6,
AND(AH5 = "Epic+",BQ8 &gt;= 2),5,
AND(AH5 = "Epic+",SUM($BD5:$BD11) &gt;= 36),4,
AH5 = "Epic+",3,
AND(AI12 = 2,OR(AH6 = "Epic", AH7 = "Epic", AH9 = "Epic", AH8 = "Epic")),2,
AI12 = 1,1,
TRUE,0
)
/35</f>
        <v>0.5714285714</v>
      </c>
      <c r="AK3" s="121"/>
      <c r="AL3" s="11"/>
      <c r="AM3" s="361" t="s">
        <v>165</v>
      </c>
      <c r="AN3" s="120"/>
      <c r="AO3" s="120"/>
      <c r="AP3" s="605">
        <f>IFS(
AN5 = "Ancestral 5*", 35,
AND(AN5 = "Ancestral 4*",COUNTIF(AN6:AN9, "Epic+") &gt;= 1),34,
AND(AN5 = "Ancestral 4*",AO12 = 17),33,
AN5 = "Ancestral 4*",32,
AND(AN5 = "Ancestral 3*",COUNTIF(AN6:AN9, "Epic+") &gt;= 1),31,
AND(AN5 = "Ancestral 3*",AO12 = 15),30,
AN5 = "Ancestral 3*",29,
AND(AN5 = "Ancestral 2*",COUNTIF(AN6:AN9, "Epic+") &gt;= 1),28,
AND(AN5 = "Ancestral 2*",AO12 = 13),27,
AN5 = "Ancestral 2*",26,
AND(AN5 = "Ancestral 1*",COUNTIF(AN6:AN9, "Epic+") &gt;= 1),25,
AND(AN5 = "Ancestral 1*",AO12 = 11),24,
AN5 = "Ancestral 1*",23,
AND(AN5 = "Ancestral",COUNTIF(AN6:AN9, "Epic+") &gt;= 1),22,
AND(AN5 = "Ancestral",AO12 = 9),21,
AN5 = "Ancestral",20,
AND(AN5 = "Mythic+",COUNTIF(AN6:AN9, "Epic+") &gt;= 2),19,
AND(AN5 = "Mythic+",AO12 = 7),18,
AND(AN5 = "Mythic+",AO12 = 6),17,
AND(AN5 = "Mythic+",AO12 = 5),16,
AN5 = "Mythic+",15,
AND(AN5 = "Mythic",BW11 &gt;= 1),14,
AND(AN5 = "Mythic",SUM($BD5:$BD11) &gt;= 72),13,
AN5 = "Mythic",12,
AND(AN5 = "Legendary+",BW11 &gt;= 1),11,
AND(AN5 = "Legendary+",SUM($BD5:$BD11) &gt;= 72),10,
AN5 = "Legendary+", 9,
AND(AN5 = "Legendary", OR(AN6 = "Epic+", AN7 = "Epic+", AN8 = "Epic+", AN9 = "Epic+")), 8,
AND(AN5 = "Legendary",AO12 = 3),7,
AN5 = "Legendary", 6,
AND(AN5 = "Epic+",BW8 &gt;= 2),5,
AND(AN5 = "Epic+",SUM($BD5:$BD11) &gt;= 36),4,
AN5 = "Epic+",3,
AND(AO12 = 2,OR(AN6 = "Epic", AN7 = "Epic", AN9 = "Epic", AN8 = "Epic")),2,
AO12 = 1,1,
TRUE,0
)
/35</f>
        <v>0.2</v>
      </c>
      <c r="AQ3" s="121"/>
      <c r="AR3" s="11"/>
      <c r="AS3" s="606" t="s">
        <v>166</v>
      </c>
      <c r="AT3" s="120"/>
      <c r="AU3" s="120"/>
      <c r="AV3" s="605">
        <f>IFS(
AT5 = "Ancestral 5*", 35,
AND(AT5 = "Ancestral 4*",COUNTIF(AT6:AT9, "Epic+") &gt;= 1),34,
AND(AT5 = "Ancestral 4*",AU12 = 17),33,
AT5 = "Ancestral 4*",32,
AND(AT5 = "Ancestral 3*",COUNTIF(AT6:AT9, "Epic+") &gt;= 1),31,
AND(AT5 = "Ancestral 3*",AU12 = 15),30,
AT5 = "Ancestral 3*",29,
AND(AT5 = "Ancestral 2*",COUNTIF(AT6:AT9, "Epic+") &gt;= 1),28,
AND(AT5 = "Ancestral 2*",AU12 = 13),27,
AT5 = "Ancestral 2*",26,
AND(AT5 = "Ancestral 1*",COUNTIF(AT6:AT9, "Epic+") &gt;= 1),25,
AND(AT5 = "Ancestral 1*",AU12 = 11),24,
AT5 = "Ancestral 1*",23,
AND(AT5 = "Ancestral",COUNTIF(AT6:AT9, "Epic+") &gt;= 1),22,
AND(AT5 = "Ancestral",AU12 = 9),21,
AT5 = "Ancestral",20,
AND(AT5 = "Mythic+",COUNTIF(AT6:AT9, "Epic+") &gt;= 2),19,
AND(AT5 = "Mythic+",AU12 = 7),18,
AND(AT5 = "Mythic+",AU12 = 6),17,
AND(AT5 = "Mythic+",AU12 = 5),16,
AT5 = "Mythic+",15,
AND(AT5 = "Mythic",CC11 &gt;= 1),14,
AND(AT5 = "Mythic",SUM($BD5:$BD11) &gt;= 72),13,
AT5 = "Mythic",12,
AND(AT5 = "Legendary+",CC11 &gt;= 1),11,
AND(AT5 = "Legendary+",SUM($BD5:$BD11) &gt;= 72),10,
AT5 = "Legendary+", 9,
AND(AT5 = "Legendary", OR(AT6 = "Epic+", AT7 = "Epic+", AT8 = "Epic+", AT9 = "Epic+")), 8,
AND(AT5 = "Legendary",AU12 = 3),7,
AT5 = "Legendary", 6,
AND(AT5 = "Epic+",CC8 &gt;= 2),5,
AND(AT5 = "Epic+",SUM($BD5:$BD11) &gt;= 36),4,
AT5 = "Epic+",3,
AND(AU12 = 2,OR(AT6 = "Epic", AT7 = "Epic", AT9 = "Epic", AT8 = "Epic")),2,
AU12 = 1,1,
TRUE,0
)
/35</f>
        <v>0.6</v>
      </c>
      <c r="AW3" s="121"/>
      <c r="AX3" s="11"/>
      <c r="AY3" s="607" t="s">
        <v>395</v>
      </c>
      <c r="AZ3" s="608" t="s">
        <v>396</v>
      </c>
      <c r="BA3" s="609"/>
      <c r="BB3" s="609"/>
      <c r="BC3" s="609"/>
      <c r="BD3" s="610"/>
      <c r="BE3" s="611" t="str">
        <f>IFS(
SUM(R5:R9,X5:X9,AD5:AD9,AJ5:AJ9,AP5:AP9,AV5:AW9)&gt;=1080,"Shatter!",
SUM(R5:R9,X5:X9,AD5:AD9,AJ5:AJ9,AP5:AP9,AV5:AW9)+BD8+BD10&gt;=1080,"Shatter new mods",
BE11&gt;=1080,"Merge, if possible",
TRUE, "Keep farming"
)
&amp;IF(IDS_LAB_LEVEL("Shatter Shards")&lt;5,"*","")</f>
        <v>Shatter new mods</v>
      </c>
      <c r="BF3" s="612" t="s">
        <v>160</v>
      </c>
      <c r="BG3" s="11"/>
    </row>
    <row r="4">
      <c r="B4" s="613" t="s">
        <v>346</v>
      </c>
      <c r="C4" s="614" t="s">
        <v>397</v>
      </c>
      <c r="D4" s="614" t="s">
        <v>398</v>
      </c>
      <c r="E4" s="614" t="s">
        <v>349</v>
      </c>
      <c r="F4" s="615" t="s">
        <v>399</v>
      </c>
      <c r="G4" s="602"/>
      <c r="H4" s="616" t="s">
        <v>346</v>
      </c>
      <c r="I4" s="617" t="s">
        <v>397</v>
      </c>
      <c r="J4" s="617" t="s">
        <v>400</v>
      </c>
      <c r="K4" s="617" t="s">
        <v>349</v>
      </c>
      <c r="L4" s="618" t="s">
        <v>399</v>
      </c>
      <c r="M4" s="604"/>
      <c r="O4" s="619" t="s">
        <v>401</v>
      </c>
      <c r="P4" s="620" t="s">
        <v>170</v>
      </c>
      <c r="Q4" s="621" t="s">
        <v>402</v>
      </c>
      <c r="R4" s="621" t="s">
        <v>403</v>
      </c>
      <c r="S4" s="610"/>
      <c r="T4" s="11"/>
      <c r="U4" s="619" t="s">
        <v>401</v>
      </c>
      <c r="V4" s="620" t="s">
        <v>170</v>
      </c>
      <c r="W4" s="621" t="s">
        <v>402</v>
      </c>
      <c r="X4" s="621" t="s">
        <v>403</v>
      </c>
      <c r="Y4" s="610"/>
      <c r="Z4" s="11"/>
      <c r="AA4" s="619" t="s">
        <v>401</v>
      </c>
      <c r="AB4" s="620" t="s">
        <v>170</v>
      </c>
      <c r="AC4" s="621" t="s">
        <v>402</v>
      </c>
      <c r="AD4" s="621" t="s">
        <v>403</v>
      </c>
      <c r="AE4" s="610"/>
      <c r="AF4" s="11"/>
      <c r="AG4" s="619" t="s">
        <v>401</v>
      </c>
      <c r="AH4" s="620" t="s">
        <v>170</v>
      </c>
      <c r="AI4" s="621" t="s">
        <v>402</v>
      </c>
      <c r="AJ4" s="621" t="s">
        <v>403</v>
      </c>
      <c r="AK4" s="610"/>
      <c r="AL4" s="11"/>
      <c r="AM4" s="619" t="s">
        <v>401</v>
      </c>
      <c r="AN4" s="620" t="s">
        <v>170</v>
      </c>
      <c r="AO4" s="621" t="s">
        <v>402</v>
      </c>
      <c r="AP4" s="621" t="s">
        <v>403</v>
      </c>
      <c r="AQ4" s="610"/>
      <c r="AR4" s="11"/>
      <c r="AS4" s="622" t="s">
        <v>401</v>
      </c>
      <c r="AT4" s="623" t="s">
        <v>170</v>
      </c>
      <c r="AU4" s="623" t="s">
        <v>402</v>
      </c>
      <c r="AV4" s="623" t="s">
        <v>403</v>
      </c>
      <c r="AW4" s="610"/>
      <c r="AX4" s="11"/>
      <c r="AZ4" s="624" t="s">
        <v>170</v>
      </c>
      <c r="BA4" s="620" t="s">
        <v>402</v>
      </c>
      <c r="BB4" s="620" t="s">
        <v>397</v>
      </c>
      <c r="BC4" s="621" t="s">
        <v>404</v>
      </c>
      <c r="BD4" s="625" t="s">
        <v>405</v>
      </c>
      <c r="BE4" s="626"/>
      <c r="BG4" s="11"/>
    </row>
    <row r="5">
      <c r="B5" s="627" t="s">
        <v>351</v>
      </c>
      <c r="C5" s="628">
        <f t="shared" ref="C5:E5" si="1">Q12</f>
        <v>4</v>
      </c>
      <c r="D5" s="629">
        <f t="shared" si="1"/>
        <v>0.1</v>
      </c>
      <c r="E5" s="629">
        <f t="shared" si="1"/>
        <v>0.02083333333</v>
      </c>
      <c r="F5" s="630">
        <f>R3</f>
        <v>0.4285714286</v>
      </c>
      <c r="G5" s="109"/>
      <c r="H5" s="631" t="s">
        <v>352</v>
      </c>
      <c r="I5" s="628">
        <f t="shared" ref="I5:K5" si="2">Q34</f>
        <v>3</v>
      </c>
      <c r="J5" s="632">
        <f t="shared" si="2"/>
        <v>0.07894736842</v>
      </c>
      <c r="K5" s="632">
        <f t="shared" si="2"/>
        <v>0.015625</v>
      </c>
      <c r="L5" s="633">
        <f>R25</f>
        <v>0.2</v>
      </c>
      <c r="M5" s="634"/>
      <c r="O5" s="635" t="s">
        <v>406</v>
      </c>
      <c r="P5" s="636" t="str">
        <f>Inventory!F5</f>
        <v>Mythic+</v>
      </c>
      <c r="Q5" s="636">
        <f>IFS(
P5 = "None", 0,
P5 = "Epic", 1,
P5 = "Epic+", 2,
P5 = "Legendary", 2,
P5 = "Legendary+", 4,
P5 = "Mythic", 4,
P5 = "Mythic+", 4,
P5 = "Ancestral", 8,
P5 = "Ancestral 1*", 10,
P5 = "Ancestral 2*", 12,
P5 = "Ancestral 3*", 14,
P5 = "Ancestral 4*", 16,
P5 = "Ancestral 5*", 18
    )</f>
        <v>4</v>
      </c>
      <c r="R5" s="637">
        <f>IFS(
P5 = "None", 0,
P5 = "Epic", 0,
P5 = "Epic+", 0,
P5 = "Legendary", 36,
P5 = "Legendary+", 36,
P5 = "Mythic", 108,
TRUE, 180
    )</f>
        <v>180</v>
      </c>
      <c r="S5" s="626"/>
      <c r="T5" s="11"/>
      <c r="U5" s="635" t="s">
        <v>406</v>
      </c>
      <c r="V5" s="636" t="str">
        <f>Inventory!K5</f>
        <v>Ancestral</v>
      </c>
      <c r="W5" s="636">
        <f>IFS(
V5 = "None", 0,
V5 = "Epic", 1,
V5 = "Epic+", 2,
V5 = "Legendary", 2,
V5 = "Legendary+", 4,
V5 = "Mythic", 4,
V5 = "Mythic+", 4,
V5 = "Ancestral", 8,
V5 = "Ancestral 1*", 10,
V5 = "Ancestral 2*", 12,
V5 = "Ancestral 3*", 14,
V5 = "Ancestral 4*", 16,
V5 = "Ancestral 5*", 18
    )</f>
        <v>8</v>
      </c>
      <c r="X5" s="637">
        <f>IFS(
V5 = "None", 0,
V5 = "Epic", 0,
V5 = "Epic+", 0,
V5 = "Legendary", 36,
V5 = "Legendary+", 36,
V5 = "Mythic", 108,
TRUE, 180
    )</f>
        <v>180</v>
      </c>
      <c r="Y5" s="626"/>
      <c r="Z5" s="11"/>
      <c r="AA5" s="635" t="s">
        <v>406</v>
      </c>
      <c r="AB5" s="636" t="str">
        <f>Inventory!P5</f>
        <v>Mythic+</v>
      </c>
      <c r="AC5" s="636">
        <f>IFS(
AB5 = "None", 0,
AB5 = "Epic", 1,
AB5 = "Epic+", 2,
AB5 = "Legendary", 2,
AB5 = "Legendary+", 4,
AB5 = "Mythic", 4,
AB5 = "Mythic+", 4,
AB5 = "Ancestral", 8,
AB5 = "Ancestral 1*", 10,
AB5 = "Ancestral 2*", 12,
AB5 = "Ancestral 3*", 14,
AB5 = "Ancestral 4*", 16,
AB5 = "Ancestral 5*", 18
    )</f>
        <v>4</v>
      </c>
      <c r="AD5" s="637">
        <f>IFS(
AB5 = "None", 0,
AB5 = "Epic", 0,
AB5 = "Epic+", 0,
AB5 = "Legendary", 36,
AB5 = "Legendary+", 36,
AB5 = "Mythic", 108,
TRUE, 180
    )</f>
        <v>180</v>
      </c>
      <c r="AE5" s="626"/>
      <c r="AF5" s="11"/>
      <c r="AG5" s="635" t="s">
        <v>406</v>
      </c>
      <c r="AH5" s="636" t="str">
        <f>Inventory!U5</f>
        <v>Ancestral</v>
      </c>
      <c r="AI5" s="636">
        <f>IFS(
AH5 = "None", 0,
AH5 = "Epic", 1,
AH5 = "Epic+", 2,
AH5 = "Legendary", 2,
AH5 = "Legendary+", 4,
AH5 = "Mythic", 4,
AH5 = "Mythic+", 4,
AH5 = "Ancestral", 8,
AH5 = "Ancestral 1*", 10,
AH5 = "Ancestral 2*", 12,
AH5 = "Ancestral 3*", 14,
AH5 = "Ancestral 4*", 16,
AH5 = "Ancestral 5*", 18
    )</f>
        <v>8</v>
      </c>
      <c r="AJ5" s="637">
        <f>IFS(
AH5 = "None", 0,
AH5 = "Epic", 0,
AH5 = "Epic+", 0,
AH5 = "Legendary", 36,
AH5 = "Legendary+", 36,
AH5 = "Mythic", 108,
TRUE, 180
    )</f>
        <v>180</v>
      </c>
      <c r="AK5" s="626"/>
      <c r="AL5" s="11"/>
      <c r="AM5" s="635" t="s">
        <v>406</v>
      </c>
      <c r="AN5" s="636" t="str">
        <f>Inventory!Z5</f>
        <v>Legendary</v>
      </c>
      <c r="AO5" s="636">
        <f>IFS(
AN5 = "None", 0,
AN5 = "Epic", 1,
AN5 = "Epic+", 2,
AN5 = "Legendary", 2,
AN5 = "Legendary+", 4,
AN5 = "Mythic", 4,
AN5 = "Mythic+", 4,
AN5 = "Ancestral", 8,
AN5 = "Ancestral 1*", 10,
AN5 = "Ancestral 2*", 12,
AN5 = "Ancestral 3*", 14,
AN5 = "Ancestral 4*", 16,
AN5 = "Ancestral 5*", 18
    )</f>
        <v>2</v>
      </c>
      <c r="AP5" s="637">
        <f>IFS(
AN5 = "None", 0,
AN5 = "Epic", 0,
AN5 = "Epic+", 0,
AN5 = "Legendary", 36,
AN5 = "Legendary+", 36,
AN5 = "Mythic", 108,
TRUE, 180
    )</f>
        <v>36</v>
      </c>
      <c r="AQ5" s="626"/>
      <c r="AR5" s="11"/>
      <c r="AS5" s="638" t="s">
        <v>406</v>
      </c>
      <c r="AT5" s="639" t="str">
        <f>Inventory!AE5</f>
        <v>Ancestral</v>
      </c>
      <c r="AU5" s="639">
        <f>IFS(
AT5 = "None", 0,
AT5 = "Epic", 1,
AT5 = "Epic+", 2,
AT5 = "Legendary", 2,
AT5 = "Legendary+", 4,
AT5 = "Mythic", 4,
AT5 = "Mythic+", 4,
AT5 = "Ancestral", 8,
AT5 = "Ancestral 1*", 10,
AT5 = "Ancestral 2*", 12,
AT5 = "Ancestral 3*", 14,
AT5 = "Ancestral 4*", 16,
AT5 = "Ancestral 5*", 18
    )</f>
        <v>8</v>
      </c>
      <c r="AV5" s="640">
        <f>IFS(
AT5 = "None", 0,
AT5 = "Epic", 0,
AT5 = "Epic+", 0,
AT5 = "Legendary", 36,
AT5 = "Legendary+", 36,
AT5 = "Mythic", 108,
TRUE, 180
    )</f>
        <v>180</v>
      </c>
      <c r="AW5" s="626"/>
      <c r="AX5" s="11"/>
      <c r="AZ5" s="641" t="s">
        <v>239</v>
      </c>
      <c r="BA5" s="636">
        <v>1.0</v>
      </c>
      <c r="BB5" s="642">
        <v>0.0</v>
      </c>
      <c r="BC5" s="636"/>
      <c r="BD5" s="636">
        <f t="shared" ref="BD5:BD10" si="5">BA5*BB5</f>
        <v>0</v>
      </c>
      <c r="BE5" s="626"/>
      <c r="BG5" s="11"/>
    </row>
    <row r="6">
      <c r="B6" s="627" t="s">
        <v>353</v>
      </c>
      <c r="C6" s="643">
        <f t="shared" ref="C6:E6" si="3">W12</f>
        <v>9</v>
      </c>
      <c r="D6" s="629">
        <f t="shared" si="3"/>
        <v>0.225</v>
      </c>
      <c r="E6" s="629">
        <f t="shared" si="3"/>
        <v>0.046875</v>
      </c>
      <c r="F6" s="630">
        <f>X3</f>
        <v>0.6</v>
      </c>
      <c r="G6" s="109"/>
      <c r="H6" s="631" t="s">
        <v>407</v>
      </c>
      <c r="I6" s="643">
        <f t="shared" ref="I6:K6" si="4">W34</f>
        <v>4</v>
      </c>
      <c r="J6" s="632">
        <f t="shared" si="4"/>
        <v>0.1052631579</v>
      </c>
      <c r="K6" s="632">
        <f t="shared" si="4"/>
        <v>0.02083333333</v>
      </c>
      <c r="L6" s="633">
        <f>X25</f>
        <v>0.4285714286</v>
      </c>
      <c r="M6" s="634"/>
      <c r="O6" s="644" t="s">
        <v>408</v>
      </c>
      <c r="P6" s="642"/>
      <c r="Q6" s="636">
        <f t="shared" ref="Q6:Q9" si="8">IFS(
P6 = "", 0,
P6 = "Epic", 1,
P6 = "Epic+", 2,
P6 = "Legendary", 2,
P6 = "Legendary+", 4,
P6 = "Mythic", 4,
P6 = "Mythic+", 4,
P6 = "Ancestral", 8,
P6 = "Ancestral 1*", 10,
P6 = "Ancestral 2*", 12,
P6 = "Ancestral 3*", 14,
P6 = "Ancestral 4*", 16,
P6 = "Ancestral 5*", 18
    )</f>
        <v>0</v>
      </c>
      <c r="R6" s="637">
        <f t="shared" ref="R6:R9" si="9">IFS(
P6 = "", 0,
P6 = "Epic", 0,
P6 = "Epic+", 0,
P6 = "Legendary", 36,
P6 = "Legendary+", 36,
P6 = "Mythic", 108,
TRUE, 180
    )</f>
        <v>0</v>
      </c>
      <c r="S6" s="626"/>
      <c r="T6" s="11"/>
      <c r="U6" s="644" t="s">
        <v>408</v>
      </c>
      <c r="V6" s="642" t="s">
        <v>176</v>
      </c>
      <c r="W6" s="636">
        <f t="shared" ref="W6:W9" si="10">IFS(
V6 = "", 0,
V6 = "Epic", 1,
V6 = "Epic+", 2,
V6 = "Legendary", 2,
V6 = "Legendary+", 4,
V6 = "Mythic", 4,
V6 = "Mythic+", 4,
V6 = "Ancestral", 8,
V6 = "Ancestral 1*", 10,
V6 = "Ancestral 2*", 12,
V6 = "Ancestral 3*", 14,
V6 = "Ancestral 4*", 16,
V6 = "Ancestral 5*", 18
    )</f>
        <v>1</v>
      </c>
      <c r="X6" s="637">
        <f t="shared" ref="X6:X9" si="11">IFS(
V6 = "", 0,
V6 = "Epic", 0,
V6 = "Epic+", 0,
V6 = "Legendary", 36,
V6 = "Legendary+", 36,
V6 = "Mythic", 108,
TRUE, 180
    )</f>
        <v>0</v>
      </c>
      <c r="Y6" s="626"/>
      <c r="Z6" s="11"/>
      <c r="AA6" s="644" t="s">
        <v>408</v>
      </c>
      <c r="AB6" s="642" t="s">
        <v>290</v>
      </c>
      <c r="AC6" s="636">
        <f t="shared" ref="AC6:AC9" si="12">IFS(
AB6 = "", 0,
AB6 = "Epic", 1,
AB6 = "Epic+", 2,
AB6 = "Legendary", 2,
AB6 = "Legendary+", 4,
AB6 = "Mythic", 4,
AB6 = "Mythic+", 4,
AB6 = "Ancestral", 8,
AB6 = "Ancestral 1*", 10,
AB6 = "Ancestral 2*", 12,
AB6 = "Ancestral 3*", 14,
AB6 = "Ancestral 4*", 16,
AB6 = "Ancestral 5*", 18
    )</f>
        <v>2</v>
      </c>
      <c r="AD6" s="637">
        <f t="shared" ref="AD6:AD9" si="13">IFS(
AB6 = "", 0,
AB6 = "Epic", 0,
AB6 = "Epic+", 0,
AB6 = "Legendary", 36,
AB6 = "Legendary+", 36,
AB6 = "Mythic", 108,
TRUE, 180
    )</f>
        <v>0</v>
      </c>
      <c r="AE6" s="626"/>
      <c r="AF6" s="11"/>
      <c r="AG6" s="644" t="s">
        <v>408</v>
      </c>
      <c r="AH6" s="642"/>
      <c r="AI6" s="636">
        <f t="shared" ref="AI6:AI9" si="14">IFS(
AH6 = "", 0,
AH6 = "Epic", 1,
AH6 = "Epic+", 2,
AH6 = "Legendary", 2,
AH6 = "Legendary+", 4,
AH6 = "Mythic", 4,
AH6 = "Mythic+", 4,
AH6 = "Ancestral", 8,
AH6 = "Ancestral 1*", 10,
AH6 = "Ancestral 2*", 12,
AH6 = "Ancestral 3*", 14,
AH6 = "Ancestral 4*", 16,
AH6 = "Ancestral 5*", 18
    )</f>
        <v>0</v>
      </c>
      <c r="AJ6" s="637">
        <f t="shared" ref="AJ6:AJ9" si="15">IFS(
AH6 = "", 0,
AH6 = "Epic", 0,
AH6 = "Epic+", 0,
AH6 = "Legendary", 36,
AH6 = "Legendary+", 36,
AH6 = "Mythic", 108,
TRUE, 180
    )</f>
        <v>0</v>
      </c>
      <c r="AK6" s="626"/>
      <c r="AL6" s="11"/>
      <c r="AM6" s="644" t="s">
        <v>408</v>
      </c>
      <c r="AN6" s="642" t="s">
        <v>176</v>
      </c>
      <c r="AO6" s="636">
        <f t="shared" ref="AO6:AO9" si="16">IFS(
AN6 = "", 0,
AN6 = "Epic", 1,
AN6 = "Epic+", 2,
AN6 = "Legendary", 2,
AN6 = "Legendary+", 4,
AN6 = "Mythic", 4,
AN6 = "Mythic+", 4,
AN6 = "Ancestral", 8,
AN6 = "Ancestral 1*", 10,
AN6 = "Ancestral 2*", 12,
AN6 = "Ancestral 3*", 14,
AN6 = "Ancestral 4*", 16,
AN6 = "Ancestral 5*", 18
    )</f>
        <v>1</v>
      </c>
      <c r="AP6" s="637">
        <f t="shared" ref="AP6:AP9" si="17">IFS(
AN6 = "", 0,
AN6 = "Epic", 0,
AN6 = "Epic+", 0,
AN6 = "Legendary", 36,
AN6 = "Legendary+", 36,
AN6 = "Mythic", 108,
TRUE, 180
    )</f>
        <v>0</v>
      </c>
      <c r="AQ6" s="626"/>
      <c r="AR6" s="11"/>
      <c r="AS6" s="645" t="s">
        <v>408</v>
      </c>
      <c r="AT6" s="642" t="s">
        <v>176</v>
      </c>
      <c r="AU6" s="639">
        <f t="shared" ref="AU6:AU9" si="18">IFS(
AT6 = "", 0,
AT6 = "Epic", 1,
AT6 = "Epic+", 2,
AT6 = "Legendary", 2,
AT6 = "Legendary+", 4,
AT6 = "Mythic", 4,
AT6 = "Mythic+", 4,
AT6 = "Ancestral", 8,
AT6 = "Ancestral 1*", 10,
AT6 = "Ancestral 2*", 12,
AT6 = "Ancestral 3*", 14,
AT6 = "Ancestral 4*", 16,
AT6 = "Ancestral 5*", 18
    )</f>
        <v>1</v>
      </c>
      <c r="AV6" s="640">
        <f t="shared" ref="AV6:AV9" si="19">IFS(
AT6 = "", 0,
AT6 = "Epic", 0,
AT6 = "Epic+", 0,
AT6 = "Legendary", 36,
AT6 = "Legendary+", 36,
AT6 = "Mythic", 108,
TRUE, 180
    )</f>
        <v>0</v>
      </c>
      <c r="AW6" s="626"/>
      <c r="AX6" s="11"/>
      <c r="AZ6" s="646" t="s">
        <v>289</v>
      </c>
      <c r="BA6" s="636">
        <v>3.0</v>
      </c>
      <c r="BB6" s="642">
        <v>0.0</v>
      </c>
      <c r="BC6" s="636"/>
      <c r="BD6" s="636">
        <f t="shared" si="5"/>
        <v>0</v>
      </c>
      <c r="BE6" s="626"/>
      <c r="BG6" s="11"/>
    </row>
    <row r="7">
      <c r="B7" s="627" t="s">
        <v>355</v>
      </c>
      <c r="C7" s="643">
        <f t="shared" ref="C7:E7" si="6">AC12</f>
        <v>7</v>
      </c>
      <c r="D7" s="629">
        <f t="shared" si="6"/>
        <v>0.175</v>
      </c>
      <c r="E7" s="629">
        <f t="shared" si="6"/>
        <v>0.03645833333</v>
      </c>
      <c r="F7" s="630">
        <f>AD3</f>
        <v>0.5142857143</v>
      </c>
      <c r="G7" s="109"/>
      <c r="H7" s="631" t="s">
        <v>358</v>
      </c>
      <c r="I7" s="643">
        <f t="shared" ref="I7:K7" si="7">AC34</f>
        <v>8</v>
      </c>
      <c r="J7" s="632">
        <f t="shared" si="7"/>
        <v>0.2105263158</v>
      </c>
      <c r="K7" s="632">
        <f t="shared" si="7"/>
        <v>0.04166666667</v>
      </c>
      <c r="L7" s="633">
        <f>AD25</f>
        <v>0.5714285714</v>
      </c>
      <c r="M7" s="647"/>
      <c r="O7" s="648"/>
      <c r="P7" s="642"/>
      <c r="Q7" s="636">
        <f t="shared" si="8"/>
        <v>0</v>
      </c>
      <c r="R7" s="637">
        <f t="shared" si="9"/>
        <v>0</v>
      </c>
      <c r="S7" s="626"/>
      <c r="T7" s="11"/>
      <c r="U7" s="648"/>
      <c r="V7" s="642"/>
      <c r="W7" s="636">
        <f t="shared" si="10"/>
        <v>0</v>
      </c>
      <c r="X7" s="637">
        <f t="shared" si="11"/>
        <v>0</v>
      </c>
      <c r="Y7" s="626"/>
      <c r="Z7" s="11"/>
      <c r="AA7" s="648"/>
      <c r="AB7" s="642" t="s">
        <v>176</v>
      </c>
      <c r="AC7" s="636">
        <f t="shared" si="12"/>
        <v>1</v>
      </c>
      <c r="AD7" s="637">
        <f t="shared" si="13"/>
        <v>0</v>
      </c>
      <c r="AE7" s="626"/>
      <c r="AF7" s="11"/>
      <c r="AG7" s="648"/>
      <c r="AH7" s="642"/>
      <c r="AI7" s="636">
        <f t="shared" si="14"/>
        <v>0</v>
      </c>
      <c r="AJ7" s="637">
        <f t="shared" si="15"/>
        <v>0</v>
      </c>
      <c r="AK7" s="626"/>
      <c r="AL7" s="11"/>
      <c r="AM7" s="648"/>
      <c r="AN7" s="642"/>
      <c r="AO7" s="636">
        <f t="shared" si="16"/>
        <v>0</v>
      </c>
      <c r="AP7" s="637">
        <f t="shared" si="17"/>
        <v>0</v>
      </c>
      <c r="AQ7" s="626"/>
      <c r="AR7" s="11"/>
      <c r="AS7" s="648"/>
      <c r="AT7" s="642"/>
      <c r="AU7" s="639">
        <f t="shared" si="18"/>
        <v>0</v>
      </c>
      <c r="AV7" s="640">
        <f t="shared" si="19"/>
        <v>0</v>
      </c>
      <c r="AW7" s="626"/>
      <c r="AX7" s="11"/>
      <c r="AZ7" s="649" t="s">
        <v>176</v>
      </c>
      <c r="BA7" s="636">
        <v>9.0</v>
      </c>
      <c r="BB7" s="642">
        <v>0.0</v>
      </c>
      <c r="BC7" s="636"/>
      <c r="BD7" s="636">
        <f t="shared" si="5"/>
        <v>0</v>
      </c>
      <c r="BE7" s="626"/>
      <c r="BG7" s="11"/>
    </row>
    <row r="8">
      <c r="B8" s="627" t="s">
        <v>357</v>
      </c>
      <c r="C8" s="643">
        <f t="shared" ref="C8:E8" si="20">AI12</f>
        <v>8</v>
      </c>
      <c r="D8" s="629">
        <f t="shared" si="20"/>
        <v>0.2</v>
      </c>
      <c r="E8" s="629">
        <f t="shared" si="20"/>
        <v>0.04166666667</v>
      </c>
      <c r="F8" s="630">
        <f>AJ3</f>
        <v>0.5714285714</v>
      </c>
      <c r="G8" s="109"/>
      <c r="H8" s="631" t="s">
        <v>356</v>
      </c>
      <c r="I8" s="643">
        <f t="shared" ref="I8:K8" si="21">AI34</f>
        <v>11</v>
      </c>
      <c r="J8" s="632">
        <f t="shared" si="21"/>
        <v>0.2894736842</v>
      </c>
      <c r="K8" s="632">
        <f t="shared" si="21"/>
        <v>0.05729166667</v>
      </c>
      <c r="L8" s="633">
        <f>AJ25</f>
        <v>0.6857142857</v>
      </c>
      <c r="M8" s="647"/>
      <c r="O8" s="648"/>
      <c r="P8" s="642"/>
      <c r="Q8" s="636">
        <f t="shared" si="8"/>
        <v>0</v>
      </c>
      <c r="R8" s="637">
        <f t="shared" si="9"/>
        <v>0</v>
      </c>
      <c r="S8" s="626"/>
      <c r="T8" s="11"/>
      <c r="U8" s="648"/>
      <c r="V8" s="642"/>
      <c r="W8" s="636">
        <f t="shared" si="10"/>
        <v>0</v>
      </c>
      <c r="X8" s="637">
        <f t="shared" si="11"/>
        <v>0</v>
      </c>
      <c r="Y8" s="626"/>
      <c r="Z8" s="11"/>
      <c r="AA8" s="648"/>
      <c r="AB8" s="642"/>
      <c r="AC8" s="636">
        <f t="shared" si="12"/>
        <v>0</v>
      </c>
      <c r="AD8" s="637">
        <f t="shared" si="13"/>
        <v>0</v>
      </c>
      <c r="AE8" s="626"/>
      <c r="AF8" s="11"/>
      <c r="AG8" s="648"/>
      <c r="AH8" s="642"/>
      <c r="AI8" s="636">
        <f t="shared" si="14"/>
        <v>0</v>
      </c>
      <c r="AJ8" s="637">
        <f t="shared" si="15"/>
        <v>0</v>
      </c>
      <c r="AK8" s="626"/>
      <c r="AL8" s="11"/>
      <c r="AM8" s="648"/>
      <c r="AN8" s="642"/>
      <c r="AO8" s="636">
        <f t="shared" si="16"/>
        <v>0</v>
      </c>
      <c r="AP8" s="637">
        <f t="shared" si="17"/>
        <v>0</v>
      </c>
      <c r="AQ8" s="626"/>
      <c r="AR8" s="11"/>
      <c r="AS8" s="648"/>
      <c r="AT8" s="642"/>
      <c r="AU8" s="639">
        <f t="shared" si="18"/>
        <v>0</v>
      </c>
      <c r="AV8" s="640">
        <f t="shared" si="19"/>
        <v>0</v>
      </c>
      <c r="AW8" s="626"/>
      <c r="AX8" s="11"/>
      <c r="AZ8" s="650" t="s">
        <v>290</v>
      </c>
      <c r="BA8" s="636">
        <v>18.0</v>
      </c>
      <c r="BB8" s="642">
        <v>0.0</v>
      </c>
      <c r="BC8" s="636" t="str">
        <f t="array" ref="BC8">LET(
    primary,{AT5,AN5,AH5,AB5,V5,P5} ,
    fodder,BB8,
    none, COUNTIF(primary,"=None"),
    epic, COUNTIF(primary,"=Epic"),
    epicPlus, COUNTIF(primary,"=Epic+"),
    neededNow, epicPlus*2,
    neededLater, (none+epic)*2,
    totalNeeded, neededNow+neededLater,
    IF(totalNeeded=0, IF(fodder&gt;0,fodder&amp;" extra",), IF(fodder&gt;=totalNeeded, IF(neededNow&gt;0,"Merge",IF(neededLater=fodder,"Keep",(fodder-neededLater)&amp;" extra")),"Need +"&amp;totalNeeded-fodder)))</f>
        <v/>
      </c>
      <c r="BD8" s="636">
        <f t="shared" si="5"/>
        <v>0</v>
      </c>
      <c r="BE8" s="626"/>
      <c r="BG8" s="11"/>
    </row>
    <row r="9">
      <c r="B9" s="627" t="s">
        <v>359</v>
      </c>
      <c r="C9" s="643">
        <f t="shared" ref="C9:E9" si="22">AO12</f>
        <v>3</v>
      </c>
      <c r="D9" s="629">
        <f t="shared" si="22"/>
        <v>0.075</v>
      </c>
      <c r="E9" s="629">
        <f t="shared" si="22"/>
        <v>0.015625</v>
      </c>
      <c r="F9" s="630">
        <f>AP3</f>
        <v>0.2</v>
      </c>
      <c r="G9" s="109"/>
      <c r="H9" s="631" t="s">
        <v>360</v>
      </c>
      <c r="I9" s="643">
        <f t="shared" ref="I9:K9" si="23">AO34</f>
        <v>5</v>
      </c>
      <c r="J9" s="632">
        <f t="shared" si="23"/>
        <v>0.1315789474</v>
      </c>
      <c r="K9" s="632">
        <f t="shared" si="23"/>
        <v>0.02604166667</v>
      </c>
      <c r="L9" s="633">
        <f>AP25</f>
        <v>0.4571428571</v>
      </c>
      <c r="M9" s="647"/>
      <c r="O9" s="651"/>
      <c r="P9" s="652"/>
      <c r="Q9" s="653">
        <f t="shared" si="8"/>
        <v>0</v>
      </c>
      <c r="R9" s="654">
        <f t="shared" si="9"/>
        <v>0</v>
      </c>
      <c r="S9" s="655"/>
      <c r="T9" s="11"/>
      <c r="U9" s="651"/>
      <c r="V9" s="652"/>
      <c r="W9" s="653">
        <f t="shared" si="10"/>
        <v>0</v>
      </c>
      <c r="X9" s="654">
        <f t="shared" si="11"/>
        <v>0</v>
      </c>
      <c r="Y9" s="655"/>
      <c r="Z9" s="11"/>
      <c r="AA9" s="651"/>
      <c r="AB9" s="652"/>
      <c r="AC9" s="653">
        <f t="shared" si="12"/>
        <v>0</v>
      </c>
      <c r="AD9" s="654">
        <f t="shared" si="13"/>
        <v>0</v>
      </c>
      <c r="AE9" s="655"/>
      <c r="AF9" s="11"/>
      <c r="AG9" s="651"/>
      <c r="AH9" s="652"/>
      <c r="AI9" s="653">
        <f t="shared" si="14"/>
        <v>0</v>
      </c>
      <c r="AJ9" s="654">
        <f t="shared" si="15"/>
        <v>0</v>
      </c>
      <c r="AK9" s="655"/>
      <c r="AL9" s="11"/>
      <c r="AM9" s="651"/>
      <c r="AN9" s="652"/>
      <c r="AO9" s="653">
        <f t="shared" si="16"/>
        <v>0</v>
      </c>
      <c r="AP9" s="654">
        <f t="shared" si="17"/>
        <v>0</v>
      </c>
      <c r="AQ9" s="655"/>
      <c r="AR9" s="11"/>
      <c r="AS9" s="651"/>
      <c r="AT9" s="652"/>
      <c r="AU9" s="656">
        <f t="shared" si="18"/>
        <v>0</v>
      </c>
      <c r="AV9" s="657">
        <f t="shared" si="19"/>
        <v>0</v>
      </c>
      <c r="AW9" s="655"/>
      <c r="AX9" s="11"/>
      <c r="AZ9" s="658" t="s">
        <v>175</v>
      </c>
      <c r="BA9" s="636">
        <v>54.0</v>
      </c>
      <c r="BB9" s="642">
        <v>0.0</v>
      </c>
      <c r="BC9" s="636"/>
      <c r="BD9" s="636">
        <f t="shared" si="5"/>
        <v>0</v>
      </c>
      <c r="BE9" s="626"/>
      <c r="BG9" s="11"/>
    </row>
    <row r="10">
      <c r="B10" s="659" t="s">
        <v>409</v>
      </c>
      <c r="C10" s="660">
        <f t="shared" ref="C10:E10" si="24">AU12</f>
        <v>9</v>
      </c>
      <c r="D10" s="661">
        <f t="shared" si="24"/>
        <v>0.225</v>
      </c>
      <c r="E10" s="661">
        <f t="shared" si="24"/>
        <v>0.046875</v>
      </c>
      <c r="F10" s="662">
        <f>AV3</f>
        <v>0.6</v>
      </c>
      <c r="G10" s="109"/>
      <c r="H10" s="663" t="s">
        <v>410</v>
      </c>
      <c r="I10" s="660">
        <f t="shared" ref="I10:K10" si="25">AU34</f>
        <v>7</v>
      </c>
      <c r="J10" s="664">
        <f t="shared" si="25"/>
        <v>0.1842105263</v>
      </c>
      <c r="K10" s="664">
        <f t="shared" si="25"/>
        <v>0.03645833333</v>
      </c>
      <c r="L10" s="665">
        <f>AV25</f>
        <v>0.5142857143</v>
      </c>
      <c r="M10" s="647"/>
      <c r="O10" s="666" t="str">
        <f>IFS(
P5 = "Ancestral 5*", "Congratulations! You're done.",
AND(P5 = "Ancestral 4*",COUNTIF(P6:P9, "Epic+") &gt;= 1),"Get your Ancestral 5* Module by fusing",
AND(P5 = "Ancestral 4*",SUM(Q5:Q9)&lt;Q5+2),"Get another "&amp;Q5+2-SUM(Q5:Q9)&amp;" Module"&amp;IF(Q5+2-SUM(Q5:Q9)&lt;&gt;1,"s","")&amp;" for Ancestral 5* Module",
AND(P5 = "Ancestral 3*",COUNTIF(P6:P9, "Epic+") &gt;= 1),"Get your Ancestral 4* Module by fusing",
AND(P5 = "Ancestral 3*",SUM(Q5:Q9)&lt;Q5+2),"Get another "&amp;Q5+2-SUM(Q5:Q9)&amp;" Module"&amp;IF(Q5+2-SUM(Q5:Q9)&lt;&gt;1,"s","")&amp;" for Ancestral 4* Module",
AND(P5 = "Ancestral 2*",COUNTIF(P6:P9, "Epic+") &gt;= 1),"Get your Ancestral 3* Module by fusing",
AND(P5 = "Ancestral 2*",SUM(Q5:Q9)&lt;Q5+2),"Get another "&amp;Q5+2-SUM(Q5:Q9)&amp;" Module"&amp;IF(Q5+2-SUM(Q5:Q9)&lt;&gt;1,"s","")&amp;" for Ancestral 3* Module",
AND(P5 = "Ancestral 1*",COUNTIF(P6:P9, "Epic+") &gt;= 1),"Get your Ancestral 2* Module by fusing",
AND(P5 = "Ancestral 1*",SUM(Q5:Q9)&lt;Q5+2),"Get another "&amp;Q5+2-SUM(Q5:Q9)&amp;" Module"&amp;IF(Q5+2-SUM(Q5:Q9)&lt;&gt;1,"s","")&amp;" for Ancestral 2* Module",
AND(P5 = "Ancestral",COUNTIF(P6:P9, "Epic+") &gt;= 1),"Get your Ancestral 1* Module by fusing",
AND(P5 = "Ancestral",SUM(Q5:Q9)&lt;Q5+2),"Get another "&amp;Q5+2-SUM(Q5:Q9)&amp;" Module"&amp;IF(Q5+2-SUM(Q5:Q9)&lt;&gt;1,"s","")&amp;" for Ancestral 1* Module",
AND(P5 = "Mythic+",COUNTIF(P6:P9, "Epic+") &gt;= 2),"Get your Ancestral Module by fusing",
AND(P5 = "Mythic+",SUM(Q5:Q9)&lt;Q5+4),"Get another "&amp;Q5+4-SUM(Q5:Q9)&amp;" Module"&amp;IF(Q5+4-SUM(Q5:Q9)&lt;&gt;1,"s","")&amp;" for Ancestral Module",
AND(P5 = "Mythic",$BB11 &gt;= 1),"Get your Mythic+ Module by fusing.",
AND(P5 = "Mythic",$BD11 &gt;= 72),"Check Fodders to a Legendary+ Fodder",
P5 = "Mythic", "Get some Fodders for Mythic+. You need 1x Legendary+",
AND(P5 = "Legendary+",$BB11 &gt;= 1),"Get your Mythic Module by fusing.",
AND(P5 = "Legendary+",$BD11 &gt;= 72),"Check Fodders to a Legendary+ Fodder",
P5 = "Legendary+", "Get some Fodders for Mythic. You need 1x Legendary+",
AND(P5 = "Legendary", OR(P6 = "Epic+", P7 = "Epic+", P8 = "Epic+", P9 = "Epic+")), "Get your Legendary+ Module by fusing",
P5 = "Legendary", "You need another Epic+ Module to get Legendary+",
AND(P5 = "Epic+",$BB8 &gt;= 2),"Get your Legendary Module by fusing.",
AND(P5 = "Epic+",$BD11 &gt;= 36),"Check Fodders to get 2x Epic+ Fodders",
P5 = "Epic+", "Get some Fodders for Legendary. You need 2x Epic+",
AND(Q12 = 2,OR(P6 = "Epic", P7 = "Epic", P9 = "Epic", P8 = "Epic")),"Get your Epic+ Module by fusing",
Q12 = 1,"Get your second Module",
TRUE,"Get your first Module"
)</f>
        <v>Get another 4 Modules for Ancestral Module</v>
      </c>
      <c r="P10" s="29"/>
      <c r="Q10" s="29"/>
      <c r="R10" s="29"/>
      <c r="S10" s="136"/>
      <c r="T10" s="158"/>
      <c r="U10" s="666" t="str">
        <f>IFS(
V5 = "Ancestral 5*", "Congratulations! You're done.",
AND(V5 = "Ancestral 4*",COUNTIF(V6:V9, "Epic+") &gt;= 1),"Get your Ancestral 5* Module by fusing",
AND(V5 = "Ancestral 4*",SUM(W5:W9)&lt;W5+2),"Get another "&amp;W5+2-SUM(W5:W9)&amp;" Module"&amp;IF(W5+2-SUM(W5:W9)&lt;&gt;1,"s","")&amp;" for Ancestral 5* Module",
AND(V5 = "Ancestral 3*",COUNTIF(V6:V9, "Epic+") &gt;= 1),"Get your Ancestral 4* Module by fusing",
AND(V5 = "Ancestral 3*",SUM(W5:W9)&lt;W5+2),"Get another "&amp;W5+2-SUM(W5:W9)&amp;" Module"&amp;IF(W5+2-SUM(W5:W9)&lt;&gt;1,"s","")&amp;" for Ancestral 4* Module",
AND(V5 = "Ancestral 2*",COUNTIF(V6:V9, "Epic+") &gt;= 1),"Get your Ancestral 3* Module by fusing",
AND(V5 = "Ancestral 2*",SUM(W5:W9)&lt;W5+2),"Get another "&amp;W5+2-SUM(W5:W9)&amp;" Module"&amp;IF(W5+2-SUM(W5:W9)&lt;&gt;1,"s","")&amp;" for Ancestral 3* Module",
AND(V5 = "Ancestral 1*",COUNTIF(V6:V9, "Epic+") &gt;= 1),"Get your Ancestral 2* Module by fusing",
AND(V5 = "Ancestral 1*",SUM(W5:W9)&lt;W5+2),"Get another "&amp;W5+2-SUM(W5:W9)&amp;" Module"&amp;IF(W5+2-SUM(W5:W9)&lt;&gt;1,"s","")&amp;" for Ancestral 2* Module",
AND(V5 = "Ancestral",COUNTIF(V6:V9, "Epic+") &gt;= 1),"Get your Ancestral 1* Module by fusing",
AND(V5 = "Ancestral",SUM(W5:W9)&lt;W5+2),"Get another "&amp;W5+2-SUM(W5:W9)&amp;" Module"&amp;IF(W5+2-SUM(W5:W9)&lt;&gt;1,"s","")&amp;" for Ancestral 1* Module",
AND(V5 = "Mythic+",COUNTIF(V6:V9, "Epic+") &gt;= 2),"Get your Ancestral Module by fusing",
AND(V5 = "Mythic+",SUM(W5:W9)&lt;W5+4),"Get another "&amp;W5+4-SUM(W5:W9)&amp;" Module"&amp;IF(W5+4-SUM(W5:W9)&lt;&gt;1,"s","")&amp;" for Ancestral Module",
AND(V5 = "Mythic",$BB11 &gt;= 1),"Get your Mythic+ Module by fusing.",
AND(V5 = "Mythic",$BD11 &gt;= 72),"Check Fodders to a Legendary+ Fodder",
V5 = "Mythic", "Get some Fodders for Mythic+. You need 1x Legendary+",
AND(V5 = "Legendary+",$BB11 &gt;= 1),"Get your Mythic Module by fusing.",
AND(V5 = "Legendary+",$BD11 &gt;= 72),"Check Fodders to a Legendary+ Fodder",
V5 = "Legendary+", "Get some Fodders for Mythic. You need 1x Legendary+",
AND(V5 = "Legendary", OR(V6 = "Epic+", V7 = "Epic+", V8 = "Epic+", V9 = "Epic+")), "Get your Legendary+ Module by fusing",
V5 = "Legendary", "You need another Epic+ Module to get Legendary+",
AND(V5 = "Epic+",$BB8 &gt;= 2),"Get your Legendary Module by fusing.",
AND(V5 = "Epic+",$BD11 &gt;= 36),"Check Fodders to get 2x Epic+ Fodders",
V5 = "Epic+", "Get some Fodders for Legendary. You need 2x Epic+",
AND(W12 = 2,OR(V6 = "Epic", V7 = "Epic", V9 = "Epic", V8 = "Epic")),"Get your Epic+ Module by fusing",
W12 = 1,"Get your second Module",
TRUE,"Get your first Module"
)</f>
        <v>Get another 1 Module for Ancestral 1* Module</v>
      </c>
      <c r="V10" s="29"/>
      <c r="W10" s="29"/>
      <c r="X10" s="29"/>
      <c r="Y10" s="136"/>
      <c r="Z10" s="158"/>
      <c r="AA10" s="666" t="str">
        <f>IFS(
AB5 = "Ancestral 5*", "Congratulations! You're done.",
AND(AB5 = "Ancestral 4*",COUNTIF(AB6:AB9, "Epic+") &gt;= 1),"Get your Ancestral 5* Module by fusing",
AND(AB5 = "Ancestral 4*",SUM(AC5:AC9)&lt;AC5+2),"Get another "&amp;AC5+2-SUM(AC5:AC9)&amp;" Module"&amp;IF(AC5+2-SUM(AC5:AC9)&lt;&gt;1,"s","")&amp;" for Ancestral 5* Module",
AND(AB5 = "Ancestral 3*",COUNTIF(AB6:AB9, "Epic+") &gt;= 1),"Get your Ancestral 4* Module by fusing",
AND(AB5 = "Ancestral 3*",SUM(AC5:AC9)&lt;AC5+2),"Get another "&amp;AC5+2-SUM(AC5:AC9)&amp;" Module"&amp;IF(AC5+2-SUM(AC5:AC9)&lt;&gt;1,"s","")&amp;" for Ancestral 4* Module",
AND(AB5 = "Ancestral 2*",COUNTIF(AB6:AB9, "Epic+") &gt;= 1),"Get your Ancestral 3* Module by fusing",
AND(AB5 = "Ancestral 2*",SUM(AC5:AC9)&lt;AC5+2),"Get another "&amp;AC5+2-SUM(AC5:AC9)&amp;" Module"&amp;IF(AC5+2-SUM(AC5:AC9)&lt;&gt;1,"s","")&amp;" for Ancestral 3* Module",
AND(AB5 = "Ancestral 1*",COUNTIF(AB6:AB9, "Epic+") &gt;= 1),"Get your Ancestral 2* Module by fusing",
AND(AB5 = "Ancestral 1*",SUM(AC5:AC9)&lt;AC5+2),"Get another "&amp;AC5+2-SUM(AC5:AC9)&amp;" Module"&amp;IF(AC5+2-SUM(AC5:AC9)&lt;&gt;1,"s","")&amp;" for Ancestral 2* Module",
AND(AB5 = "Ancestral",COUNTIF(AB6:AB9, "Epic+") &gt;= 1),"Get your Ancestral 1* Module by fusing",
AND(AB5 = "Ancestral",SUM(AC5:AC9)&lt;AC5+2),"Get another "&amp;AC5+2-SUM(AC5:AC9)&amp;" Module"&amp;IF(AC5+2-SUM(AC5:AC9)&lt;&gt;1,"s","")&amp;" for Ancestral 1* Module",
AND(AB5 = "Mythic+",COUNTIF(AB6:AB9, "Epic+") &gt;= 2),"Get your Ancestral Module by fusing",
AND(AB5 = "Mythic+",SUM(AC5:AC9)&lt;AC5+4),"Get another "&amp;AC5+4-SUM(AC5:AC9)&amp;" Module"&amp;IF(AC5+4-SUM(AC5:AC9)&lt;&gt;1,"s","")&amp;" for Ancestral Module",
AND(AB5 = "Mythic",$BB11 &gt;= 1),"Get your Mythic+ Module by fusing.",
AND(AB5 = "Mythic",$BD11 &gt;= 72),"Check Fodders to a Legendary+ Fodder",
AB5 = "Mythic", "Get some Fodders for Mythic+. You need 1x Legendary+",
AND(AB5 = "Legendary+",$BB11 &gt;= 1),"Get your Mythic Module by fusing.",
AND(AB5 = "Legendary+",$BD11 &gt;= 72),"Check Fodders to a Legendary+ Fodder",
AB5 = "Legendary+", "Get some Fodders for Mythic. You need 1x Legendary+",
AND(AB5 = "Legendary", OR(AB6 = "Epic+", AB7 = "Epic+", AB8 = "Epic+", AB9 = "Epic+")), "Get your Legendary+ Module by fusing",
AB5 = "Legendary", "You need another Epic+ Module to get Legendary+",
AND(AB5 = "Epic+",$BB8 &gt;= 2),"Get your Legendary Module by fusing.",
AND(AB5 = "Epic+",$BD11 &gt;= 36),"Check Fodders to get 2x Epic+ Fodders",
AB5 = "Epic+", "Get some Fodders for Legendary. You need 2x Epic+",
AND(AC12 = 2,OR(AB6 = "Epic", AB7 = "Epic", AB9 = "Epic", AB8 = "Epic")),"Get your Epic+ Module by fusing",
AC12 = 1,"Get your second Module",
TRUE,"Get your first Module"
)</f>
        <v>Get another 1 Module for Ancestral Module</v>
      </c>
      <c r="AB10" s="29"/>
      <c r="AC10" s="29"/>
      <c r="AD10" s="29"/>
      <c r="AE10" s="136"/>
      <c r="AF10" s="158"/>
      <c r="AG10" s="666" t="str">
        <f>IFS(
AH5 = "Ancestral 5*", "Congratulations! You're done.",
AND(AH5 = "Ancestral 4*",COUNTIF(AH6:AH9, "Epic+") &gt;= 1),"Get your Ancestral 5* Module by fusing",
AND(AH5 = "Ancestral 4*",SUM(AI5:AI9)&lt;AI5+2),"Get another "&amp;AI5+2-SUM(AI5:AI9)&amp;" Module"&amp;IF(AI5+2-SUM(AI5:AI9)&lt;&gt;1,"s","")&amp;" for Ancestral 5* Module",
AND(AH5 = "Ancestral 3*",COUNTIF(AH6:AH9, "Epic+") &gt;= 1),"Get your Ancestral 4* Module by fusing",
AND(AH5 = "Ancestral 3*",SUM(AI5:AI9)&lt;AI5+2),"Get another "&amp;AI5+2-SUM(AI5:AI9)&amp;" Module"&amp;IF(AI5+2-SUM(AI5:AI9)&lt;&gt;1,"s","")&amp;" for Ancestral 4* Module",
AND(AH5 = "Ancestral 2*",COUNTIF(AH6:AH9, "Epic+") &gt;= 1),"Get your Ancestral 3* Module by fusing",
AND(AH5 = "Ancestral 2*",SUM(AI5:AI9)&lt;AI5+2),"Get another "&amp;AI5+2-SUM(AI5:AI9)&amp;" Module"&amp;IF(AI5+2-SUM(AI5:AI9)&lt;&gt;1,"s","")&amp;" for Ancestral 3* Module",
AND(AH5 = "Ancestral 1*",COUNTIF(AH6:AH9, "Epic+") &gt;= 1),"Get your Ancestral 2* Module by fusing",
AND(AH5 = "Ancestral 1*",SUM(AI5:AI9)&lt;AI5+2),"Get another "&amp;AI5+2-SUM(AI5:AI9)&amp;" Module"&amp;IF(AI5+2-SUM(AI5:AI9)&lt;&gt;1,"s","")&amp;" for Ancestral 2* Module",
AND(AH5 = "Ancestral",COUNTIF(AH6:AH9, "Epic+") &gt;= 1),"Get your Ancestral 1* Module by fusing",
AND(AH5 = "Ancestral",SUM(AI5:AI9)&lt;AI5+2),"Get another "&amp;AI5+2-SUM(AI5:AI9)&amp;" Module"&amp;IF(AI5+2-SUM(AI5:AI9)&lt;&gt;1,"s","")&amp;" for Ancestral 1* Module",
AND(AH5 = "Mythic+",COUNTIF(AH6:AH9, "Epic+") &gt;= 2),"Get your Ancestral Module by fusing",
AND(AH5 = "Mythic+",SUM(AI5:AI9)&lt;AI5+4),"Get another "&amp;AI5+4-SUM(AI5:AI9)&amp;" Module"&amp;IF(AI5+4-SUM(AI5:AI9)&lt;&gt;1,"s","")&amp;" for Ancestral Module",
AND(AH5 = "Mythic",$BB11 &gt;= 1),"Get your Mythic+ Module by fusing.",
AND(AH5 = "Mythic",$BD11 &gt;= 72),"Check Fodders to a Legendary+ Fodder",
AH5 = "Mythic", "Get some Fodders for Mythic+. You need 1x Legendary+",
AND(AH5 = "Legendary+",$BB11 &gt;= 1),"Get your Mythic Module by fusing.",
AND(AH5 = "Legendary+",$BD11 &gt;= 72),"Check Fodders to a Legendary+ Fodder",
AH5 = "Legendary+", "Get some Fodders for Mythic. You need 1x Legendary+",
AND(AH5 = "Legendary", OR(AH6 = "Epic+", AH7 = "Epic+", AH8 = "Epic+", AH9 = "Epic+")), "Get your Legendary+ Module by fusing",
AH5 = "Legendary", "You need another Epic+ Module to get Legendary+",
AND(AH5 = "Epic+",$BB8 &gt;= 2),"Get your Legendary Module by fusing.",
AND(AH5 = "Epic+",$BD11 &gt;= 36),"Check Fodders to get 2x Epic+ Fodders",
AH5 = "Epic+", "Get some Fodders for Legendary. You need 2x Epic+",
AND(AI12 = 2,OR(AH6 = "Epic", AH7 = "Epic", AH9 = "Epic", AH8 = "Epic")),"Get your Epic+ Module by fusing",
AI12 = 1,"Get your second Module",
TRUE,"Get your first Module"
)</f>
        <v>Get another 2 Modules for Ancestral 1* Module</v>
      </c>
      <c r="AH10" s="29"/>
      <c r="AI10" s="29"/>
      <c r="AJ10" s="29"/>
      <c r="AK10" s="136"/>
      <c r="AL10" s="158"/>
      <c r="AM10" s="666" t="str">
        <f>IFS(
AN5 = "Ancestral 5*", "Congratulations! You're done.",
AND(AN5 = "Ancestral 4*",COUNTIF(AN6:AN9, "Epic+") &gt;= 1),"Get your Ancestral 5* Module by fusing",
AND(AN5 = "Ancestral 4*",SUM(AO5:AO9)&lt;AO5+2),"Get another "&amp;AO5+2-SUM(AO5:AO9)&amp;" Module"&amp;IF(AO5+2-SUM(AO5:AO9)&lt;&gt;1,"s","")&amp;" for Ancestral 5* Module",
AND(AN5 = "Ancestral 3*",COUNTIF(AN6:AN9, "Epic+") &gt;= 1),"Get your Ancestral 4* Module by fusing",
AND(AN5 = "Ancestral 3*",SUM(AO5:AO9)&lt;AO5+2),"Get another "&amp;AO5+2-SUM(AO5:AO9)&amp;" Module"&amp;IF(AO5+2-SUM(AO5:AO9)&lt;&gt;1,"s","")&amp;" for Ancestral 4* Module",
AND(AN5 = "Ancestral 2*",COUNTIF(AN6:AN9, "Epic+") &gt;= 1),"Get your Ancestral 3* Module by fusing",
AND(AN5 = "Ancestral 2*",SUM(AO5:AO9)&lt;AO5+2),"Get another "&amp;AO5+2-SUM(AO5:AO9)&amp;" Module"&amp;IF(AO5+2-SUM(AO5:AO9)&lt;&gt;1,"s","")&amp;" for Ancestral 3* Module",
AND(AN5 = "Ancestral 1*",COUNTIF(AN6:AN9, "Epic+") &gt;= 1),"Get your Ancestral 2* Module by fusing",
AND(AN5 = "Ancestral 1*",SUM(AO5:AO9)&lt;AO5+2),"Get another "&amp;AO5+2-SUM(AO5:AO9)&amp;" Module"&amp;IF(AO5+2-SUM(AO5:AO9)&lt;&gt;1,"s","")&amp;" for Ancestral 2* Module",
AND(AN5 = "Ancestral",COUNTIF(AN6:AN9, "Epic+") &gt;= 1),"Get your Ancestral 1* Module by fusing",
AND(AN5 = "Ancestral",SUM(AO5:AO9)&lt;AO5+2),"Get another "&amp;AO5+2-SUM(AO5:AO9)&amp;" Module"&amp;IF(AO5+2-SUM(AO5:AO9)&lt;&gt;1,"s","")&amp;" for Ancestral 1* Module",
AND(AN5 = "Mythic+",COUNTIF(AN6:AN9, "Epic+") &gt;= 2),"Get your Ancestral Module by fusing",
AND(AN5 = "Mythic+",SUM(AO5:AO9)&lt;AO5+4),"Get another "&amp;AO5+4-SUM(AO5:AO9)&amp;" Module"&amp;IF(AO5+4-SUM(AO5:AO9)&lt;&gt;1,"s","")&amp;" for Ancestral Module",
AND(AN5 = "Mythic",$BB11 &gt;= 1),"Get your Mythic+ Module by fusing.",
AND(AN5 = "Mythic",$BD11 &gt;= 72),"Check Fodders to a Legendary+ Fodder",
AN5 = "Mythic", "Get some Fodders for Mythic+. You need 1x Legendary+",
AND(AN5 = "Legendary+",$BB11 &gt;= 1),"Get your Mythic Module by fusing.",
AND(AN5 = "Legendary+",$BD11 &gt;= 72),"Check Fodders to a Legendary+ Fodder",
AN5 = "Legendary+", "Get some Fodders for Mythic. You need 1x Legendary+",
AND(AN5 = "Legendary", OR(AN6 = "Epic+", AN7 = "Epic+", AN8 = "Epic+", AN9 = "Epic+")), "Get your Legendary+ Module by fusing",
AN5 = "Legendary", "You need another Epic+ Module to get Legendary+",
AND(AN5 = "Epic+",$BB8 &gt;= 2),"Get your Legendary Module by fusing.",
AND(AN5 = "Epic+",$BD11 &gt;= 36),"Check Fodders to get 2x Epic+ Fodders",
AN5 = "Epic+", "Get some Fodders for Legendary. You need 2x Epic+",
AND(AO12 = 2,OR(AN6 = "Epic", AN7 = "Epic", AN9 = "Epic", AN8 = "Epic")),"Get your Epic+ Module by fusing",
AO12 = 1,"Get your second Module",
TRUE,"Get your first Module"
)</f>
        <v>You need another Epic+ Module to get Legendary+</v>
      </c>
      <c r="AN10" s="29"/>
      <c r="AO10" s="29"/>
      <c r="AP10" s="29"/>
      <c r="AQ10" s="136"/>
      <c r="AR10" s="158"/>
      <c r="AS10" s="666" t="str">
        <f>IFS(
AT5 = "Ancestral 5*", "Congratulations! You're done.",
AND(AT5 = "Ancestral 4*",COUNTIF(AT6:AT9, "Epic+") &gt;= 1),"Get your Ancestral 5* Module by fusing",
AND(AT5 = "Ancestral 4*",SUM(AU5:AU9)&lt;AU5+2),"Get another "&amp;AU5+2-SUM(AU5:AU9)&amp;" Module"&amp;IF(AU5+2-SUM(AU5:AU9)&lt;&gt;1,"s","")&amp;" for Ancestral 5* Module",
AND(AT5 = "Ancestral 3*",COUNTIF(AT6:AT9, "Epic+") &gt;= 1),"Get your Ancestral 4* Module by fusing",
AND(AT5 = "Ancestral 3*",SUM(AU5:AU9)&lt;AU5+2),"Get another "&amp;AU5+2-SUM(AU5:AU9)&amp;" Module"&amp;IF(AU5+2-SUM(AU5:AU9)&lt;&gt;1,"s","")&amp;" for Ancestral 4* Module",
AND(AT5 = "Ancestral 2*",COUNTIF(AT6:AT9, "Epic+") &gt;= 1),"Get your Ancestral 3* Module by fusing",
AND(AT5 = "Ancestral 2*",SUM(AU5:AU9)&lt;AU5+2),"Get another "&amp;AU5+2-SUM(AU5:AU9)&amp;" Module"&amp;IF(AU5+2-SUM(AU5:AU9)&lt;&gt;1,"s","")&amp;" for Ancestral 3* Module",
AND(AT5 = "Ancestral 1*",COUNTIF(AT6:AT9, "Epic+") &gt;= 1),"Get your Ancestral 2* Module by fusing",
AND(AT5 = "Ancestral 1*",SUM(AU5:AU9)&lt;AU5+2),"Get another "&amp;AU5+2-SUM(AU5:AU9)&amp;" Module"&amp;IF(AU5+2-SUM(AU5:AU9)&lt;&gt;1,"s","")&amp;" for Ancestral 2* Module",
AND(AT5 = "Ancestral",COUNTIF(AT6:AT9, "Epic+") &gt;= 1),"Get your Ancestral 1* Module by fusing",
AND(AT5 = "Ancestral",SUM(AU5:AU9)&lt;AU5+2),"Get another "&amp;AU5+2-SUM(AU5:AU9)&amp;" Module"&amp;IF(AU5+2-SUM(AU5:AU9)&lt;&gt;1,"s","")&amp;" for Ancestral 1* Module",
AND(AT5 = "Mythic+",COUNTIF(AT6:AT9, "Epic+") &gt;= 2),"Get your Ancestral Module by fusing",
AND(AT5 = "Mythic+",SUM(AU5:AU9)&lt;AU5+4),"Get another "&amp;AU5+4-SUM(AU5:AU9)&amp;" Module"&amp;IF(AU5+4-SUM(AU5:AU9)&lt;&gt;1,"s","")&amp;" for Ancestral Module",
AND(AT5 = "Mythic",$BB11 &gt;= 1),"Get your Mythic+ Module by fusing.",
AND(AT5 = "Mythic",$BD11 &gt;= 72),"Check Fodders to a Legendary+ Fodder",
AT5 = "Mythic", "Get some Fodders for Mythic+. You need 1x Legendary+",
AND(AT5 = "Legendary+",$BB11 &gt;= 1),"Get your Mythic Module by fusing.",
AND(AT5 = "Legendary+",$BD11 &gt;= 72),"Check Fodders to a Legendary+ Fodder",
AT5 = "Legendary+", "Get some Fodders for Mythic. You need 1x Legendary+",
AND(AT5 = "Legendary", OR(AT6 = "Epic+", AT7 = "Epic+", AT8 = "Epic+", AT9 = "Epic+")), "Get your Legendary+ Module by fusing",
AT5 = "Legendary", "You need another Epic+ Module to get Legendary+",
AND(AT5 = "Epic+",$BB8 &gt;= 2),"Get your Legendary Module by fusing.",
AND(AT5 = "Epic+",$BD11 &gt;= 36),"Check Fodders to get 2x Epic+ Fodders",
AT5 = "Epic+", "Get some Fodders for Legendary. You need 2x Epic+",
AND(AU12 = 2,OR(AT6 = "Epic", AT7 = "Epic", AT9 = "Epic", AT8 = "Epic")),"Get your Epic+ Module by fusing",
AU12 = 1,"Get your second Module",
TRUE,"Get your first Module"
)</f>
        <v>Get another 1 Module for Ancestral 1* Module</v>
      </c>
      <c r="AT10" s="29"/>
      <c r="AU10" s="29"/>
      <c r="AV10" s="29"/>
      <c r="AW10" s="136"/>
      <c r="AX10" s="11"/>
      <c r="AZ10" s="667" t="s">
        <v>298</v>
      </c>
      <c r="BA10" s="653">
        <v>72.0</v>
      </c>
      <c r="BB10" s="642">
        <v>2.0</v>
      </c>
      <c r="BC10" s="636" t="str">
        <f t="array" ref="BC10">LET(
    primary,{AT5,AN5,AH5,AB5,V5,P5} ,
    fodder,BB10,
    none, COUNTIF(primary,"=None"),
    epic, COUNTIF(primary,"=Epic*"),
    legendary, COUNTIF(primary,"=Legendary"),
    legendaryPlus, COUNTIF(primary,"=Legendary+"),
    mythic, COUNTIF(primary,"=Mythic"),
    neededNow, legendaryPlus*2+mythic,
    neededLater, (none+epic+legendary)*2,
    totalNeeded, neededNow+neededLater,
    IF(totalNeeded=0, IF(fodder&gt;0,"Shatter",), IF(fodder&gt;=totalNeeded, IF(neededNow&gt;0,"Merge",IF(neededLater=fodder,"Keep","Shatter "&amp;fodder-neededLater)),"Need +"&amp;totalNeeded-fodder)))</f>
        <v>Keep</v>
      </c>
      <c r="BD10" s="653">
        <f t="shared" si="5"/>
        <v>144</v>
      </c>
      <c r="BE10" s="626"/>
      <c r="BG10" s="158"/>
    </row>
    <row r="11">
      <c r="B11" s="627" t="s">
        <v>361</v>
      </c>
      <c r="C11" s="668">
        <f t="shared" ref="C11:E11" si="26">SUM(C5:C10)</f>
        <v>40</v>
      </c>
      <c r="D11" s="669">
        <f t="shared" si="26"/>
        <v>1</v>
      </c>
      <c r="E11" s="629">
        <f t="shared" si="26"/>
        <v>0.2083333333</v>
      </c>
      <c r="F11" s="630">
        <f>AVERAGE(F5:F10)</f>
        <v>0.4857142857</v>
      </c>
      <c r="G11" s="109"/>
      <c r="H11" s="631" t="s">
        <v>361</v>
      </c>
      <c r="I11" s="670">
        <f t="shared" ref="I11:K11" si="27">SUM(I5:I10)</f>
        <v>38</v>
      </c>
      <c r="J11" s="669">
        <f t="shared" si="27"/>
        <v>1</v>
      </c>
      <c r="K11" s="632">
        <f t="shared" si="27"/>
        <v>0.1979166667</v>
      </c>
      <c r="L11" s="633">
        <f>AVERAGE(L5:L10)</f>
        <v>0.4761904762</v>
      </c>
      <c r="M11" s="647"/>
      <c r="O11" s="671" t="s">
        <v>411</v>
      </c>
      <c r="P11" s="672"/>
      <c r="Q11" s="673">
        <v>0.0</v>
      </c>
      <c r="R11" s="674"/>
      <c r="S11" s="655"/>
      <c r="T11" s="158"/>
      <c r="U11" s="671" t="s">
        <v>411</v>
      </c>
      <c r="V11" s="672"/>
      <c r="W11" s="675">
        <v>0.0</v>
      </c>
      <c r="X11" s="674"/>
      <c r="Y11" s="655"/>
      <c r="Z11" s="158"/>
      <c r="AA11" s="671" t="s">
        <v>411</v>
      </c>
      <c r="AB11" s="672"/>
      <c r="AC11" s="675">
        <v>0.0</v>
      </c>
      <c r="AD11" s="674"/>
      <c r="AE11" s="655"/>
      <c r="AF11" s="158"/>
      <c r="AG11" s="671" t="s">
        <v>411</v>
      </c>
      <c r="AH11" s="672"/>
      <c r="AI11" s="675">
        <v>0.0</v>
      </c>
      <c r="AJ11" s="674"/>
      <c r="AK11" s="655"/>
      <c r="AL11" s="158"/>
      <c r="AM11" s="671" t="s">
        <v>411</v>
      </c>
      <c r="AN11" s="672"/>
      <c r="AO11" s="675">
        <v>0.0</v>
      </c>
      <c r="AP11" s="674"/>
      <c r="AQ11" s="655"/>
      <c r="AR11" s="158"/>
      <c r="AS11" s="671" t="s">
        <v>411</v>
      </c>
      <c r="AT11" s="672"/>
      <c r="AU11" s="675">
        <v>0.0</v>
      </c>
      <c r="AV11" s="674"/>
      <c r="AW11" s="655"/>
      <c r="AX11" s="11"/>
      <c r="AZ11" s="676" t="s">
        <v>361</v>
      </c>
      <c r="BA11" s="677"/>
      <c r="BB11" s="678">
        <f>SUM(BB5:BB10)</f>
        <v>2</v>
      </c>
      <c r="BC11" s="679">
        <f>FLOOR(BE11/(COUNTA(MOD_CANNONS_LIST)*180),0.01)</f>
        <v>1</v>
      </c>
      <c r="BD11" s="680">
        <f>SUM(BD5:BD10)</f>
        <v>144</v>
      </c>
      <c r="BE11" s="681">
        <f>SUM(R5:R9,X5:X9,AD5:AD9,AJ5:AJ9,AP5:AP9,AV5:AV9)+BD11</f>
        <v>1080</v>
      </c>
      <c r="BG11" s="158"/>
    </row>
    <row r="12">
      <c r="B12" s="613" t="s">
        <v>396</v>
      </c>
      <c r="C12" s="609"/>
      <c r="D12" s="682" t="str">
        <f>BE3</f>
        <v>Shatter new mods</v>
      </c>
      <c r="E12" s="609"/>
      <c r="F12" s="610"/>
      <c r="G12" s="109"/>
      <c r="H12" s="616" t="s">
        <v>396</v>
      </c>
      <c r="I12" s="609"/>
      <c r="J12" s="683" t="str">
        <f>BE25</f>
        <v>Shatter new mods</v>
      </c>
      <c r="K12" s="609"/>
      <c r="L12" s="610"/>
      <c r="M12" s="647"/>
      <c r="N12" s="138"/>
      <c r="O12" s="684" t="s">
        <v>412</v>
      </c>
      <c r="P12" s="685"/>
      <c r="Q12" s="686">
        <f>SUM(Q5:Q9)+IF($A$2,Q11)</f>
        <v>4</v>
      </c>
      <c r="R12" s="687">
        <f>IF($C11=0,0,Q12/$C11)</f>
        <v>0.1</v>
      </c>
      <c r="S12" s="688">
        <f>IF($F$26=0,0,Q12/$F$26)</f>
        <v>0.02083333333</v>
      </c>
      <c r="T12" s="11"/>
      <c r="U12" s="684" t="s">
        <v>412</v>
      </c>
      <c r="V12" s="685"/>
      <c r="W12" s="686">
        <f>SUM(W5:W9)+IF($A$2,W11)</f>
        <v>9</v>
      </c>
      <c r="X12" s="687">
        <f>IF($C11=0,0,W12/$C11)</f>
        <v>0.225</v>
      </c>
      <c r="Y12" s="688">
        <f>IF($F$26=0,0,W12/$F$26)</f>
        <v>0.046875</v>
      </c>
      <c r="Z12" s="11"/>
      <c r="AA12" s="684" t="s">
        <v>412</v>
      </c>
      <c r="AB12" s="685"/>
      <c r="AC12" s="686">
        <f>SUM(AC5:AC9)+IF($A$2,AC11)</f>
        <v>7</v>
      </c>
      <c r="AD12" s="687">
        <f>IF($C11=0,0,AC12/$C11)</f>
        <v>0.175</v>
      </c>
      <c r="AE12" s="688">
        <f>IF($F$26=0,0,AC12/$F$26)</f>
        <v>0.03645833333</v>
      </c>
      <c r="AF12" s="11"/>
      <c r="AG12" s="684" t="s">
        <v>412</v>
      </c>
      <c r="AH12" s="685"/>
      <c r="AI12" s="686">
        <f>SUM(AI5:AI9)+IF($A$2,AI11)</f>
        <v>8</v>
      </c>
      <c r="AJ12" s="687">
        <f>IF($C11=0,0,AI12/$C11)</f>
        <v>0.2</v>
      </c>
      <c r="AK12" s="688">
        <f>IF($F$26=0,0,AI12/$F$26)</f>
        <v>0.04166666667</v>
      </c>
      <c r="AL12" s="11"/>
      <c r="AM12" s="684" t="s">
        <v>412</v>
      </c>
      <c r="AN12" s="685"/>
      <c r="AO12" s="686">
        <f>SUM(AO5:AO9)+IF($A$2,AO11)</f>
        <v>3</v>
      </c>
      <c r="AP12" s="687">
        <f>IF($C11=0,0,AO12/$C11)</f>
        <v>0.075</v>
      </c>
      <c r="AQ12" s="688">
        <f>IF($F$26=0,0,AO12/$F$26)</f>
        <v>0.015625</v>
      </c>
      <c r="AR12" s="11"/>
      <c r="AS12" s="689" t="s">
        <v>412</v>
      </c>
      <c r="AT12" s="685"/>
      <c r="AU12" s="686">
        <f>SUM(AU5:AU9)+IF($A$2,AU11)</f>
        <v>9</v>
      </c>
      <c r="AV12" s="687">
        <f>IF($C11=0,0,AU12/$C11)</f>
        <v>0.225</v>
      </c>
      <c r="AW12" s="688">
        <f>IF($F$26=0,0,AU12/$F$26)</f>
        <v>0.046875</v>
      </c>
      <c r="AX12" s="11"/>
      <c r="AZ12" s="690" t="s">
        <v>413</v>
      </c>
      <c r="BA12" s="691"/>
      <c r="BB12" s="691"/>
      <c r="BC12" s="691"/>
      <c r="BD12" s="692"/>
      <c r="BE12" s="693">
        <f>if($BE$11+$BE$22+$BE$33+$BE$44=0,0,BE11/($BE$11+$BE$22+$BE$33+$BE$44))</f>
        <v>0.2205882353</v>
      </c>
      <c r="BF12" s="138"/>
      <c r="BG12" s="11"/>
    </row>
    <row r="13">
      <c r="B13" s="602"/>
      <c r="C13" s="602"/>
      <c r="D13" s="602"/>
      <c r="E13" s="602"/>
      <c r="F13" s="602"/>
      <c r="G13" s="694"/>
      <c r="H13" s="158"/>
      <c r="I13" s="158"/>
      <c r="J13" s="158"/>
      <c r="K13" s="158"/>
      <c r="L13" s="158"/>
      <c r="M13" s="694"/>
      <c r="N13" s="157"/>
      <c r="O13" s="159"/>
      <c r="P13" s="159"/>
      <c r="Q13" s="159"/>
      <c r="R13" s="159"/>
      <c r="S13" s="159"/>
      <c r="T13" s="160"/>
      <c r="U13" s="159"/>
      <c r="V13" s="159"/>
      <c r="W13" s="159"/>
      <c r="X13" s="159"/>
      <c r="Y13" s="159"/>
      <c r="Z13" s="11"/>
      <c r="AA13" s="159"/>
      <c r="AB13" s="159"/>
      <c r="AC13" s="159"/>
      <c r="AD13" s="159"/>
      <c r="AE13" s="159"/>
      <c r="AF13" s="11"/>
      <c r="AG13" s="159"/>
      <c r="AH13" s="159"/>
      <c r="AI13" s="159"/>
      <c r="AJ13" s="159"/>
      <c r="AK13" s="159"/>
      <c r="AL13" s="11"/>
      <c r="AM13" s="11"/>
      <c r="AN13" s="11"/>
      <c r="AO13" s="11"/>
      <c r="AP13" s="11"/>
      <c r="AQ13" s="11"/>
      <c r="AR13" s="11"/>
      <c r="AS13" s="11"/>
      <c r="AT13" s="11"/>
      <c r="AU13" s="11"/>
      <c r="AV13" s="11"/>
      <c r="AW13" s="11"/>
      <c r="AX13" s="11"/>
      <c r="AZ13" s="11"/>
      <c r="BA13" s="11"/>
      <c r="BB13" s="11"/>
      <c r="BC13" s="11"/>
      <c r="BD13" s="11"/>
      <c r="BE13" s="11"/>
      <c r="BF13" s="157"/>
      <c r="BG13" s="11"/>
    </row>
    <row r="14" ht="31.5" customHeight="1">
      <c r="B14" s="695" t="s">
        <v>414</v>
      </c>
      <c r="C14" s="120"/>
      <c r="D14" s="120"/>
      <c r="E14" s="120"/>
      <c r="F14" s="121"/>
      <c r="G14" s="602"/>
      <c r="H14" s="696" t="s">
        <v>415</v>
      </c>
      <c r="I14" s="120"/>
      <c r="J14" s="120"/>
      <c r="K14" s="120"/>
      <c r="L14" s="121"/>
      <c r="M14" s="604"/>
      <c r="N14" s="600" t="s">
        <v>187</v>
      </c>
      <c r="O14" s="380" t="s">
        <v>188</v>
      </c>
      <c r="P14" s="120"/>
      <c r="Q14" s="120"/>
      <c r="R14" s="697">
        <f>IFS(
P16 = "Ancestral 5*", 35,
AND(P16 = "Ancestral 4*",COUNTIF(P17:P20, "Epic+") &gt;= 1),34,
AND(P16 = "Ancestral 4*",Q23 = 17),33,
P16 = "Ancestral 4*",32,
AND(P16 = "Ancestral 3*",COUNTIF(P17:P20, "Epic+") &gt;= 1),31,
AND(P16 = "Ancestral 3*",Q23 = 15),30,
P16 = "Ancestral 3*",29,
AND(P16 = "Ancestral 2*",COUNTIF(P17:P20, "Epic+") &gt;= 1),28,
AND(P16 = "Ancestral 2*",Q23 = 13),27,
P16 = "Ancestral 2*",26,
AND(P16 = "Ancestral 1*",COUNTIF(P17:P20, "Epic+") &gt;= 1),25,
AND(P16 = "Ancestral 1*",Q23 = 11),24,
P16 = "Ancestral 1*",23,
AND(P16 = "Ancestral",COUNTIF(P17:P20, "Epic+") &gt;= 1),22,
AND(P16 = "Ancestral",Q23 = 9),21,
P16 = "Ancestral",20,
AND(P16 = "Mythic+",COUNTIF(P17:P20, "Epic+") &gt;= 2),19,
AND(P16 = "Mythic+",Q23 = 7),18,
AND(P16 = "Mythic+",Q23 = 6),17,
AND(P16 = "Mythic+",Q23 = 5),16,
P16 = "Mythic+",15,
AND(P16 = "Mythic",AY22 &gt;= 1),14,
AND(P16 = "Mythic",SUM($BD16:$BD22) &gt;= 72),13,
P16 = "Mythic",12,
AND(P16 = "Legendary+",AY22 &gt;= 1),11,
AND(P16 = "Legendary+",SUM($BD16:$BD22) &gt;= 72),10,
P16 = "Legendary+", 9,
AND(P16 = "Legendary", OR(P17 = "Epic+", P18 = "Epic+", P19 = "Epic+", P20 = "Epic+")), 8,
AND(P16 = "Legendary",Q23 = 3),7,
P16 = "Legendary", 6,
AND(P16 = "Epic+",AY19 &gt;= 2),5,
AND(P16 = "Epic+",SUM($BD16:$BD22) &gt;= 36),4,
P16 = "Epic+",3,
AND(Q23 = 2,OR(P17 = "Epic", P18 = "Epic", P20 = "Epic", P19 = "Epic")),2,
Q23 = 1,1,
TRUE,0
)
/35</f>
        <v>0.4285714286</v>
      </c>
      <c r="S14" s="121"/>
      <c r="T14" s="11"/>
      <c r="U14" s="698" t="s">
        <v>189</v>
      </c>
      <c r="V14" s="120"/>
      <c r="W14" s="120"/>
      <c r="X14" s="697">
        <f>IFS(
V16 = "Ancestral 5*", 35,
AND(V16 = "Ancestral 4*",COUNTIF(V17:V20, "Epic+") &gt;= 1),34,
AND(V16 = "Ancestral 4*",W23 = 17),33,
V16 = "Ancestral 4*",32,
AND(V16 = "Ancestral 3*",COUNTIF(V17:V20, "Epic+") &gt;= 1),31,
AND(V16 = "Ancestral 3*",W23 = 15),30,
V16 = "Ancestral 3*",29,
AND(V16 = "Ancestral 2*",COUNTIF(V17:V20, "Epic+") &gt;= 1),28,
AND(V16 = "Ancestral 2*",W23 = 13),27,
V16 = "Ancestral 2*",26,
AND(V16 = "Ancestral 1*",COUNTIF(V17:V20, "Epic+") &gt;= 1),25,
AND(V16 = "Ancestral 1*",W23 = 11),24,
V16 = "Ancestral 1*",23,
AND(V16 = "Ancestral",COUNTIF(V17:V20, "Epic+") &gt;= 1),22,
AND(V16 = "Ancestral",W23 = 9),21,
V16 = "Ancestral",20,
AND(V16 = "Mythic+",COUNTIF(V17:V20, "Epic+") &gt;= 2),19,
AND(V16 = "Mythic+",W23 = 7),18,
AND(V16 = "Mythic+",W23 = 6),17,
AND(V16 = "Mythic+",W23 = 5),16,
V16 = "Mythic+",15,
AND(V16 = "Mythic",BE22 &gt;= 1),14,
AND(V16 = "Mythic",SUM($BD16:$BD22) &gt;= 72),13,
V16 = "Mythic",12,
AND(V16 = "Legendary+",BE22 &gt;= 1),11,
AND(V16 = "Legendary+",SUM($BD16:$BD22) &gt;= 72),10,
V16 = "Legendary+", 9,
AND(V16 = "Legendary", OR(V17 = "Epic+", V18 = "Epic+", V19 = "Epic+", V20 = "Epic+")), 8,
AND(V16 = "Legendary",W23 = 3),7,
V16 = "Legendary", 6,
AND(V16 = "Epic+",BE19 &gt;= 2),5,
AND(V16 = "Epic+",SUM($BD16:$BD22) &gt;= 36),4,
V16 = "Epic+",3,
AND(W23 = 2,OR(V17 = "Epic", V18 = "Epic", V20 = "Epic", V19 = "Epic")),2,
W23 = 1,1,
TRUE,0
)
/35</f>
        <v>0.2</v>
      </c>
      <c r="Y14" s="121"/>
      <c r="Z14" s="11"/>
      <c r="AA14" s="380" t="s">
        <v>190</v>
      </c>
      <c r="AB14" s="120"/>
      <c r="AC14" s="120"/>
      <c r="AD14" s="697">
        <f>IFS(
AB16 = "Ancestral 5*", 35,
AND(AB16 = "Ancestral 4*",COUNTIF(AB17:AB20, "Epic+") &gt;= 1),34,
AND(AB16 = "Ancestral 4*",AC23 = 17),33,
AB16 = "Ancestral 4*",32,
AND(AB16 = "Ancestral 3*",COUNTIF(AB17:AB20, "Epic+") &gt;= 1),31,
AND(AB16 = "Ancestral 3*",AC23 = 15),30,
AB16 = "Ancestral 3*",29,
AND(AB16 = "Ancestral 2*",COUNTIF(AB17:AB20, "Epic+") &gt;= 1),28,
AND(AB16 = "Ancestral 2*",AC23 = 13),27,
AB16 = "Ancestral 2*",26,
AND(AB16 = "Ancestral 1*",COUNTIF(AB17:AB20, "Epic+") &gt;= 1),25,
AND(AB16 = "Ancestral 1*",AC23 = 11),24,
AB16 = "Ancestral 1*",23,
AND(AB16 = "Ancestral",COUNTIF(AB17:AB20, "Epic+") &gt;= 1),22,
AND(AB16 = "Ancestral",AC23 = 9),21,
AB16 = "Ancestral",20,
AND(AB16 = "Mythic+",COUNTIF(AB17:AB20, "Epic+") &gt;= 2),19,
AND(AB16 = "Mythic+",AC23 = 7),18,
AND(AB16 = "Mythic+",AC23 = 6),17,
AND(AB16 = "Mythic+",AC23 = 5),16,
AB16 = "Mythic+",15,
AND(AB16 = "Mythic",BK22 &gt;= 1),14,
AND(AB16 = "Mythic",SUM($BD16:$BD22) &gt;= 72),13,
AB16 = "Mythic",12,
AND(AB16 = "Legendary+",BK22 &gt;= 1),11,
AND(AB16 = "Legendary+",SUM($BD16:$BD22) &gt;= 72),10,
AB16 = "Legendary+", 9,
AND(AB16 = "Legendary", OR(AB17 = "Epic+", AB18 = "Epic+", AB19 = "Epic+", AB20 = "Epic+")), 8,
AND(AB16 = "Legendary",AC23 = 3),7,
AB16 = "Legendary", 6,
AND(AB16 = "Epic+",BK19 &gt;= 2),5,
AND(AB16 = "Epic+",SUM($BD16:$BD22) &gt;= 36),4,
AB16 = "Epic+",3,
AND(AC23 = 2,OR(AB17 = "Epic", AB18 = "Epic", AB20 = "Epic", AB19 = "Epic")),2,
AC23 = 1,1,
TRUE,0
)
/35</f>
        <v>0.7428571429</v>
      </c>
      <c r="AE14" s="121"/>
      <c r="AF14" s="11"/>
      <c r="AG14" s="380" t="s">
        <v>191</v>
      </c>
      <c r="AH14" s="120"/>
      <c r="AI14" s="120"/>
      <c r="AJ14" s="697">
        <f>IFS(
AH16 = "Ancestral 5*", 35,
AND(AH16 = "Ancestral 4*",COUNTIF(AH17:AH20, "Epic+") &gt;= 1),34,
AND(AH16 = "Ancestral 4*",AI23 = 17),33,
AH16 = "Ancestral 4*",32,
AND(AH16 = "Ancestral 3*",COUNTIF(AH17:AH20, "Epic+") &gt;= 1),31,
AND(AH16 = "Ancestral 3*",AI23 = 15),30,
AH16 = "Ancestral 3*",29,
AND(AH16 = "Ancestral 2*",COUNTIF(AH17:AH20, "Epic+") &gt;= 1),28,
AND(AH16 = "Ancestral 2*",AI23 = 13),27,
AH16 = "Ancestral 2*",26,
AND(AH16 = "Ancestral 1*",COUNTIF(AH17:AH20, "Epic+") &gt;= 1),25,
AND(AH16 = "Ancestral 1*",AI23 = 11),24,
AH16 = "Ancestral 1*",23,
AND(AH16 = "Ancestral",COUNTIF(AH17:AH20, "Epic+") &gt;= 1),22,
AND(AH16 = "Ancestral",AI23 = 9),21,
AH16 = "Ancestral",20,
AND(AH16 = "Mythic+",COUNTIF(AH17:AH20, "Epic+") &gt;= 2),19,
AND(AH16 = "Mythic+",AI23 = 7),18,
AND(AH16 = "Mythic+",AI23 = 6),17,
AND(AH16 = "Mythic+",AI23 = 5),16,
AH16 = "Mythic+",15,
AND(AH16 = "Mythic",BQ22 &gt;= 1),14,
AND(AH16 = "Mythic",SUM($BD16:$BD22) &gt;= 72),13,
AH16 = "Mythic",12,
AND(AH16 = "Legendary+",BQ22 &gt;= 1),11,
AND(AH16 = "Legendary+",SUM($BD16:$BD22) &gt;= 72),10,
AH16 = "Legendary+", 9,
AND(AH16 = "Legendary", OR(AH17 = "Epic+", AH18 = "Epic+", AH19 = "Epic+", AH20 = "Epic+")), 8,
AND(AH16 = "Legendary",AI23 = 3),7,
AH16 = "Legendary", 6,
AND(AH16 = "Epic+",BQ19 &gt;= 2),5,
AND(AH16 = "Epic+",SUM($BD16:$BD22) &gt;= 36),4,
AH16 = "Epic+",3,
AND(AI23 = 2,OR(AH17 = "Epic", AH18 = "Epic", AH20 = "Epic", AH19 = "Epic")),2,
AI23 = 1,1,
TRUE,0
)
/35</f>
        <v>0.4285714286</v>
      </c>
      <c r="AK14" s="121"/>
      <c r="AL14" s="11"/>
      <c r="AM14" s="380" t="s">
        <v>192</v>
      </c>
      <c r="AN14" s="120"/>
      <c r="AO14" s="120"/>
      <c r="AP14" s="697">
        <f>IFS(
AN16 = "Ancestral 5*", 35,
AND(AN16 = "Ancestral 4*",COUNTIF(AN17:AN20, "Epic+") &gt;= 1),34,
AND(AN16 = "Ancestral 4*",AO23 = 17),33,
AN16 = "Ancestral 4*",32,
AND(AN16 = "Ancestral 3*",COUNTIF(AN17:AN20, "Epic+") &gt;= 1),31,
AND(AN16 = "Ancestral 3*",AO23 = 15),30,
AN16 = "Ancestral 3*",29,
AND(AN16 = "Ancestral 2*",COUNTIF(AN17:AN20, "Epic+") &gt;= 1),28,
AND(AN16 = "Ancestral 2*",AO23 = 13),27,
AN16 = "Ancestral 2*",26,
AND(AN16 = "Ancestral 1*",COUNTIF(AN17:AN20, "Epic+") &gt;= 1),25,
AND(AN16 = "Ancestral 1*",AO23 = 11),24,
AN16 = "Ancestral 1*",23,
AND(AN16 = "Ancestral",COUNTIF(AN17:AN20, "Epic+") &gt;= 1),22,
AND(AN16 = "Ancestral",AO23 = 9),21,
AN16 = "Ancestral",20,
AND(AN16 = "Mythic+",COUNTIF(AN17:AN20, "Epic+") &gt;= 2),19,
AND(AN16 = "Mythic+",AO23 = 7),18,
AND(AN16 = "Mythic+",AO23 = 6),17,
AND(AN16 = "Mythic+",AO23 = 5),16,
AN16 = "Mythic+",15,
AND(AN16 = "Mythic",BW22 &gt;= 1),14,
AND(AN16 = "Mythic",SUM($BD16:$BD22) &gt;= 72),13,
AN16 = "Mythic",12,
AND(AN16 = "Legendary+",BW22 &gt;= 1),11,
AND(AN16 = "Legendary+",SUM($BD16:$BD22) &gt;= 72),10,
AN16 = "Legendary+", 9,
AND(AN16 = "Legendary", OR(AN17 = "Epic+", AN18 = "Epic+", AN19 = "Epic+", AN20 = "Epic+")), 8,
AND(AN16 = "Legendary",AO23 = 3),7,
AN16 = "Legendary", 6,
AND(AN16 = "Epic+",BW19 &gt;= 2),5,
AND(AN16 = "Epic+",SUM($BD16:$BD22) &gt;= 36),4,
AN16 = "Epic+",3,
AND(AO23 = 2,OR(AN17 = "Epic", AN18 = "Epic", AN20 = "Epic", AN19 = "Epic")),2,
AO23 = 1,1,
TRUE,0
)
/35</f>
        <v>0.6285714286</v>
      </c>
      <c r="AQ14" s="121"/>
      <c r="AR14" s="11"/>
      <c r="AS14" s="699" t="s">
        <v>193</v>
      </c>
      <c r="AT14" s="120"/>
      <c r="AU14" s="120"/>
      <c r="AV14" s="697">
        <f>IFS(
AT16 = "Ancestral 5*", 35,
AND(AT16 = "Ancestral 4*",COUNTIF(AT17:AT20, "Epic+") &gt;= 1),34,
AND(AT16 = "Ancestral 4*",AU23 = 17),33,
AT16 = "Ancestral 4*",32,
AND(AT16 = "Ancestral 3*",COUNTIF(AT17:AT20, "Epic+") &gt;= 1),31,
AND(AT16 = "Ancestral 3*",AU23 = 15),30,
AT16 = "Ancestral 3*",29,
AND(AT16 = "Ancestral 2*",COUNTIF(AT17:AT20, "Epic+") &gt;= 1),28,
AND(AT16 = "Ancestral 2*",AU23 = 13),27,
AT16 = "Ancestral 2*",26,
AND(AT16 = "Ancestral 1*",COUNTIF(AT17:AT20, "Epic+") &gt;= 1),25,
AND(AT16 = "Ancestral 1*",AU23 = 11),24,
AT16 = "Ancestral 1*",23,
AND(AT16 = "Ancestral",COUNTIF(AT17:AT20, "Epic+") &gt;= 1),22,
AND(AT16 = "Ancestral",AU23 = 9),21,
AT16 = "Ancestral",20,
AND(AT16 = "Mythic+",COUNTIF(AT17:AT20, "Epic+") &gt;= 2),19,
AND(AT16 = "Mythic+",AU23 = 7),18,
AND(AT16 = "Mythic+",AU23 = 6),17,
AND(AT16 = "Mythic+",AU23 = 5),16,
AT16 = "Mythic+",15,
AND(AT16 = "Mythic",CC22 &gt;= 1),14,
AND(AT16 = "Mythic",SUM($BD16:$BD22) &gt;= 72),13,
AT16 = "Mythic",12,
AND(AT16 = "Legendary+",CC22 &gt;= 1),11,
AND(AT16 = "Legendary+",SUM($BD16:$BD22) &gt;= 72),10,
AT16 = "Legendary+", 9,
AND(AT16 = "Legendary", OR(AT17 = "Epic+", AT18 = "Epic+", AT19 = "Epic+", AT20 = "Epic+")), 8,
AND(AT16 = "Legendary",AU23 = 3),7,
AT16 = "Legendary", 6,
AND(AT16 = "Epic+",CC19 &gt;= 2),5,
AND(AT16 = "Epic+",SUM($BD16:$BD22) &gt;= 36),4,
AT16 = "Epic+",3,
AND(AU23 = 2,OR(AT17 = "Epic", AT18 = "Epic", AT20 = "Epic", AT19 = "Epic")),2,
AU23 = 1,1,
TRUE,0
)
/35</f>
        <v>0.6857142857</v>
      </c>
      <c r="AW14" s="121"/>
      <c r="AX14" s="11"/>
      <c r="AZ14" s="700" t="s">
        <v>396</v>
      </c>
      <c r="BA14" s="609"/>
      <c r="BB14" s="609"/>
      <c r="BC14" s="609"/>
      <c r="BD14" s="610"/>
      <c r="BE14" s="701" t="str">
        <f>IFS(
SUM(R16:R20,X16:X20,AD16:AD20,AJ16:AJ20,AP16:AP20,AV16:AW20)&gt;=1080,"Shatter!",
SUM(R16:R20,X16:X20,AD16:AD20,AJ16:AJ20,AP16:AP20,AV16:AW20)+BD19+BD21&gt;=1080,"Shatter new mods",
BE22&gt;=1080,"Merge, if possible",
TRUE, "Keep farming"
)
&amp;IF(IDS_LAB_LEVEL("Shatter Shards")&lt;5,"*","")</f>
        <v>Shatter new mods</v>
      </c>
      <c r="BF14" s="612" t="s">
        <v>187</v>
      </c>
      <c r="BG14" s="11"/>
    </row>
    <row r="15">
      <c r="B15" s="702" t="s">
        <v>346</v>
      </c>
      <c r="C15" s="703" t="s">
        <v>397</v>
      </c>
      <c r="D15" s="703" t="s">
        <v>416</v>
      </c>
      <c r="E15" s="703" t="s">
        <v>349</v>
      </c>
      <c r="F15" s="704" t="s">
        <v>399</v>
      </c>
      <c r="G15" s="602"/>
      <c r="H15" s="705" t="s">
        <v>346</v>
      </c>
      <c r="I15" s="706" t="s">
        <v>397</v>
      </c>
      <c r="J15" s="706" t="s">
        <v>417</v>
      </c>
      <c r="K15" s="706" t="s">
        <v>349</v>
      </c>
      <c r="L15" s="707" t="s">
        <v>399</v>
      </c>
      <c r="M15" s="604"/>
      <c r="O15" s="708" t="s">
        <v>401</v>
      </c>
      <c r="P15" s="709" t="s">
        <v>170</v>
      </c>
      <c r="Q15" s="710" t="s">
        <v>402</v>
      </c>
      <c r="R15" s="710" t="s">
        <v>403</v>
      </c>
      <c r="S15" s="610"/>
      <c r="T15" s="11"/>
      <c r="U15" s="708" t="s">
        <v>401</v>
      </c>
      <c r="V15" s="709" t="s">
        <v>170</v>
      </c>
      <c r="W15" s="710" t="s">
        <v>402</v>
      </c>
      <c r="X15" s="710" t="s">
        <v>403</v>
      </c>
      <c r="Y15" s="610"/>
      <c r="Z15" s="11"/>
      <c r="AA15" s="708" t="s">
        <v>401</v>
      </c>
      <c r="AB15" s="709" t="s">
        <v>170</v>
      </c>
      <c r="AC15" s="710" t="s">
        <v>402</v>
      </c>
      <c r="AD15" s="710" t="s">
        <v>403</v>
      </c>
      <c r="AE15" s="610"/>
      <c r="AF15" s="11"/>
      <c r="AG15" s="708" t="s">
        <v>401</v>
      </c>
      <c r="AH15" s="709" t="s">
        <v>170</v>
      </c>
      <c r="AI15" s="710" t="s">
        <v>402</v>
      </c>
      <c r="AJ15" s="710" t="s">
        <v>403</v>
      </c>
      <c r="AK15" s="610"/>
      <c r="AL15" s="11"/>
      <c r="AM15" s="708" t="s">
        <v>401</v>
      </c>
      <c r="AN15" s="709" t="s">
        <v>170</v>
      </c>
      <c r="AO15" s="710" t="s">
        <v>402</v>
      </c>
      <c r="AP15" s="710" t="s">
        <v>403</v>
      </c>
      <c r="AQ15" s="610"/>
      <c r="AR15" s="11"/>
      <c r="AS15" s="711" t="s">
        <v>401</v>
      </c>
      <c r="AT15" s="712" t="s">
        <v>170</v>
      </c>
      <c r="AU15" s="713" t="s">
        <v>402</v>
      </c>
      <c r="AV15" s="713" t="s">
        <v>403</v>
      </c>
      <c r="AW15" s="610"/>
      <c r="AX15" s="11"/>
      <c r="AZ15" s="714" t="s">
        <v>170</v>
      </c>
      <c r="BA15" s="715" t="s">
        <v>402</v>
      </c>
      <c r="BB15" s="715" t="s">
        <v>397</v>
      </c>
      <c r="BC15" s="710" t="s">
        <v>404</v>
      </c>
      <c r="BD15" s="168" t="s">
        <v>405</v>
      </c>
      <c r="BE15" s="626"/>
      <c r="BG15" s="11"/>
    </row>
    <row r="16">
      <c r="B16" s="716" t="s">
        <v>364</v>
      </c>
      <c r="C16" s="628">
        <f t="shared" ref="C16:E16" si="28">Q23</f>
        <v>4</v>
      </c>
      <c r="D16" s="717">
        <f t="shared" si="28"/>
        <v>0.08888888889</v>
      </c>
      <c r="E16" s="717">
        <f t="shared" si="28"/>
        <v>0.02083333333</v>
      </c>
      <c r="F16" s="718">
        <f>R14</f>
        <v>0.4285714286</v>
      </c>
      <c r="G16" s="109"/>
      <c r="H16" s="719" t="s">
        <v>369</v>
      </c>
      <c r="I16" s="628">
        <f t="shared" ref="I16:K16" si="29">Q45</f>
        <v>12</v>
      </c>
      <c r="J16" s="720">
        <f t="shared" si="29"/>
        <v>0.1739130435</v>
      </c>
      <c r="K16" s="720">
        <f t="shared" si="29"/>
        <v>0.0625</v>
      </c>
      <c r="L16" s="721">
        <f>R36</f>
        <v>0.7428571429</v>
      </c>
      <c r="M16" s="634"/>
      <c r="O16" s="722" t="s">
        <v>406</v>
      </c>
      <c r="P16" s="723" t="str">
        <f>Inventory!F18</f>
        <v>Mythic+</v>
      </c>
      <c r="Q16" s="723">
        <f>IFS(
P16 = "None", 0,
P16 = "Epic", 1,
P16 = "Epic+", 2,
P16 = "Legendary", 2,
P16 = "Legendary+", 4,
P16 = "Mythic", 4,
P16 = "Mythic+", 4,
P16 = "Ancestral", 8,
P16 = "Ancestral 1*", 10,
P16 = "Ancestral 2*", 12,
P16 = "Ancestral 3*", 14,
P16 = "Ancestral 4*", 16,
P16 = "Ancestral 5*", 18
    )</f>
        <v>4</v>
      </c>
      <c r="R16" s="724">
        <f>IFS(
P16 = "None", 0,
P16 = "Epic", 0,
P16 = "Epic+", 0,
P16 = "Legendary", 36,
P16 = "Legendary+", 36,
P16 = "Mythic", 108,
TRUE, 180
    )</f>
        <v>180</v>
      </c>
      <c r="S16" s="626"/>
      <c r="T16" s="11"/>
      <c r="U16" s="722" t="s">
        <v>406</v>
      </c>
      <c r="V16" s="723" t="str">
        <f>Inventory!K18</f>
        <v>Legendary</v>
      </c>
      <c r="W16" s="723">
        <f>IFS(
V16 = "None", 0,
V16 = "Epic", 1,
V16 = "Epic+", 2,
V16 = "Legendary", 2,
V16 = "Legendary+", 4,
V16 = "Mythic", 4,
V16 = "Mythic+", 4,
V16 = "Ancestral", 8,
V16 = "Ancestral 1*", 10,
V16 = "Ancestral 2*", 12,
V16 = "Ancestral 3*", 14,
V16 = "Ancestral 4*", 16,
V16 = "Ancestral 5*", 18
    )</f>
        <v>2</v>
      </c>
      <c r="X16" s="724">
        <f>IFS(
V16 = "None", 0,
V16 = "Epic", 0,
V16 = "Epic+", 0,
V16 = "Legendary", 36,
V16 = "Legendary+", 36,
V16 = "Mythic", 108,
TRUE, 180
    )</f>
        <v>36</v>
      </c>
      <c r="Y16" s="626"/>
      <c r="Z16" s="11"/>
      <c r="AA16" s="722" t="s">
        <v>406</v>
      </c>
      <c r="AB16" s="723" t="str">
        <f>Inventory!P18</f>
        <v>Ancestral 2*</v>
      </c>
      <c r="AC16" s="723">
        <f>IFS(
AB16 = "None", 0,
AB16 = "Epic", 1,
AB16 = "Epic+", 2,
AB16 = "Legendary", 2,
AB16 = "Legendary+", 4,
AB16 = "Mythic", 4,
AB16 = "Mythic+", 4,
AB16 = "Ancestral", 8,
AB16 = "Ancestral 1*", 10,
AB16 = "Ancestral 2*", 12,
AB16 = "Ancestral 3*", 14,
AB16 = "Ancestral 4*", 16,
AB16 = "Ancestral 5*", 18
    )</f>
        <v>12</v>
      </c>
      <c r="AD16" s="724">
        <f>IFS(
AB16 = "None", 0,
AB16 = "Epic", 0,
AB16 = "Epic+", 0,
AB16 = "Legendary", 36,
AB16 = "Legendary+", 36,
AB16 = "Mythic", 108,
TRUE, 180
    )</f>
        <v>180</v>
      </c>
      <c r="AE16" s="626"/>
      <c r="AF16" s="11"/>
      <c r="AG16" s="722" t="s">
        <v>406</v>
      </c>
      <c r="AH16" s="723" t="str">
        <f>Inventory!U18</f>
        <v>Mythic+</v>
      </c>
      <c r="AI16" s="723">
        <f>IFS(
AH16 = "None", 0,
AH16 = "Epic", 1,
AH16 = "Epic+", 2,
AH16 = "Legendary", 2,
AH16 = "Legendary+", 4,
AH16 = "Mythic", 4,
AH16 = "Mythic+", 4,
AH16 = "Ancestral", 8,
AH16 = "Ancestral 1*", 10,
AH16 = "Ancestral 2*", 12,
AH16 = "Ancestral 3*", 14,
AH16 = "Ancestral 4*", 16,
AH16 = "Ancestral 5*", 18
    )</f>
        <v>4</v>
      </c>
      <c r="AJ16" s="724">
        <f>IFS(
AH16 = "None", 0,
AH16 = "Epic", 0,
AH16 = "Epic+", 0,
AH16 = "Legendary", 36,
AH16 = "Legendary+", 36,
AH16 = "Mythic", 108,
TRUE, 180
    )</f>
        <v>180</v>
      </c>
      <c r="AK16" s="626"/>
      <c r="AL16" s="11"/>
      <c r="AM16" s="722" t="s">
        <v>406</v>
      </c>
      <c r="AN16" s="723" t="str">
        <f>Inventory!Z18</f>
        <v>Ancestral</v>
      </c>
      <c r="AO16" s="723">
        <f>IFS(
AN16 = "None", 0,
AN16 = "Epic", 1,
AN16 = "Epic+", 2,
AN16 = "Legendary", 2,
AN16 = "Legendary+", 4,
AN16 = "Mythic", 4,
AN16 = "Mythic+", 4,
AN16 = "Ancestral", 8,
AN16 = "Ancestral 1*", 10,
AN16 = "Ancestral 2*", 12,
AN16 = "Ancestral 3*", 14,
AN16 = "Ancestral 4*", 16,
AN16 = "Ancestral 5*", 18
    )</f>
        <v>8</v>
      </c>
      <c r="AP16" s="724">
        <f>IFS(
AN16 = "None", 0,
AN16 = "Epic", 0,
AN16 = "Epic+", 0,
AN16 = "Legendary", 36,
AN16 = "Legendary+", 36,
AN16 = "Mythic", 108,
TRUE, 180
    )</f>
        <v>180</v>
      </c>
      <c r="AQ16" s="626"/>
      <c r="AR16" s="11"/>
      <c r="AS16" s="725" t="s">
        <v>406</v>
      </c>
      <c r="AT16" s="726" t="str">
        <f>Inventory!AE18</f>
        <v>Ancestral 1*</v>
      </c>
      <c r="AU16" s="726">
        <f>IFS(
AT16 = "None", 0,
AT16 = "Epic", 1,
AT16 = "Epic+", 2,
AT16 = "Legendary", 2,
AT16 = "Legendary+", 4,
AT16 = "Mythic", 4,
AT16 = "Mythic+", 4,
AT16 = "Ancestral", 8,
AT16 = "Ancestral 1*", 10,
AT16 = "Ancestral 2*", 12,
AT16 = "Ancestral 3*", 14,
AT16 = "Ancestral 4*", 16,
AT16 = "Ancestral 5*", 18
    )</f>
        <v>10</v>
      </c>
      <c r="AV16" s="727">
        <f>IFS(
AT16 = "None", 0,
AT16 = "Epic", 0,
AT16 = "Epic+", 0,
AT16 = "Legendary", 36,
AT16 = "Legendary+", 36,
AT16 = "Mythic", 108,
TRUE, 180
    )</f>
        <v>180</v>
      </c>
      <c r="AW16" s="626"/>
      <c r="AX16" s="11"/>
      <c r="AZ16" s="641" t="s">
        <v>239</v>
      </c>
      <c r="BA16" s="723">
        <v>1.0</v>
      </c>
      <c r="BB16" s="642">
        <v>0.0</v>
      </c>
      <c r="BC16" s="723"/>
      <c r="BD16" s="723">
        <f t="shared" ref="BD16:BD21" si="32">BA16*BB16</f>
        <v>0</v>
      </c>
      <c r="BE16" s="626"/>
      <c r="BG16" s="11"/>
    </row>
    <row r="17">
      <c r="B17" s="716" t="s">
        <v>366</v>
      </c>
      <c r="C17" s="643">
        <f t="shared" ref="C17:E17" si="30">W23</f>
        <v>3</v>
      </c>
      <c r="D17" s="717">
        <f t="shared" si="30"/>
        <v>0.06666666667</v>
      </c>
      <c r="E17" s="717">
        <f t="shared" si="30"/>
        <v>0.015625</v>
      </c>
      <c r="F17" s="718">
        <f>X14</f>
        <v>0.2</v>
      </c>
      <c r="G17" s="109"/>
      <c r="H17" s="719" t="s">
        <v>365</v>
      </c>
      <c r="I17" s="643">
        <f t="shared" ref="I17:K17" si="31">W45</f>
        <v>8</v>
      </c>
      <c r="J17" s="720">
        <f t="shared" si="31"/>
        <v>0.115942029</v>
      </c>
      <c r="K17" s="720">
        <f t="shared" si="31"/>
        <v>0.04166666667</v>
      </c>
      <c r="L17" s="721">
        <f>X36</f>
        <v>0.5714285714</v>
      </c>
      <c r="M17" s="634"/>
      <c r="O17" s="728" t="s">
        <v>408</v>
      </c>
      <c r="P17" s="642"/>
      <c r="Q17" s="723">
        <f t="shared" ref="Q17:Q20" si="35">IFS(
P17 = "", 0,
P17 = "Epic", 1,
P17 = "Epic+", 2,
P17 = "Legendary", 2,
P17 = "Legendary+", 4,
P17 = "Mythic", 4,
P17 = "Mythic+", 4,
P17 = "Ancestral", 8,
P17 = "Ancestral 1*", 10,
P17 = "Ancestral 2*", 12,
P17 = "Ancestral 3*", 14,
P17 = "Ancestral 4*", 16,
P17 = "Ancestral 5*", 18
    )</f>
        <v>0</v>
      </c>
      <c r="R17" s="724">
        <f t="shared" ref="R17:R20" si="36">IFS(
P17 = "", 0,
P17 = "Epic", 0,
P17 = "Epic+", 0,
P17 = "Legendary", 36,
P17 = "Legendary+", 36,
P17 = "Mythic", 108,
TRUE, 180
    )</f>
        <v>0</v>
      </c>
      <c r="S17" s="626"/>
      <c r="T17" s="11"/>
      <c r="U17" s="728" t="s">
        <v>408</v>
      </c>
      <c r="V17" s="642" t="s">
        <v>176</v>
      </c>
      <c r="W17" s="723">
        <f t="shared" ref="W17:W20" si="37">IFS(
V17 = "", 0,
V17 = "Epic", 1,
V17 = "Epic+", 2,
V17 = "Legendary", 2,
V17 = "Legendary+", 4,
V17 = "Mythic", 4,
V17 = "Mythic+", 4,
V17 = "Ancestral", 8,
V17 = "Ancestral 1*", 10,
V17 = "Ancestral 2*", 12,
V17 = "Ancestral 3*", 14,
V17 = "Ancestral 4*", 16,
V17 = "Ancestral 5*", 18
    )</f>
        <v>1</v>
      </c>
      <c r="X17" s="724">
        <f t="shared" ref="X17:X20" si="38">IFS(
V17 = "", 0,
V17 = "Epic", 0,
V17 = "Epic+", 0,
V17 = "Legendary", 36,
V17 = "Legendary+", 36,
V17 = "Mythic", 108,
TRUE, 180
    )</f>
        <v>0</v>
      </c>
      <c r="Y17" s="626"/>
      <c r="Z17" s="11"/>
      <c r="AA17" s="728" t="s">
        <v>408</v>
      </c>
      <c r="AB17" s="642"/>
      <c r="AC17" s="723">
        <f t="shared" ref="AC17:AC20" si="39">IFS(
AB17 = "", 0,
AB17 = "Epic", 1,
AB17 = "Epic+", 2,
AB17 = "Legendary", 2,
AB17 = "Legendary+", 4,
AB17 = "Mythic", 4,
AB17 = "Mythic+", 4,
AB17 = "Ancestral", 8,
AB17 = "Ancestral 1*", 10,
AB17 = "Ancestral 2*", 12,
AB17 = "Ancestral 3*", 14,
AB17 = "Ancestral 4*", 16,
AB17 = "Ancestral 5*", 18
    )</f>
        <v>0</v>
      </c>
      <c r="AD17" s="724">
        <f t="shared" ref="AD17:AD20" si="40">IFS(
AB17 = "", 0,
AB17 = "Epic", 0,
AB17 = "Epic+", 0,
AB17 = "Legendary", 36,
AB17 = "Legendary+", 36,
AB17 = "Mythic", 108,
TRUE, 180
    )</f>
        <v>0</v>
      </c>
      <c r="AE17" s="626"/>
      <c r="AF17" s="11"/>
      <c r="AG17" s="728" t="s">
        <v>408</v>
      </c>
      <c r="AH17" s="642"/>
      <c r="AI17" s="723">
        <f t="shared" ref="AI17:AI20" si="41">IFS(
AH17 = "", 0,
AH17 = "Epic", 1,
AH17 = "Epic+", 2,
AH17 = "Legendary", 2,
AH17 = "Legendary+", 4,
AH17 = "Mythic", 4,
AH17 = "Mythic+", 4,
AH17 = "Ancestral", 8,
AH17 = "Ancestral 1*", 10,
AH17 = "Ancestral 2*", 12,
AH17 = "Ancestral 3*", 14,
AH17 = "Ancestral 4*", 16,
AH17 = "Ancestral 5*", 18
    )</f>
        <v>0</v>
      </c>
      <c r="AJ17" s="724">
        <f t="shared" ref="AJ17:AJ20" si="42">IFS(
AH17 = "", 0,
AH17 = "Epic", 0,
AH17 = "Epic+", 0,
AH17 = "Legendary", 36,
AH17 = "Legendary+", 36,
AH17 = "Mythic", 108,
TRUE, 180
    )</f>
        <v>0</v>
      </c>
      <c r="AK17" s="626"/>
      <c r="AL17" s="11"/>
      <c r="AM17" s="728" t="s">
        <v>408</v>
      </c>
      <c r="AN17" s="642" t="s">
        <v>290</v>
      </c>
      <c r="AO17" s="723">
        <f t="shared" ref="AO17:AO20" si="43">IFS(
AN17 = "", 0,
AN17 = "Epic", 1,
AN17 = "Epic+", 2,
AN17 = "Legendary", 2,
AN17 = "Legendary+", 4,
AN17 = "Mythic", 4,
AN17 = "Mythic+", 4,
AN17 = "Ancestral", 8,
AN17 = "Ancestral 1*", 10,
AN17 = "Ancestral 2*", 12,
AN17 = "Ancestral 3*", 14,
AN17 = "Ancestral 4*", 16,
AN17 = "Ancestral 5*", 18
    )</f>
        <v>2</v>
      </c>
      <c r="AP17" s="724">
        <f t="shared" ref="AP17:AP20" si="44">IFS(
AN17 = "", 0,
AN17 = "Epic", 0,
AN17 = "Epic+", 0,
AN17 = "Legendary", 36,
AN17 = "Legendary+", 36,
AN17 = "Mythic", 108,
TRUE, 180
    )</f>
        <v>0</v>
      </c>
      <c r="AQ17" s="626"/>
      <c r="AR17" s="11"/>
      <c r="AS17" s="729" t="s">
        <v>408</v>
      </c>
      <c r="AT17" s="642" t="s">
        <v>176</v>
      </c>
      <c r="AU17" s="726">
        <f t="shared" ref="AU17:AU20" si="45">IFS(
AT17 = "", 0,
AT17 = "Epic", 1,
AT17 = "Epic+", 2,
AT17 = "Legendary", 2,
AT17 = "Legendary+", 4,
AT17 = "Mythic", 4,
AT17 = "Mythic+", 4,
AT17 = "Ancestral", 8,
AT17 = "Ancestral 1*", 10,
AT17 = "Ancestral 2*", 12,
AT17 = "Ancestral 3*", 14,
AT17 = "Ancestral 4*", 16,
AT17 = "Ancestral 5*", 18
    )</f>
        <v>1</v>
      </c>
      <c r="AV17" s="727">
        <f t="shared" ref="AV17:AV20" si="46">IFS(
AT17 = "", 0,
AT17 = "Epic", 0,
AT17 = "Epic+", 0,
AT17 = "Legendary", 36,
AT17 = "Legendary+", 36,
AT17 = "Mythic", 108,
TRUE, 180
    )</f>
        <v>0</v>
      </c>
      <c r="AW17" s="626"/>
      <c r="AX17" s="11"/>
      <c r="AZ17" s="646" t="s">
        <v>289</v>
      </c>
      <c r="BA17" s="723">
        <v>3.0</v>
      </c>
      <c r="BB17" s="642">
        <v>0.0</v>
      </c>
      <c r="BC17" s="723"/>
      <c r="BD17" s="723">
        <f t="shared" si="32"/>
        <v>0</v>
      </c>
      <c r="BE17" s="626"/>
      <c r="BG17" s="11"/>
    </row>
    <row r="18">
      <c r="B18" s="716" t="s">
        <v>368</v>
      </c>
      <c r="C18" s="643">
        <f t="shared" ref="C18:E18" si="33">AC23</f>
        <v>12</v>
      </c>
      <c r="D18" s="717">
        <f t="shared" si="33"/>
        <v>0.2666666667</v>
      </c>
      <c r="E18" s="717">
        <f t="shared" si="33"/>
        <v>0.0625</v>
      </c>
      <c r="F18" s="718">
        <f>AD14</f>
        <v>0.7428571429</v>
      </c>
      <c r="G18" s="109"/>
      <c r="H18" s="719" t="s">
        <v>367</v>
      </c>
      <c r="I18" s="643">
        <f t="shared" ref="I18:K18" si="34">AC45</f>
        <v>18</v>
      </c>
      <c r="J18" s="720">
        <f t="shared" si="34"/>
        <v>0.2608695652</v>
      </c>
      <c r="K18" s="720">
        <f t="shared" si="34"/>
        <v>0.09375</v>
      </c>
      <c r="L18" s="721">
        <f>AD36</f>
        <v>1</v>
      </c>
      <c r="M18" s="647"/>
      <c r="O18" s="648"/>
      <c r="P18" s="642"/>
      <c r="Q18" s="723">
        <f t="shared" si="35"/>
        <v>0</v>
      </c>
      <c r="R18" s="724">
        <f t="shared" si="36"/>
        <v>0</v>
      </c>
      <c r="S18" s="626"/>
      <c r="T18" s="11"/>
      <c r="U18" s="648"/>
      <c r="V18" s="642"/>
      <c r="W18" s="723">
        <f t="shared" si="37"/>
        <v>0</v>
      </c>
      <c r="X18" s="724">
        <f t="shared" si="38"/>
        <v>0</v>
      </c>
      <c r="Y18" s="626"/>
      <c r="Z18" s="11"/>
      <c r="AA18" s="648"/>
      <c r="AB18" s="642"/>
      <c r="AC18" s="723">
        <f t="shared" si="39"/>
        <v>0</v>
      </c>
      <c r="AD18" s="724">
        <f t="shared" si="40"/>
        <v>0</v>
      </c>
      <c r="AE18" s="626"/>
      <c r="AF18" s="11"/>
      <c r="AG18" s="648"/>
      <c r="AH18" s="642"/>
      <c r="AI18" s="723">
        <f t="shared" si="41"/>
        <v>0</v>
      </c>
      <c r="AJ18" s="724">
        <f t="shared" si="42"/>
        <v>0</v>
      </c>
      <c r="AK18" s="626"/>
      <c r="AL18" s="11"/>
      <c r="AM18" s="648"/>
      <c r="AN18" s="642" t="s">
        <v>176</v>
      </c>
      <c r="AO18" s="723">
        <f t="shared" si="43"/>
        <v>1</v>
      </c>
      <c r="AP18" s="724">
        <f t="shared" si="44"/>
        <v>0</v>
      </c>
      <c r="AQ18" s="626"/>
      <c r="AR18" s="11"/>
      <c r="AS18" s="648"/>
      <c r="AT18" s="642"/>
      <c r="AU18" s="726">
        <f t="shared" si="45"/>
        <v>0</v>
      </c>
      <c r="AV18" s="727">
        <f t="shared" si="46"/>
        <v>0</v>
      </c>
      <c r="AW18" s="626"/>
      <c r="AX18" s="11"/>
      <c r="AZ18" s="649" t="s">
        <v>176</v>
      </c>
      <c r="BA18" s="723">
        <v>9.0</v>
      </c>
      <c r="BB18" s="642">
        <v>0.0</v>
      </c>
      <c r="BC18" s="723"/>
      <c r="BD18" s="723">
        <f t="shared" si="32"/>
        <v>0</v>
      </c>
      <c r="BE18" s="626"/>
      <c r="BG18" s="11"/>
    </row>
    <row r="19">
      <c r="B19" s="716" t="s">
        <v>370</v>
      </c>
      <c r="C19" s="643">
        <f t="shared" ref="C19:E19" si="47">AI23</f>
        <v>4</v>
      </c>
      <c r="D19" s="717">
        <f t="shared" si="47"/>
        <v>0.08888888889</v>
      </c>
      <c r="E19" s="717">
        <f t="shared" si="47"/>
        <v>0.02083333333</v>
      </c>
      <c r="F19" s="718">
        <f>AJ14</f>
        <v>0.4285714286</v>
      </c>
      <c r="G19" s="109"/>
      <c r="H19" s="719" t="s">
        <v>371</v>
      </c>
      <c r="I19" s="643">
        <f t="shared" ref="I19:K19" si="48">AI45</f>
        <v>9</v>
      </c>
      <c r="J19" s="720">
        <f t="shared" si="48"/>
        <v>0.1304347826</v>
      </c>
      <c r="K19" s="720">
        <f t="shared" si="48"/>
        <v>0.046875</v>
      </c>
      <c r="L19" s="721">
        <f>AJ36</f>
        <v>0.6</v>
      </c>
      <c r="M19" s="647"/>
      <c r="O19" s="648"/>
      <c r="P19" s="642"/>
      <c r="Q19" s="723">
        <f t="shared" si="35"/>
        <v>0</v>
      </c>
      <c r="R19" s="724">
        <f t="shared" si="36"/>
        <v>0</v>
      </c>
      <c r="S19" s="626"/>
      <c r="T19" s="11"/>
      <c r="U19" s="648"/>
      <c r="V19" s="642"/>
      <c r="W19" s="723">
        <f t="shared" si="37"/>
        <v>0</v>
      </c>
      <c r="X19" s="724">
        <f t="shared" si="38"/>
        <v>0</v>
      </c>
      <c r="Y19" s="626"/>
      <c r="Z19" s="11"/>
      <c r="AA19" s="648"/>
      <c r="AB19" s="642"/>
      <c r="AC19" s="723">
        <f t="shared" si="39"/>
        <v>0</v>
      </c>
      <c r="AD19" s="724">
        <f t="shared" si="40"/>
        <v>0</v>
      </c>
      <c r="AE19" s="626"/>
      <c r="AF19" s="11"/>
      <c r="AG19" s="648"/>
      <c r="AH19" s="642"/>
      <c r="AI19" s="723">
        <f t="shared" si="41"/>
        <v>0</v>
      </c>
      <c r="AJ19" s="724">
        <f t="shared" si="42"/>
        <v>0</v>
      </c>
      <c r="AK19" s="626"/>
      <c r="AL19" s="11"/>
      <c r="AM19" s="648"/>
      <c r="AN19" s="642"/>
      <c r="AO19" s="723">
        <f t="shared" si="43"/>
        <v>0</v>
      </c>
      <c r="AP19" s="724">
        <f t="shared" si="44"/>
        <v>0</v>
      </c>
      <c r="AQ19" s="626"/>
      <c r="AR19" s="11"/>
      <c r="AS19" s="648"/>
      <c r="AT19" s="642"/>
      <c r="AU19" s="726">
        <f t="shared" si="45"/>
        <v>0</v>
      </c>
      <c r="AV19" s="727">
        <f t="shared" si="46"/>
        <v>0</v>
      </c>
      <c r="AW19" s="626"/>
      <c r="AX19" s="11"/>
      <c r="AZ19" s="650" t="s">
        <v>290</v>
      </c>
      <c r="BA19" s="723">
        <v>18.0</v>
      </c>
      <c r="BB19" s="642">
        <v>0.0</v>
      </c>
      <c r="BC19" s="723" t="str">
        <f t="array" ref="BC19">LET(
    primary,{AT16,AN16,AH16,AB16,V16,P16} ,
    fodder,BB19,
    none, COUNTIF(primary,"=None"),
    epic, COUNTIF(primary,"=Epic"),
    epicPlus, COUNTIF(primary,"=Epic+"),
    neededNow, epicPlus*2,
    neededLater, (none+epic)*2,
    totalNeeded, neededNow+neededLater,
    IF(totalNeeded=0, IF(fodder&gt;0,fodder&amp;" extra",), IF(fodder&gt;=totalNeeded, IF(neededNow&gt;0,"Merge",IF(neededLater=fodder,"Keep",(fodder-neededLater)&amp;" extra")),"Need +"&amp;totalNeeded-fodder)))</f>
        <v/>
      </c>
      <c r="BD19" s="723">
        <f t="shared" si="32"/>
        <v>0</v>
      </c>
      <c r="BE19" s="626"/>
      <c r="BG19" s="11"/>
    </row>
    <row r="20">
      <c r="B20" s="716" t="s">
        <v>372</v>
      </c>
      <c r="C20" s="643">
        <f t="shared" ref="C20:E20" si="49">AO23</f>
        <v>11</v>
      </c>
      <c r="D20" s="717">
        <f t="shared" si="49"/>
        <v>0.2444444444</v>
      </c>
      <c r="E20" s="717">
        <f t="shared" si="49"/>
        <v>0.05729166667</v>
      </c>
      <c r="F20" s="718">
        <f>AP14</f>
        <v>0.6285714286</v>
      </c>
      <c r="G20" s="109"/>
      <c r="H20" s="719" t="s">
        <v>373</v>
      </c>
      <c r="I20" s="643">
        <f t="shared" ref="I20:K20" si="50">AO45</f>
        <v>9</v>
      </c>
      <c r="J20" s="720">
        <f t="shared" si="50"/>
        <v>0.1304347826</v>
      </c>
      <c r="K20" s="720">
        <f t="shared" si="50"/>
        <v>0.046875</v>
      </c>
      <c r="L20" s="721">
        <f>AP36</f>
        <v>0.6</v>
      </c>
      <c r="M20" s="647"/>
      <c r="O20" s="651"/>
      <c r="P20" s="652"/>
      <c r="Q20" s="730">
        <f t="shared" si="35"/>
        <v>0</v>
      </c>
      <c r="R20" s="731">
        <f t="shared" si="36"/>
        <v>0</v>
      </c>
      <c r="S20" s="655"/>
      <c r="T20" s="732"/>
      <c r="U20" s="651"/>
      <c r="V20" s="652"/>
      <c r="W20" s="730">
        <f t="shared" si="37"/>
        <v>0</v>
      </c>
      <c r="X20" s="731">
        <f t="shared" si="38"/>
        <v>0</v>
      </c>
      <c r="Y20" s="655"/>
      <c r="Z20" s="11"/>
      <c r="AA20" s="651"/>
      <c r="AB20" s="652"/>
      <c r="AC20" s="730">
        <f t="shared" si="39"/>
        <v>0</v>
      </c>
      <c r="AD20" s="731">
        <f t="shared" si="40"/>
        <v>0</v>
      </c>
      <c r="AE20" s="655"/>
      <c r="AF20" s="11"/>
      <c r="AG20" s="651"/>
      <c r="AH20" s="652"/>
      <c r="AI20" s="730">
        <f t="shared" si="41"/>
        <v>0</v>
      </c>
      <c r="AJ20" s="731">
        <f t="shared" si="42"/>
        <v>0</v>
      </c>
      <c r="AK20" s="655"/>
      <c r="AL20" s="11"/>
      <c r="AM20" s="651"/>
      <c r="AN20" s="652"/>
      <c r="AO20" s="730">
        <f t="shared" si="43"/>
        <v>0</v>
      </c>
      <c r="AP20" s="731">
        <f t="shared" si="44"/>
        <v>0</v>
      </c>
      <c r="AQ20" s="655"/>
      <c r="AR20" s="11"/>
      <c r="AS20" s="651"/>
      <c r="AT20" s="652"/>
      <c r="AU20" s="733">
        <f t="shared" si="45"/>
        <v>0</v>
      </c>
      <c r="AV20" s="734">
        <f t="shared" si="46"/>
        <v>0</v>
      </c>
      <c r="AW20" s="655"/>
      <c r="AX20" s="11"/>
      <c r="AZ20" s="658" t="s">
        <v>175</v>
      </c>
      <c r="BA20" s="723">
        <v>54.0</v>
      </c>
      <c r="BB20" s="642">
        <v>0.0</v>
      </c>
      <c r="BC20" s="723"/>
      <c r="BD20" s="723">
        <f t="shared" si="32"/>
        <v>0</v>
      </c>
      <c r="BE20" s="626"/>
      <c r="BG20" s="11"/>
    </row>
    <row r="21">
      <c r="B21" s="735" t="s">
        <v>418</v>
      </c>
      <c r="C21" s="660">
        <f t="shared" ref="C21:E21" si="51">AU23</f>
        <v>11</v>
      </c>
      <c r="D21" s="736">
        <f t="shared" si="51"/>
        <v>0.2444444444</v>
      </c>
      <c r="E21" s="736">
        <f t="shared" si="51"/>
        <v>0.05729166667</v>
      </c>
      <c r="F21" s="737">
        <f>AV14</f>
        <v>0.6857142857</v>
      </c>
      <c r="G21" s="109"/>
      <c r="H21" s="738" t="s">
        <v>419</v>
      </c>
      <c r="I21" s="660">
        <f t="shared" ref="I21:K21" si="52">AU45</f>
        <v>13</v>
      </c>
      <c r="J21" s="739">
        <f t="shared" si="52"/>
        <v>0.1884057971</v>
      </c>
      <c r="K21" s="739">
        <f t="shared" si="52"/>
        <v>0.06770833333</v>
      </c>
      <c r="L21" s="740">
        <f>AV36</f>
        <v>0.7714285714</v>
      </c>
      <c r="M21" s="647"/>
      <c r="O21" s="741" t="str">
        <f>IFS(
P16 = "Ancestral 5*", "Congratulations! You're done.",
AND(P16 = "Ancestral 4*",COUNTIF(P17:P20, "Epic+") &gt;= 1),"Get your Ancestral 5* Module by fusing",
AND(P16 = "Ancestral 4*",SUM(Q16:Q20)&lt;Q16+2),"Get another "&amp;Q16+2-SUM(Q16:Q20)&amp;" Module"&amp;IF(Q16+2-SUM(Q16:Q20)&lt;&gt;1,"s","")&amp;" for Ancestral 5* Module",
AND(P16 = "Ancestral 3*",COUNTIF(P17:P20, "Epic+") &gt;= 1),"Get your Ancestral 4* Module by fusing",
AND(P16 = "Ancestral 3*",SUM(Q16:Q20)&lt;Q16+2),"Get another "&amp;Q16+2-SUM(Q16:Q20)&amp;" Module"&amp;IF(Q16+2-SUM(Q16:Q20)&lt;&gt;1,"s","")&amp;" for Ancestral 4* Module",
AND(P16 = "Ancestral 2*",COUNTIF(P17:P20, "Epic+") &gt;= 1),"Get your Ancestral 3* Module by fusing",
AND(P16 = "Ancestral 2*",SUM(Q16:Q20)&lt;Q16+2),"Get another "&amp;Q16+2-SUM(Q16:Q20)&amp;" Module"&amp;IF(Q16+2-SUM(Q16:Q20)&lt;&gt;1,"s","")&amp;" for Ancestral 3* Module",
AND(P16 = "Ancestral 1*",COUNTIF(P17:P20, "Epic+") &gt;= 1),"Get your Ancestral 2* Module by fusing",
AND(P16 = "Ancestral 1*",SUM(Q16:Q20)&lt;Q16+2),"Get another "&amp;Q16+2-SUM(Q16:Q20)&amp;" Module"&amp;IF(Q16+2-SUM(Q16:Q20)&lt;&gt;1,"s","")&amp;" for Ancestral 2* Module",
AND(P16 = "Ancestral",COUNTIF(P17:P20, "Epic+") &gt;= 1),"Get your Ancestral 1* Module by fusing",
AND(P16 = "Ancestral",SUM(Q16:Q20)&lt;Q16+2),"Get another "&amp;Q16+2-SUM(Q16:Q20)&amp;" Module"&amp;IF(Q16+2-SUM(Q16:Q20)&lt;&gt;1,"s","")&amp;" for Ancestral 1* Module",
AND(P16 = "Mythic+",COUNTIF(P17:P20, "Epic+") &gt;= 2),"Get your Ancestral Module by fusing",
AND(P16 = "Mythic+",SUM(Q16:Q20)&lt;Q16+4),"Get another "&amp;Q16+4-SUM(Q16:Q20)&amp;" Module"&amp;IF(Q16+4-SUM(Q16:Q20)&lt;&gt;1,"s","")&amp;" for Ancestral Module",
AND(P16 = "Mythic",$BB22 &gt;= 1),"Get your Mythic+ Module by fusing.",
AND(P16 = "Mythic",$BD22 &gt;= 72),"Check Fodders to a Legendary+ Fodder",
P16 = "Mythic", "Get some Fodders for Mythic+. You need 1x Legendary+",
AND(P16 = "Legendary+",$BB22 &gt;= 1),"Get your Mythic Module by fusing.",
AND(P16 = "Legendary+",$BD22 &gt;= 72),"Check Fodders to a Legendary+ Fodder",
P16 = "Legendary+", "Get some Fodders for Mythic. You need 1x Legendary+",
AND(P16 = "Legendary", OR(P17 = "Epic+", P18 = "Epic+", P19 = "Epic+", P20 = "Epic+")), "Get your Legendary+ Module by fusing",
P16 = "Legendary", "You need another Epic+ Module to get Legendary+",
AND(P16 = "Epic+",$BB19 &gt;= 2),"Get your Legendary Module by fusing.",
AND(P16 = "Epic+",$BD22 &gt;= 36),"Check Fodders to get 2x Epic+ Fodders",
P16 = "Epic+", "Get some Fodders for Legendary. You need 2x Epic+",
AND(Q23 = 2,OR(P17 = "Epic", P18 = "Epic", P20 = "Epic", P19 = "Epic")),"Get your Epic+ Module by fusing",
Q23 = 1,"Get your second Module",
TRUE,"Get your first Module"
)</f>
        <v>Get another 4 Modules for Ancestral Module</v>
      </c>
      <c r="P21" s="29"/>
      <c r="Q21" s="29"/>
      <c r="R21" s="29"/>
      <c r="S21" s="136"/>
      <c r="T21" s="158"/>
      <c r="U21" s="741" t="str">
        <f>IFS(
V16 = "Ancestral 5*", "Congratulations! You're done.",
AND(V16 = "Ancestral 4*",COUNTIF(V17:V20, "Epic+") &gt;= 1),"Get your Ancestral 5* Module by fusing",
AND(V16 = "Ancestral 4*",SUM(W16:W20)&lt;W16+2),"Get another "&amp;W16+2-SUM(W16:W20)&amp;" Module"&amp;IF(W16+2-SUM(W16:W20)&lt;&gt;1,"s","")&amp;" for Ancestral 5* Module",
AND(V16 = "Ancestral 3*",COUNTIF(V17:V20, "Epic+") &gt;= 1),"Get your Ancestral 4* Module by fusing",
AND(V16 = "Ancestral 3*",SUM(W16:W20)&lt;W16+2),"Get another "&amp;W16+2-SUM(W16:W20)&amp;" Module"&amp;IF(W16+2-SUM(W16:W20)&lt;&gt;1,"s","")&amp;" for Ancestral 4* Module",
AND(V16 = "Ancestral 2*",COUNTIF(V17:V20, "Epic+") &gt;= 1),"Get your Ancestral 3* Module by fusing",
AND(V16 = "Ancestral 2*",SUM(W16:W20)&lt;W16+2),"Get another "&amp;W16+2-SUM(W16:W20)&amp;" Module"&amp;IF(W16+2-SUM(W16:W20)&lt;&gt;1,"s","")&amp;" for Ancestral 3* Module",
AND(V16 = "Ancestral 1*",COUNTIF(V17:V20, "Epic+") &gt;= 1),"Get your Ancestral 2* Module by fusing",
AND(V16 = "Ancestral 1*",SUM(W16:W20)&lt;W16+2),"Get another "&amp;W16+2-SUM(W16:W20)&amp;" Module"&amp;IF(W16+2-SUM(W16:W20)&lt;&gt;1,"s","")&amp;" for Ancestral 2* Module",
AND(V16 = "Ancestral",COUNTIF(V17:V20, "Epic+") &gt;= 1),"Get your Ancestral 1* Module by fusing",
AND(V16 = "Ancestral",SUM(W16:W20)&lt;W16+2),"Get another "&amp;W16+2-SUM(W16:W20)&amp;" Module"&amp;IF(W16+2-SUM(W16:W20)&lt;&gt;1,"s","")&amp;" for Ancestral 1* Module",
AND(V16 = "Mythic+",COUNTIF(V17:V20, "Epic+") &gt;= 2),"Get your Ancestral Module by fusing",
AND(V16 = "Mythic+",SUM(W16:W20)&lt;W16+4),"Get another "&amp;W16+4-SUM(W16:W20)&amp;" Module"&amp;IF(W16+4-SUM(W16:W20)&lt;&gt;1,"s","")&amp;" for Ancestral Module",
AND(V16 = "Mythic",$BB22 &gt;= 1),"Get your Mythic+ Module by fusing.",
AND(V16 = "Mythic",$BD22 &gt;= 72),"Check Fodders to a Legendary+ Fodder",
V16 = "Mythic", "Get some Fodders for Mythic+. You need 1x Legendary+",
AND(V16 = "Legendary+",$BB22 &gt;= 1),"Get your Mythic Module by fusing.",
AND(V16 = "Legendary+",$BD22 &gt;= 72),"Check Fodders to a Legendary+ Fodder",
V16 = "Legendary+", "Get some Fodders for Mythic. You need 1x Legendary+",
AND(V16 = "Legendary", OR(V17 = "Epic+", V18 = "Epic+", V19 = "Epic+", V20 = "Epic+")), "Get your Legendary+ Module by fusing",
V16 = "Legendary", "You need another Epic+ Module to get Legendary+",
AND(V16 = "Epic+",$BB19 &gt;= 2),"Get your Legendary Module by fusing.",
AND(V16 = "Epic+",$BD22 &gt;= 36),"Check Fodders to get 2x Epic+ Fodders",
V16 = "Epic+", "Get some Fodders for Legendary. You need 2x Epic+",
AND(W23 = 2,OR(V17 = "Epic", V18 = "Epic", V20 = "Epic", V19 = "Epic")),"Get your Epic+ Module by fusing",
W23 = 1,"Get your second Module",
TRUE,"Get your first Module"
)</f>
        <v>You need another Epic+ Module to get Legendary+</v>
      </c>
      <c r="V21" s="29"/>
      <c r="W21" s="29"/>
      <c r="X21" s="29"/>
      <c r="Y21" s="136"/>
      <c r="Z21" s="158"/>
      <c r="AA21" s="741" t="str">
        <f>IFS(
AB16 = "Ancestral 5*", "Congratulations! You're done.",
AND(AB16 = "Ancestral 4*",COUNTIF(AB17:AB20, "Epic+") &gt;= 1),"Get your Ancestral 5* Module by fusing",
AND(AB16 = "Ancestral 4*",SUM(AC16:AC20)&lt;AC16+2),"Get another "&amp;AC16+2-SUM(AC16:AC20)&amp;" Module"&amp;IF(AC16+2-SUM(AC16:AC20)&lt;&gt;1,"s","")&amp;" for Ancestral 5* Module",
AND(AB16 = "Ancestral 3*",COUNTIF(AB17:AB20, "Epic+") &gt;= 1),"Get your Ancestral 4* Module by fusing",
AND(AB16 = "Ancestral 3*",SUM(AC16:AC20)&lt;AC16+2),"Get another "&amp;AC16+2-SUM(AC16:AC20)&amp;" Module"&amp;IF(AC16+2-SUM(AC16:AC20)&lt;&gt;1,"s","")&amp;" for Ancestral 4* Module",
AND(AB16 = "Ancestral 2*",COUNTIF(AB17:AB20, "Epic+") &gt;= 1),"Get your Ancestral 3* Module by fusing",
AND(AB16 = "Ancestral 2*",SUM(AC16:AC20)&lt;AC16+2),"Get another "&amp;AC16+2-SUM(AC16:AC20)&amp;" Module"&amp;IF(AC16+2-SUM(AC16:AC20)&lt;&gt;1,"s","")&amp;" for Ancestral 3* Module",
AND(AB16 = "Ancestral 1*",COUNTIF(AB17:AB20, "Epic+") &gt;= 1),"Get your Ancestral 2* Module by fusing",
AND(AB16 = "Ancestral 1*",SUM(AC16:AC20)&lt;AC16+2),"Get another "&amp;AC16+2-SUM(AC16:AC20)&amp;" Module"&amp;IF(AC16+2-SUM(AC16:AC20)&lt;&gt;1,"s","")&amp;" for Ancestral 2* Module",
AND(AB16 = "Ancestral",COUNTIF(AB17:AB20, "Epic+") &gt;= 1),"Get your Ancestral 1* Module by fusing",
AND(AB16 = "Ancestral",SUM(AC16:AC20)&lt;AC16+2),"Get another "&amp;AC16+2-SUM(AC16:AC20)&amp;" Module"&amp;IF(AC16+2-SUM(AC16:AC20)&lt;&gt;1,"s","")&amp;" for Ancestral 1* Module",
AND(AB16 = "Mythic+",COUNTIF(AB17:AB20, "Epic+") &gt;= 2),"Get your Ancestral Module by fusing",
AND(AB16 = "Mythic+",SUM(AC16:AC20)&lt;AC16+4),"Get another "&amp;AC16+4-SUM(AC16:AC20)&amp;" Module"&amp;IF(AC16+4-SUM(AC16:AC20)&lt;&gt;1,"s","")&amp;" for Ancestral Module",
AND(AB16 = "Mythic",$BB22 &gt;= 1),"Get your Mythic+ Module by fusing.",
AND(AB16 = "Mythic",$BD22 &gt;= 72),"Check Fodders to a Legendary+ Fodder",
AB16 = "Mythic", "Get some Fodders for Mythic+. You need 1x Legendary+",
AND(AB16 = "Legendary+",$BB22 &gt;= 1),"Get your Mythic Module by fusing.",
AND(AB16 = "Legendary+",$BD22 &gt;= 72),"Check Fodders to a Legendary+ Fodder",
AB16 = "Legendary+", "Get some Fodders for Mythic. You need 1x Legendary+",
AND(AB16 = "Legendary", OR(AB17 = "Epic+", AB18 = "Epic+", AB19 = "Epic+", AB20 = "Epic+")), "Get your Legendary+ Module by fusing",
AB16 = "Legendary", "You need another Epic+ Module to get Legendary+",
AND(AB16 = "Epic+",$BB19 &gt;= 2),"Get your Legendary Module by fusing.",
AND(AB16 = "Epic+",$BD22 &gt;= 36),"Check Fodders to get 2x Epic+ Fodders",
AB16 = "Epic+", "Get some Fodders for Legendary. You need 2x Epic+",
AND(AC23 = 2,OR(AB17 = "Epic", AB18 = "Epic", AB20 = "Epic", AB19 = "Epic")),"Get your Epic+ Module by fusing",
AC23 = 1,"Get your second Module",
TRUE,"Get your first Module"
)</f>
        <v>Get another 2 Modules for Ancestral 3* Module</v>
      </c>
      <c r="AB21" s="29"/>
      <c r="AC21" s="29"/>
      <c r="AD21" s="29"/>
      <c r="AE21" s="136"/>
      <c r="AF21" s="158"/>
      <c r="AG21" s="741" t="str">
        <f>IFS(
AH16 = "Ancestral 5*", "Congratulations! You're done.",
AND(AH16 = "Ancestral 4*",COUNTIF(AH17:AH20, "Epic+") &gt;= 1),"Get your Ancestral 5* Module by fusing",
AND(AH16 = "Ancestral 4*",SUM(AI16:AI20)&lt;AI16+2),"Get another "&amp;AI16+2-SUM(AI16:AI20)&amp;" Module"&amp;IF(AI16+2-SUM(AI16:AI20)&lt;&gt;1,"s","")&amp;" for Ancestral 5* Module",
AND(AH16 = "Ancestral 3*",COUNTIF(AH17:AH20, "Epic+") &gt;= 1),"Get your Ancestral 4* Module by fusing",
AND(AH16 = "Ancestral 3*",SUM(AI16:AI20)&lt;AI16+2),"Get another "&amp;AI16+2-SUM(AI16:AI20)&amp;" Module"&amp;IF(AI16+2-SUM(AI16:AI20)&lt;&gt;1,"s","")&amp;" for Ancestral 4* Module",
AND(AH16 = "Ancestral 2*",COUNTIF(AH17:AH20, "Epic+") &gt;= 1),"Get your Ancestral 3* Module by fusing",
AND(AH16 = "Ancestral 2*",SUM(AI16:AI20)&lt;AI16+2),"Get another "&amp;AI16+2-SUM(AI16:AI20)&amp;" Module"&amp;IF(AI16+2-SUM(AI16:AI20)&lt;&gt;1,"s","")&amp;" for Ancestral 3* Module",
AND(AH16 = "Ancestral 1*",COUNTIF(AH17:AH20, "Epic+") &gt;= 1),"Get your Ancestral 2* Module by fusing",
AND(AH16 = "Ancestral 1*",SUM(AI16:AI20)&lt;AI16+2),"Get another "&amp;AI16+2-SUM(AI16:AI20)&amp;" Module"&amp;IF(AI16+2-SUM(AI16:AI20)&lt;&gt;1,"s","")&amp;" for Ancestral 2* Module",
AND(AH16 = "Ancestral",COUNTIF(AH17:AH20, "Epic+") &gt;= 1),"Get your Ancestral 1* Module by fusing",
AND(AH16 = "Ancestral",SUM(AI16:AI20)&lt;AI16+2),"Get another "&amp;AI16+2-SUM(AI16:AI20)&amp;" Module"&amp;IF(AI16+2-SUM(AI16:AI20)&lt;&gt;1,"s","")&amp;" for Ancestral 1* Module",
AND(AH16 = "Mythic+",COUNTIF(AH17:AH20, "Epic+") &gt;= 2),"Get your Ancestral Module by fusing",
AND(AH16 = "Mythic+",SUM(AI16:AI20)&lt;AI16+4),"Get another "&amp;AI16+4-SUM(AI16:AI20)&amp;" Module"&amp;IF(AI16+4-SUM(AI16:AI20)&lt;&gt;1,"s","")&amp;" for Ancestral Module",
AND(AH16 = "Mythic",$BB22 &gt;= 1),"Get your Mythic+ Module by fusing.",
AND(AH16 = "Mythic",$BD22 &gt;= 72),"Check Fodders to a Legendary+ Fodder",
AH16 = "Mythic", "Get some Fodders for Mythic+. You need 1x Legendary+",
AND(AH16 = "Legendary+",$BB22 &gt;= 1),"Get your Mythic Module by fusing.",
AND(AH16 = "Legendary+",$BD22 &gt;= 72),"Check Fodders to a Legendary+ Fodder",
AH16 = "Legendary+", "Get some Fodders for Mythic. You need 1x Legendary+",
AND(AH16 = "Legendary", OR(AH17 = "Epic+", AH18 = "Epic+", AH19 = "Epic+", AH20 = "Epic+")), "Get your Legendary+ Module by fusing",
AH16 = "Legendary", "You need another Epic+ Module to get Legendary+",
AND(AH16 = "Epic+",$BB19 &gt;= 2),"Get your Legendary Module by fusing.",
AND(AH16 = "Epic+",$BD22 &gt;= 36),"Check Fodders to get 2x Epic+ Fodders",
AH16 = "Epic+", "Get some Fodders for Legendary. You need 2x Epic+",
AND(AI23 = 2,OR(AH17 = "Epic", AH18 = "Epic", AH20 = "Epic", AH19 = "Epic")),"Get your Epic+ Module by fusing",
AI23 = 1,"Get your second Module",
TRUE,"Get your first Module"
)</f>
        <v>Get another 4 Modules for Ancestral Module</v>
      </c>
      <c r="AH21" s="29"/>
      <c r="AI21" s="29"/>
      <c r="AJ21" s="29"/>
      <c r="AK21" s="136"/>
      <c r="AL21" s="158"/>
      <c r="AM21" s="741" t="str">
        <f>IFS(
AN16 = "Ancestral 5*", "Congratulations! You're done.",
AND(AN16 = "Ancestral 4*",COUNTIF(AN17:AN20, "Epic+") &gt;= 1),"Get your Ancestral 5* Module by fusing",
AND(AN16 = "Ancestral 4*",SUM(AO16:AO20)&lt;AO16+2),"Get another "&amp;AO16+2-SUM(AO16:AO20)&amp;" Module"&amp;IF(AO16+2-SUM(AO16:AO20)&lt;&gt;1,"s","")&amp;" for Ancestral 5* Module",
AND(AN16 = "Ancestral 3*",COUNTIF(AN17:AN20, "Epic+") &gt;= 1),"Get your Ancestral 4* Module by fusing",
AND(AN16 = "Ancestral 3*",SUM(AO16:AO20)&lt;AO16+2),"Get another "&amp;AO16+2-SUM(AO16:AO20)&amp;" Module"&amp;IF(AO16+2-SUM(AO16:AO20)&lt;&gt;1,"s","")&amp;" for Ancestral 4* Module",
AND(AN16 = "Ancestral 2*",COUNTIF(AN17:AN20, "Epic+") &gt;= 1),"Get your Ancestral 3* Module by fusing",
AND(AN16 = "Ancestral 2*",SUM(AO16:AO20)&lt;AO16+2),"Get another "&amp;AO16+2-SUM(AO16:AO20)&amp;" Module"&amp;IF(AO16+2-SUM(AO16:AO20)&lt;&gt;1,"s","")&amp;" for Ancestral 3* Module",
AND(AN16 = "Ancestral 1*",COUNTIF(AN17:AN20, "Epic+") &gt;= 1),"Get your Ancestral 2* Module by fusing",
AND(AN16 = "Ancestral 1*",SUM(AO16:AO20)&lt;AO16+2),"Get another "&amp;AO16+2-SUM(AO16:AO20)&amp;" Module"&amp;IF(AO16+2-SUM(AO16:AO20)&lt;&gt;1,"s","")&amp;" for Ancestral 2* Module",
AND(AN16 = "Ancestral",COUNTIF(AN17:AN20, "Epic+") &gt;= 1),"Get your Ancestral 1* Module by fusing",
AND(AN16 = "Ancestral",SUM(AO16:AO20)&lt;AO16+2),"Get another "&amp;AO16+2-SUM(AO16:AO20)&amp;" Module"&amp;IF(AO16+2-SUM(AO16:AO20)&lt;&gt;1,"s","")&amp;" for Ancestral 1* Module",
AND(AN16 = "Mythic+",COUNTIF(AN17:AN20, "Epic+") &gt;= 2),"Get your Ancestral Module by fusing",
AND(AN16 = "Mythic+",SUM(AO16:AO20)&lt;AO16+4),"Get another "&amp;AO16+4-SUM(AO16:AO20)&amp;" Module"&amp;IF(AO16+4-SUM(AO16:AO20)&lt;&gt;1,"s","")&amp;" for Ancestral Module",
AND(AN16 = "Mythic",$BB22 &gt;= 1),"Get your Mythic+ Module by fusing.",
AND(AN16 = "Mythic",$BD22 &gt;= 72),"Check Fodders to a Legendary+ Fodder",
AN16 = "Mythic", "Get some Fodders for Mythic+. You need 1x Legendary+",
AND(AN16 = "Legendary+",$BB22 &gt;= 1),"Get your Mythic Module by fusing.",
AND(AN16 = "Legendary+",$BD22 &gt;= 72),"Check Fodders to a Legendary+ Fodder",
AN16 = "Legendary+", "Get some Fodders for Mythic. You need 1x Legendary+",
AND(AN16 = "Legendary", OR(AN17 = "Epic+", AN18 = "Epic+", AN19 = "Epic+", AN20 = "Epic+")), "Get your Legendary+ Module by fusing",
AN16 = "Legendary", "You need another Epic+ Module to get Legendary+",
AND(AN16 = "Epic+",$BB19 &gt;= 2),"Get your Legendary Module by fusing.",
AND(AN16 = "Epic+",$BD22 &gt;= 36),"Check Fodders to get 2x Epic+ Fodders",
AN16 = "Epic+", "Get some Fodders for Legendary. You need 2x Epic+",
AND(AO23 = 2,OR(AN17 = "Epic", AN18 = "Epic", AN20 = "Epic", AN19 = "Epic")),"Get your Epic+ Module by fusing",
AO23 = 1,"Get your second Module",
TRUE,"Get your first Module"
)</f>
        <v>Get your Ancestral 1* Module by fusing</v>
      </c>
      <c r="AN21" s="29"/>
      <c r="AO21" s="29"/>
      <c r="AP21" s="29"/>
      <c r="AQ21" s="136"/>
      <c r="AR21" s="158"/>
      <c r="AS21" s="741" t="str">
        <f>IFS(
AT16 = "Ancestral 5*", "Congratulations! You're done.",
AND(AT16 = "Ancestral 4*",COUNTIF(AT17:AT20, "Epic+") &gt;= 1),"Get your Ancestral 5* Module by fusing",
AND(AT16 = "Ancestral 4*",SUM(AU16:AU20)&lt;AU16+2),"Get another "&amp;AU16+2-SUM(AU16:AU20)&amp;" Module"&amp;IF(AU16+2-SUM(AU16:AU20)&lt;&gt;1,"s","")&amp;" for Ancestral 5* Module",
AND(AT16 = "Ancestral 3*",COUNTIF(AT17:AT20, "Epic+") &gt;= 1),"Get your Ancestral 4* Module by fusing",
AND(AT16 = "Ancestral 3*",SUM(AU16:AU20)&lt;AU16+2),"Get another "&amp;AU16+2-SUM(AU16:AU20)&amp;" Module"&amp;IF(AU16+2-SUM(AU16:AU20)&lt;&gt;1,"s","")&amp;" for Ancestral 4* Module",
AND(AT16 = "Ancestral 2*",COUNTIF(AT17:AT20, "Epic+") &gt;= 1),"Get your Ancestral 3* Module by fusing",
AND(AT16 = "Ancestral 2*",SUM(AU16:AU20)&lt;AU16+2),"Get another "&amp;AU16+2-SUM(AU16:AU20)&amp;" Module"&amp;IF(AU16+2-SUM(AU16:AU20)&lt;&gt;1,"s","")&amp;" for Ancestral 3* Module",
AND(AT16 = "Ancestral 1*",COUNTIF(AT17:AT20, "Epic+") &gt;= 1),"Get your Ancestral 2* Module by fusing",
AND(AT16 = "Ancestral 1*",SUM(AU16:AU20)&lt;AU16+2),"Get another "&amp;AU16+2-SUM(AU16:AU20)&amp;" Module"&amp;IF(AU16+2-SUM(AU16:AU20)&lt;&gt;1,"s","")&amp;" for Ancestral 2* Module",
AND(AT16 = "Ancestral",COUNTIF(AT17:AT20, "Epic+") &gt;= 1),"Get your Ancestral 1* Module by fusing",
AND(AT16 = "Ancestral",SUM(AU16:AU20)&lt;AU16+2),"Get another "&amp;AU16+2-SUM(AU16:AU20)&amp;" Module"&amp;IF(AU16+2-SUM(AU16:AU20)&lt;&gt;1,"s","")&amp;" for Ancestral 1* Module",
AND(AT16 = "Mythic+",COUNTIF(AT17:AT20, "Epic+") &gt;= 2),"Get your Ancestral Module by fusing",
AND(AT16 = "Mythic+",SUM(AU16:AU20)&lt;AU16+4),"Get another "&amp;AU16+4-SUM(AU16:AU20)&amp;" Module"&amp;IF(AU16+4-SUM(AU16:AU20)&lt;&gt;1,"s","")&amp;" for Ancestral Module",
AND(AT16 = "Mythic",$BB22 &gt;= 1),"Get your Mythic+ Module by fusing.",
AND(AT16 = "Mythic",$BD22 &gt;= 72),"Check Fodders to a Legendary+ Fodder",
AT16 = "Mythic", "Get some Fodders for Mythic+. You need 1x Legendary+",
AND(AT16 = "Legendary+",$BB22 &gt;= 1),"Get your Mythic Module by fusing.",
AND(AT16 = "Legendary+",$BD22 &gt;= 72),"Check Fodders to a Legendary+ Fodder",
AT16 = "Legendary+", "Get some Fodders for Mythic. You need 1x Legendary+",
AND(AT16 = "Legendary", OR(AT17 = "Epic+", AT18 = "Epic+", AT19 = "Epic+", AT20 = "Epic+")), "Get your Legendary+ Module by fusing",
AT16 = "Legendary", "You need another Epic+ Module to get Legendary+",
AND(AT16 = "Epic+",$BB19 &gt;= 2),"Get your Legendary Module by fusing.",
AND(AT16 = "Epic+",$BD22 &gt;= 36),"Check Fodders to get 2x Epic+ Fodders",
AT16 = "Epic+", "Get some Fodders for Legendary. You need 2x Epic+",
AND(AU23 = 2,OR(AT17 = "Epic", AT18 = "Epic", AT20 = "Epic", AT19 = "Epic")),"Get your Epic+ Module by fusing",
AU23 = 1,"Get your second Module",
TRUE,"Get your first Module"
)</f>
        <v>Get another 1 Module for Ancestral 2* Module</v>
      </c>
      <c r="AT21" s="29"/>
      <c r="AU21" s="29"/>
      <c r="AV21" s="29"/>
      <c r="AW21" s="136"/>
      <c r="AX21" s="11"/>
      <c r="AZ21" s="667" t="s">
        <v>298</v>
      </c>
      <c r="BA21" s="730">
        <v>72.0</v>
      </c>
      <c r="BB21" s="642">
        <v>6.0</v>
      </c>
      <c r="BC21" s="723" t="str">
        <f t="array" ref="BC21">LET(
    primary,{AT16,AN16,AH16,AB16,V16,P16} ,
    fodder,BB21,
    none, COUNTIF(primary,"=None"),
    epic, COUNTIF(primary,"=Epic*"),
    legendary, COUNTIF(primary,"=Legendary"),
    legendaryPlus, COUNTIF(primary,"=Legendary+"),
    mythic, COUNTIF(primary,"=Mythic"),
    neededNow, legendaryPlus*2+mythic,
    neededLater, (none+epic+legendary)*2,
    totalNeeded, neededNow+neededLater,
    IF(totalNeeded=0, IF(fodder&gt;0,"Shatter",), IF(fodder&gt;=totalNeeded, IF(neededNow&gt;0,"Merge",IF(neededLater=fodder,"Keep","Shatter "&amp;fodder-neededLater)),"Need +"&amp;totalNeeded-fodder)))</f>
        <v>Shatter 4</v>
      </c>
      <c r="BD21" s="730">
        <f t="shared" si="32"/>
        <v>432</v>
      </c>
      <c r="BE21" s="626"/>
      <c r="BG21" s="158"/>
    </row>
    <row r="22">
      <c r="B22" s="716" t="s">
        <v>361</v>
      </c>
      <c r="C22" s="742">
        <f t="shared" ref="C22:E22" si="53">SUM(C16:C21)</f>
        <v>45</v>
      </c>
      <c r="D22" s="669">
        <f t="shared" si="53"/>
        <v>1</v>
      </c>
      <c r="E22" s="717">
        <f t="shared" si="53"/>
        <v>0.234375</v>
      </c>
      <c r="F22" s="718">
        <f>AVERAGE(F16:F21)</f>
        <v>0.519047619</v>
      </c>
      <c r="G22" s="109"/>
      <c r="H22" s="719" t="s">
        <v>361</v>
      </c>
      <c r="I22" s="743">
        <f t="shared" ref="I22:K22" si="54">SUM(I16:I21)</f>
        <v>69</v>
      </c>
      <c r="J22" s="669">
        <f t="shared" si="54"/>
        <v>1</v>
      </c>
      <c r="K22" s="720">
        <f t="shared" si="54"/>
        <v>0.359375</v>
      </c>
      <c r="L22" s="721">
        <f>AVERAGE(L16:L21)</f>
        <v>0.7142857143</v>
      </c>
      <c r="M22" s="647"/>
      <c r="O22" s="744" t="s">
        <v>411</v>
      </c>
      <c r="P22" s="672"/>
      <c r="Q22" s="673">
        <v>0.0</v>
      </c>
      <c r="R22" s="745"/>
      <c r="S22" s="655"/>
      <c r="T22" s="158"/>
      <c r="U22" s="744" t="s">
        <v>411</v>
      </c>
      <c r="V22" s="672"/>
      <c r="W22" s="746">
        <v>0.0</v>
      </c>
      <c r="X22" s="745"/>
      <c r="Y22" s="655"/>
      <c r="Z22" s="158"/>
      <c r="AA22" s="744" t="s">
        <v>411</v>
      </c>
      <c r="AB22" s="672"/>
      <c r="AC22" s="746">
        <v>0.0</v>
      </c>
      <c r="AD22" s="745"/>
      <c r="AE22" s="655"/>
      <c r="AF22" s="158"/>
      <c r="AG22" s="744" t="s">
        <v>411</v>
      </c>
      <c r="AH22" s="672"/>
      <c r="AI22" s="746">
        <v>0.0</v>
      </c>
      <c r="AJ22" s="745"/>
      <c r="AK22" s="655"/>
      <c r="AL22" s="158"/>
      <c r="AM22" s="744" t="s">
        <v>411</v>
      </c>
      <c r="AN22" s="672"/>
      <c r="AO22" s="746">
        <v>0.0</v>
      </c>
      <c r="AP22" s="745"/>
      <c r="AQ22" s="655"/>
      <c r="AR22" s="158"/>
      <c r="AS22" s="744" t="s">
        <v>411</v>
      </c>
      <c r="AT22" s="672"/>
      <c r="AU22" s="746">
        <v>0.0</v>
      </c>
      <c r="AV22" s="745"/>
      <c r="AW22" s="655"/>
      <c r="AX22" s="11"/>
      <c r="AZ22" s="747" t="s">
        <v>361</v>
      </c>
      <c r="BA22" s="748"/>
      <c r="BB22" s="749">
        <f>SUM(BB16:BB21)</f>
        <v>6</v>
      </c>
      <c r="BC22" s="750">
        <f>FLOOR(BE22/(COUNTA(MOD_ARMORS_LIST)*180),0.01)</f>
        <v>1.26</v>
      </c>
      <c r="BD22" s="751">
        <f>SUM(BD16:BD21)</f>
        <v>432</v>
      </c>
      <c r="BE22" s="752">
        <f>SUM(R16:R20,X16:X20,AD16:AD20,AJ16:AJ20,AP16:AP20,AV16:AV20)+BD22</f>
        <v>1368</v>
      </c>
      <c r="BG22" s="158"/>
    </row>
    <row r="23">
      <c r="A23" s="138"/>
      <c r="B23" s="702" t="s">
        <v>396</v>
      </c>
      <c r="C23" s="609"/>
      <c r="D23" s="753" t="str">
        <f>BE14</f>
        <v>Shatter new mods</v>
      </c>
      <c r="E23" s="609"/>
      <c r="F23" s="610"/>
      <c r="G23" s="109"/>
      <c r="H23" s="705" t="s">
        <v>396</v>
      </c>
      <c r="I23" s="609"/>
      <c r="J23" s="754" t="str">
        <f>BE36</f>
        <v>Shatter!</v>
      </c>
      <c r="K23" s="609"/>
      <c r="L23" s="610"/>
      <c r="M23" s="647"/>
      <c r="N23" s="138"/>
      <c r="O23" s="684" t="s">
        <v>420</v>
      </c>
      <c r="P23" s="685"/>
      <c r="Q23" s="686">
        <f>SUM(Q16:Q20)+IF($A$2,Q22)</f>
        <v>4</v>
      </c>
      <c r="R23" s="687">
        <f>IF($C22=0,0,Q23/$C22)</f>
        <v>0.08888888889</v>
      </c>
      <c r="S23" s="688">
        <f>IF($F$26=0,0,Q23/$F$26)</f>
        <v>0.02083333333</v>
      </c>
      <c r="T23" s="11"/>
      <c r="U23" s="684" t="s">
        <v>420</v>
      </c>
      <c r="V23" s="685"/>
      <c r="W23" s="686">
        <f>SUM(W16:W20)+IF($A$2,W22)</f>
        <v>3</v>
      </c>
      <c r="X23" s="687">
        <f>IF($C22=0,0,W23/$C22)</f>
        <v>0.06666666667</v>
      </c>
      <c r="Y23" s="688">
        <f>IF($F$26=0,0,W23/$F$26)</f>
        <v>0.015625</v>
      </c>
      <c r="Z23" s="11"/>
      <c r="AA23" s="684" t="s">
        <v>420</v>
      </c>
      <c r="AB23" s="685"/>
      <c r="AC23" s="686">
        <f>SUM(AC16:AC20)+IF($A$2,AC22)</f>
        <v>12</v>
      </c>
      <c r="AD23" s="687">
        <f>IF($C22=0,0,AC23/$C22)</f>
        <v>0.2666666667</v>
      </c>
      <c r="AE23" s="688">
        <f>IF($F$26=0,0,AC23/$F$26)</f>
        <v>0.0625</v>
      </c>
      <c r="AF23" s="11"/>
      <c r="AG23" s="684" t="s">
        <v>420</v>
      </c>
      <c r="AH23" s="685"/>
      <c r="AI23" s="686">
        <f>SUM(AI16:AI20)+IF($A$2,AI22)</f>
        <v>4</v>
      </c>
      <c r="AJ23" s="687">
        <f>IF($C22=0,0,AI23/$C22)</f>
        <v>0.08888888889</v>
      </c>
      <c r="AK23" s="688">
        <f>IF($F$26=0,0,AI23/$F$26)</f>
        <v>0.02083333333</v>
      </c>
      <c r="AL23" s="11"/>
      <c r="AM23" s="684" t="s">
        <v>420</v>
      </c>
      <c r="AN23" s="685"/>
      <c r="AO23" s="686">
        <f>SUM(AO16:AO20)+IF($A$2,AO22)</f>
        <v>11</v>
      </c>
      <c r="AP23" s="687">
        <f>IF($C22=0,0,AO23/$C22)</f>
        <v>0.2444444444</v>
      </c>
      <c r="AQ23" s="688">
        <f>IF($F$26=0,0,AO23/$F$26)</f>
        <v>0.05729166667</v>
      </c>
      <c r="AR23" s="11"/>
      <c r="AS23" s="689" t="s">
        <v>420</v>
      </c>
      <c r="AT23" s="685"/>
      <c r="AU23" s="686">
        <f>SUM(AU16:AU20)+IF($A$2,AU22)</f>
        <v>11</v>
      </c>
      <c r="AV23" s="687">
        <f>IF($C22=0,0,AU23/$C22)</f>
        <v>0.2444444444</v>
      </c>
      <c r="AW23" s="688">
        <f>IF($F$26=0,0,AU23/$F$26)</f>
        <v>0.05729166667</v>
      </c>
      <c r="AX23" s="11"/>
      <c r="AZ23" s="690" t="s">
        <v>413</v>
      </c>
      <c r="BA23" s="691"/>
      <c r="BB23" s="691"/>
      <c r="BC23" s="691"/>
      <c r="BD23" s="692"/>
      <c r="BE23" s="693">
        <f>if($BE$11+$BE$22+$BE$33+$BE$44=0,0,BE22/($BE$11+$BE$22+$BE$33+$BE$44))</f>
        <v>0.2794117647</v>
      </c>
      <c r="BF23" s="138"/>
      <c r="BG23" s="11"/>
    </row>
    <row r="24">
      <c r="A24" s="732"/>
      <c r="B24" s="158"/>
      <c r="C24" s="158"/>
      <c r="D24" s="158"/>
      <c r="E24" s="158"/>
      <c r="F24" s="158"/>
      <c r="G24" s="158"/>
      <c r="H24" s="158"/>
      <c r="I24" s="158"/>
      <c r="J24" s="158"/>
      <c r="K24" s="158"/>
      <c r="L24" s="158"/>
      <c r="M24" s="158"/>
      <c r="N24" s="732"/>
      <c r="O24" s="158"/>
      <c r="P24" s="158"/>
      <c r="Q24" s="158"/>
      <c r="R24" s="158"/>
      <c r="S24" s="158"/>
      <c r="T24" s="158"/>
      <c r="U24" s="158"/>
      <c r="V24" s="158"/>
      <c r="W24" s="158"/>
      <c r="X24" s="158"/>
      <c r="Y24" s="158"/>
      <c r="Z24" s="11"/>
      <c r="AA24" s="158"/>
      <c r="AB24" s="158"/>
      <c r="AC24" s="158"/>
      <c r="AD24" s="158"/>
      <c r="AE24" s="158"/>
      <c r="AF24" s="11"/>
      <c r="AG24" s="158"/>
      <c r="AH24" s="158"/>
      <c r="AI24" s="158"/>
      <c r="AJ24" s="158"/>
      <c r="AK24" s="158"/>
      <c r="AL24" s="11"/>
      <c r="AM24" s="11"/>
      <c r="AN24" s="11"/>
      <c r="AO24" s="11"/>
      <c r="AP24" s="11"/>
      <c r="AQ24" s="11"/>
      <c r="AR24" s="11"/>
      <c r="AS24" s="11"/>
      <c r="AT24" s="11"/>
      <c r="AU24" s="11"/>
      <c r="AV24" s="11"/>
      <c r="AW24" s="11"/>
      <c r="AX24" s="11"/>
      <c r="AZ24" s="11"/>
      <c r="BA24" s="11"/>
      <c r="BB24" s="11"/>
      <c r="BC24" s="11"/>
      <c r="BD24" s="11"/>
      <c r="BE24" s="11"/>
      <c r="BF24" s="732"/>
      <c r="BG24" s="11"/>
    </row>
    <row r="25" ht="31.5" customHeight="1">
      <c r="A25" s="755" t="s">
        <v>421</v>
      </c>
      <c r="B25" s="756" t="s">
        <v>421</v>
      </c>
      <c r="C25" s="609"/>
      <c r="D25" s="609"/>
      <c r="E25" s="609"/>
      <c r="F25" s="610"/>
      <c r="G25" s="757"/>
      <c r="H25" s="756" t="s">
        <v>422</v>
      </c>
      <c r="I25" s="609"/>
      <c r="J25" s="609"/>
      <c r="K25" s="609"/>
      <c r="L25" s="610"/>
      <c r="M25" s="604"/>
      <c r="N25" s="755" t="s">
        <v>205</v>
      </c>
      <c r="O25" s="385" t="s">
        <v>206</v>
      </c>
      <c r="P25" s="120"/>
      <c r="Q25" s="120"/>
      <c r="R25" s="758">
        <f>IFS(
P27 = "Ancestral 5*", 35,
AND(P27 = "Ancestral 4*",COUNTIF(P28:P31, "Epic+") &gt;= 1),34,
AND(P27 = "Ancestral 4*",Q34 = 17),33,
P27 = "Ancestral 4*",32,
AND(P27 = "Ancestral 3*",COUNTIF(P28:P31, "Epic+") &gt;= 1),31,
AND(P27 = "Ancestral 3*",Q34 = 15),30,
P27 = "Ancestral 3*",29,
AND(P27 = "Ancestral 2*",COUNTIF(P28:P31, "Epic+") &gt;= 1),28,
AND(P27 = "Ancestral 2*",Q34 = 13),27,
P27 = "Ancestral 2*",26,
AND(P27 = "Ancestral 1*",COUNTIF(P28:P31, "Epic+") &gt;= 1),25,
AND(P27 = "Ancestral 1*",Q34 = 11),24,
P27 = "Ancestral 1*",23,
AND(P27 = "Ancestral",COUNTIF(P28:P31, "Epic+") &gt;= 1),22,
AND(P27 = "Ancestral",Q34 = 9),21,
P27 = "Ancestral",20,
AND(P27 = "Mythic+",COUNTIF(P28:P31, "Epic+") &gt;= 2),19,
AND(P27 = "Mythic+",Q34 = 7),18,
AND(P27 = "Mythic+",Q34 = 6),17,
AND(P27 = "Mythic+",Q34 = 5),16,
P27 = "Mythic+",15,
AND(P27 = "Mythic",AY33 &gt;= 1),14,
AND(P27 = "Mythic",SUM($BD27:$BD33) &gt;= 72),13,
P27 = "Mythic",12,
AND(P27 = "Legendary+",AY33 &gt;= 1),11,
AND(P27 = "Legendary+",SUM($BD27:$BD33) &gt;= 72),10,
P27 = "Legendary+", 9,
AND(P27 = "Legendary", OR(P28 = "Epic+", P29 = "Epic+", P30 = "Epic+", P31 = "Epic+")), 8,
AND(P27 = "Legendary",Q34 = 3),7,
P27 = "Legendary", 6,
AND(P27 = "Epic+",AY30 &gt;= 2),5,
AND(P27 = "Epic+",SUM($BD27:$BD33) &gt;= 36),4,
P27 = "Epic+",3,
AND(Q34 = 2,OR(P28 = "Epic", P29 = "Epic", P31 = "Epic", P30 = "Epic")),2,
Q34 = 1,1,
TRUE,0
)
/35</f>
        <v>0.2</v>
      </c>
      <c r="S25" s="121"/>
      <c r="T25" s="11"/>
      <c r="U25" s="385" t="s">
        <v>207</v>
      </c>
      <c r="V25" s="120"/>
      <c r="W25" s="120"/>
      <c r="X25" s="758">
        <f>IFS(
V27 = "Ancestral 5*", 35,
AND(V27 = "Ancestral 4*",COUNTIF(V28:V31, "Epic+") &gt;= 1),34,
AND(V27 = "Ancestral 4*",W34 = 17),33,
V27 = "Ancestral 4*",32,
AND(V27 = "Ancestral 3*",COUNTIF(V28:V31, "Epic+") &gt;= 1),31,
AND(V27 = "Ancestral 3*",W34 = 15),30,
V27 = "Ancestral 3*",29,
AND(V27 = "Ancestral 2*",COUNTIF(V28:V31, "Epic+") &gt;= 1),28,
AND(V27 = "Ancestral 2*",W34 = 13),27,
V27 = "Ancestral 2*",26,
AND(V27 = "Ancestral 1*",COUNTIF(V28:V31, "Epic+") &gt;= 1),25,
AND(V27 = "Ancestral 1*",W34 = 11),24,
V27 = "Ancestral 1*",23,
AND(V27 = "Ancestral",COUNTIF(V28:V31, "Epic+") &gt;= 1),22,
AND(V27 = "Ancestral",W34 = 9),21,
V27 = "Ancestral",20,
AND(V27 = "Mythic+",COUNTIF(V28:V31, "Epic+") &gt;= 2),19,
AND(V27 = "Mythic+",W34 = 7),18,
AND(V27 = "Mythic+",W34 = 6),17,
AND(V27 = "Mythic+",W34 = 5),16,
V27 = "Mythic+",15,
AND(V27 = "Mythic",BE33 &gt;= 1),14,
AND(V27 = "Mythic",SUM($BD27:$BD33) &gt;= 72),13,
V27 = "Mythic",12,
AND(V27 = "Legendary+",BE33 &gt;= 1),11,
AND(V27 = "Legendary+",SUM($BD27:$BD33) &gt;= 72),10,
V27 = "Legendary+", 9,
AND(V27 = "Legendary", OR(V28 = "Epic+", V29 = "Epic+", V30 = "Epic+", V31 = "Epic+")), 8,
AND(V27 = "Legendary",W34 = 3),7,
V27 = "Legendary", 6,
AND(V27 = "Epic+",BE30 &gt;= 2),5,
AND(V27 = "Epic+",SUM($BD27:$BD33) &gt;= 36),4,
V27 = "Epic+",3,
AND(W34 = 2,OR(V28 = "Epic", V29 = "Epic", V31 = "Epic", V30 = "Epic")),2,
W34 = 1,1,
TRUE,0
)
/35</f>
        <v>0.4285714286</v>
      </c>
      <c r="Y25" s="121"/>
      <c r="Z25" s="11"/>
      <c r="AA25" s="385" t="s">
        <v>208</v>
      </c>
      <c r="AB25" s="120"/>
      <c r="AC25" s="120"/>
      <c r="AD25" s="758">
        <f>IFS(
AB27 = "Ancestral 5*", 35,
AND(AB27 = "Ancestral 4*",COUNTIF(AB28:AB31, "Epic+") &gt;= 1),34,
AND(AB27 = "Ancestral 4*",AC34 = 17),33,
AB27 = "Ancestral 4*",32,
AND(AB27 = "Ancestral 3*",COUNTIF(AB28:AB31, "Epic+") &gt;= 1),31,
AND(AB27 = "Ancestral 3*",AC34 = 15),30,
AB27 = "Ancestral 3*",29,
AND(AB27 = "Ancestral 2*",COUNTIF(AB28:AB31, "Epic+") &gt;= 1),28,
AND(AB27 = "Ancestral 2*",AC34 = 13),27,
AB27 = "Ancestral 2*",26,
AND(AB27 = "Ancestral 1*",COUNTIF(AB28:AB31, "Epic+") &gt;= 1),25,
AND(AB27 = "Ancestral 1*",AC34 = 11),24,
AB27 = "Ancestral 1*",23,
AND(AB27 = "Ancestral",COUNTIF(AB28:AB31, "Epic+") &gt;= 1),22,
AND(AB27 = "Ancestral",AC34 = 9),21,
AB27 = "Ancestral",20,
AND(AB27 = "Mythic+",COUNTIF(AB28:AB31, "Epic+") &gt;= 2),19,
AND(AB27 = "Mythic+",AC34 = 7),18,
AND(AB27 = "Mythic+",AC34 = 6),17,
AND(AB27 = "Mythic+",AC34 = 5),16,
AB27 = "Mythic+",15,
AND(AB27 = "Mythic",BK33 &gt;= 1),14,
AND(AB27 = "Mythic",SUM($BD27:$BD33) &gt;= 72),13,
AB27 = "Mythic",12,
AND(AB27 = "Legendary+",BK33 &gt;= 1),11,
AND(AB27 = "Legendary+",SUM($BD27:$BD33) &gt;= 72),10,
AB27 = "Legendary+", 9,
AND(AB27 = "Legendary", OR(AB28 = "Epic+", AB29 = "Epic+", AB30 = "Epic+", AB31 = "Epic+")), 8,
AND(AB27 = "Legendary",AC34 = 3),7,
AB27 = "Legendary", 6,
AND(AB27 = "Epic+",BK30 &gt;= 2),5,
AND(AB27 = "Epic+",SUM($BD27:$BD33) &gt;= 36),4,
AB27 = "Epic+",3,
AND(AC34 = 2,OR(AB28 = "Epic", AB29 = "Epic", AB31 = "Epic", AB30 = "Epic")),2,
AC34 = 1,1,
TRUE,0
)
/35</f>
        <v>0.5714285714</v>
      </c>
      <c r="AE25" s="121"/>
      <c r="AF25" s="11"/>
      <c r="AG25" s="385" t="s">
        <v>209</v>
      </c>
      <c r="AH25" s="120"/>
      <c r="AI25" s="120"/>
      <c r="AJ25" s="758">
        <f>IFS(
AH27 = "Ancestral 5*", 35,
AND(AH27 = "Ancestral 4*",COUNTIF(AH28:AH31, "Epic+") &gt;= 1),34,
AND(AH27 = "Ancestral 4*",AI34 = 17),33,
AH27 = "Ancestral 4*",32,
AND(AH27 = "Ancestral 3*",COUNTIF(AH28:AH31, "Epic+") &gt;= 1),31,
AND(AH27 = "Ancestral 3*",AI34 = 15),30,
AH27 = "Ancestral 3*",29,
AND(AH27 = "Ancestral 2*",COUNTIF(AH28:AH31, "Epic+") &gt;= 1),28,
AND(AH27 = "Ancestral 2*",AI34 = 13),27,
AH27 = "Ancestral 2*",26,
AND(AH27 = "Ancestral 1*",COUNTIF(AH28:AH31, "Epic+") &gt;= 1),25,
AND(AH27 = "Ancestral 1*",AI34 = 11),24,
AH27 = "Ancestral 1*",23,
AND(AH27 = "Ancestral",COUNTIF(AH28:AH31, "Epic+") &gt;= 1),22,
AND(AH27 = "Ancestral",AI34 = 9),21,
AH27 = "Ancestral",20,
AND(AH27 = "Mythic+",COUNTIF(AH28:AH31, "Epic+") &gt;= 2),19,
AND(AH27 = "Mythic+",AI34 = 7),18,
AND(AH27 = "Mythic+",AI34 = 6),17,
AND(AH27 = "Mythic+",AI34 = 5),16,
AH27 = "Mythic+",15,
AND(AH27 = "Mythic",BQ33 &gt;= 1),14,
AND(AH27 = "Mythic",SUM($BD27:$BD33) &gt;= 72),13,
AH27 = "Mythic",12,
AND(AH27 = "Legendary+",BQ33 &gt;= 1),11,
AND(AH27 = "Legendary+",SUM($BD27:$BD33) &gt;= 72),10,
AH27 = "Legendary+", 9,
AND(AH27 = "Legendary", OR(AH28 = "Epic+", AH29 = "Epic+", AH30 = "Epic+", AH31 = "Epic+")), 8,
AND(AH27 = "Legendary",AI34 = 3),7,
AH27 = "Legendary", 6,
AND(AH27 = "Epic+",BQ30 &gt;= 2),5,
AND(AH27 = "Epic+",SUM($BD27:$BD33) &gt;= 36),4,
AH27 = "Epic+",3,
AND(AI34 = 2,OR(AH28 = "Epic", AH29 = "Epic", AH31 = "Epic", AH30 = "Epic")),2,
AI34 = 1,1,
TRUE,0
)
/35</f>
        <v>0.6857142857</v>
      </c>
      <c r="AK25" s="121"/>
      <c r="AL25" s="11"/>
      <c r="AM25" s="385" t="s">
        <v>210</v>
      </c>
      <c r="AN25" s="120"/>
      <c r="AO25" s="120"/>
      <c r="AP25" s="758">
        <f>IFS(
AN27 = "Ancestral 5*", 35,
AND(AN27 = "Ancestral 4*",COUNTIF(AN28:AN31, "Epic+") &gt;= 1),34,
AND(AN27 = "Ancestral 4*",AO34 = 17),33,
AN27 = "Ancestral 4*",32,
AND(AN27 = "Ancestral 3*",COUNTIF(AN28:AN31, "Epic+") &gt;= 1),31,
AND(AN27 = "Ancestral 3*",AO34 = 15),30,
AN27 = "Ancestral 3*",29,
AND(AN27 = "Ancestral 2*",COUNTIF(AN28:AN31, "Epic+") &gt;= 1),28,
AND(AN27 = "Ancestral 2*",AO34 = 13),27,
AN27 = "Ancestral 2*",26,
AND(AN27 = "Ancestral 1*",COUNTIF(AN28:AN31, "Epic+") &gt;= 1),25,
AND(AN27 = "Ancestral 1*",AO34 = 11),24,
AN27 = "Ancestral 1*",23,
AND(AN27 = "Ancestral",COUNTIF(AN28:AN31, "Epic+") &gt;= 1),22,
AND(AN27 = "Ancestral",AO34 = 9),21,
AN27 = "Ancestral",20,
AND(AN27 = "Mythic+",COUNTIF(AN28:AN31, "Epic+") &gt;= 2),19,
AND(AN27 = "Mythic+",AO34 = 7),18,
AND(AN27 = "Mythic+",AO34 = 6),17,
AND(AN27 = "Mythic+",AO34 = 5),16,
AN27 = "Mythic+",15,
AND(AN27 = "Mythic",BW33 &gt;= 1),14,
AND(AN27 = "Mythic",SUM($BD27:$BD33) &gt;= 72),13,
AN27 = "Mythic",12,
AND(AN27 = "Legendary+",BW33 &gt;= 1),11,
AND(AN27 = "Legendary+",SUM($BD27:$BD33) &gt;= 72),10,
AN27 = "Legendary+", 9,
AND(AN27 = "Legendary", OR(AN28 = "Epic+", AN29 = "Epic+", AN30 = "Epic+", AN31 = "Epic+")), 8,
AND(AN27 = "Legendary",AO34 = 3),7,
AN27 = "Legendary", 6,
AND(AN27 = "Epic+",BW30 &gt;= 2),5,
AND(AN27 = "Epic+",SUM($BD27:$BD33) &gt;= 36),4,
AN27 = "Epic+",3,
AND(AO34 = 2,OR(AN28 = "Epic", AN29 = "Epic", AN31 = "Epic", AN30 = "Epic")),2,
AO34 = 1,1,
TRUE,0
)
/35</f>
        <v>0.4571428571</v>
      </c>
      <c r="AQ25" s="121"/>
      <c r="AR25" s="11"/>
      <c r="AS25" s="759" t="s">
        <v>211</v>
      </c>
      <c r="AT25" s="120"/>
      <c r="AU25" s="120"/>
      <c r="AV25" s="758">
        <f>IFS(
AT27 = "Ancestral 5*", 35,
AND(AT27 = "Ancestral 4*",COUNTIF(AT28:AT31, "Epic+") &gt;= 1),34,
AND(AT27 = "Ancestral 4*",AU34 = 17),33,
AT27 = "Ancestral 4*",32,
AND(AT27 = "Ancestral 3*",COUNTIF(AT28:AT31, "Epic+") &gt;= 1),31,
AND(AT27 = "Ancestral 3*",AU34 = 15),30,
AT27 = "Ancestral 3*",29,
AND(AT27 = "Ancestral 2*",COUNTIF(AT28:AT31, "Epic+") &gt;= 1),28,
AND(AT27 = "Ancestral 2*",AU34 = 13),27,
AT27 = "Ancestral 2*",26,
AND(AT27 = "Ancestral 1*",COUNTIF(AT28:AT31, "Epic+") &gt;= 1),25,
AND(AT27 = "Ancestral 1*",AU34 = 11),24,
AT27 = "Ancestral 1*",23,
AND(AT27 = "Ancestral",COUNTIF(AT28:AT31, "Epic+") &gt;= 1),22,
AND(AT27 = "Ancestral",AU34 = 9),21,
AT27 = "Ancestral",20,
AND(AT27 = "Mythic+",COUNTIF(AT28:AT31, "Epic+") &gt;= 2),19,
AND(AT27 = "Mythic+",AU34 = 7),18,
AND(AT27 = "Mythic+",AU34 = 6),17,
AND(AT27 = "Mythic+",AU34 = 5),16,
AT27 = "Mythic+",15,
AND(AT27 = "Mythic",CC33 &gt;= 1),14,
AND(AT27 = "Mythic",SUM($BD27:$BD33) &gt;= 72),13,
AT27 = "Mythic",12,
AND(AT27 = "Legendary+",CC33 &gt;= 1),11,
AND(AT27 = "Legendary+",SUM($BD27:$BD33) &gt;= 72),10,
AT27 = "Legendary+", 9,
AND(AT27 = "Legendary", OR(AT28 = "Epic+", AT29 = "Epic+", AT30 = "Epic+", AT31 = "Epic+")), 8,
AND(AT27 = "Legendary",AU34 = 3),7,
AT27 = "Legendary", 6,
AND(AT27 = "Epic+",CC30 &gt;= 2),5,
AND(AT27 = "Epic+",SUM($BD27:$BD33) &gt;= 36),4,
AT27 = "Epic+",3,
AND(AU34 = 2,OR(AT28 = "Epic", AT29 = "Epic", AT31 = "Epic", AT30 = "Epic")),2,
AU34 = 1,1,
TRUE,0
)
/35</f>
        <v>0.5142857143</v>
      </c>
      <c r="AW25" s="121"/>
      <c r="AX25" s="11"/>
      <c r="AZ25" s="760" t="s">
        <v>396</v>
      </c>
      <c r="BA25" s="609"/>
      <c r="BB25" s="609"/>
      <c r="BC25" s="609"/>
      <c r="BD25" s="610"/>
      <c r="BE25" s="761" t="str">
        <f>IFS(
SUM(R27:R31,X27:X31,AD27:AD31,AJ27:AJ31,AP27:AP31,AV27:AW31)&gt;=1080,"Shatter!",
SUM(R27:R31,X27:X31,AD27:AD31,AJ27:AJ31,AP27:AP31,AV27:AW31)+BD30+BD32&gt;=1080,"Shatter new mods",
BE33&gt;=1080,"Merge, if possible",
TRUE, "Keep farming"
)
&amp;IF(IDS_LAB_LEVEL("Shatter Shards")&lt;5,"*","")</f>
        <v>Shatter new mods</v>
      </c>
      <c r="BF25" s="762" t="s">
        <v>205</v>
      </c>
      <c r="BG25" s="11"/>
    </row>
    <row r="26">
      <c r="B26" s="763" t="s">
        <v>423</v>
      </c>
      <c r="E26" s="415"/>
      <c r="F26" s="764">
        <f>C11+C22+I11+I22</f>
        <v>192</v>
      </c>
      <c r="G26" s="757"/>
      <c r="H26" s="763" t="s">
        <v>424</v>
      </c>
      <c r="K26" s="415"/>
      <c r="L26" s="764">
        <f>F37*20</f>
        <v>800</v>
      </c>
      <c r="M26" s="604"/>
      <c r="O26" s="765" t="s">
        <v>401</v>
      </c>
      <c r="P26" s="766" t="s">
        <v>170</v>
      </c>
      <c r="Q26" s="767" t="s">
        <v>402</v>
      </c>
      <c r="R26" s="767" t="s">
        <v>403</v>
      </c>
      <c r="S26" s="610"/>
      <c r="T26" s="11"/>
      <c r="U26" s="765" t="s">
        <v>401</v>
      </c>
      <c r="V26" s="766" t="s">
        <v>170</v>
      </c>
      <c r="W26" s="767" t="s">
        <v>402</v>
      </c>
      <c r="X26" s="767" t="s">
        <v>403</v>
      </c>
      <c r="Y26" s="610"/>
      <c r="Z26" s="11"/>
      <c r="AA26" s="765" t="s">
        <v>401</v>
      </c>
      <c r="AB26" s="766" t="s">
        <v>170</v>
      </c>
      <c r="AC26" s="767" t="s">
        <v>402</v>
      </c>
      <c r="AD26" s="767" t="s">
        <v>403</v>
      </c>
      <c r="AE26" s="610"/>
      <c r="AF26" s="11"/>
      <c r="AG26" s="765" t="s">
        <v>401</v>
      </c>
      <c r="AH26" s="766" t="s">
        <v>170</v>
      </c>
      <c r="AI26" s="767" t="s">
        <v>402</v>
      </c>
      <c r="AJ26" s="767" t="s">
        <v>403</v>
      </c>
      <c r="AK26" s="610"/>
      <c r="AL26" s="11"/>
      <c r="AM26" s="765" t="s">
        <v>401</v>
      </c>
      <c r="AN26" s="766" t="s">
        <v>170</v>
      </c>
      <c r="AO26" s="767" t="s">
        <v>402</v>
      </c>
      <c r="AP26" s="767" t="s">
        <v>403</v>
      </c>
      <c r="AQ26" s="610"/>
      <c r="AR26" s="11"/>
      <c r="AS26" s="768" t="s">
        <v>401</v>
      </c>
      <c r="AT26" s="769" t="s">
        <v>170</v>
      </c>
      <c r="AU26" s="770" t="s">
        <v>402</v>
      </c>
      <c r="AV26" s="770" t="s">
        <v>403</v>
      </c>
      <c r="AW26" s="610"/>
      <c r="AX26" s="11"/>
      <c r="AZ26" s="771" t="s">
        <v>170</v>
      </c>
      <c r="BA26" s="772" t="s">
        <v>402</v>
      </c>
      <c r="BB26" s="772" t="s">
        <v>397</v>
      </c>
      <c r="BC26" s="767" t="s">
        <v>404</v>
      </c>
      <c r="BD26" s="187" t="s">
        <v>405</v>
      </c>
      <c r="BE26" s="626"/>
      <c r="BG26" s="11"/>
    </row>
    <row r="27">
      <c r="B27" s="763" t="s">
        <v>425</v>
      </c>
      <c r="E27" s="415"/>
      <c r="F27" s="773">
        <f>F26/COUNTA(B5:B10,H5:H10,B16:B21,H16:H21)</f>
        <v>8</v>
      </c>
      <c r="G27" s="757"/>
      <c r="H27" s="763" t="s">
        <v>426</v>
      </c>
      <c r="K27" s="415"/>
      <c r="L27" s="764">
        <f>F26*L26</f>
        <v>153600</v>
      </c>
      <c r="M27" s="634"/>
      <c r="O27" s="774" t="s">
        <v>406</v>
      </c>
      <c r="P27" s="775" t="str">
        <f>Inventory!F31</f>
        <v>Legendary</v>
      </c>
      <c r="Q27" s="775">
        <f>IFS(
P27 = "None", 0,
P27 = "Epic", 1,
P27 = "Epic+", 2,
P27 = "Legendary", 2,
P27 = "Legendary+", 4,
P27 = "Mythic", 4,
P27 = "Mythic+", 4,
P27 = "Ancestral", 8,
P27 = "Ancestral 1*", 10,
P27 = "Ancestral 2*", 12,
P27 = "Ancestral 3*", 14,
P27 = "Ancestral 4*", 16,
P27 = "Ancestral 5*", 18
    )</f>
        <v>2</v>
      </c>
      <c r="R27" s="776">
        <f>IFS(
P27 = "None", 0,
P27 = "Epic", 0,
P27 = "Epic+", 0,
P27 = "Legendary", 36,
P27 = "Legendary+", 36,
P27 = "Mythic", 108,
TRUE, 180
    )</f>
        <v>36</v>
      </c>
      <c r="S27" s="626"/>
      <c r="T27" s="11"/>
      <c r="U27" s="774" t="s">
        <v>406</v>
      </c>
      <c r="V27" s="775" t="str">
        <f>Inventory!K31</f>
        <v>Mythic+</v>
      </c>
      <c r="W27" s="775">
        <f>IFS(
V27 = "None", 0,
V27 = "Epic", 1,
V27 = "Epic+", 2,
V27 = "Legendary", 2,
V27 = "Legendary+", 4,
V27 = "Mythic", 4,
V27 = "Mythic+", 4,
V27 = "Ancestral", 8,
V27 = "Ancestral 1*", 10,
V27 = "Ancestral 2*", 12,
V27 = "Ancestral 3*", 14,
V27 = "Ancestral 4*", 16,
V27 = "Ancestral 5*", 18
    )</f>
        <v>4</v>
      </c>
      <c r="X27" s="776">
        <f>IFS(
V27 = "None", 0,
V27 = "Epic", 0,
V27 = "Epic+", 0,
V27 = "Legendary", 36,
V27 = "Legendary+", 36,
V27 = "Mythic", 108,
TRUE, 180
    )</f>
        <v>180</v>
      </c>
      <c r="Y27" s="626"/>
      <c r="Z27" s="11"/>
      <c r="AA27" s="774" t="s">
        <v>406</v>
      </c>
      <c r="AB27" s="775" t="str">
        <f>Inventory!P31</f>
        <v>Ancestral</v>
      </c>
      <c r="AC27" s="775">
        <f>IFS(
AB27 = "None", 0,
AB27 = "Epic", 1,
AB27 = "Epic+", 2,
AB27 = "Legendary", 2,
AB27 = "Legendary+", 4,
AB27 = "Mythic", 4,
AB27 = "Mythic+", 4,
AB27 = "Ancestral", 8,
AB27 = "Ancestral 1*", 10,
AB27 = "Ancestral 2*", 12,
AB27 = "Ancestral 3*", 14,
AB27 = "Ancestral 4*", 16,
AB27 = "Ancestral 5*", 18
    )</f>
        <v>8</v>
      </c>
      <c r="AD27" s="776">
        <f>IFS(
AB27 = "None", 0,
AB27 = "Epic", 0,
AB27 = "Epic+", 0,
AB27 = "Legendary", 36,
AB27 = "Legendary+", 36,
AB27 = "Mythic", 108,
TRUE, 180
    )</f>
        <v>180</v>
      </c>
      <c r="AE27" s="626"/>
      <c r="AF27" s="11"/>
      <c r="AG27" s="774" t="s">
        <v>406</v>
      </c>
      <c r="AH27" s="775" t="str">
        <f>Inventory!U31</f>
        <v>Ancestral 1*</v>
      </c>
      <c r="AI27" s="775">
        <f>IFS(
AH27 = "None", 0,
AH27 = "Epic", 1,
AH27 = "Epic+", 2,
AH27 = "Legendary", 2,
AH27 = "Legendary+", 4,
AH27 = "Mythic", 4,
AH27 = "Mythic+", 4,
AH27 = "Ancestral", 8,
AH27 = "Ancestral 1*", 10,
AH27 = "Ancestral 2*", 12,
AH27 = "Ancestral 3*", 14,
AH27 = "Ancestral 4*", 16,
AH27 = "Ancestral 5*", 18
    )</f>
        <v>10</v>
      </c>
      <c r="AJ27" s="776">
        <f>IFS(
AH27 = "None", 0,
AH27 = "Epic", 0,
AH27 = "Epic+", 0,
AH27 = "Legendary", 36,
AH27 = "Legendary+", 36,
AH27 = "Mythic", 108,
TRUE, 180
    )</f>
        <v>180</v>
      </c>
      <c r="AK27" s="626"/>
      <c r="AL27" s="11"/>
      <c r="AM27" s="774" t="s">
        <v>406</v>
      </c>
      <c r="AN27" s="775" t="str">
        <f>Inventory!Z31</f>
        <v>Mythic+</v>
      </c>
      <c r="AO27" s="775">
        <f>IFS(
AN27 = "None", 0,
AN27 = "Epic", 1,
AN27 = "Epic+", 2,
AN27 = "Legendary", 2,
AN27 = "Legendary+", 4,
AN27 = "Mythic", 4,
AN27 = "Mythic+", 4,
AN27 = "Ancestral", 8,
AN27 = "Ancestral 1*", 10,
AN27 = "Ancestral 2*", 12,
AN27 = "Ancestral 3*", 14,
AN27 = "Ancestral 4*", 16,
AN27 = "Ancestral 5*", 18
    )</f>
        <v>4</v>
      </c>
      <c r="AP27" s="776">
        <f>IFS(
AN27 = "None", 0,
AN27 = "Epic", 0,
AN27 = "Epic+", 0,
AN27 = "Legendary", 36,
AN27 = "Legendary+", 36,
AN27 = "Mythic", 108,
TRUE, 180
    )</f>
        <v>180</v>
      </c>
      <c r="AQ27" s="626"/>
      <c r="AR27" s="11"/>
      <c r="AS27" s="777" t="s">
        <v>406</v>
      </c>
      <c r="AT27" s="778" t="str">
        <f>Inventory!AE31</f>
        <v>Mythic+</v>
      </c>
      <c r="AU27" s="778">
        <f>IFS(
AT27 = "None", 0,
AT27 = "Epic", 1,
AT27 = "Epic+", 2,
AT27 = "Legendary", 2,
AT27 = "Legendary+", 4,
AT27 = "Mythic", 4,
AT27 = "Mythic+", 4,
AT27 = "Ancestral", 8,
AT27 = "Ancestral 1*", 10,
AT27 = "Ancestral 2*", 12,
AT27 = "Ancestral 3*", 14,
AT27 = "Ancestral 4*", 16,
AT27 = "Ancestral 5*", 18
    )</f>
        <v>4</v>
      </c>
      <c r="AV27" s="779">
        <f>IFS(
AT27 = "None", 0,
AT27 = "Epic", 0,
AT27 = "Epic+", 0,
AT27 = "Legendary", 36,
AT27 = "Legendary+", 36,
AT27 = "Mythic", 108,
TRUE, 180
    )</f>
        <v>180</v>
      </c>
      <c r="AW27" s="626"/>
      <c r="AX27" s="11"/>
      <c r="AZ27" s="641" t="s">
        <v>239</v>
      </c>
      <c r="BA27" s="775">
        <v>1.0</v>
      </c>
      <c r="BB27" s="642">
        <v>0.0</v>
      </c>
      <c r="BC27" s="775"/>
      <c r="BD27" s="775">
        <f t="shared" ref="BD27:BD32" si="55">BA27*BB27</f>
        <v>0</v>
      </c>
      <c r="BE27" s="626"/>
      <c r="BG27" s="11"/>
    </row>
    <row r="28">
      <c r="B28" s="763" t="s">
        <v>427</v>
      </c>
      <c r="E28" s="415"/>
      <c r="F28" s="764">
        <f>F26*F37</f>
        <v>7680</v>
      </c>
      <c r="G28" s="757"/>
      <c r="H28" s="763" t="s">
        <v>428</v>
      </c>
      <c r="K28" s="415"/>
      <c r="L28" s="764">
        <f>F29*20</f>
        <v>3000</v>
      </c>
      <c r="M28" s="634"/>
      <c r="O28" s="780" t="s">
        <v>408</v>
      </c>
      <c r="P28" s="642" t="s">
        <v>176</v>
      </c>
      <c r="Q28" s="775">
        <f t="shared" ref="Q28:Q31" si="56">IFS(
P28 = "", 0,
P28 = "Epic", 1,
P28 = "Epic+", 2,
P28 = "Legendary", 2,
P28 = "Legendary+", 4,
P28 = "Mythic", 4,
P28 = "Mythic+", 4,
P28 = "Ancestral", 8,
P28 = "Ancestral 1*", 10,
P28 = "Ancestral 2*", 12,
P28 = "Ancestral 3*", 14,
P28 = "Ancestral 4*", 16,
P28 = "Ancestral 5*", 18
    )</f>
        <v>1</v>
      </c>
      <c r="R28" s="776">
        <f t="shared" ref="R28:R31" si="57">IFS(
P28 = "", 0,
P28 = "Epic", 0,
P28 = "Epic+", 0,
P28 = "Legendary", 36,
P28 = "Legendary+", 36,
P28 = "Mythic", 108,
TRUE, 180
    )</f>
        <v>0</v>
      </c>
      <c r="S28" s="626"/>
      <c r="T28" s="11"/>
      <c r="U28" s="780" t="s">
        <v>408</v>
      </c>
      <c r="V28" s="642"/>
      <c r="W28" s="775">
        <f t="shared" ref="W28:W31" si="58">IFS(
V28 = "", 0,
V28 = "Epic", 1,
V28 = "Epic+", 2,
V28 = "Legendary", 2,
V28 = "Legendary+", 4,
V28 = "Mythic", 4,
V28 = "Mythic+", 4,
V28 = "Ancestral", 8,
V28 = "Ancestral 1*", 10,
V28 = "Ancestral 2*", 12,
V28 = "Ancestral 3*", 14,
V28 = "Ancestral 4*", 16,
V28 = "Ancestral 5*", 18
    )</f>
        <v>0</v>
      </c>
      <c r="X28" s="776">
        <f t="shared" ref="X28:X31" si="59">IFS(
V28 = "", 0,
V28 = "Epic", 0,
V28 = "Epic+", 0,
V28 = "Legendary", 36,
V28 = "Legendary+", 36,
V28 = "Mythic", 108,
TRUE, 180
    )</f>
        <v>0</v>
      </c>
      <c r="Y28" s="626"/>
      <c r="Z28" s="11"/>
      <c r="AA28" s="780" t="s">
        <v>408</v>
      </c>
      <c r="AB28" s="642"/>
      <c r="AC28" s="775">
        <f t="shared" ref="AC28:AC31" si="60">IFS(
AB28 = "", 0,
AB28 = "Epic", 1,
AB28 = "Epic+", 2,
AB28 = "Legendary", 2,
AB28 = "Legendary+", 4,
AB28 = "Mythic", 4,
AB28 = "Mythic+", 4,
AB28 = "Ancestral", 8,
AB28 = "Ancestral 1*", 10,
AB28 = "Ancestral 2*", 12,
AB28 = "Ancestral 3*", 14,
AB28 = "Ancestral 4*", 16,
AB28 = "Ancestral 5*", 18
    )</f>
        <v>0</v>
      </c>
      <c r="AD28" s="776">
        <f t="shared" ref="AD28:AD31" si="61">IFS(
AB28 = "", 0,
AB28 = "Epic", 0,
AB28 = "Epic+", 0,
AB28 = "Legendary", 36,
AB28 = "Legendary+", 36,
AB28 = "Mythic", 108,
TRUE, 180
    )</f>
        <v>0</v>
      </c>
      <c r="AE28" s="626"/>
      <c r="AF28" s="11"/>
      <c r="AG28" s="780" t="s">
        <v>408</v>
      </c>
      <c r="AH28" s="642" t="s">
        <v>176</v>
      </c>
      <c r="AI28" s="775">
        <f t="shared" ref="AI28:AI31" si="62">IFS(
AH28 = "", 0,
AH28 = "Epic", 1,
AH28 = "Epic+", 2,
AH28 = "Legendary", 2,
AH28 = "Legendary+", 4,
AH28 = "Mythic", 4,
AH28 = "Mythic+", 4,
AH28 = "Ancestral", 8,
AH28 = "Ancestral 1*", 10,
AH28 = "Ancestral 2*", 12,
AH28 = "Ancestral 3*", 14,
AH28 = "Ancestral 4*", 16,
AH28 = "Ancestral 5*", 18
    )</f>
        <v>1</v>
      </c>
      <c r="AJ28" s="776">
        <f t="shared" ref="AJ28:AJ31" si="63">IFS(
AH28 = "", 0,
AH28 = "Epic", 0,
AH28 = "Epic+", 0,
AH28 = "Legendary", 36,
AH28 = "Legendary+", 36,
AH28 = "Mythic", 108,
TRUE, 180
    )</f>
        <v>0</v>
      </c>
      <c r="AK28" s="626"/>
      <c r="AL28" s="11"/>
      <c r="AM28" s="780" t="s">
        <v>408</v>
      </c>
      <c r="AN28" s="642" t="s">
        <v>176</v>
      </c>
      <c r="AO28" s="775">
        <f t="shared" ref="AO28:AO31" si="64">IFS(
AN28 = "", 0,
AN28 = "Epic", 1,
AN28 = "Epic+", 2,
AN28 = "Legendary", 2,
AN28 = "Legendary+", 4,
AN28 = "Mythic", 4,
AN28 = "Mythic+", 4,
AN28 = "Ancestral", 8,
AN28 = "Ancestral 1*", 10,
AN28 = "Ancestral 2*", 12,
AN28 = "Ancestral 3*", 14,
AN28 = "Ancestral 4*", 16,
AN28 = "Ancestral 5*", 18
    )</f>
        <v>1</v>
      </c>
      <c r="AP28" s="776">
        <f t="shared" ref="AP28:AP31" si="65">IFS(
AN28 = "", 0,
AN28 = "Epic", 0,
AN28 = "Epic+", 0,
AN28 = "Legendary", 36,
AN28 = "Legendary+", 36,
AN28 = "Mythic", 108,
TRUE, 180
    )</f>
        <v>0</v>
      </c>
      <c r="AQ28" s="626"/>
      <c r="AR28" s="11"/>
      <c r="AS28" s="781" t="s">
        <v>408</v>
      </c>
      <c r="AT28" s="642" t="s">
        <v>290</v>
      </c>
      <c r="AU28" s="778">
        <f t="shared" ref="AU28:AU31" si="66">IFS(
AT28 = "", 0,
AT28 = "Epic", 1,
AT28 = "Epic+", 2,
AT28 = "Legendary", 2,
AT28 = "Legendary+", 4,
AT28 = "Mythic", 4,
AT28 = "Mythic+", 4,
AT28 = "Ancestral", 8,
AT28 = "Ancestral 1*", 10,
AT28 = "Ancestral 2*", 12,
AT28 = "Ancestral 3*", 14,
AT28 = "Ancestral 4*", 16,
AT28 = "Ancestral 5*", 18
    )</f>
        <v>2</v>
      </c>
      <c r="AV28" s="779">
        <f t="shared" ref="AV28:AV31" si="67">IFS(
AT28 = "", 0,
AT28 = "Epic", 0,
AT28 = "Epic+", 0,
AT28 = "Legendary", 36,
AT28 = "Legendary+", 36,
AT28 = "Mythic", 108,
TRUE, 180
    )</f>
        <v>0</v>
      </c>
      <c r="AW28" s="626"/>
      <c r="AX28" s="11"/>
      <c r="AZ28" s="646" t="s">
        <v>289</v>
      </c>
      <c r="BA28" s="775">
        <v>3.0</v>
      </c>
      <c r="BB28" s="642">
        <v>0.0</v>
      </c>
      <c r="BC28" s="775"/>
      <c r="BD28" s="775">
        <f t="shared" si="55"/>
        <v>0</v>
      </c>
      <c r="BE28" s="626"/>
      <c r="BG28" s="11"/>
    </row>
    <row r="29">
      <c r="B29" s="763" t="s">
        <v>429</v>
      </c>
      <c r="E29" s="415"/>
      <c r="F29" s="764">
        <f>150-F40</f>
        <v>150</v>
      </c>
      <c r="G29" s="757"/>
      <c r="H29" s="763" t="s">
        <v>430</v>
      </c>
      <c r="K29" s="415"/>
      <c r="L29" s="764">
        <f>3000*F26</f>
        <v>576000</v>
      </c>
      <c r="M29" s="647"/>
      <c r="O29" s="648"/>
      <c r="P29" s="642"/>
      <c r="Q29" s="775">
        <f t="shared" si="56"/>
        <v>0</v>
      </c>
      <c r="R29" s="776">
        <f t="shared" si="57"/>
        <v>0</v>
      </c>
      <c r="S29" s="626"/>
      <c r="T29" s="11"/>
      <c r="U29" s="648"/>
      <c r="V29" s="642"/>
      <c r="W29" s="775">
        <f t="shared" si="58"/>
        <v>0</v>
      </c>
      <c r="X29" s="776">
        <f t="shared" si="59"/>
        <v>0</v>
      </c>
      <c r="Y29" s="626"/>
      <c r="Z29" s="11"/>
      <c r="AA29" s="648"/>
      <c r="AB29" s="642"/>
      <c r="AC29" s="775">
        <f t="shared" si="60"/>
        <v>0</v>
      </c>
      <c r="AD29" s="776">
        <f t="shared" si="61"/>
        <v>0</v>
      </c>
      <c r="AE29" s="626"/>
      <c r="AF29" s="11"/>
      <c r="AG29" s="648"/>
      <c r="AH29" s="642"/>
      <c r="AI29" s="775">
        <f t="shared" si="62"/>
        <v>0</v>
      </c>
      <c r="AJ29" s="776">
        <f t="shared" si="63"/>
        <v>0</v>
      </c>
      <c r="AK29" s="626"/>
      <c r="AL29" s="11"/>
      <c r="AM29" s="648"/>
      <c r="AN29" s="642"/>
      <c r="AO29" s="775">
        <f t="shared" si="64"/>
        <v>0</v>
      </c>
      <c r="AP29" s="776">
        <f t="shared" si="65"/>
        <v>0</v>
      </c>
      <c r="AQ29" s="626"/>
      <c r="AR29" s="11"/>
      <c r="AS29" s="648"/>
      <c r="AT29" s="642" t="s">
        <v>176</v>
      </c>
      <c r="AU29" s="778">
        <f t="shared" si="66"/>
        <v>1</v>
      </c>
      <c r="AV29" s="779">
        <f t="shared" si="67"/>
        <v>0</v>
      </c>
      <c r="AW29" s="626"/>
      <c r="AX29" s="11"/>
      <c r="AZ29" s="649" t="s">
        <v>176</v>
      </c>
      <c r="BA29" s="775">
        <v>9.0</v>
      </c>
      <c r="BB29" s="642">
        <v>0.0</v>
      </c>
      <c r="BC29" s="775"/>
      <c r="BD29" s="775">
        <f t="shared" si="55"/>
        <v>0</v>
      </c>
      <c r="BE29" s="626"/>
      <c r="BG29" s="11"/>
    </row>
    <row r="30">
      <c r="B30" s="763" t="s">
        <v>431</v>
      </c>
      <c r="E30" s="415"/>
      <c r="F30" s="764" t="str">
        <f t="array" ref="F30">LET(
UniqueDetails,{P5:P9,V5:V9,AB5:AB9,AH5:AH9,AN5:AN9,AT5:AT9,P16:P20,V16:V20,AB16:AB20,AH16:AH20,AN16:AN20,AT16:AT20,P27:P31,V27:V31,AB27:AB31,AH27:AH31,AN27:AN31,AT27:AT31,P38:P42,V38:V42,AB38:AB42,AH38:AH42,AN38:AN42,AT38:AT42},
BB11+BB22+BB33+BB44+COUNTIFS(UniqueDetails,"&lt;&gt;None",UniqueDetails,"&lt;&gt;"))&amp;"/300"</f>
        <v>55/300</v>
      </c>
      <c r="G30" s="757"/>
      <c r="H30" s="763" t="s">
        <v>432</v>
      </c>
      <c r="K30" s="415"/>
      <c r="L30" s="764">
        <f>L26*COUNTA(B5:B9,H5:H9,B16:B20,H16:H20)</f>
        <v>16000</v>
      </c>
      <c r="M30" s="647"/>
      <c r="O30" s="648"/>
      <c r="P30" s="642"/>
      <c r="Q30" s="775">
        <f t="shared" si="56"/>
        <v>0</v>
      </c>
      <c r="R30" s="776">
        <f t="shared" si="57"/>
        <v>0</v>
      </c>
      <c r="S30" s="626"/>
      <c r="T30" s="11"/>
      <c r="U30" s="648"/>
      <c r="V30" s="642"/>
      <c r="W30" s="775">
        <f t="shared" si="58"/>
        <v>0</v>
      </c>
      <c r="X30" s="776">
        <f t="shared" si="59"/>
        <v>0</v>
      </c>
      <c r="Y30" s="626"/>
      <c r="Z30" s="11"/>
      <c r="AA30" s="648"/>
      <c r="AB30" s="642"/>
      <c r="AC30" s="775">
        <f t="shared" si="60"/>
        <v>0</v>
      </c>
      <c r="AD30" s="776">
        <f t="shared" si="61"/>
        <v>0</v>
      </c>
      <c r="AE30" s="626"/>
      <c r="AF30" s="11"/>
      <c r="AG30" s="648"/>
      <c r="AH30" s="642"/>
      <c r="AI30" s="775">
        <f t="shared" si="62"/>
        <v>0</v>
      </c>
      <c r="AJ30" s="776">
        <f t="shared" si="63"/>
        <v>0</v>
      </c>
      <c r="AK30" s="626"/>
      <c r="AL30" s="11"/>
      <c r="AM30" s="648"/>
      <c r="AN30" s="642"/>
      <c r="AO30" s="775">
        <f t="shared" si="64"/>
        <v>0</v>
      </c>
      <c r="AP30" s="776">
        <f t="shared" si="65"/>
        <v>0</v>
      </c>
      <c r="AQ30" s="626"/>
      <c r="AR30" s="11"/>
      <c r="AS30" s="648"/>
      <c r="AT30" s="642"/>
      <c r="AU30" s="778">
        <f t="shared" si="66"/>
        <v>0</v>
      </c>
      <c r="AV30" s="779">
        <f t="shared" si="67"/>
        <v>0</v>
      </c>
      <c r="AW30" s="626"/>
      <c r="AX30" s="11"/>
      <c r="AZ30" s="650" t="s">
        <v>290</v>
      </c>
      <c r="BA30" s="775">
        <v>18.0</v>
      </c>
      <c r="BB30" s="642">
        <v>0.0</v>
      </c>
      <c r="BC30" s="775" t="str">
        <f t="array" ref="BC30">LET(
    primary,{AT27,AN27,AH27,AB27,V27,P27} ,
    fodder,BB30,
    none, COUNTIF(primary,"=None"),
    epic, COUNTIF(primary,"=Epic"),
    epicPlus, COUNTIF(primary,"=Epic+"),
    neededNow, epicPlus*2,
    neededLater, (none+epic)*2,
    totalNeeded, neededNow+neededLater,
    IF(totalNeeded=0, IF(fodder&gt;0,fodder&amp;" extra",), IF(fodder&gt;=totalNeeded, IF(neededNow&gt;0,"Merge",IF(neededLater=fodder,"Keep",(fodder-neededLater)&amp;" extra")),"Need +"&amp;totalNeeded-fodder)))</f>
        <v/>
      </c>
      <c r="BD30" s="775">
        <f t="shared" si="55"/>
        <v>0</v>
      </c>
      <c r="BE30" s="626"/>
      <c r="BG30" s="11"/>
    </row>
    <row r="31">
      <c r="B31" s="782" t="s">
        <v>433</v>
      </c>
      <c r="C31" s="783"/>
      <c r="D31" s="783"/>
      <c r="E31" s="685"/>
      <c r="F31" s="784">
        <f>180*(COUNTA(O3,U3,AA3,AG3,AM3,AS3,O14,U14,AA14,AG14,AM14,AS14,O25,U25,AA25,AG25,AM25,AS25,O36,U36,AA36,AG36,AM36,AS36))-sum(BE11,BE22,BE33,BE44)</f>
        <v>-576</v>
      </c>
      <c r="G31" s="757"/>
      <c r="H31" s="763" t="s">
        <v>434</v>
      </c>
      <c r="K31" s="415"/>
      <c r="L31" s="764">
        <f>L28*COUNTA(B5:B9,H5:H9,B16:B20,H16:H20)</f>
        <v>60000</v>
      </c>
      <c r="M31" s="647"/>
      <c r="O31" s="651"/>
      <c r="P31" s="652"/>
      <c r="Q31" s="785">
        <f t="shared" si="56"/>
        <v>0</v>
      </c>
      <c r="R31" s="786">
        <f t="shared" si="57"/>
        <v>0</v>
      </c>
      <c r="S31" s="655"/>
      <c r="T31" s="787"/>
      <c r="U31" s="651"/>
      <c r="V31" s="652"/>
      <c r="W31" s="785">
        <f t="shared" si="58"/>
        <v>0</v>
      </c>
      <c r="X31" s="786">
        <f t="shared" si="59"/>
        <v>0</v>
      </c>
      <c r="Y31" s="655"/>
      <c r="Z31" s="11"/>
      <c r="AA31" s="651"/>
      <c r="AB31" s="652"/>
      <c r="AC31" s="785">
        <f t="shared" si="60"/>
        <v>0</v>
      </c>
      <c r="AD31" s="786">
        <f t="shared" si="61"/>
        <v>0</v>
      </c>
      <c r="AE31" s="655"/>
      <c r="AF31" s="11"/>
      <c r="AG31" s="651"/>
      <c r="AH31" s="652"/>
      <c r="AI31" s="785">
        <f t="shared" si="62"/>
        <v>0</v>
      </c>
      <c r="AJ31" s="786">
        <f t="shared" si="63"/>
        <v>0</v>
      </c>
      <c r="AK31" s="655"/>
      <c r="AL31" s="11"/>
      <c r="AM31" s="651"/>
      <c r="AN31" s="652"/>
      <c r="AO31" s="785">
        <f t="shared" si="64"/>
        <v>0</v>
      </c>
      <c r="AP31" s="786">
        <f t="shared" si="65"/>
        <v>0</v>
      </c>
      <c r="AQ31" s="655"/>
      <c r="AR31" s="11"/>
      <c r="AS31" s="651"/>
      <c r="AT31" s="652"/>
      <c r="AU31" s="788">
        <f t="shared" si="66"/>
        <v>0</v>
      </c>
      <c r="AV31" s="789">
        <f t="shared" si="67"/>
        <v>0</v>
      </c>
      <c r="AW31" s="655"/>
      <c r="AX31" s="11"/>
      <c r="AZ31" s="658" t="s">
        <v>175</v>
      </c>
      <c r="BA31" s="775">
        <v>54.0</v>
      </c>
      <c r="BB31" s="642">
        <v>0.0</v>
      </c>
      <c r="BC31" s="775"/>
      <c r="BD31" s="775">
        <f t="shared" si="55"/>
        <v>0</v>
      </c>
      <c r="BE31" s="626"/>
      <c r="BG31" s="11"/>
    </row>
    <row r="32">
      <c r="B32" s="757"/>
      <c r="C32" s="757"/>
      <c r="D32" s="757"/>
      <c r="E32" s="757"/>
      <c r="F32" s="757"/>
      <c r="G32" s="757"/>
      <c r="H32" s="782" t="s">
        <v>435</v>
      </c>
      <c r="I32" s="783"/>
      <c r="J32" s="783"/>
      <c r="K32" s="685"/>
      <c r="L32" s="790">
        <v>0.0</v>
      </c>
      <c r="M32" s="647"/>
      <c r="O32" s="791" t="str">
        <f>IFS(
P27 = "Ancestral 5*", "Congratulations! You're done.",
AND(P27 = "Ancestral 4*",COUNTIF(P28:P31, "Epic+") &gt;= 1),"Get your Ancestral 5* Module by fusing",
AND(P27 = "Ancestral 4*",SUM(Q27:Q31)&lt;Q27+2),"Get another "&amp;Q27+2-SUM(Q27:Q31)&amp;" Module"&amp;IF(Q27+2-SUM(Q27:Q31)&lt;&gt;1,"s","")&amp;" for Ancestral 5* Module",
AND(P27 = "Ancestral 3*",COUNTIF(P28:P31, "Epic+") &gt;= 1),"Get your Ancestral 4* Module by fusing",
AND(P27 = "Ancestral 3*",SUM(Q27:Q31)&lt;Q27+2),"Get another "&amp;Q27+2-SUM(Q27:Q31)&amp;" Module"&amp;IF(Q27+2-SUM(Q27:Q31)&lt;&gt;1,"s","")&amp;" for Ancestral 4* Module",
AND(P27 = "Ancestral 2*",COUNTIF(P28:P31, "Epic+") &gt;= 1),"Get your Ancestral 3* Module by fusing",
AND(P27 = "Ancestral 2*",SUM(Q27:Q31)&lt;Q27+2),"Get another "&amp;Q27+2-SUM(Q27:Q31)&amp;" Module"&amp;IF(Q27+2-SUM(Q27:Q31)&lt;&gt;1,"s","")&amp;" for Ancestral 3* Module",
AND(P27 = "Ancestral 1*",COUNTIF(P28:P31, "Epic+") &gt;= 1),"Get your Ancestral 2* Module by fusing",
AND(P27 = "Ancestral 1*",SUM(Q27:Q31)&lt;Q27+2),"Get another "&amp;Q27+2-SUM(Q27:Q31)&amp;" Module"&amp;IF(Q27+2-SUM(Q27:Q31)&lt;&gt;1,"s","")&amp;" for Ancestral 2* Module",
AND(P27 = "Ancestral",COUNTIF(P28:P31, "Epic+") &gt;= 1),"Get your Ancestral 1* Module by fusing",
AND(P27 = "Ancestral",SUM(Q27:Q31)&lt;Q27+2),"Get another "&amp;Q27+2-SUM(Q27:Q31)&amp;" Module"&amp;IF(Q27+2-SUM(Q27:Q31)&lt;&gt;1,"s","")&amp;" for Ancestral 1* Module",
AND(P27 = "Mythic+",COUNTIF(P28:P31, "Epic+") &gt;= 2),"Get your Ancestral Module by fusing",
AND(P27 = "Mythic+",SUM(Q27:Q31)&lt;Q27+4),"Get another "&amp;Q27+4-SUM(Q27:Q31)&amp;" Module"&amp;IF(Q27+4-SUM(Q27:Q31)&lt;&gt;1,"s","")&amp;" for Ancestral Module",
AND(P27 = "Mythic",$BB33 &gt;= 1),"Get your Mythic+ Module by fusing.",
AND(P27 = "Mythic",$BD33 &gt;= 72),"Check Fodders to a Legendary+ Fodder",
P27 = "Mythic", "Get some Fodders for Mythic+. You need 1x Legendary+",
AND(P27 = "Legendary+",$BB33 &gt;= 1),"Get your Mythic Module by fusing.",
AND(P27 = "Legendary+",$BD33 &gt;= 72),"Check Fodders to a Legendary+ Fodder",
P27 = "Legendary+", "Get some Fodders for Mythic. You need 1x Legendary+",
AND(P27 = "Legendary", OR(P28 = "Epic+", P29 = "Epic+", P30 = "Epic+", P31 = "Epic+")), "Get your Legendary+ Module by fusing",
P27 = "Legendary", "You need another Epic+ Module to get Legendary+",
AND(P27 = "Epic+",$BB30 &gt;= 2),"Get your Legendary Module by fusing.",
AND(P27 = "Epic+",$BD33 &gt;= 36),"Check Fodders to get 2x Epic+ Fodders",
P27 = "Epic+", "Get some Fodders for Legendary. You need 2x Epic+",
AND(Q34 = 2,OR(P28 = "Epic", P29 = "Epic", P31 = "Epic", P30 = "Epic")),"Get your Epic+ Module by fusing",
Q34 = 1,"Get your second Module",
TRUE,"Get your first Module"
)</f>
        <v>You need another Epic+ Module to get Legendary+</v>
      </c>
      <c r="P32" s="29"/>
      <c r="Q32" s="29"/>
      <c r="R32" s="29"/>
      <c r="S32" s="136"/>
      <c r="T32" s="158"/>
      <c r="U32" s="791" t="str">
        <f>IFS(
V27 = "Ancestral 5*", "Congratulations! You're done.",
AND(V27 = "Ancestral 4*",COUNTIF(V28:V31, "Epic+") &gt;= 1),"Get your Ancestral 5* Module by fusing",
AND(V27 = "Ancestral 4*",SUM(W27:W31)&lt;W27+2),"Get another "&amp;W27+2-SUM(W27:W31)&amp;" Module"&amp;IF(W27+2-SUM(W27:W31)&lt;&gt;1,"s","")&amp;" for Ancestral 5* Module",
AND(V27 = "Ancestral 3*",COUNTIF(V28:V31, "Epic+") &gt;= 1),"Get your Ancestral 4* Module by fusing",
AND(V27 = "Ancestral 3*",SUM(W27:W31)&lt;W27+2),"Get another "&amp;W27+2-SUM(W27:W31)&amp;" Module"&amp;IF(W27+2-SUM(W27:W31)&lt;&gt;1,"s","")&amp;" for Ancestral 4* Module",
AND(V27 = "Ancestral 2*",COUNTIF(V28:V31, "Epic+") &gt;= 1),"Get your Ancestral 3* Module by fusing",
AND(V27 = "Ancestral 2*",SUM(W27:W31)&lt;W27+2),"Get another "&amp;W27+2-SUM(W27:W31)&amp;" Module"&amp;IF(W27+2-SUM(W27:W31)&lt;&gt;1,"s","")&amp;" for Ancestral 3* Module",
AND(V27 = "Ancestral 1*",COUNTIF(V28:V31, "Epic+") &gt;= 1),"Get your Ancestral 2* Module by fusing",
AND(V27 = "Ancestral 1*",SUM(W27:W31)&lt;W27+2),"Get another "&amp;W27+2-SUM(W27:W31)&amp;" Module"&amp;IF(W27+2-SUM(W27:W31)&lt;&gt;1,"s","")&amp;" for Ancestral 2* Module",
AND(V27 = "Ancestral",COUNTIF(V28:V31, "Epic+") &gt;= 1),"Get your Ancestral 1* Module by fusing",
AND(V27 = "Ancestral",SUM(W27:W31)&lt;W27+2),"Get another "&amp;W27+2-SUM(W27:W31)&amp;" Module"&amp;IF(W27+2-SUM(W27:W31)&lt;&gt;1,"s","")&amp;" for Ancestral 1* Module",
AND(V27 = "Mythic+",COUNTIF(V28:V31, "Epic+") &gt;= 2),"Get your Ancestral Module by fusing",
AND(V27 = "Mythic+",SUM(W27:W31)&lt;W27+4),"Get another "&amp;W27+4-SUM(W27:W31)&amp;" Module"&amp;IF(W27+4-SUM(W27:W31)&lt;&gt;1,"s","")&amp;" for Ancestral Module",
AND(V27 = "Mythic",$BB33 &gt;= 1),"Get your Mythic+ Module by fusing.",
AND(V27 = "Mythic",$BD33 &gt;= 72),"Check Fodders to a Legendary+ Fodder",
V27 = "Mythic", "Get some Fodders for Mythic+. You need 1x Legendary+",
AND(V27 = "Legendary+",$BB33 &gt;= 1),"Get your Mythic Module by fusing.",
AND(V27 = "Legendary+",$BD33 &gt;= 72),"Check Fodders to a Legendary+ Fodder",
V27 = "Legendary+", "Get some Fodders for Mythic. You need 1x Legendary+",
AND(V27 = "Legendary", OR(V28 = "Epic+", V29 = "Epic+", V30 = "Epic+", V31 = "Epic+")), "Get your Legendary+ Module by fusing",
V27 = "Legendary", "You need another Epic+ Module to get Legendary+",
AND(V27 = "Epic+",$BB30 &gt;= 2),"Get your Legendary Module by fusing.",
AND(V27 = "Epic+",$BD33 &gt;= 36),"Check Fodders to get 2x Epic+ Fodders",
V27 = "Epic+", "Get some Fodders for Legendary. You need 2x Epic+",
AND(W34 = 2,OR(V28 = "Epic", V29 = "Epic", V31 = "Epic", V30 = "Epic")),"Get your Epic+ Module by fusing",
W34 = 1,"Get your second Module",
TRUE,"Get your first Module"
)</f>
        <v>Get another 4 Modules for Ancestral Module</v>
      </c>
      <c r="V32" s="29"/>
      <c r="W32" s="29"/>
      <c r="X32" s="29"/>
      <c r="Y32" s="136"/>
      <c r="Z32" s="158"/>
      <c r="AA32" s="791" t="str">
        <f>IFS(
AB27 = "Ancestral 5*", "Congratulations! You're done.",
AND(AB27 = "Ancestral 4*",COUNTIF(AB28:AB31, "Epic+") &gt;= 1),"Get your Ancestral 5* Module by fusing",
AND(AB27 = "Ancestral 4*",SUM(AC27:AC31)&lt;AC27+2),"Get another "&amp;AC27+2-SUM(AC27:AC31)&amp;" Module"&amp;IF(AC27+2-SUM(AC27:AC31)&lt;&gt;1,"s","")&amp;" for Ancestral 5* Module",
AND(AB27 = "Ancestral 3*",COUNTIF(AB28:AB31, "Epic+") &gt;= 1),"Get your Ancestral 4* Module by fusing",
AND(AB27 = "Ancestral 3*",SUM(AC27:AC31)&lt;AC27+2),"Get another "&amp;AC27+2-SUM(AC27:AC31)&amp;" Module"&amp;IF(AC27+2-SUM(AC27:AC31)&lt;&gt;1,"s","")&amp;" for Ancestral 4* Module",
AND(AB27 = "Ancestral 2*",COUNTIF(AB28:AB31, "Epic+") &gt;= 1),"Get your Ancestral 3* Module by fusing",
AND(AB27 = "Ancestral 2*",SUM(AC27:AC31)&lt;AC27+2),"Get another "&amp;AC27+2-SUM(AC27:AC31)&amp;" Module"&amp;IF(AC27+2-SUM(AC27:AC31)&lt;&gt;1,"s","")&amp;" for Ancestral 3* Module",
AND(AB27 = "Ancestral 1*",COUNTIF(AB28:AB31, "Epic+") &gt;= 1),"Get your Ancestral 2* Module by fusing",
AND(AB27 = "Ancestral 1*",SUM(AC27:AC31)&lt;AC27+2),"Get another "&amp;AC27+2-SUM(AC27:AC31)&amp;" Module"&amp;IF(AC27+2-SUM(AC27:AC31)&lt;&gt;1,"s","")&amp;" for Ancestral 2* Module",
AND(AB27 = "Ancestral",COUNTIF(AB28:AB31, "Epic+") &gt;= 1),"Get your Ancestral 1* Module by fusing",
AND(AB27 = "Ancestral",SUM(AC27:AC31)&lt;AC27+2),"Get another "&amp;AC27+2-SUM(AC27:AC31)&amp;" Module"&amp;IF(AC27+2-SUM(AC27:AC31)&lt;&gt;1,"s","")&amp;" for Ancestral 1* Module",
AND(AB27 = "Mythic+",COUNTIF(AB28:AB31, "Epic+") &gt;= 2),"Get your Ancestral Module by fusing",
AND(AB27 = "Mythic+",SUM(AC27:AC31)&lt;AC27+4),"Get another "&amp;AC27+4-SUM(AC27:AC31)&amp;" Module"&amp;IF(AC27+4-SUM(AC27:AC31)&lt;&gt;1,"s","")&amp;" for Ancestral Module",
AND(AB27 = "Mythic",$BB33 &gt;= 1),"Get your Mythic+ Module by fusing.",
AND(AB27 = "Mythic",$BD33 &gt;= 72),"Check Fodders to a Legendary+ Fodder",
AB27 = "Mythic", "Get some Fodders for Mythic+. You need 1x Legendary+",
AND(AB27 = "Legendary+",$BB33 &gt;= 1),"Get your Mythic Module by fusing.",
AND(AB27 = "Legendary+",$BD33 &gt;= 72),"Check Fodders to a Legendary+ Fodder",
AB27 = "Legendary+", "Get some Fodders for Mythic. You need 1x Legendary+",
AND(AB27 = "Legendary", OR(AB28 = "Epic+", AB29 = "Epic+", AB30 = "Epic+", AB31 = "Epic+")), "Get your Legendary+ Module by fusing",
AB27 = "Legendary", "You need another Epic+ Module to get Legendary+",
AND(AB27 = "Epic+",$BB30 &gt;= 2),"Get your Legendary Module by fusing.",
AND(AB27 = "Epic+",$BD33 &gt;= 36),"Check Fodders to get 2x Epic+ Fodders",
AB27 = "Epic+", "Get some Fodders for Legendary. You need 2x Epic+",
AND(AC34 = 2,OR(AB28 = "Epic", AB29 = "Epic", AB31 = "Epic", AB30 = "Epic")),"Get your Epic+ Module by fusing",
AC34 = 1,"Get your second Module",
TRUE,"Get your first Module"
)</f>
        <v>Get another 2 Modules for Ancestral 1* Module</v>
      </c>
      <c r="AB32" s="29"/>
      <c r="AC32" s="29"/>
      <c r="AD32" s="29"/>
      <c r="AE32" s="136"/>
      <c r="AF32" s="158"/>
      <c r="AG32" s="791" t="str">
        <f>IFS(
AH27 = "Ancestral 5*", "Congratulations! You're done.",
AND(AH27 = "Ancestral 4*",COUNTIF(AH28:AH31, "Epic+") &gt;= 1),"Get your Ancestral 5* Module by fusing",
AND(AH27 = "Ancestral 4*",SUM(AI27:AI31)&lt;AI27+2),"Get another "&amp;AI27+2-SUM(AI27:AI31)&amp;" Module"&amp;IF(AI27+2-SUM(AI27:AI31)&lt;&gt;1,"s","")&amp;" for Ancestral 5* Module",
AND(AH27 = "Ancestral 3*",COUNTIF(AH28:AH31, "Epic+") &gt;= 1),"Get your Ancestral 4* Module by fusing",
AND(AH27 = "Ancestral 3*",SUM(AI27:AI31)&lt;AI27+2),"Get another "&amp;AI27+2-SUM(AI27:AI31)&amp;" Module"&amp;IF(AI27+2-SUM(AI27:AI31)&lt;&gt;1,"s","")&amp;" for Ancestral 4* Module",
AND(AH27 = "Ancestral 2*",COUNTIF(AH28:AH31, "Epic+") &gt;= 1),"Get your Ancestral 3* Module by fusing",
AND(AH27 = "Ancestral 2*",SUM(AI27:AI31)&lt;AI27+2),"Get another "&amp;AI27+2-SUM(AI27:AI31)&amp;" Module"&amp;IF(AI27+2-SUM(AI27:AI31)&lt;&gt;1,"s","")&amp;" for Ancestral 3* Module",
AND(AH27 = "Ancestral 1*",COUNTIF(AH28:AH31, "Epic+") &gt;= 1),"Get your Ancestral 2* Module by fusing",
AND(AH27 = "Ancestral 1*",SUM(AI27:AI31)&lt;AI27+2),"Get another "&amp;AI27+2-SUM(AI27:AI31)&amp;" Module"&amp;IF(AI27+2-SUM(AI27:AI31)&lt;&gt;1,"s","")&amp;" for Ancestral 2* Module",
AND(AH27 = "Ancestral",COUNTIF(AH28:AH31, "Epic+") &gt;= 1),"Get your Ancestral 1* Module by fusing",
AND(AH27 = "Ancestral",SUM(AI27:AI31)&lt;AI27+2),"Get another "&amp;AI27+2-SUM(AI27:AI31)&amp;" Module"&amp;IF(AI27+2-SUM(AI27:AI31)&lt;&gt;1,"s","")&amp;" for Ancestral 1* Module",
AND(AH27 = "Mythic+",COUNTIF(AH28:AH31, "Epic+") &gt;= 2),"Get your Ancestral Module by fusing",
AND(AH27 = "Mythic+",SUM(AI27:AI31)&lt;AI27+4),"Get another "&amp;AI27+4-SUM(AI27:AI31)&amp;" Module"&amp;IF(AI27+4-SUM(AI27:AI31)&lt;&gt;1,"s","")&amp;" for Ancestral Module",
AND(AH27 = "Mythic",$BB33 &gt;= 1),"Get your Mythic+ Module by fusing.",
AND(AH27 = "Mythic",$BD33 &gt;= 72),"Check Fodders to a Legendary+ Fodder",
AH27 = "Mythic", "Get some Fodders for Mythic+. You need 1x Legendary+",
AND(AH27 = "Legendary+",$BB33 &gt;= 1),"Get your Mythic Module by fusing.",
AND(AH27 = "Legendary+",$BD33 &gt;= 72),"Check Fodders to a Legendary+ Fodder",
AH27 = "Legendary+", "Get some Fodders for Mythic. You need 1x Legendary+",
AND(AH27 = "Legendary", OR(AH28 = "Epic+", AH29 = "Epic+", AH30 = "Epic+", AH31 = "Epic+")), "Get your Legendary+ Module by fusing",
AH27 = "Legendary", "You need another Epic+ Module to get Legendary+",
AND(AH27 = "Epic+",$BB30 &gt;= 2),"Get your Legendary Module by fusing.",
AND(AH27 = "Epic+",$BD33 &gt;= 36),"Check Fodders to get 2x Epic+ Fodders",
AH27 = "Epic+", "Get some Fodders for Legendary. You need 2x Epic+",
AND(AI34 = 2,OR(AH28 = "Epic", AH29 = "Epic", AH31 = "Epic", AH30 = "Epic")),"Get your Epic+ Module by fusing",
AI34 = 1,"Get your second Module",
TRUE,"Get your first Module"
)</f>
        <v>Get another 1 Module for Ancestral 2* Module</v>
      </c>
      <c r="AH32" s="29"/>
      <c r="AI32" s="29"/>
      <c r="AJ32" s="29"/>
      <c r="AK32" s="136"/>
      <c r="AL32" s="158"/>
      <c r="AM32" s="791" t="str">
        <f>IFS(
AN27 = "Ancestral 5*", "Congratulations! You're done.",
AND(AN27 = "Ancestral 4*",COUNTIF(AN28:AN31, "Epic+") &gt;= 1),"Get your Ancestral 5* Module by fusing",
AND(AN27 = "Ancestral 4*",SUM(AO27:AO31)&lt;AO27+2),"Get another "&amp;AO27+2-SUM(AO27:AO31)&amp;" Module"&amp;IF(AO27+2-SUM(AO27:AO31)&lt;&gt;1,"s","")&amp;" for Ancestral 5* Module",
AND(AN27 = "Ancestral 3*",COUNTIF(AN28:AN31, "Epic+") &gt;= 1),"Get your Ancestral 4* Module by fusing",
AND(AN27 = "Ancestral 3*",SUM(AO27:AO31)&lt;AO27+2),"Get another "&amp;AO27+2-SUM(AO27:AO31)&amp;" Module"&amp;IF(AO27+2-SUM(AO27:AO31)&lt;&gt;1,"s","")&amp;" for Ancestral 4* Module",
AND(AN27 = "Ancestral 2*",COUNTIF(AN28:AN31, "Epic+") &gt;= 1),"Get your Ancestral 3* Module by fusing",
AND(AN27 = "Ancestral 2*",SUM(AO27:AO31)&lt;AO27+2),"Get another "&amp;AO27+2-SUM(AO27:AO31)&amp;" Module"&amp;IF(AO27+2-SUM(AO27:AO31)&lt;&gt;1,"s","")&amp;" for Ancestral 3* Module",
AND(AN27 = "Ancestral 1*",COUNTIF(AN28:AN31, "Epic+") &gt;= 1),"Get your Ancestral 2* Module by fusing",
AND(AN27 = "Ancestral 1*",SUM(AO27:AO31)&lt;AO27+2),"Get another "&amp;AO27+2-SUM(AO27:AO31)&amp;" Module"&amp;IF(AO27+2-SUM(AO27:AO31)&lt;&gt;1,"s","")&amp;" for Ancestral 2* Module",
AND(AN27 = "Ancestral",COUNTIF(AN28:AN31, "Epic+") &gt;= 1),"Get your Ancestral 1* Module by fusing",
AND(AN27 = "Ancestral",SUM(AO27:AO31)&lt;AO27+2),"Get another "&amp;AO27+2-SUM(AO27:AO31)&amp;" Module"&amp;IF(AO27+2-SUM(AO27:AO31)&lt;&gt;1,"s","")&amp;" for Ancestral 1* Module",
AND(AN27 = "Mythic+",COUNTIF(AN28:AN31, "Epic+") &gt;= 2),"Get your Ancestral Module by fusing",
AND(AN27 = "Mythic+",SUM(AO27:AO31)&lt;AO27+4),"Get another "&amp;AO27+4-SUM(AO27:AO31)&amp;" Module"&amp;IF(AO27+4-SUM(AO27:AO31)&lt;&gt;1,"s","")&amp;" for Ancestral Module",
AND(AN27 = "Mythic",$BB33 &gt;= 1),"Get your Mythic+ Module by fusing.",
AND(AN27 = "Mythic",$BD33 &gt;= 72),"Check Fodders to a Legendary+ Fodder",
AN27 = "Mythic", "Get some Fodders for Mythic+. You need 1x Legendary+",
AND(AN27 = "Legendary+",$BB33 &gt;= 1),"Get your Mythic Module by fusing.",
AND(AN27 = "Legendary+",$BD33 &gt;= 72),"Check Fodders to a Legendary+ Fodder",
AN27 = "Legendary+", "Get some Fodders for Mythic. You need 1x Legendary+",
AND(AN27 = "Legendary", OR(AN28 = "Epic+", AN29 = "Epic+", AN30 = "Epic+", AN31 = "Epic+")), "Get your Legendary+ Module by fusing",
AN27 = "Legendary", "You need another Epic+ Module to get Legendary+",
AND(AN27 = "Epic+",$BB30 &gt;= 2),"Get your Legendary Module by fusing.",
AND(AN27 = "Epic+",$BD33 &gt;= 36),"Check Fodders to get 2x Epic+ Fodders",
AN27 = "Epic+", "Get some Fodders for Legendary. You need 2x Epic+",
AND(AO34 = 2,OR(AN28 = "Epic", AN29 = "Epic", AN31 = "Epic", AN30 = "Epic")),"Get your Epic+ Module by fusing",
AO34 = 1,"Get your second Module",
TRUE,"Get your first Module"
)</f>
        <v>Get another 3 Modules for Ancestral Module</v>
      </c>
      <c r="AN32" s="29"/>
      <c r="AO32" s="29"/>
      <c r="AP32" s="29"/>
      <c r="AQ32" s="136"/>
      <c r="AR32" s="158"/>
      <c r="AS32" s="791" t="str">
        <f>IFS(
AT27 = "Ancestral 5*", "Congratulations! You're done.",
AND(AT27 = "Ancestral 4*",COUNTIF(AT28:AT31, "Epic+") &gt;= 1),"Get your Ancestral 5* Module by fusing",
AND(AT27 = "Ancestral 4*",SUM(AU27:AU31)&lt;AU27+2),"Get another "&amp;AU27+2-SUM(AU27:AU31)&amp;" Module"&amp;IF(AU27+2-SUM(AU27:AU31)&lt;&gt;1,"s","")&amp;" for Ancestral 5* Module",
AND(AT27 = "Ancestral 3*",COUNTIF(AT28:AT31, "Epic+") &gt;= 1),"Get your Ancestral 4* Module by fusing",
AND(AT27 = "Ancestral 3*",SUM(AU27:AU31)&lt;AU27+2),"Get another "&amp;AU27+2-SUM(AU27:AU31)&amp;" Module"&amp;IF(AU27+2-SUM(AU27:AU31)&lt;&gt;1,"s","")&amp;" for Ancestral 4* Module",
AND(AT27 = "Ancestral 2*",COUNTIF(AT28:AT31, "Epic+") &gt;= 1),"Get your Ancestral 3* Module by fusing",
AND(AT27 = "Ancestral 2*",SUM(AU27:AU31)&lt;AU27+2),"Get another "&amp;AU27+2-SUM(AU27:AU31)&amp;" Module"&amp;IF(AU27+2-SUM(AU27:AU31)&lt;&gt;1,"s","")&amp;" for Ancestral 3* Module",
AND(AT27 = "Ancestral 1*",COUNTIF(AT28:AT31, "Epic+") &gt;= 1),"Get your Ancestral 2* Module by fusing",
AND(AT27 = "Ancestral 1*",SUM(AU27:AU31)&lt;AU27+2),"Get another "&amp;AU27+2-SUM(AU27:AU31)&amp;" Module"&amp;IF(AU27+2-SUM(AU27:AU31)&lt;&gt;1,"s","")&amp;" for Ancestral 2* Module",
AND(AT27 = "Ancestral",COUNTIF(AT28:AT31, "Epic+") &gt;= 1),"Get your Ancestral 1* Module by fusing",
AND(AT27 = "Ancestral",SUM(AU27:AU31)&lt;AU27+2),"Get another "&amp;AU27+2-SUM(AU27:AU31)&amp;" Module"&amp;IF(AU27+2-SUM(AU27:AU31)&lt;&gt;1,"s","")&amp;" for Ancestral 1* Module",
AND(AT27 = "Mythic+",COUNTIF(AT28:AT31, "Epic+") &gt;= 2),"Get your Ancestral Module by fusing",
AND(AT27 = "Mythic+",SUM(AU27:AU31)&lt;AU27+4),"Get another "&amp;AU27+4-SUM(AU27:AU31)&amp;" Module"&amp;IF(AU27+4-SUM(AU27:AU31)&lt;&gt;1,"s","")&amp;" for Ancestral Module",
AND(AT27 = "Mythic",$BB33 &gt;= 1),"Get your Mythic+ Module by fusing.",
AND(AT27 = "Mythic",$BD33 &gt;= 72),"Check Fodders to a Legendary+ Fodder",
AT27 = "Mythic", "Get some Fodders for Mythic+. You need 1x Legendary+",
AND(AT27 = "Legendary+",$BB33 &gt;= 1),"Get your Mythic Module by fusing.",
AND(AT27 = "Legendary+",$BD33 &gt;= 72),"Check Fodders to a Legendary+ Fodder",
AT27 = "Legendary+", "Get some Fodders for Mythic. You need 1x Legendary+",
AND(AT27 = "Legendary", OR(AT28 = "Epic+", AT29 = "Epic+", AT30 = "Epic+", AT31 = "Epic+")), "Get your Legendary+ Module by fusing",
AT27 = "Legendary", "You need another Epic+ Module to get Legendary+",
AND(AT27 = "Epic+",$BB30 &gt;= 2),"Get your Legendary Module by fusing.",
AND(AT27 = "Epic+",$BD33 &gt;= 36),"Check Fodders to get 2x Epic+ Fodders",
AT27 = "Epic+", "Get some Fodders for Legendary. You need 2x Epic+",
AND(AU34 = 2,OR(AT28 = "Epic", AT29 = "Epic", AT31 = "Epic", AT30 = "Epic")),"Get your Epic+ Module by fusing",
AU34 = 1,"Get your second Module",
TRUE,"Get your first Module"
)</f>
        <v>Get another 1 Module for Ancestral Module</v>
      </c>
      <c r="AT32" s="29"/>
      <c r="AU32" s="29"/>
      <c r="AV32" s="29"/>
      <c r="AW32" s="136"/>
      <c r="AX32" s="11"/>
      <c r="AZ32" s="667" t="s">
        <v>298</v>
      </c>
      <c r="BA32" s="785">
        <v>72.0</v>
      </c>
      <c r="BB32" s="642">
        <v>6.0</v>
      </c>
      <c r="BC32" s="775" t="str">
        <f t="array" ref="BC32">LET(
    primary,{AT27,AN27,AH27,AB27,V27,P27} ,
    fodder,BB32,
    none, COUNTIF(primary,"=None"),
    epic, COUNTIF(primary,"=Epic*"),
    legendary, COUNTIF(primary,"=Legendary"),
    legendaryPlus, COUNTIF(primary,"=Legendary+"),
    mythic, COUNTIF(primary,"=Mythic"),
    neededNow, legendaryPlus*2+mythic,
    neededLater, (none+epic+legendary)*2,
    totalNeeded, neededNow+neededLater,
    IF(totalNeeded=0, IF(fodder&gt;0,"Shatter",), IF(fodder&gt;=totalNeeded, IF(neededNow&gt;0,"Merge",IF(neededLater=fodder,"Keep","Shatter "&amp;fodder-neededLater)),"Need +"&amp;totalNeeded-fodder)))</f>
        <v>Shatter 4</v>
      </c>
      <c r="BD32" s="785">
        <f t="shared" si="55"/>
        <v>432</v>
      </c>
      <c r="BE32" s="626"/>
      <c r="BG32" s="158"/>
    </row>
    <row r="33">
      <c r="B33" s="757"/>
      <c r="C33" s="757"/>
      <c r="D33" s="757"/>
      <c r="E33" s="757"/>
      <c r="F33" s="757"/>
      <c r="G33" s="757"/>
      <c r="H33" s="14"/>
      <c r="I33" s="14"/>
      <c r="J33" s="14"/>
      <c r="K33" s="14"/>
      <c r="L33" s="792"/>
      <c r="M33" s="647"/>
      <c r="O33" s="793" t="s">
        <v>411</v>
      </c>
      <c r="P33" s="672"/>
      <c r="Q33" s="673">
        <v>0.0</v>
      </c>
      <c r="R33" s="794"/>
      <c r="S33" s="655"/>
      <c r="T33" s="158"/>
      <c r="U33" s="793" t="s">
        <v>411</v>
      </c>
      <c r="V33" s="672"/>
      <c r="W33" s="746">
        <v>0.0</v>
      </c>
      <c r="X33" s="794"/>
      <c r="Y33" s="655"/>
      <c r="Z33" s="158"/>
      <c r="AA33" s="793" t="s">
        <v>411</v>
      </c>
      <c r="AB33" s="672"/>
      <c r="AC33" s="746">
        <v>0.0</v>
      </c>
      <c r="AD33" s="794"/>
      <c r="AE33" s="655"/>
      <c r="AF33" s="158"/>
      <c r="AG33" s="793" t="s">
        <v>411</v>
      </c>
      <c r="AH33" s="672"/>
      <c r="AI33" s="746">
        <v>0.0</v>
      </c>
      <c r="AJ33" s="794"/>
      <c r="AK33" s="655"/>
      <c r="AL33" s="158"/>
      <c r="AM33" s="793" t="s">
        <v>411</v>
      </c>
      <c r="AN33" s="672"/>
      <c r="AO33" s="746">
        <v>0.0</v>
      </c>
      <c r="AP33" s="794"/>
      <c r="AQ33" s="655"/>
      <c r="AR33" s="158"/>
      <c r="AS33" s="793" t="s">
        <v>411</v>
      </c>
      <c r="AT33" s="672"/>
      <c r="AU33" s="746">
        <v>0.0</v>
      </c>
      <c r="AV33" s="794"/>
      <c r="AW33" s="655"/>
      <c r="AX33" s="11"/>
      <c r="AZ33" s="795" t="s">
        <v>361</v>
      </c>
      <c r="BA33" s="796"/>
      <c r="BB33" s="797">
        <f>SUM(BB27:BB32)</f>
        <v>6</v>
      </c>
      <c r="BC33" s="798">
        <f>FLOOR(BE33/(COUNTA(MOD_GENERATORS_LIST)*180),0.01)</f>
        <v>1.26</v>
      </c>
      <c r="BD33" s="799">
        <f>SUM(BD27:BD32)</f>
        <v>432</v>
      </c>
      <c r="BE33" s="800">
        <f>SUM(R27:R31,X27:X31,AD27:AD31,AJ27:AJ31,AP27:AP31,AV27:AV31)+BD33</f>
        <v>1368</v>
      </c>
      <c r="BG33" s="158"/>
    </row>
    <row r="34">
      <c r="B34" s="757"/>
      <c r="C34" s="757"/>
      <c r="D34" s="757"/>
      <c r="E34" s="757"/>
      <c r="F34" s="757"/>
      <c r="G34" s="757"/>
      <c r="H34" s="14"/>
      <c r="I34" s="14"/>
      <c r="J34" s="14"/>
      <c r="K34" s="14"/>
      <c r="L34" s="14"/>
      <c r="M34" s="647"/>
      <c r="N34" s="138"/>
      <c r="O34" s="684" t="s">
        <v>436</v>
      </c>
      <c r="P34" s="685"/>
      <c r="Q34" s="686">
        <f>SUM(Q27:Q31)+IF($A$2,Q33)</f>
        <v>3</v>
      </c>
      <c r="R34" s="687">
        <f>IF($I11=0,0,Q34/$I11)</f>
        <v>0.07894736842</v>
      </c>
      <c r="S34" s="688">
        <f>IF($F$26=0,0,Q34/$F$26)</f>
        <v>0.015625</v>
      </c>
      <c r="T34" s="11"/>
      <c r="U34" s="684" t="s">
        <v>436</v>
      </c>
      <c r="V34" s="685"/>
      <c r="W34" s="686">
        <f>SUM(W27:W31)+IF($A$2,W33)</f>
        <v>4</v>
      </c>
      <c r="X34" s="687">
        <f>IF($I11=0,0,W34/$I11)</f>
        <v>0.1052631579</v>
      </c>
      <c r="Y34" s="688">
        <f>IF($F$26=0,0,W34/$F$26)</f>
        <v>0.02083333333</v>
      </c>
      <c r="Z34" s="11"/>
      <c r="AA34" s="684" t="s">
        <v>436</v>
      </c>
      <c r="AB34" s="685"/>
      <c r="AC34" s="686">
        <f>SUM(AC27:AC31)+IF($A$2,AC33)</f>
        <v>8</v>
      </c>
      <c r="AD34" s="687">
        <f>IF($I11=0,0,AC34/$I11)</f>
        <v>0.2105263158</v>
      </c>
      <c r="AE34" s="688">
        <f>IF($F$26=0,0,AC34/$F$26)</f>
        <v>0.04166666667</v>
      </c>
      <c r="AF34" s="11"/>
      <c r="AG34" s="684" t="s">
        <v>436</v>
      </c>
      <c r="AH34" s="685"/>
      <c r="AI34" s="686">
        <f>SUM(AI27:AI31)+IF($A$2,AI33)</f>
        <v>11</v>
      </c>
      <c r="AJ34" s="687">
        <f>IF($I11=0,0,AI34/$I11)</f>
        <v>0.2894736842</v>
      </c>
      <c r="AK34" s="688">
        <f>IF($F$26=0,0,AI34/$F$26)</f>
        <v>0.05729166667</v>
      </c>
      <c r="AL34" s="11"/>
      <c r="AM34" s="684" t="s">
        <v>436</v>
      </c>
      <c r="AN34" s="685"/>
      <c r="AO34" s="686">
        <f>SUM(AO27:AO31)+IF($A$2,AO33)</f>
        <v>5</v>
      </c>
      <c r="AP34" s="687">
        <f>IF($I11=0,0,AO34/$I11)</f>
        <v>0.1315789474</v>
      </c>
      <c r="AQ34" s="688">
        <f>IF($F$26=0,0,AO34/$F$26)</f>
        <v>0.02604166667</v>
      </c>
      <c r="AR34" s="11"/>
      <c r="AS34" s="689" t="s">
        <v>436</v>
      </c>
      <c r="AT34" s="685"/>
      <c r="AU34" s="686">
        <f>SUM(AU27:AU31)+IF($A$2,AU33)</f>
        <v>7</v>
      </c>
      <c r="AV34" s="687">
        <f>IF($I11=0,0,AU34/$I11)</f>
        <v>0.1842105263</v>
      </c>
      <c r="AW34" s="688">
        <f>IF($F$26=0,0,AU34/$F$26)</f>
        <v>0.03645833333</v>
      </c>
      <c r="AX34" s="11"/>
      <c r="AZ34" s="690" t="s">
        <v>413</v>
      </c>
      <c r="BA34" s="691"/>
      <c r="BB34" s="691"/>
      <c r="BC34" s="691"/>
      <c r="BD34" s="692"/>
      <c r="BE34" s="693">
        <f>if($BE$11+$BE$22+$BE$33+$BE$44=0,0,BE33/($BE$11+$BE$22+$BE$33+$BE$44))</f>
        <v>0.2794117647</v>
      </c>
      <c r="BF34" s="138"/>
      <c r="BG34" s="11"/>
    </row>
    <row r="35">
      <c r="B35" s="757"/>
      <c r="C35" s="757"/>
      <c r="D35" s="757"/>
      <c r="E35" s="757"/>
      <c r="F35" s="757"/>
      <c r="G35" s="757"/>
      <c r="H35" s="11"/>
      <c r="I35" s="11"/>
      <c r="J35" s="11"/>
      <c r="K35" s="11"/>
      <c r="L35" s="11"/>
      <c r="M35" s="11"/>
      <c r="N35" s="732"/>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Z35" s="11"/>
      <c r="BA35" s="11"/>
      <c r="BB35" s="11"/>
      <c r="BC35" s="11"/>
      <c r="BD35" s="11"/>
      <c r="BE35" s="11"/>
      <c r="BF35" s="732"/>
      <c r="BG35" s="11"/>
    </row>
    <row r="36" ht="31.5" customHeight="1">
      <c r="B36" s="756" t="s">
        <v>437</v>
      </c>
      <c r="C36" s="609"/>
      <c r="D36" s="609"/>
      <c r="E36" s="609"/>
      <c r="F36" s="610"/>
      <c r="G36" s="757"/>
      <c r="H36" s="801" t="s">
        <v>438</v>
      </c>
      <c r="I36" s="120"/>
      <c r="J36" s="120"/>
      <c r="K36" s="120"/>
      <c r="L36" s="121"/>
      <c r="M36" s="604"/>
      <c r="N36" s="600" t="s">
        <v>220</v>
      </c>
      <c r="O36" s="388" t="s">
        <v>221</v>
      </c>
      <c r="P36" s="120"/>
      <c r="Q36" s="120"/>
      <c r="R36" s="802">
        <f>IFS(
P38 = "Ancestral 5*", 35,
AND(P38 = "Ancestral 4*",COUNTIF(P39:P42, "Epic+") &gt;= 1),34,
AND(P38 = "Ancestral 4*",Q45 = 17),33,
P38 = "Ancestral 4*",32,
AND(P38 = "Ancestral 3*",COUNTIF(P39:P42, "Epic+") &gt;= 1),31,
AND(P38 = "Ancestral 3*",Q45 = 15),30,
P38 = "Ancestral 3*",29,
AND(P38 = "Ancestral 2*",COUNTIF(P39:P42, "Epic+") &gt;= 1),28,
AND(P38 = "Ancestral 2*",Q45 = 13),27,
P38 = "Ancestral 2*",26,
AND(P38 = "Ancestral 1*",COUNTIF(P39:P42, "Epic+") &gt;= 1),25,
AND(P38 = "Ancestral 1*",Q45 = 11),24,
P38 = "Ancestral 1*",23,
AND(P38 = "Ancestral",COUNTIF(P39:P42, "Epic+") &gt;= 1),22,
AND(P38 = "Ancestral",Q45 = 9),21,
P38 = "Ancestral",20,
AND(P38 = "Mythic+",COUNTIF(P39:P42, "Epic+") &gt;= 2),19,
AND(P38 = "Mythic+",Q45 = 7),18,
AND(P38 = "Mythic+",Q45 = 6),17,
AND(P38 = "Mythic+",Q45 = 5),16,
P38 = "Mythic+",15,
AND(P38 = "Mythic",AY44 &gt;= 1),14,
AND(P38 = "Mythic",SUM($BD38:$BD44) &gt;= 72),13,
P38 = "Mythic",12,
AND(P38 = "Legendary+",AY44 &gt;= 1),11,
AND(P38 = "Legendary+",SUM($BD38:$BD44) &gt;= 72),10,
P38 = "Legendary+", 9,
AND(P38 = "Legendary", OR(P39 = "Epic+", P40 = "Epic+", P41 = "Epic+", P42 = "Epic+")), 8,
AND(P38 = "Legendary",Q45 = 3),7,
P38 = "Legendary", 6,
AND(P38 = "Epic+",AY41 &gt;= 2),5,
AND(P38 = "Epic+",SUM($BD38:$BD44) &gt;= 36),4,
P38 = "Epic+",3,
AND(Q45 = 2,OR(P39 = "Epic", P40 = "Epic", P42 = "Epic", P41 = "Epic")),2,
Q45 = 1,1,
TRUE,0
)
/35</f>
        <v>0.7428571429</v>
      </c>
      <c r="S36" s="121"/>
      <c r="T36" s="11"/>
      <c r="U36" s="388" t="s">
        <v>222</v>
      </c>
      <c r="V36" s="120"/>
      <c r="W36" s="120"/>
      <c r="X36" s="802">
        <f>IFS(
V38 = "Ancestral 5*", 35,
AND(V38 = "Ancestral 4*",COUNTIF(V39:V42, "Epic+") &gt;= 1),34,
AND(V38 = "Ancestral 4*",W45 = 17),33,
V38 = "Ancestral 4*",32,
AND(V38 = "Ancestral 3*",COUNTIF(V39:V42, "Epic+") &gt;= 1),31,
AND(V38 = "Ancestral 3*",W45 = 15),30,
V38 = "Ancestral 3*",29,
AND(V38 = "Ancestral 2*",COUNTIF(V39:V42, "Epic+") &gt;= 1),28,
AND(V38 = "Ancestral 2*",W45 = 13),27,
V38 = "Ancestral 2*",26,
AND(V38 = "Ancestral 1*",COUNTIF(V39:V42, "Epic+") &gt;= 1),25,
AND(V38 = "Ancestral 1*",W45 = 11),24,
V38 = "Ancestral 1*",23,
AND(V38 = "Ancestral",COUNTIF(V39:V42, "Epic+") &gt;= 1),22,
AND(V38 = "Ancestral",W45 = 9),21,
V38 = "Ancestral",20,
AND(V38 = "Mythic+",COUNTIF(V39:V42, "Epic+") &gt;= 2),19,
AND(V38 = "Mythic+",W45 = 7),18,
AND(V38 = "Mythic+",W45 = 6),17,
AND(V38 = "Mythic+",W45 = 5),16,
V38 = "Mythic+",15,
AND(V38 = "Mythic",BE44 &gt;= 1),14,
AND(V38 = "Mythic",SUM($BD38:$BD44) &gt;= 72),13,
V38 = "Mythic",12,
AND(V38 = "Legendary+",BE44 &gt;= 1),11,
AND(V38 = "Legendary+",SUM($BD38:$BD44) &gt;= 72),10,
V38 = "Legendary+", 9,
AND(V38 = "Legendary", OR(V39 = "Epic+", V40 = "Epic+", V41 = "Epic+", V42 = "Epic+")), 8,
AND(V38 = "Legendary",W45 = 3),7,
V38 = "Legendary", 6,
AND(V38 = "Epic+",BE41 &gt;= 2),5,
AND(V38 = "Epic+",SUM($BD38:$BD44) &gt;= 36),4,
V38 = "Epic+",3,
AND(W45 = 2,OR(V39 = "Epic", V40 = "Epic", V42 = "Epic", V41 = "Epic")),2,
W45 = 1,1,
TRUE,0
)
/35</f>
        <v>0.5714285714</v>
      </c>
      <c r="Y36" s="121"/>
      <c r="Z36" s="11"/>
      <c r="AA36" s="388" t="s">
        <v>223</v>
      </c>
      <c r="AB36" s="120"/>
      <c r="AC36" s="120"/>
      <c r="AD36" s="802">
        <f>IFS(
AB38 = "Ancestral 5*", 35,
AND(AB38 = "Ancestral 4*",COUNTIF(AB39:AB42, "Epic+") &gt;= 1),34,
AND(AB38 = "Ancestral 4*",AC45 = 17),33,
AB38 = "Ancestral 4*",32,
AND(AB38 = "Ancestral 3*",COUNTIF(AB39:AB42, "Epic+") &gt;= 1),31,
AND(AB38 = "Ancestral 3*",AC45 = 15),30,
AB38 = "Ancestral 3*",29,
AND(AB38 = "Ancestral 2*",COUNTIF(AB39:AB42, "Epic+") &gt;= 1),28,
AND(AB38 = "Ancestral 2*",AC45 = 13),27,
AB38 = "Ancestral 2*",26,
AND(AB38 = "Ancestral 1*",COUNTIF(AB39:AB42, "Epic+") &gt;= 1),25,
AND(AB38 = "Ancestral 1*",AC45 = 11),24,
AB38 = "Ancestral 1*",23,
AND(AB38 = "Ancestral",COUNTIF(AB39:AB42, "Epic+") &gt;= 1),22,
AND(AB38 = "Ancestral",AC45 = 9),21,
AB38 = "Ancestral",20,
AND(AB38 = "Mythic+",COUNTIF(AB39:AB42, "Epic+") &gt;= 2),19,
AND(AB38 = "Mythic+",AC45 = 7),18,
AND(AB38 = "Mythic+",AC45 = 6),17,
AND(AB38 = "Mythic+",AC45 = 5),16,
AB38 = "Mythic+",15,
AND(AB38 = "Mythic",BK44 &gt;= 1),14,
AND(AB38 = "Mythic",SUM($BD38:$BD44) &gt;= 72),13,
AB38 = "Mythic",12,
AND(AB38 = "Legendary+",BK44 &gt;= 1),11,
AND(AB38 = "Legendary+",SUM($BD38:$BD44) &gt;= 72),10,
AB38 = "Legendary+", 9,
AND(AB38 = "Legendary", OR(AB39 = "Epic+", AB40 = "Epic+", AB41 = "Epic+", AB42 = "Epic+")), 8,
AND(AB38 = "Legendary",AC45 = 3),7,
AB38 = "Legendary", 6,
AND(AB38 = "Epic+",BK41 &gt;= 2),5,
AND(AB38 = "Epic+",SUM($BD38:$BD44) &gt;= 36),4,
AB38 = "Epic+",3,
AND(AC45 = 2,OR(AB39 = "Epic", AB40 = "Epic", AB42 = "Epic", AB41 = "Epic")),2,
AC45 = 1,1,
TRUE,0
)
/35</f>
        <v>1</v>
      </c>
      <c r="AE36" s="121"/>
      <c r="AF36" s="11"/>
      <c r="AG36" s="388" t="s">
        <v>224</v>
      </c>
      <c r="AH36" s="120"/>
      <c r="AI36" s="120"/>
      <c r="AJ36" s="802">
        <f>IFS(
AH38 = "Ancestral 5*", 35,
AND(AH38 = "Ancestral 4*",COUNTIF(AH39:AH42, "Epic+") &gt;= 1),34,
AND(AH38 = "Ancestral 4*",AI45 = 17),33,
AH38 = "Ancestral 4*",32,
AND(AH38 = "Ancestral 3*",COUNTIF(AH39:AH42, "Epic+") &gt;= 1),31,
AND(AH38 = "Ancestral 3*",AI45 = 15),30,
AH38 = "Ancestral 3*",29,
AND(AH38 = "Ancestral 2*",COUNTIF(AH39:AH42, "Epic+") &gt;= 1),28,
AND(AH38 = "Ancestral 2*",AI45 = 13),27,
AH38 = "Ancestral 2*",26,
AND(AH38 = "Ancestral 1*",COUNTIF(AH39:AH42, "Epic+") &gt;= 1),25,
AND(AH38 = "Ancestral 1*",AI45 = 11),24,
AH38 = "Ancestral 1*",23,
AND(AH38 = "Ancestral",COUNTIF(AH39:AH42, "Epic+") &gt;= 1),22,
AND(AH38 = "Ancestral",AI45 = 9),21,
AH38 = "Ancestral",20,
AND(AH38 = "Mythic+",COUNTIF(AH39:AH42, "Epic+") &gt;= 2),19,
AND(AH38 = "Mythic+",AI45 = 7),18,
AND(AH38 = "Mythic+",AI45 = 6),17,
AND(AH38 = "Mythic+",AI45 = 5),16,
AH38 = "Mythic+",15,
AND(AH38 = "Mythic",BQ44 &gt;= 1),14,
AND(AH38 = "Mythic",SUM($BD38:$BD44) &gt;= 72),13,
AH38 = "Mythic",12,
AND(AH38 = "Legendary+",BQ44 &gt;= 1),11,
AND(AH38 = "Legendary+",SUM($BD38:$BD44) &gt;= 72),10,
AH38 = "Legendary+", 9,
AND(AH38 = "Legendary", OR(AH39 = "Epic+", AH40 = "Epic+", AH41 = "Epic+", AH42 = "Epic+")), 8,
AND(AH38 = "Legendary",AI45 = 3),7,
AH38 = "Legendary", 6,
AND(AH38 = "Epic+",BQ41 &gt;= 2),5,
AND(AH38 = "Epic+",SUM($BD38:$BD44) &gt;= 36),4,
AH38 = "Epic+",3,
AND(AI45 = 2,OR(AH39 = "Epic", AH40 = "Epic", AH42 = "Epic", AH41 = "Epic")),2,
AI45 = 1,1,
TRUE,0
)
/35</f>
        <v>0.6</v>
      </c>
      <c r="AK36" s="121"/>
      <c r="AL36" s="11"/>
      <c r="AM36" s="388" t="s">
        <v>225</v>
      </c>
      <c r="AN36" s="120"/>
      <c r="AO36" s="120"/>
      <c r="AP36" s="802">
        <f>IFS(
AN38 = "Ancestral 5*", 35,
AND(AN38 = "Ancestral 4*",COUNTIF(AN39:AN42, "Epic+") &gt;= 1),34,
AND(AN38 = "Ancestral 4*",AO45 = 17),33,
AN38 = "Ancestral 4*",32,
AND(AN38 = "Ancestral 3*",COUNTIF(AN39:AN42, "Epic+") &gt;= 1),31,
AND(AN38 = "Ancestral 3*",AO45 = 15),30,
AN38 = "Ancestral 3*",29,
AND(AN38 = "Ancestral 2*",COUNTIF(AN39:AN42, "Epic+") &gt;= 1),28,
AND(AN38 = "Ancestral 2*",AO45 = 13),27,
AN38 = "Ancestral 2*",26,
AND(AN38 = "Ancestral 1*",COUNTIF(AN39:AN42, "Epic+") &gt;= 1),25,
AND(AN38 = "Ancestral 1*",AO45 = 11),24,
AN38 = "Ancestral 1*",23,
AND(AN38 = "Ancestral",COUNTIF(AN39:AN42, "Epic+") &gt;= 1),22,
AND(AN38 = "Ancestral",AO45 = 9),21,
AN38 = "Ancestral",20,
AND(AN38 = "Mythic+",COUNTIF(AN39:AN42, "Epic+") &gt;= 2),19,
AND(AN38 = "Mythic+",AO45 = 7),18,
AND(AN38 = "Mythic+",AO45 = 6),17,
AND(AN38 = "Mythic+",AO45 = 5),16,
AN38 = "Mythic+",15,
AND(AN38 = "Mythic",BW44 &gt;= 1),14,
AND(AN38 = "Mythic",SUM($BD38:$BD44) &gt;= 72),13,
AN38 = "Mythic",12,
AND(AN38 = "Legendary+",BW44 &gt;= 1),11,
AND(AN38 = "Legendary+",SUM($BD38:$BD44) &gt;= 72),10,
AN38 = "Legendary+", 9,
AND(AN38 = "Legendary", OR(AN39 = "Epic+", AN40 = "Epic+", AN41 = "Epic+", AN42 = "Epic+")), 8,
AND(AN38 = "Legendary",AO45 = 3),7,
AN38 = "Legendary", 6,
AND(AN38 = "Epic+",BW41 &gt;= 2),5,
AND(AN38 = "Epic+",SUM($BD38:$BD44) &gt;= 36),4,
AN38 = "Epic+",3,
AND(AO45 = 2,OR(AN39 = "Epic", AN40 = "Epic", AN42 = "Epic", AN41 = "Epic")),2,
AO45 = 1,1,
TRUE,0
)
/35</f>
        <v>0.6</v>
      </c>
      <c r="AQ36" s="121"/>
      <c r="AR36" s="11"/>
      <c r="AS36" s="803" t="s">
        <v>226</v>
      </c>
      <c r="AT36" s="120"/>
      <c r="AU36" s="120"/>
      <c r="AV36" s="802">
        <f>IFS(
AT38 = "Ancestral 5*", 35,
AND(AT38 = "Ancestral 4*",COUNTIF(AT39:AT42, "Epic+") &gt;= 1),34,
AND(AT38 = "Ancestral 4*",AU45 = 17),33,
AT38 = "Ancestral 4*",32,
AND(AT38 = "Ancestral 3*",COUNTIF(AT39:AT42, "Epic+") &gt;= 1),31,
AND(AT38 = "Ancestral 3*",AU45 = 15),30,
AT38 = "Ancestral 3*",29,
AND(AT38 = "Ancestral 2*",COUNTIF(AT39:AT42, "Epic+") &gt;= 1),28,
AND(AT38 = "Ancestral 2*",AU45 = 13),27,
AT38 = "Ancestral 2*",26,
AND(AT38 = "Ancestral 1*",COUNTIF(AT39:AT42, "Epic+") &gt;= 1),25,
AND(AT38 = "Ancestral 1*",AU45 = 11),24,
AT38 = "Ancestral 1*",23,
AND(AT38 = "Ancestral",COUNTIF(AT39:AT42, "Epic+") &gt;= 1),22,
AND(AT38 = "Ancestral",AU45 = 9),21,
AT38 = "Ancestral",20,
AND(AT38 = "Mythic+",COUNTIF(AT39:AT42, "Epic+") &gt;= 2),19,
AND(AT38 = "Mythic+",AU45 = 7),18,
AND(AT38 = "Mythic+",AU45 = 6),17,
AND(AT38 = "Mythic+",AU45 = 5),16,
AT38 = "Mythic+",15,
AND(AT38 = "Mythic",CC44 &gt;= 1),14,
AND(AT38 = "Mythic",SUM($BD38:$BD44) &gt;= 72),13,
AT38 = "Mythic",12,
AND(AT38 = "Legendary+",CC44 &gt;= 1),11,
AND(AT38 = "Legendary+",SUM($BD38:$BD44) &gt;= 72),10,
AT38 = "Legendary+", 9,
AND(AT38 = "Legendary", OR(AT39 = "Epic+", AT40 = "Epic+", AT41 = "Epic+", AT42 = "Epic+")), 8,
AND(AT38 = "Legendary",AU45 = 3),7,
AT38 = "Legendary", 6,
AND(AT38 = "Epic+",CC41 &gt;= 2),5,
AND(AT38 = "Epic+",SUM($BD38:$BD44) &gt;= 36),4,
AT38 = "Epic+",3,
AND(AU45 = 2,OR(AT39 = "Epic", AT40 = "Epic", AT42 = "Epic", AT41 = "Epic")),2,
AU45 = 1,1,
TRUE,0
)
/35</f>
        <v>0.7714285714</v>
      </c>
      <c r="AW36" s="121"/>
      <c r="AX36" s="11"/>
      <c r="AZ36" s="804" t="s">
        <v>396</v>
      </c>
      <c r="BA36" s="609"/>
      <c r="BB36" s="609"/>
      <c r="BC36" s="609"/>
      <c r="BD36" s="610"/>
      <c r="BE36" s="805" t="str">
        <f>IFS(
SUM(R38:R42,X38:X42,AD38:AD42,AJ38:AJ42,AP38:AP42,AV38:AW42)&gt;=1080,"Shatter!",
SUM(R38:R42,X38:X42,AD38:AD42,AJ38:AJ42,AP38:AP42,AV38:AW42)+BD41+BD43&gt;=1080,"Shatter new mods",
BE44&gt;=1080,"Merge, if possible",
TRUE, "Keep farming"
)
&amp;IF(IDS_LAB_LEVEL("Shatter Shards")&lt;5,"*","")</f>
        <v>Shatter!</v>
      </c>
      <c r="BF36" s="612" t="s">
        <v>220</v>
      </c>
      <c r="BG36" s="11"/>
    </row>
    <row r="37">
      <c r="B37" s="763" t="s">
        <v>439</v>
      </c>
      <c r="E37" s="415"/>
      <c r="F37" s="806">
        <v>40.0</v>
      </c>
      <c r="G37" s="757"/>
      <c r="H37" s="807" t="s">
        <v>440</v>
      </c>
      <c r="I37" s="609"/>
      <c r="J37" s="808" t="s">
        <v>441</v>
      </c>
      <c r="K37" s="808" t="s">
        <v>442</v>
      </c>
      <c r="L37" s="809" t="s">
        <v>443</v>
      </c>
      <c r="M37" s="604"/>
      <c r="O37" s="810" t="s">
        <v>401</v>
      </c>
      <c r="P37" s="811" t="s">
        <v>170</v>
      </c>
      <c r="Q37" s="812" t="s">
        <v>402</v>
      </c>
      <c r="R37" s="812" t="s">
        <v>403</v>
      </c>
      <c r="S37" s="610"/>
      <c r="T37" s="11"/>
      <c r="U37" s="810" t="s">
        <v>401</v>
      </c>
      <c r="V37" s="811" t="s">
        <v>170</v>
      </c>
      <c r="W37" s="812" t="s">
        <v>402</v>
      </c>
      <c r="X37" s="812" t="s">
        <v>403</v>
      </c>
      <c r="Y37" s="610"/>
      <c r="Z37" s="11"/>
      <c r="AA37" s="810" t="s">
        <v>401</v>
      </c>
      <c r="AB37" s="811" t="s">
        <v>170</v>
      </c>
      <c r="AC37" s="812" t="s">
        <v>402</v>
      </c>
      <c r="AD37" s="812" t="s">
        <v>403</v>
      </c>
      <c r="AE37" s="610"/>
      <c r="AF37" s="11"/>
      <c r="AG37" s="810" t="s">
        <v>401</v>
      </c>
      <c r="AH37" s="811" t="s">
        <v>170</v>
      </c>
      <c r="AI37" s="812" t="s">
        <v>402</v>
      </c>
      <c r="AJ37" s="812" t="s">
        <v>403</v>
      </c>
      <c r="AK37" s="610"/>
      <c r="AL37" s="11"/>
      <c r="AM37" s="810" t="s">
        <v>401</v>
      </c>
      <c r="AN37" s="811" t="s">
        <v>170</v>
      </c>
      <c r="AO37" s="812" t="s">
        <v>402</v>
      </c>
      <c r="AP37" s="812" t="s">
        <v>403</v>
      </c>
      <c r="AQ37" s="610"/>
      <c r="AR37" s="11"/>
      <c r="AS37" s="813" t="s">
        <v>401</v>
      </c>
      <c r="AT37" s="814" t="s">
        <v>170</v>
      </c>
      <c r="AU37" s="815" t="s">
        <v>402</v>
      </c>
      <c r="AV37" s="815" t="s">
        <v>403</v>
      </c>
      <c r="AW37" s="610"/>
      <c r="AX37" s="11"/>
      <c r="AZ37" s="816" t="s">
        <v>170</v>
      </c>
      <c r="BA37" s="817" t="s">
        <v>402</v>
      </c>
      <c r="BB37" s="817" t="s">
        <v>397</v>
      </c>
      <c r="BC37" s="812" t="s">
        <v>404</v>
      </c>
      <c r="BD37" s="206" t="s">
        <v>405</v>
      </c>
      <c r="BE37" s="626"/>
      <c r="BG37" s="11"/>
    </row>
    <row r="38">
      <c r="B38" s="763" t="s">
        <v>444</v>
      </c>
      <c r="E38" s="415"/>
      <c r="F38" s="806">
        <v>10.0</v>
      </c>
      <c r="G38" s="757"/>
      <c r="H38" s="763" t="s">
        <v>175</v>
      </c>
      <c r="I38" s="415"/>
      <c r="J38" s="818">
        <f>IFERROR(__xludf.DUMMYFUNCTION("SUMPRODUCT(
  COUNTIF(
    FLATTEN({C5:C10;I5:I10;C16:C21;I16:I21}),
    SEQUENCE(2,1,0,1)
  ),
  (MAX(SEQUENCE(2,1,0,1))-SEQUENCE(2,1,0,1))+1
)"),0.0)</f>
        <v>0</v>
      </c>
      <c r="K38" s="819">
        <f t="shared" ref="K38:K42" si="68">L38/$F$39</f>
        <v>0</v>
      </c>
      <c r="L38" s="820">
        <f t="shared" ref="L38:L42" si="69">IF(($L$26*J38)-$L$32&lt;0,0,($L$26*J38)-$L$32)</f>
        <v>0</v>
      </c>
      <c r="M38" s="604"/>
      <c r="O38" s="821" t="s">
        <v>406</v>
      </c>
      <c r="P38" s="822" t="str">
        <f>Inventory!F44</f>
        <v>Ancestral 2*</v>
      </c>
      <c r="Q38" s="822">
        <f>IFS(
P38 = "None", 0,
P38 = "Epic", 1,
P38 = "Epic+", 2,
P38 = "Legendary", 2,
P38 = "Legendary+", 4,
P38 = "Mythic", 4,
P38 = "Mythic+", 4,
P38 = "Ancestral", 8,
P38 = "Ancestral 1*", 10,
P38 = "Ancestral 2*", 12,
P38 = "Ancestral 3*", 14,
P38 = "Ancestral 4*", 16,
P38 = "Ancestral 5*", 18
    )</f>
        <v>12</v>
      </c>
      <c r="R38" s="823">
        <f>IFS(
P38 = "None", 0,
P38 = "Epic", 0,
P38 = "Epic+", 0,
P38 = "Legendary", 36,
P38 = "Legendary+", 36,
P38 = "Mythic", 108,
TRUE, 180
    )</f>
        <v>180</v>
      </c>
      <c r="S38" s="626"/>
      <c r="T38" s="11"/>
      <c r="U38" s="821" t="s">
        <v>406</v>
      </c>
      <c r="V38" s="822" t="str">
        <f>Inventory!K44</f>
        <v>Ancestral</v>
      </c>
      <c r="W38" s="822">
        <f>IFS(
V38 = "None", 0,
V38 = "Epic", 1,
V38 = "Epic+", 2,
V38 = "Legendary", 2,
V38 = "Legendary+", 4,
V38 = "Mythic", 4,
V38 = "Mythic+", 4,
V38 = "Ancestral", 8,
V38 = "Ancestral 1*", 10,
V38 = "Ancestral 2*", 12,
V38 = "Ancestral 3*", 14,
V38 = "Ancestral 4*", 16,
V38 = "Ancestral 5*", 18
    )</f>
        <v>8</v>
      </c>
      <c r="X38" s="823">
        <f>IFS(
V38 = "None", 0,
V38 = "Epic", 0,
V38 = "Epic+", 0,
V38 = "Legendary", 36,
V38 = "Legendary+", 36,
V38 = "Mythic", 108,
TRUE, 180
    )</f>
        <v>180</v>
      </c>
      <c r="Y38" s="626"/>
      <c r="Z38" s="11"/>
      <c r="AA38" s="821" t="s">
        <v>406</v>
      </c>
      <c r="AB38" s="822" t="str">
        <f>Inventory!P44</f>
        <v>Ancestral 5*</v>
      </c>
      <c r="AC38" s="822">
        <f>IFS(
AB38 = "None", 0,
AB38 = "Epic", 1,
AB38 = "Epic+", 2,
AB38 = "Legendary", 2,
AB38 = "Legendary+", 4,
AB38 = "Mythic", 4,
AB38 = "Mythic+", 4,
AB38 = "Ancestral", 8,
AB38 = "Ancestral 1*", 10,
AB38 = "Ancestral 2*", 12,
AB38 = "Ancestral 3*", 14,
AB38 = "Ancestral 4*", 16,
AB38 = "Ancestral 5*", 18
    )</f>
        <v>18</v>
      </c>
      <c r="AD38" s="823">
        <f>IFS(
AB38 = "None", 0,
AB38 = "Epic", 0,
AB38 = "Epic+", 0,
AB38 = "Legendary", 36,
AB38 = "Legendary+", 36,
AB38 = "Mythic", 108,
TRUE, 180
    )</f>
        <v>180</v>
      </c>
      <c r="AE38" s="626"/>
      <c r="AF38" s="11"/>
      <c r="AG38" s="821" t="s">
        <v>406</v>
      </c>
      <c r="AH38" s="822" t="str">
        <f>Inventory!U44</f>
        <v>Ancestral</v>
      </c>
      <c r="AI38" s="822">
        <f>IFS(
AH38 = "None", 0,
AH38 = "Epic", 1,
AH38 = "Epic+", 2,
AH38 = "Legendary", 2,
AH38 = "Legendary+", 4,
AH38 = "Mythic", 4,
AH38 = "Mythic+", 4,
AH38 = "Ancestral", 8,
AH38 = "Ancestral 1*", 10,
AH38 = "Ancestral 2*", 12,
AH38 = "Ancestral 3*", 14,
AH38 = "Ancestral 4*", 16,
AH38 = "Ancestral 5*", 18
    )</f>
        <v>8</v>
      </c>
      <c r="AJ38" s="823">
        <f>IFS(
AH38 = "None", 0,
AH38 = "Epic", 0,
AH38 = "Epic+", 0,
AH38 = "Legendary", 36,
AH38 = "Legendary+", 36,
AH38 = "Mythic", 108,
TRUE, 180
    )</f>
        <v>180</v>
      </c>
      <c r="AK38" s="626"/>
      <c r="AL38" s="11"/>
      <c r="AM38" s="821" t="s">
        <v>406</v>
      </c>
      <c r="AN38" s="822" t="str">
        <f>Inventory!Z44</f>
        <v>Ancestral</v>
      </c>
      <c r="AO38" s="822">
        <f>IFS(
AN38 = "None", 0,
AN38 = "Epic", 1,
AN38 = "Epic+", 2,
AN38 = "Legendary", 2,
AN38 = "Legendary+", 4,
AN38 = "Mythic", 4,
AN38 = "Mythic+", 4,
AN38 = "Ancestral", 8,
AN38 = "Ancestral 1*", 10,
AN38 = "Ancestral 2*", 12,
AN38 = "Ancestral 3*", 14,
AN38 = "Ancestral 4*", 16,
AN38 = "Ancestral 5*", 18
    )</f>
        <v>8</v>
      </c>
      <c r="AP38" s="823">
        <f>IFS(
AN38 = "None", 0,
AN38 = "Epic", 0,
AN38 = "Epic+", 0,
AN38 = "Legendary", 36,
AN38 = "Legendary+", 36,
AN38 = "Mythic", 108,
TRUE, 180
    )</f>
        <v>180</v>
      </c>
      <c r="AQ38" s="626"/>
      <c r="AR38" s="11"/>
      <c r="AS38" s="824" t="s">
        <v>406</v>
      </c>
      <c r="AT38" s="825" t="str">
        <f>Inventory!AE44</f>
        <v>Ancestral 2*</v>
      </c>
      <c r="AU38" s="825">
        <f>IFS(
AT38 = "None", 0,
AT38 = "Epic", 1,
AT38 = "Epic+", 2,
AT38 = "Legendary", 2,
AT38 = "Legendary+", 4,
AT38 = "Mythic", 4,
AT38 = "Mythic+", 4,
AT38 = "Ancestral", 8,
AT38 = "Ancestral 1*", 10,
AT38 = "Ancestral 2*", 12,
AT38 = "Ancestral 3*", 14,
AT38 = "Ancestral 4*", 16,
AT38 = "Ancestral 5*", 18
    )</f>
        <v>12</v>
      </c>
      <c r="AV38" s="826">
        <f>IFS(
AT38 = "None", 0,
AT38 = "Epic", 0,
AT38 = "Epic+", 0,
AT38 = "Legendary", 36,
AT38 = "Legendary+", 36,
AT38 = "Mythic", 108,
TRUE, 180
    )</f>
        <v>180</v>
      </c>
      <c r="AW38" s="626"/>
      <c r="AX38" s="11"/>
      <c r="AZ38" s="641" t="s">
        <v>239</v>
      </c>
      <c r="BA38" s="822">
        <v>1.0</v>
      </c>
      <c r="BB38" s="642">
        <v>0.0</v>
      </c>
      <c r="BC38" s="822"/>
      <c r="BD38" s="822">
        <f t="shared" ref="BD38:BD43" si="70">BA38*BB38</f>
        <v>0</v>
      </c>
      <c r="BE38" s="626"/>
      <c r="BG38" s="11"/>
    </row>
    <row r="39">
      <c r="B39" s="763" t="s">
        <v>384</v>
      </c>
      <c r="E39" s="415"/>
      <c r="F39" s="806">
        <v>4000.0</v>
      </c>
      <c r="G39" s="757"/>
      <c r="H39" s="763" t="s">
        <v>180</v>
      </c>
      <c r="I39" s="415"/>
      <c r="J39" s="818">
        <f>IFERROR(__xludf.DUMMYFUNCTION("SUMPRODUCT(
  COUNTIF(
    FLATTEN({C5:C10;I5:I10;C16:C21;I16:I21}),
    SEQUENCE(4,1,0,1)
  ),
  (MAX(SEQUENCE(4,1,0,1))-SEQUENCE(4,1,0,1))+1
)"),3.0)</f>
        <v>3</v>
      </c>
      <c r="K39" s="819">
        <f t="shared" si="68"/>
        <v>0.6</v>
      </c>
      <c r="L39" s="820">
        <f t="shared" si="69"/>
        <v>2400</v>
      </c>
      <c r="M39" s="604"/>
      <c r="O39" s="827" t="s">
        <v>408</v>
      </c>
      <c r="P39" s="642"/>
      <c r="Q39" s="822">
        <f t="shared" ref="Q39:Q42" si="71">IFS(
P39 = "", 0,
P39 = "Epic", 1,
P39 = "Epic+", 2,
P39 = "Legendary", 2,
P39 = "Legendary+", 4,
P39 = "Mythic", 4,
P39 = "Mythic+", 4,
P39 = "Ancestral", 8,
P39 = "Ancestral 1*", 10,
P39 = "Ancestral 2*", 12,
P39 = "Ancestral 3*", 14,
P39 = "Ancestral 4*", 16,
P39 = "Ancestral 5*", 18
    )</f>
        <v>0</v>
      </c>
      <c r="R39" s="823">
        <f t="shared" ref="R39:R42" si="72">IFS(
P39 = "", 0,
P39 = "Epic", 0,
P39 = "Epic+", 0,
P39 = "Legendary", 36,
P39 = "Legendary+", 36,
P39 = "Mythic", 108,
TRUE, 180
    )</f>
        <v>0</v>
      </c>
      <c r="S39" s="626"/>
      <c r="T39" s="11"/>
      <c r="U39" s="827" t="s">
        <v>408</v>
      </c>
      <c r="V39" s="642"/>
      <c r="W39" s="822">
        <f t="shared" ref="W39:W42" si="73">IFS(
V39 = "", 0,
V39 = "Epic", 1,
V39 = "Epic+", 2,
V39 = "Legendary", 2,
V39 = "Legendary+", 4,
V39 = "Mythic", 4,
V39 = "Mythic+", 4,
V39 = "Ancestral", 8,
V39 = "Ancestral 1*", 10,
V39 = "Ancestral 2*", 12,
V39 = "Ancestral 3*", 14,
V39 = "Ancestral 4*", 16,
V39 = "Ancestral 5*", 18
    )</f>
        <v>0</v>
      </c>
      <c r="X39" s="823">
        <f t="shared" ref="X39:X42" si="74">IFS(
V39 = "", 0,
V39 = "Epic", 0,
V39 = "Epic+", 0,
V39 = "Legendary", 36,
V39 = "Legendary+", 36,
V39 = "Mythic", 108,
TRUE, 180
    )</f>
        <v>0</v>
      </c>
      <c r="Y39" s="626"/>
      <c r="Z39" s="11"/>
      <c r="AA39" s="827" t="s">
        <v>408</v>
      </c>
      <c r="AB39" s="642"/>
      <c r="AC39" s="822">
        <f t="shared" ref="AC39:AC42" si="75">IFS(
AB39 = "", 0,
AB39 = "Epic", 1,
AB39 = "Epic+", 2,
AB39 = "Legendary", 2,
AB39 = "Legendary+", 4,
AB39 = "Mythic", 4,
AB39 = "Mythic+", 4,
AB39 = "Ancestral", 8,
AB39 = "Ancestral 1*", 10,
AB39 = "Ancestral 2*", 12,
AB39 = "Ancestral 3*", 14,
AB39 = "Ancestral 4*", 16,
AB39 = "Ancestral 5*", 18
    )</f>
        <v>0</v>
      </c>
      <c r="AD39" s="823">
        <f t="shared" ref="AD39:AD42" si="76">IFS(
AB39 = "", 0,
AB39 = "Epic", 0,
AB39 = "Epic+", 0,
AB39 = "Legendary", 36,
AB39 = "Legendary+", 36,
AB39 = "Mythic", 108,
TRUE, 180
    )</f>
        <v>0</v>
      </c>
      <c r="AE39" s="626"/>
      <c r="AF39" s="11"/>
      <c r="AG39" s="827" t="s">
        <v>408</v>
      </c>
      <c r="AH39" s="642" t="s">
        <v>176</v>
      </c>
      <c r="AI39" s="822">
        <f t="shared" ref="AI39:AI42" si="77">IFS(
AH39 = "", 0,
AH39 = "Epic", 1,
AH39 = "Epic+", 2,
AH39 = "Legendary", 2,
AH39 = "Legendary+", 4,
AH39 = "Mythic", 4,
AH39 = "Mythic+", 4,
AH39 = "Ancestral", 8,
AH39 = "Ancestral 1*", 10,
AH39 = "Ancestral 2*", 12,
AH39 = "Ancestral 3*", 14,
AH39 = "Ancestral 4*", 16,
AH39 = "Ancestral 5*", 18
    )</f>
        <v>1</v>
      </c>
      <c r="AJ39" s="823">
        <f t="shared" ref="AJ39:AJ42" si="78">IFS(
AH39 = "", 0,
AH39 = "Epic", 0,
AH39 = "Epic+", 0,
AH39 = "Legendary", 36,
AH39 = "Legendary+", 36,
AH39 = "Mythic", 108,
TRUE, 180
    )</f>
        <v>0</v>
      </c>
      <c r="AK39" s="626"/>
      <c r="AL39" s="11"/>
      <c r="AM39" s="827" t="s">
        <v>408</v>
      </c>
      <c r="AN39" s="642" t="s">
        <v>176</v>
      </c>
      <c r="AO39" s="822">
        <f t="shared" ref="AO39:AO42" si="79">IFS(
AN39 = "", 0,
AN39 = "Epic", 1,
AN39 = "Epic+", 2,
AN39 = "Legendary", 2,
AN39 = "Legendary+", 4,
AN39 = "Mythic", 4,
AN39 = "Mythic+", 4,
AN39 = "Ancestral", 8,
AN39 = "Ancestral 1*", 10,
AN39 = "Ancestral 2*", 12,
AN39 = "Ancestral 3*", 14,
AN39 = "Ancestral 4*", 16,
AN39 = "Ancestral 5*", 18
    )</f>
        <v>1</v>
      </c>
      <c r="AP39" s="823">
        <f t="shared" ref="AP39:AP42" si="80">IFS(
AN39 = "", 0,
AN39 = "Epic", 0,
AN39 = "Epic+", 0,
AN39 = "Legendary", 36,
AN39 = "Legendary+", 36,
AN39 = "Mythic", 108,
TRUE, 180
    )</f>
        <v>0</v>
      </c>
      <c r="AQ39" s="626"/>
      <c r="AR39" s="11"/>
      <c r="AS39" s="828" t="s">
        <v>408</v>
      </c>
      <c r="AT39" s="642" t="s">
        <v>176</v>
      </c>
      <c r="AU39" s="825">
        <f t="shared" ref="AU39:AU42" si="81">IFS(
AT39 = "", 0,
AT39 = "Epic", 1,
AT39 = "Epic+", 2,
AT39 = "Legendary", 2,
AT39 = "Legendary+", 4,
AT39 = "Mythic", 4,
AT39 = "Mythic+", 4,
AT39 = "Ancestral", 8,
AT39 = "Ancestral 1*", 10,
AT39 = "Ancestral 2*", 12,
AT39 = "Ancestral 3*", 14,
AT39 = "Ancestral 4*", 16,
AT39 = "Ancestral 5*", 18
    )</f>
        <v>1</v>
      </c>
      <c r="AV39" s="826">
        <f t="shared" ref="AV39:AV42" si="82">IFS(
AT39 = "", 0,
AT39 = "Epic", 0,
AT39 = "Epic+", 0,
AT39 = "Legendary", 36,
AT39 = "Legendary+", 36,
AT39 = "Mythic", 108,
TRUE, 180
    )</f>
        <v>0</v>
      </c>
      <c r="AW39" s="626"/>
      <c r="AX39" s="11"/>
      <c r="AZ39" s="646" t="s">
        <v>289</v>
      </c>
      <c r="BA39" s="822">
        <v>3.0</v>
      </c>
      <c r="BB39" s="642">
        <v>0.0</v>
      </c>
      <c r="BC39" s="822"/>
      <c r="BD39" s="822">
        <f t="shared" si="70"/>
        <v>0</v>
      </c>
      <c r="BE39" s="626"/>
      <c r="BG39" s="11"/>
    </row>
    <row r="40">
      <c r="B40" s="782" t="s">
        <v>445</v>
      </c>
      <c r="C40" s="783"/>
      <c r="D40" s="783"/>
      <c r="E40" s="685"/>
      <c r="F40" s="829">
        <v>0.0</v>
      </c>
      <c r="G40" s="757"/>
      <c r="H40" s="763" t="s">
        <v>174</v>
      </c>
      <c r="I40" s="415"/>
      <c r="J40" s="818">
        <f>IFERROR(__xludf.DUMMYFUNCTION("SUMPRODUCT(
  COUNTIF(
    FLATTEN({C5:C10;I5:I10;C16:C21;I16:I21}),
    SEQUENCE(8,1,0,1)
  ),
  (MAX(SEQUENCE(8,1,0,1))-SEQUENCE(8,1,0,1))+1
)"),36.0)</f>
        <v>36</v>
      </c>
      <c r="K40" s="819">
        <f t="shared" si="68"/>
        <v>7.2</v>
      </c>
      <c r="L40" s="820">
        <f t="shared" si="69"/>
        <v>28800</v>
      </c>
      <c r="M40" s="604"/>
      <c r="O40" s="648"/>
      <c r="P40" s="642"/>
      <c r="Q40" s="822">
        <f t="shared" si="71"/>
        <v>0</v>
      </c>
      <c r="R40" s="823">
        <f t="shared" si="72"/>
        <v>0</v>
      </c>
      <c r="S40" s="626"/>
      <c r="T40" s="11"/>
      <c r="U40" s="648"/>
      <c r="V40" s="642"/>
      <c r="W40" s="822">
        <f t="shared" si="73"/>
        <v>0</v>
      </c>
      <c r="X40" s="823">
        <f t="shared" si="74"/>
        <v>0</v>
      </c>
      <c r="Y40" s="626"/>
      <c r="Z40" s="11"/>
      <c r="AA40" s="648"/>
      <c r="AB40" s="642"/>
      <c r="AC40" s="822">
        <f t="shared" si="75"/>
        <v>0</v>
      </c>
      <c r="AD40" s="823">
        <f t="shared" si="76"/>
        <v>0</v>
      </c>
      <c r="AE40" s="626"/>
      <c r="AF40" s="11"/>
      <c r="AG40" s="648"/>
      <c r="AH40" s="642"/>
      <c r="AI40" s="822">
        <f t="shared" si="77"/>
        <v>0</v>
      </c>
      <c r="AJ40" s="823">
        <f t="shared" si="78"/>
        <v>0</v>
      </c>
      <c r="AK40" s="626"/>
      <c r="AL40" s="11"/>
      <c r="AM40" s="648"/>
      <c r="AN40" s="642"/>
      <c r="AO40" s="822">
        <f t="shared" si="79"/>
        <v>0</v>
      </c>
      <c r="AP40" s="823">
        <f t="shared" si="80"/>
        <v>0</v>
      </c>
      <c r="AQ40" s="626"/>
      <c r="AR40" s="11"/>
      <c r="AS40" s="648"/>
      <c r="AT40" s="642"/>
      <c r="AU40" s="825">
        <f t="shared" si="81"/>
        <v>0</v>
      </c>
      <c r="AV40" s="826">
        <f t="shared" si="82"/>
        <v>0</v>
      </c>
      <c r="AW40" s="626"/>
      <c r="AX40" s="11"/>
      <c r="AZ40" s="649" t="s">
        <v>176</v>
      </c>
      <c r="BA40" s="822">
        <v>9.0</v>
      </c>
      <c r="BB40" s="642">
        <v>0.0</v>
      </c>
      <c r="BC40" s="822"/>
      <c r="BD40" s="822">
        <f t="shared" si="70"/>
        <v>0</v>
      </c>
      <c r="BE40" s="626"/>
      <c r="BG40" s="11"/>
    </row>
    <row r="41">
      <c r="B41" s="757"/>
      <c r="C41" s="757"/>
      <c r="D41" s="757"/>
      <c r="E41" s="757"/>
      <c r="F41" s="757"/>
      <c r="G41" s="757"/>
      <c r="H41" s="763" t="s">
        <v>228</v>
      </c>
      <c r="I41" s="415"/>
      <c r="J41" s="818">
        <f>IFERROR(__xludf.DUMMYFUNCTION("SUMPRODUCT(
  COUNTIF(
    FLATTEN({C5:C10;I5:I10;C16:C21;I16:I21}),
    SEQUENCE(18,1,0,1)
  ),
  (MAX(SEQUENCE(18,1,0,1))-SEQUENCE(18,1,0,1))+1
)"),240.0)</f>
        <v>240</v>
      </c>
      <c r="K41" s="819">
        <f t="shared" si="68"/>
        <v>48</v>
      </c>
      <c r="L41" s="820">
        <f t="shared" si="69"/>
        <v>192000</v>
      </c>
      <c r="M41" s="604"/>
      <c r="O41" s="648"/>
      <c r="P41" s="642"/>
      <c r="Q41" s="822">
        <f t="shared" si="71"/>
        <v>0</v>
      </c>
      <c r="R41" s="823">
        <f t="shared" si="72"/>
        <v>0</v>
      </c>
      <c r="S41" s="626"/>
      <c r="T41" s="11"/>
      <c r="U41" s="648"/>
      <c r="V41" s="642"/>
      <c r="W41" s="822">
        <f t="shared" si="73"/>
        <v>0</v>
      </c>
      <c r="X41" s="823">
        <f t="shared" si="74"/>
        <v>0</v>
      </c>
      <c r="Y41" s="626"/>
      <c r="Z41" s="11"/>
      <c r="AA41" s="648"/>
      <c r="AB41" s="642"/>
      <c r="AC41" s="822">
        <f t="shared" si="75"/>
        <v>0</v>
      </c>
      <c r="AD41" s="823">
        <f t="shared" si="76"/>
        <v>0</v>
      </c>
      <c r="AE41" s="626"/>
      <c r="AF41" s="11"/>
      <c r="AG41" s="648"/>
      <c r="AH41" s="642"/>
      <c r="AI41" s="822">
        <f t="shared" si="77"/>
        <v>0</v>
      </c>
      <c r="AJ41" s="823">
        <f t="shared" si="78"/>
        <v>0</v>
      </c>
      <c r="AK41" s="626"/>
      <c r="AL41" s="11"/>
      <c r="AM41" s="648"/>
      <c r="AN41" s="642"/>
      <c r="AO41" s="822">
        <f t="shared" si="79"/>
        <v>0</v>
      </c>
      <c r="AP41" s="823">
        <f t="shared" si="80"/>
        <v>0</v>
      </c>
      <c r="AQ41" s="626"/>
      <c r="AR41" s="11"/>
      <c r="AS41" s="648"/>
      <c r="AT41" s="642"/>
      <c r="AU41" s="825">
        <f t="shared" si="81"/>
        <v>0</v>
      </c>
      <c r="AV41" s="826">
        <f t="shared" si="82"/>
        <v>0</v>
      </c>
      <c r="AW41" s="626"/>
      <c r="AX41" s="11"/>
      <c r="AZ41" s="650" t="s">
        <v>290</v>
      </c>
      <c r="BA41" s="822">
        <v>18.0</v>
      </c>
      <c r="BB41" s="642">
        <v>0.0</v>
      </c>
      <c r="BC41" s="822" t="str">
        <f t="array" ref="BC41">LET(
    primary,{AT38,AN38,AH38,AB38,V38,P38} ,
    fodder,BB41,
    none, COUNTIF(primary,"=None"),
    epic, COUNTIF(primary,"=Epic"),
    epicPlus, COUNTIF(primary,"=Epic+"),
    neededNow, epicPlus*2,
    neededLater, (none+epic)*2,
    totalNeeded, neededNow+neededLater,
    IF(totalNeeded=0, IF(fodder&gt;0,fodder&amp;" extra",), IF(fodder&gt;=totalNeeded, IF(neededNow&gt;0,"Merge",IF(neededLater=fodder,"Keep",(fodder-neededLater)&amp;" extra")),"Need +"&amp;totalNeeded-fodder)))</f>
        <v/>
      </c>
      <c r="BD41" s="822">
        <f t="shared" si="70"/>
        <v>0</v>
      </c>
      <c r="BE41" s="626"/>
      <c r="BG41" s="11"/>
    </row>
    <row r="42">
      <c r="B42" s="757"/>
      <c r="C42" s="757"/>
      <c r="D42" s="757"/>
      <c r="E42" s="757"/>
      <c r="F42" s="757"/>
      <c r="G42" s="757"/>
      <c r="H42" s="782" t="s">
        <v>446</v>
      </c>
      <c r="I42" s="685"/>
      <c r="J42" s="830">
        <f>IFERROR(__xludf.DUMMYFUNCTION("SUMPRODUCT(
  COUNTIF(
    FLATTEN({C5:C10;I5:I10;C16:C21;I16:I21}),
    SEQUENCE(F38,1,0,1)
  ),
  (MAX(SEQUENCE(F38,1,0,1))-SEQUENCE(F38,1,0,1))+1
)"),66.0)</f>
        <v>66</v>
      </c>
      <c r="K42" s="831">
        <f t="shared" si="68"/>
        <v>13.2</v>
      </c>
      <c r="L42" s="784">
        <f t="shared" si="69"/>
        <v>52800</v>
      </c>
      <c r="M42" s="604"/>
      <c r="O42" s="651"/>
      <c r="P42" s="652"/>
      <c r="Q42" s="832">
        <f t="shared" si="71"/>
        <v>0</v>
      </c>
      <c r="R42" s="833">
        <f t="shared" si="72"/>
        <v>0</v>
      </c>
      <c r="S42" s="655"/>
      <c r="T42" s="787"/>
      <c r="U42" s="651"/>
      <c r="V42" s="652"/>
      <c r="W42" s="832">
        <f t="shared" si="73"/>
        <v>0</v>
      </c>
      <c r="X42" s="833">
        <f t="shared" si="74"/>
        <v>0</v>
      </c>
      <c r="Y42" s="655"/>
      <c r="Z42" s="11"/>
      <c r="AA42" s="651"/>
      <c r="AB42" s="652"/>
      <c r="AC42" s="832">
        <f t="shared" si="75"/>
        <v>0</v>
      </c>
      <c r="AD42" s="833">
        <f t="shared" si="76"/>
        <v>0</v>
      </c>
      <c r="AE42" s="655"/>
      <c r="AF42" s="11"/>
      <c r="AG42" s="651"/>
      <c r="AH42" s="652"/>
      <c r="AI42" s="832">
        <f t="shared" si="77"/>
        <v>0</v>
      </c>
      <c r="AJ42" s="833">
        <f t="shared" si="78"/>
        <v>0</v>
      </c>
      <c r="AK42" s="655"/>
      <c r="AL42" s="11"/>
      <c r="AM42" s="651"/>
      <c r="AN42" s="652"/>
      <c r="AO42" s="832">
        <f t="shared" si="79"/>
        <v>0</v>
      </c>
      <c r="AP42" s="833">
        <f t="shared" si="80"/>
        <v>0</v>
      </c>
      <c r="AQ42" s="655"/>
      <c r="AR42" s="11"/>
      <c r="AS42" s="651"/>
      <c r="AT42" s="652"/>
      <c r="AU42" s="834">
        <f t="shared" si="81"/>
        <v>0</v>
      </c>
      <c r="AV42" s="835">
        <f t="shared" si="82"/>
        <v>0</v>
      </c>
      <c r="AW42" s="655"/>
      <c r="AX42" s="11"/>
      <c r="AZ42" s="658" t="s">
        <v>175</v>
      </c>
      <c r="BA42" s="822">
        <v>54.0</v>
      </c>
      <c r="BB42" s="642">
        <v>0.0</v>
      </c>
      <c r="BC42" s="822"/>
      <c r="BD42" s="822">
        <f t="shared" si="70"/>
        <v>0</v>
      </c>
      <c r="BE42" s="626"/>
      <c r="BG42" s="11"/>
    </row>
    <row r="43">
      <c r="B43" s="604"/>
      <c r="C43" s="604"/>
      <c r="D43" s="604"/>
      <c r="E43" s="604"/>
      <c r="F43" s="604"/>
      <c r="G43" s="604"/>
      <c r="H43" s="647"/>
      <c r="I43" s="647"/>
      <c r="J43" s="647"/>
      <c r="K43" s="647"/>
      <c r="L43" s="647"/>
      <c r="M43" s="604"/>
      <c r="O43" s="836" t="str">
        <f>IFS(
P38 = "Ancestral 5*", "Congratulations! You're done.",
AND(P38 = "Ancestral 4*",COUNTIF(P39:P42, "Epic+") &gt;= 1),"Get your Ancestral 5* Module by fusing",
AND(P38 = "Ancestral 4*",SUM(Q38:Q42)&lt;Q38+2),"Get another "&amp;Q38+2-SUM(Q38:Q42)&amp;" Module"&amp;IF(Q38+2-SUM(Q38:Q42)&lt;&gt;1,"s","")&amp;" for Ancestral 5* Module",
AND(P38 = "Ancestral 3*",COUNTIF(P39:P42, "Epic+") &gt;= 1),"Get your Ancestral 4* Module by fusing",
AND(P38 = "Ancestral 3*",SUM(Q38:Q42)&lt;Q38+2),"Get another "&amp;Q38+2-SUM(Q38:Q42)&amp;" Module"&amp;IF(Q38+2-SUM(Q38:Q42)&lt;&gt;1,"s","")&amp;" for Ancestral 4* Module",
AND(P38 = "Ancestral 2*",COUNTIF(P39:P42, "Epic+") &gt;= 1),"Get your Ancestral 3* Module by fusing",
AND(P38 = "Ancestral 2*",SUM(Q38:Q42)&lt;Q38+2),"Get another "&amp;Q38+2-SUM(Q38:Q42)&amp;" Module"&amp;IF(Q38+2-SUM(Q38:Q42)&lt;&gt;1,"s","")&amp;" for Ancestral 3* Module",
AND(P38 = "Ancestral 1*",COUNTIF(P39:P42, "Epic+") &gt;= 1),"Get your Ancestral 2* Module by fusing",
AND(P38 = "Ancestral 1*",SUM(Q38:Q42)&lt;Q38+2),"Get another "&amp;Q38+2-SUM(Q38:Q42)&amp;" Module"&amp;IF(Q38+2-SUM(Q38:Q42)&lt;&gt;1,"s","")&amp;" for Ancestral 2* Module",
AND(P38 = "Ancestral",COUNTIF(P39:P42, "Epic+") &gt;= 1),"Get your Ancestral 1* Module by fusing",
AND(P38 = "Ancestral",SUM(Q38:Q42)&lt;Q38+2),"Get another "&amp;Q38+2-SUM(Q38:Q42)&amp;" Module"&amp;IF(Q38+2-SUM(Q38:Q42)&lt;&gt;1,"s","")&amp;" for Ancestral 1* Module",
AND(P38 = "Mythic+",COUNTIF(P39:P42, "Epic+") &gt;= 2),"Get your Ancestral Module by fusing",
AND(P38 = "Mythic+",SUM(Q38:Q42)&lt;Q38+4),"Get another "&amp;Q38+4-SUM(Q38:Q42)&amp;" Module"&amp;IF(Q38+4-SUM(Q38:Q42)&lt;&gt;1,"s","")&amp;" for Ancestral Module",
AND(P38 = "Mythic",$BB44 &gt;= 1),"Get your Mythic+ Module by fusing.",
AND(P38 = "Mythic",$BD44 &gt;= 72),"Check Fodders to a Legendary+ Fodder",
P38 = "Mythic", "Get some Fodders for Mythic+. You need 1x Legendary+",
AND(P38 = "Legendary+",$BB44 &gt;= 1),"Get your Mythic Module by fusing.",
AND(P38 = "Legendary+",$BD44 &gt;= 72),"Check Fodders to a Legendary+ Fodder",
P38 = "Legendary+", "Get some Fodders for Mythic. You need 1x Legendary+",
AND(P38 = "Legendary", OR(P39 = "Epic+", P40 = "Epic+", P41 = "Epic+", P42 = "Epic+")), "Get your Legendary+ Module by fusing",
P38 = "Legendary", "You need another Epic+ Module to get Legendary+",
AND(P38 = "Epic+",$BB41 &gt;= 2),"Get your Legendary Module by fusing.",
AND(P38 = "Epic+",$BD44 &gt;= 36),"Check Fodders to get 2x Epic+ Fodders",
P38 = "Epic+", "Get some Fodders for Legendary. You need 2x Epic+",
AND(Q45 = 2,OR(P39 = "Epic", P40 = "Epic", P42 = "Epic", P41 = "Epic")),"Get your Epic+ Module by fusing",
Q45 = 1,"Get your second Module",
TRUE,"Get your first Module"
)</f>
        <v>Get another 2 Modules for Ancestral 3* Module</v>
      </c>
      <c r="P43" s="29"/>
      <c r="Q43" s="29"/>
      <c r="R43" s="29"/>
      <c r="S43" s="136"/>
      <c r="T43" s="158"/>
      <c r="U43" s="836" t="str">
        <f>IFS(
V38 = "Ancestral 5*", "Congratulations! You're done.",
AND(V38 = "Ancestral 4*",COUNTIF(V39:V42, "Epic+") &gt;= 1),"Get your Ancestral 5* Module by fusing",
AND(V38 = "Ancestral 4*",SUM(W38:W42)&lt;W38+2),"Get another "&amp;W38+2-SUM(W38:W42)&amp;" Module"&amp;IF(W38+2-SUM(W38:W42)&lt;&gt;1,"s","")&amp;" for Ancestral 5* Module",
AND(V38 = "Ancestral 3*",COUNTIF(V39:V42, "Epic+") &gt;= 1),"Get your Ancestral 4* Module by fusing",
AND(V38 = "Ancestral 3*",SUM(W38:W42)&lt;W38+2),"Get another "&amp;W38+2-SUM(W38:W42)&amp;" Module"&amp;IF(W38+2-SUM(W38:W42)&lt;&gt;1,"s","")&amp;" for Ancestral 4* Module",
AND(V38 = "Ancestral 2*",COUNTIF(V39:V42, "Epic+") &gt;= 1),"Get your Ancestral 3* Module by fusing",
AND(V38 = "Ancestral 2*",SUM(W38:W42)&lt;W38+2),"Get another "&amp;W38+2-SUM(W38:W42)&amp;" Module"&amp;IF(W38+2-SUM(W38:W42)&lt;&gt;1,"s","")&amp;" for Ancestral 3* Module",
AND(V38 = "Ancestral 1*",COUNTIF(V39:V42, "Epic+") &gt;= 1),"Get your Ancestral 2* Module by fusing",
AND(V38 = "Ancestral 1*",SUM(W38:W42)&lt;W38+2),"Get another "&amp;W38+2-SUM(W38:W42)&amp;" Module"&amp;IF(W38+2-SUM(W38:W42)&lt;&gt;1,"s","")&amp;" for Ancestral 2* Module",
AND(V38 = "Ancestral",COUNTIF(V39:V42, "Epic+") &gt;= 1),"Get your Ancestral 1* Module by fusing",
AND(V38 = "Ancestral",SUM(W38:W42)&lt;W38+2),"Get another "&amp;W38+2-SUM(W38:W42)&amp;" Module"&amp;IF(W38+2-SUM(W38:W42)&lt;&gt;1,"s","")&amp;" for Ancestral 1* Module",
AND(V38 = "Mythic+",COUNTIF(V39:V42, "Epic+") &gt;= 2),"Get your Ancestral Module by fusing",
AND(V38 = "Mythic+",SUM(W38:W42)&lt;W38+4),"Get another "&amp;W38+4-SUM(W38:W42)&amp;" Module"&amp;IF(W38+4-SUM(W38:W42)&lt;&gt;1,"s","")&amp;" for Ancestral Module",
AND(V38 = "Mythic",$BB44 &gt;= 1),"Get your Mythic+ Module by fusing.",
AND(V38 = "Mythic",$BD44 &gt;= 72),"Check Fodders to a Legendary+ Fodder",
V38 = "Mythic", "Get some Fodders for Mythic+. You need 1x Legendary+",
AND(V38 = "Legendary+",$BB44 &gt;= 1),"Get your Mythic Module by fusing.",
AND(V38 = "Legendary+",$BD44 &gt;= 72),"Check Fodders to a Legendary+ Fodder",
V38 = "Legendary+", "Get some Fodders for Mythic. You need 1x Legendary+",
AND(V38 = "Legendary", OR(V39 = "Epic+", V40 = "Epic+", V41 = "Epic+", V42 = "Epic+")), "Get your Legendary+ Module by fusing",
V38 = "Legendary", "You need another Epic+ Module to get Legendary+",
AND(V38 = "Epic+",$BB41 &gt;= 2),"Get your Legendary Module by fusing.",
AND(V38 = "Epic+",$BD44 &gt;= 36),"Check Fodders to get 2x Epic+ Fodders",
V38 = "Epic+", "Get some Fodders for Legendary. You need 2x Epic+",
AND(W45 = 2,OR(V39 = "Epic", V40 = "Epic", V42 = "Epic", V41 = "Epic")),"Get your Epic+ Module by fusing",
W45 = 1,"Get your second Module",
TRUE,"Get your first Module"
)</f>
        <v>Get another 2 Modules for Ancestral 1* Module</v>
      </c>
      <c r="V43" s="29"/>
      <c r="W43" s="29"/>
      <c r="X43" s="29"/>
      <c r="Y43" s="136"/>
      <c r="Z43" s="158"/>
      <c r="AA43" s="836" t="str">
        <f>IFS(
AB38 = "Ancestral 5*", "Congratulations! You're done.",
AND(AB38 = "Ancestral 4*",COUNTIF(AB39:AB42, "Epic+") &gt;= 1),"Get your Ancestral 5* Module by fusing",
AND(AB38 = "Ancestral 4*",SUM(AC38:AC42)&lt;AC38+2),"Get another "&amp;AC38+2-SUM(AC38:AC42)&amp;" Module"&amp;IF(AC38+2-SUM(AC38:AC42)&lt;&gt;1,"s","")&amp;" for Ancestral 5* Module",
AND(AB38 = "Ancestral 3*",COUNTIF(AB39:AB42, "Epic+") &gt;= 1),"Get your Ancestral 4* Module by fusing",
AND(AB38 = "Ancestral 3*",SUM(AC38:AC42)&lt;AC38+2),"Get another "&amp;AC38+2-SUM(AC38:AC42)&amp;" Module"&amp;IF(AC38+2-SUM(AC38:AC42)&lt;&gt;1,"s","")&amp;" for Ancestral 4* Module",
AND(AB38 = "Ancestral 2*",COUNTIF(AB39:AB42, "Epic+") &gt;= 1),"Get your Ancestral 3* Module by fusing",
AND(AB38 = "Ancestral 2*",SUM(AC38:AC42)&lt;AC38+2),"Get another "&amp;AC38+2-SUM(AC38:AC42)&amp;" Module"&amp;IF(AC38+2-SUM(AC38:AC42)&lt;&gt;1,"s","")&amp;" for Ancestral 3* Module",
AND(AB38 = "Ancestral 1*",COUNTIF(AB39:AB42, "Epic+") &gt;= 1),"Get your Ancestral 2* Module by fusing",
AND(AB38 = "Ancestral 1*",SUM(AC38:AC42)&lt;AC38+2),"Get another "&amp;AC38+2-SUM(AC38:AC42)&amp;" Module"&amp;IF(AC38+2-SUM(AC38:AC42)&lt;&gt;1,"s","")&amp;" for Ancestral 2* Module",
AND(AB38 = "Ancestral",COUNTIF(AB39:AB42, "Epic+") &gt;= 1),"Get your Ancestral 1* Module by fusing",
AND(AB38 = "Ancestral",SUM(AC38:AC42)&lt;AC38+2),"Get another "&amp;AC38+2-SUM(AC38:AC42)&amp;" Module"&amp;IF(AC38+2-SUM(AC38:AC42)&lt;&gt;1,"s","")&amp;" for Ancestral 1* Module",
AND(AB38 = "Mythic+",COUNTIF(AB39:AB42, "Epic+") &gt;= 2),"Get your Ancestral Module by fusing",
AND(AB38 = "Mythic+",SUM(AC38:AC42)&lt;AC38+4),"Get another "&amp;AC38+4-SUM(AC38:AC42)&amp;" Module"&amp;IF(AC38+4-SUM(AC38:AC42)&lt;&gt;1,"s","")&amp;" for Ancestral Module",
AND(AB38 = "Mythic",$BB44 &gt;= 1),"Get your Mythic+ Module by fusing.",
AND(AB38 = "Mythic",$BD44 &gt;= 72),"Check Fodders to a Legendary+ Fodder",
AB38 = "Mythic", "Get some Fodders for Mythic+. You need 1x Legendary+",
AND(AB38 = "Legendary+",$BB44 &gt;= 1),"Get your Mythic Module by fusing.",
AND(AB38 = "Legendary+",$BD44 &gt;= 72),"Check Fodders to a Legendary+ Fodder",
AB38 = "Legendary+", "Get some Fodders for Mythic. You need 1x Legendary+",
AND(AB38 = "Legendary", OR(AB39 = "Epic+", AB40 = "Epic+", AB41 = "Epic+", AB42 = "Epic+")), "Get your Legendary+ Module by fusing",
AB38 = "Legendary", "You need another Epic+ Module to get Legendary+",
AND(AB38 = "Epic+",$BB41 &gt;= 2),"Get your Legendary Module by fusing.",
AND(AB38 = "Epic+",$BD44 &gt;= 36),"Check Fodders to get 2x Epic+ Fodders",
AB38 = "Epic+", "Get some Fodders for Legendary. You need 2x Epic+",
AND(AC45 = 2,OR(AB39 = "Epic", AB40 = "Epic", AB42 = "Epic", AB41 = "Epic")),"Get your Epic+ Module by fusing",
AC45 = 1,"Get your second Module",
TRUE,"Get your first Module"
)</f>
        <v>Congratulations! You're done.</v>
      </c>
      <c r="AB43" s="29"/>
      <c r="AC43" s="29"/>
      <c r="AD43" s="29"/>
      <c r="AE43" s="136"/>
      <c r="AF43" s="158"/>
      <c r="AG43" s="836" t="str">
        <f>IFS(
AH38 = "Ancestral 5*", "Congratulations! You're done.",
AND(AH38 = "Ancestral 4*",COUNTIF(AH39:AH42, "Epic+") &gt;= 1),"Get your Ancestral 5* Module by fusing",
AND(AH38 = "Ancestral 4*",SUM(AI38:AI42)&lt;AI38+2),"Get another "&amp;AI38+2-SUM(AI38:AI42)&amp;" Module"&amp;IF(AI38+2-SUM(AI38:AI42)&lt;&gt;1,"s","")&amp;" for Ancestral 5* Module",
AND(AH38 = "Ancestral 3*",COUNTIF(AH39:AH42, "Epic+") &gt;= 1),"Get your Ancestral 4* Module by fusing",
AND(AH38 = "Ancestral 3*",SUM(AI38:AI42)&lt;AI38+2),"Get another "&amp;AI38+2-SUM(AI38:AI42)&amp;" Module"&amp;IF(AI38+2-SUM(AI38:AI42)&lt;&gt;1,"s","")&amp;" for Ancestral 4* Module",
AND(AH38 = "Ancestral 2*",COUNTIF(AH39:AH42, "Epic+") &gt;= 1),"Get your Ancestral 3* Module by fusing",
AND(AH38 = "Ancestral 2*",SUM(AI38:AI42)&lt;AI38+2),"Get another "&amp;AI38+2-SUM(AI38:AI42)&amp;" Module"&amp;IF(AI38+2-SUM(AI38:AI42)&lt;&gt;1,"s","")&amp;" for Ancestral 3* Module",
AND(AH38 = "Ancestral 1*",COUNTIF(AH39:AH42, "Epic+") &gt;= 1),"Get your Ancestral 2* Module by fusing",
AND(AH38 = "Ancestral 1*",SUM(AI38:AI42)&lt;AI38+2),"Get another "&amp;AI38+2-SUM(AI38:AI42)&amp;" Module"&amp;IF(AI38+2-SUM(AI38:AI42)&lt;&gt;1,"s","")&amp;" for Ancestral 2* Module",
AND(AH38 = "Ancestral",COUNTIF(AH39:AH42, "Epic+") &gt;= 1),"Get your Ancestral 1* Module by fusing",
AND(AH38 = "Ancestral",SUM(AI38:AI42)&lt;AI38+2),"Get another "&amp;AI38+2-SUM(AI38:AI42)&amp;" Module"&amp;IF(AI38+2-SUM(AI38:AI42)&lt;&gt;1,"s","")&amp;" for Ancestral 1* Module",
AND(AH38 = "Mythic+",COUNTIF(AH39:AH42, "Epic+") &gt;= 2),"Get your Ancestral Module by fusing",
AND(AH38 = "Mythic+",SUM(AI38:AI42)&lt;AI38+4),"Get another "&amp;AI38+4-SUM(AI38:AI42)&amp;" Module"&amp;IF(AI38+4-SUM(AI38:AI42)&lt;&gt;1,"s","")&amp;" for Ancestral Module",
AND(AH38 = "Mythic",$BB44 &gt;= 1),"Get your Mythic+ Module by fusing.",
AND(AH38 = "Mythic",$BD44 &gt;= 72),"Check Fodders to a Legendary+ Fodder",
AH38 = "Mythic", "Get some Fodders for Mythic+. You need 1x Legendary+",
AND(AH38 = "Legendary+",$BB44 &gt;= 1),"Get your Mythic Module by fusing.",
AND(AH38 = "Legendary+",$BD44 &gt;= 72),"Check Fodders to a Legendary+ Fodder",
AH38 = "Legendary+", "Get some Fodders for Mythic. You need 1x Legendary+",
AND(AH38 = "Legendary", OR(AH39 = "Epic+", AH40 = "Epic+", AH41 = "Epic+", AH42 = "Epic+")), "Get your Legendary+ Module by fusing",
AH38 = "Legendary", "You need another Epic+ Module to get Legendary+",
AND(AH38 = "Epic+",$BB41 &gt;= 2),"Get your Legendary Module by fusing.",
AND(AH38 = "Epic+",$BD44 &gt;= 36),"Check Fodders to get 2x Epic+ Fodders",
AH38 = "Epic+", "Get some Fodders for Legendary. You need 2x Epic+",
AND(AI45 = 2,OR(AH39 = "Epic", AH40 = "Epic", AH42 = "Epic", AH41 = "Epic")),"Get your Epic+ Module by fusing",
AI45 = 1,"Get your second Module",
TRUE,"Get your first Module"
)</f>
        <v>Get another 1 Module for Ancestral 1* Module</v>
      </c>
      <c r="AH43" s="29"/>
      <c r="AI43" s="29"/>
      <c r="AJ43" s="29"/>
      <c r="AK43" s="136"/>
      <c r="AL43" s="158"/>
      <c r="AM43" s="836" t="str">
        <f>IFS(
AN38 = "Ancestral 5*", "Congratulations! You're done.",
AND(AN38 = "Ancestral 4*",COUNTIF(AN39:AN42, "Epic+") &gt;= 1),"Get your Ancestral 5* Module by fusing",
AND(AN38 = "Ancestral 4*",SUM(AO38:AO42)&lt;AO38+2),"Get another "&amp;AO38+2-SUM(AO38:AO42)&amp;" Module"&amp;IF(AO38+2-SUM(AO38:AO42)&lt;&gt;1,"s","")&amp;" for Ancestral 5* Module",
AND(AN38 = "Ancestral 3*",COUNTIF(AN39:AN42, "Epic+") &gt;= 1),"Get your Ancestral 4* Module by fusing",
AND(AN38 = "Ancestral 3*",SUM(AO38:AO42)&lt;AO38+2),"Get another "&amp;AO38+2-SUM(AO38:AO42)&amp;" Module"&amp;IF(AO38+2-SUM(AO38:AO42)&lt;&gt;1,"s","")&amp;" for Ancestral 4* Module",
AND(AN38 = "Ancestral 2*",COUNTIF(AN39:AN42, "Epic+") &gt;= 1),"Get your Ancestral 3* Module by fusing",
AND(AN38 = "Ancestral 2*",SUM(AO38:AO42)&lt;AO38+2),"Get another "&amp;AO38+2-SUM(AO38:AO42)&amp;" Module"&amp;IF(AO38+2-SUM(AO38:AO42)&lt;&gt;1,"s","")&amp;" for Ancestral 3* Module",
AND(AN38 = "Ancestral 1*",COUNTIF(AN39:AN42, "Epic+") &gt;= 1),"Get your Ancestral 2* Module by fusing",
AND(AN38 = "Ancestral 1*",SUM(AO38:AO42)&lt;AO38+2),"Get another "&amp;AO38+2-SUM(AO38:AO42)&amp;" Module"&amp;IF(AO38+2-SUM(AO38:AO42)&lt;&gt;1,"s","")&amp;" for Ancestral 2* Module",
AND(AN38 = "Ancestral",COUNTIF(AN39:AN42, "Epic+") &gt;= 1),"Get your Ancestral 1* Module by fusing",
AND(AN38 = "Ancestral",SUM(AO38:AO42)&lt;AO38+2),"Get another "&amp;AO38+2-SUM(AO38:AO42)&amp;" Module"&amp;IF(AO38+2-SUM(AO38:AO42)&lt;&gt;1,"s","")&amp;" for Ancestral 1* Module",
AND(AN38 = "Mythic+",COUNTIF(AN39:AN42, "Epic+") &gt;= 2),"Get your Ancestral Module by fusing",
AND(AN38 = "Mythic+",SUM(AO38:AO42)&lt;AO38+4),"Get another "&amp;AO38+4-SUM(AO38:AO42)&amp;" Module"&amp;IF(AO38+4-SUM(AO38:AO42)&lt;&gt;1,"s","")&amp;" for Ancestral Module",
AND(AN38 = "Mythic",$BB44 &gt;= 1),"Get your Mythic+ Module by fusing.",
AND(AN38 = "Mythic",$BD44 &gt;= 72),"Check Fodders to a Legendary+ Fodder",
AN38 = "Mythic", "Get some Fodders for Mythic+. You need 1x Legendary+",
AND(AN38 = "Legendary+",$BB44 &gt;= 1),"Get your Mythic Module by fusing.",
AND(AN38 = "Legendary+",$BD44 &gt;= 72),"Check Fodders to a Legendary+ Fodder",
AN38 = "Legendary+", "Get some Fodders for Mythic. You need 1x Legendary+",
AND(AN38 = "Legendary", OR(AN39 = "Epic+", AN40 = "Epic+", AN41 = "Epic+", AN42 = "Epic+")), "Get your Legendary+ Module by fusing",
AN38 = "Legendary", "You need another Epic+ Module to get Legendary+",
AND(AN38 = "Epic+",$BB41 &gt;= 2),"Get your Legendary Module by fusing.",
AND(AN38 = "Epic+",$BD44 &gt;= 36),"Check Fodders to get 2x Epic+ Fodders",
AN38 = "Epic+", "Get some Fodders for Legendary. You need 2x Epic+",
AND(AO45 = 2,OR(AN39 = "Epic", AN40 = "Epic", AN42 = "Epic", AN41 = "Epic")),"Get your Epic+ Module by fusing",
AO45 = 1,"Get your second Module",
TRUE,"Get your first Module"
)</f>
        <v>Get another 1 Module for Ancestral 1* Module</v>
      </c>
      <c r="AN43" s="29"/>
      <c r="AO43" s="29"/>
      <c r="AP43" s="29"/>
      <c r="AQ43" s="136"/>
      <c r="AR43" s="158"/>
      <c r="AS43" s="836" t="str">
        <f>IFS(
AT38 = "Ancestral 5*", "Congratulations! You're done.",
AND(AT38 = "Ancestral 4*",COUNTIF(AT39:AT42, "Epic+") &gt;= 1),"Get your Ancestral 5* Module by fusing",
AND(AT38 = "Ancestral 4*",SUM(AU38:AU42)&lt;AU38+2),"Get another "&amp;AU38+2-SUM(AU38:AU42)&amp;" Module"&amp;IF(AU38+2-SUM(AU38:AU42)&lt;&gt;1,"s","")&amp;" for Ancestral 5* Module",
AND(AT38 = "Ancestral 3*",COUNTIF(AT39:AT42, "Epic+") &gt;= 1),"Get your Ancestral 4* Module by fusing",
AND(AT38 = "Ancestral 3*",SUM(AU38:AU42)&lt;AU38+2),"Get another "&amp;AU38+2-SUM(AU38:AU42)&amp;" Module"&amp;IF(AU38+2-SUM(AU38:AU42)&lt;&gt;1,"s","")&amp;" for Ancestral 4* Module",
AND(AT38 = "Ancestral 2*",COUNTIF(AT39:AT42, "Epic+") &gt;= 1),"Get your Ancestral 3* Module by fusing",
AND(AT38 = "Ancestral 2*",SUM(AU38:AU42)&lt;AU38+2),"Get another "&amp;AU38+2-SUM(AU38:AU42)&amp;" Module"&amp;IF(AU38+2-SUM(AU38:AU42)&lt;&gt;1,"s","")&amp;" for Ancestral 3* Module",
AND(AT38 = "Ancestral 1*",COUNTIF(AT39:AT42, "Epic+") &gt;= 1),"Get your Ancestral 2* Module by fusing",
AND(AT38 = "Ancestral 1*",SUM(AU38:AU42)&lt;AU38+2),"Get another "&amp;AU38+2-SUM(AU38:AU42)&amp;" Module"&amp;IF(AU38+2-SUM(AU38:AU42)&lt;&gt;1,"s","")&amp;" for Ancestral 2* Module",
AND(AT38 = "Ancestral",COUNTIF(AT39:AT42, "Epic+") &gt;= 1),"Get your Ancestral 1* Module by fusing",
AND(AT38 = "Ancestral",SUM(AU38:AU42)&lt;AU38+2),"Get another "&amp;AU38+2-SUM(AU38:AU42)&amp;" Module"&amp;IF(AU38+2-SUM(AU38:AU42)&lt;&gt;1,"s","")&amp;" for Ancestral 1* Module",
AND(AT38 = "Mythic+",COUNTIF(AT39:AT42, "Epic+") &gt;= 2),"Get your Ancestral Module by fusing",
AND(AT38 = "Mythic+",SUM(AU38:AU42)&lt;AU38+4),"Get another "&amp;AU38+4-SUM(AU38:AU42)&amp;" Module"&amp;IF(AU38+4-SUM(AU38:AU42)&lt;&gt;1,"s","")&amp;" for Ancestral Module",
AND(AT38 = "Mythic",$BB44 &gt;= 1),"Get your Mythic+ Module by fusing.",
AND(AT38 = "Mythic",$BD44 &gt;= 72),"Check Fodders to a Legendary+ Fodder",
AT38 = "Mythic", "Get some Fodders for Mythic+. You need 1x Legendary+",
AND(AT38 = "Legendary+",$BB44 &gt;= 1),"Get your Mythic Module by fusing.",
AND(AT38 = "Legendary+",$BD44 &gt;= 72),"Check Fodders to a Legendary+ Fodder",
AT38 = "Legendary+", "Get some Fodders for Mythic. You need 1x Legendary+",
AND(AT38 = "Legendary", OR(AT39 = "Epic+", AT40 = "Epic+", AT41 = "Epic+", AT42 = "Epic+")), "Get your Legendary+ Module by fusing",
AT38 = "Legendary", "You need another Epic+ Module to get Legendary+",
AND(AT38 = "Epic+",$BB41 &gt;= 2),"Get your Legendary Module by fusing.",
AND(AT38 = "Epic+",$BD44 &gt;= 36),"Check Fodders to get 2x Epic+ Fodders",
AT38 = "Epic+", "Get some Fodders for Legendary. You need 2x Epic+",
AND(AU45 = 2,OR(AT39 = "Epic", AT40 = "Epic", AT42 = "Epic", AT41 = "Epic")),"Get your Epic+ Module by fusing",
AU45 = 1,"Get your second Module",
TRUE,"Get your first Module"
)</f>
        <v>Get another 1 Module for Ancestral 3* Module</v>
      </c>
      <c r="AT43" s="29"/>
      <c r="AU43" s="29"/>
      <c r="AV43" s="29"/>
      <c r="AW43" s="136"/>
      <c r="AX43" s="11"/>
      <c r="AZ43" s="667" t="s">
        <v>298</v>
      </c>
      <c r="BA43" s="832">
        <v>72.0</v>
      </c>
      <c r="BB43" s="642">
        <v>0.0</v>
      </c>
      <c r="BC43" s="822" t="str">
        <f t="array" ref="BC43">LET(
    primary,{AT38,AN38,AH38,AB38,V38,P38} ,
    fodder,BB43,
    none, COUNTIF(primary,"=None"),
    epic, COUNTIF(primary,"=Epic*"),
    legendary, COUNTIF(primary,"=Legendary"),
    legendaryPlus, COUNTIF(primary,"=Legendary+"),
    mythic, COUNTIF(primary,"=Mythic"),
    neededNow, legendaryPlus*2+mythic,
    neededLater, (none+epic+legendary)*2,
    totalNeeded, neededNow+neededLater,
    IF(totalNeeded=0, IF(fodder&gt;0,"Shatter",), IF(fodder&gt;=totalNeeded, IF(neededNow&gt;0,"Merge",IF(neededLater=fodder,"Keep","Shatter "&amp;fodder-neededLater)),"Need +"&amp;totalNeeded-fodder)))</f>
        <v/>
      </c>
      <c r="BD43" s="832">
        <f t="shared" si="70"/>
        <v>0</v>
      </c>
      <c r="BE43" s="626"/>
      <c r="BG43" s="158"/>
    </row>
    <row r="44">
      <c r="B44" s="604"/>
      <c r="C44" s="604"/>
      <c r="D44" s="604"/>
      <c r="E44" s="604"/>
      <c r="F44" s="604"/>
      <c r="G44" s="604"/>
      <c r="H44" s="647"/>
      <c r="I44" s="647"/>
      <c r="J44" s="647"/>
      <c r="K44" s="647"/>
      <c r="L44" s="647"/>
      <c r="M44" s="604"/>
      <c r="O44" s="837" t="s">
        <v>411</v>
      </c>
      <c r="P44" s="672"/>
      <c r="Q44" s="673">
        <v>0.0</v>
      </c>
      <c r="R44" s="838"/>
      <c r="S44" s="655"/>
      <c r="T44" s="158"/>
      <c r="U44" s="837" t="s">
        <v>411</v>
      </c>
      <c r="V44" s="672"/>
      <c r="W44" s="746">
        <v>0.0</v>
      </c>
      <c r="X44" s="838"/>
      <c r="Y44" s="655"/>
      <c r="Z44" s="158"/>
      <c r="AA44" s="837" t="s">
        <v>411</v>
      </c>
      <c r="AB44" s="672"/>
      <c r="AC44" s="746">
        <v>0.0</v>
      </c>
      <c r="AD44" s="838"/>
      <c r="AE44" s="655"/>
      <c r="AF44" s="158"/>
      <c r="AG44" s="837" t="s">
        <v>411</v>
      </c>
      <c r="AH44" s="672"/>
      <c r="AI44" s="746">
        <v>0.0</v>
      </c>
      <c r="AJ44" s="838"/>
      <c r="AK44" s="655"/>
      <c r="AL44" s="158"/>
      <c r="AM44" s="837" t="s">
        <v>411</v>
      </c>
      <c r="AN44" s="672"/>
      <c r="AO44" s="673">
        <v>0.0</v>
      </c>
      <c r="AP44" s="838"/>
      <c r="AQ44" s="655"/>
      <c r="AR44" s="158"/>
      <c r="AS44" s="837" t="s">
        <v>411</v>
      </c>
      <c r="AT44" s="672"/>
      <c r="AU44" s="673">
        <v>0.0</v>
      </c>
      <c r="AV44" s="838"/>
      <c r="AW44" s="655"/>
      <c r="AX44" s="11"/>
      <c r="AZ44" s="839" t="s">
        <v>361</v>
      </c>
      <c r="BA44" s="840"/>
      <c r="BB44" s="841">
        <f>SUM(BB38:BB43)</f>
        <v>0</v>
      </c>
      <c r="BC44" s="842">
        <f>FLOOR(BE44/(COUNTA(MOD_CORES_LIST)*180),0.01)</f>
        <v>1</v>
      </c>
      <c r="BD44" s="843">
        <f>SUM(BD38:BD43)</f>
        <v>0</v>
      </c>
      <c r="BE44" s="844">
        <f>SUM(R38:R42,X38:X42,AD38:AD42,AJ38:AJ42,AP38:AP42,AV38:AV42)+BD44</f>
        <v>1080</v>
      </c>
      <c r="BG44" s="158"/>
    </row>
    <row r="45">
      <c r="A45" s="138"/>
      <c r="B45" s="604"/>
      <c r="C45" s="604"/>
      <c r="D45" s="604"/>
      <c r="E45" s="604"/>
      <c r="F45" s="604"/>
      <c r="G45" s="604"/>
      <c r="H45" s="647"/>
      <c r="I45" s="647"/>
      <c r="J45" s="647"/>
      <c r="K45" s="647"/>
      <c r="L45" s="647"/>
      <c r="M45" s="604"/>
      <c r="N45" s="138"/>
      <c r="O45" s="845" t="s">
        <v>447</v>
      </c>
      <c r="P45" s="685"/>
      <c r="Q45" s="846">
        <f>SUM(Q38:Q42)+IF($A$2,Q44)</f>
        <v>12</v>
      </c>
      <c r="R45" s="687">
        <f>IF($I22=0,0,Q45/$I22)</f>
        <v>0.1739130435</v>
      </c>
      <c r="S45" s="688">
        <f>IF($F$26=0,0,Q45/$F$26)</f>
        <v>0.0625</v>
      </c>
      <c r="T45" s="11"/>
      <c r="U45" s="845" t="s">
        <v>447</v>
      </c>
      <c r="V45" s="685"/>
      <c r="W45" s="846">
        <f>SUM(W38:W42)+IF($A$2,W44)</f>
        <v>8</v>
      </c>
      <c r="X45" s="687">
        <f>IF($I22=0,0,W45/$I22)</f>
        <v>0.115942029</v>
      </c>
      <c r="Y45" s="688">
        <f>IF($F$26=0,0,W45/$F$26)</f>
        <v>0.04166666667</v>
      </c>
      <c r="Z45" s="11"/>
      <c r="AA45" s="845" t="s">
        <v>447</v>
      </c>
      <c r="AB45" s="685"/>
      <c r="AC45" s="846">
        <f>SUM(AC38:AC42)+IF($A$2,AC44)</f>
        <v>18</v>
      </c>
      <c r="AD45" s="687">
        <f>IF($I22=0,0,AC45/$I22)</f>
        <v>0.2608695652</v>
      </c>
      <c r="AE45" s="688">
        <f>IF($F$26=0,0,AC45/$F$26)</f>
        <v>0.09375</v>
      </c>
      <c r="AF45" s="11"/>
      <c r="AG45" s="845" t="s">
        <v>447</v>
      </c>
      <c r="AH45" s="685"/>
      <c r="AI45" s="846">
        <f>SUM(AI38:AI42)+IF($A$2,AI44)</f>
        <v>9</v>
      </c>
      <c r="AJ45" s="687">
        <f>IF($I22=0,0,AI45/$I22)</f>
        <v>0.1304347826</v>
      </c>
      <c r="AK45" s="688">
        <f>IF($F$26=0,0,AI45/$F$26)</f>
        <v>0.046875</v>
      </c>
      <c r="AL45" s="11"/>
      <c r="AM45" s="845" t="s">
        <v>447</v>
      </c>
      <c r="AN45" s="685"/>
      <c r="AO45" s="846">
        <f>SUM(AO38:AO42)+IF($A$2,AO44)</f>
        <v>9</v>
      </c>
      <c r="AP45" s="687">
        <f>IF($I22=0,0,AO45/$I22)</f>
        <v>0.1304347826</v>
      </c>
      <c r="AQ45" s="688">
        <f>IF($F$26=0,0,AO45/$F$26)</f>
        <v>0.046875</v>
      </c>
      <c r="AR45" s="11"/>
      <c r="AS45" s="689" t="s">
        <v>447</v>
      </c>
      <c r="AT45" s="685"/>
      <c r="AU45" s="846">
        <f>SUM(AU38:AU42)+IF($A$2,AU44)</f>
        <v>13</v>
      </c>
      <c r="AV45" s="687">
        <f>IF($I22=0,0,AU45/$I22)</f>
        <v>0.1884057971</v>
      </c>
      <c r="AW45" s="688">
        <f>IF($F$26=0,0,AU45/$F$26)</f>
        <v>0.06770833333</v>
      </c>
      <c r="AX45" s="11"/>
      <c r="AY45" s="138"/>
      <c r="AZ45" s="690" t="s">
        <v>413</v>
      </c>
      <c r="BA45" s="691"/>
      <c r="BB45" s="691"/>
      <c r="BC45" s="691"/>
      <c r="BD45" s="692"/>
      <c r="BE45" s="693">
        <f>if($BE$11+$BE$22+$BE$33+$BE$44=0,0,BE44/($BE$11+$BE$22+$BE$33+$BE$44))</f>
        <v>0.2205882353</v>
      </c>
      <c r="BF45" s="138"/>
      <c r="BG45" s="11"/>
    </row>
    <row r="46">
      <c r="A46" s="787"/>
      <c r="B46" s="11"/>
      <c r="C46" s="11"/>
      <c r="D46" s="11"/>
      <c r="E46" s="11"/>
      <c r="F46" s="11"/>
      <c r="G46" s="11"/>
      <c r="H46" s="11"/>
      <c r="I46" s="11"/>
      <c r="J46" s="11"/>
      <c r="K46" s="11"/>
      <c r="L46" s="11"/>
      <c r="M46" s="11"/>
      <c r="N46" s="787"/>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787"/>
      <c r="AZ46" s="11"/>
      <c r="BA46" s="11"/>
      <c r="BB46" s="11"/>
      <c r="BC46" s="11"/>
      <c r="BD46" s="11"/>
      <c r="BE46" s="11"/>
      <c r="BF46" s="787"/>
      <c r="BG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847" t="str">
        <f>IF(IDS_LAB_LEVEL("Shatter Shards")&lt;5,"* You may want to have Shatter Shards Lv5 and/or a better eShards score before shattering shards","")</f>
        <v/>
      </c>
      <c r="BF47" s="11"/>
      <c r="BG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BF48" s="11"/>
      <c r="BG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row>
  </sheetData>
  <mergeCells count="378">
    <mergeCell ref="AZ3:BD3"/>
    <mergeCell ref="BE3:BE10"/>
    <mergeCell ref="BF3:BF12"/>
    <mergeCell ref="AZ12:BD12"/>
    <mergeCell ref="BF14:BF23"/>
    <mergeCell ref="AZ23:BD23"/>
    <mergeCell ref="H12:I12"/>
    <mergeCell ref="J12:L12"/>
    <mergeCell ref="H23:I23"/>
    <mergeCell ref="J23:L23"/>
    <mergeCell ref="O12:P12"/>
    <mergeCell ref="U12:V12"/>
    <mergeCell ref="AA12:AB12"/>
    <mergeCell ref="AG12:AH12"/>
    <mergeCell ref="N3:N12"/>
    <mergeCell ref="N14:N23"/>
    <mergeCell ref="O17:O20"/>
    <mergeCell ref="O23:P23"/>
    <mergeCell ref="AJ16:AK16"/>
    <mergeCell ref="AJ17:AK17"/>
    <mergeCell ref="AM17:AM20"/>
    <mergeCell ref="AJ22:AK22"/>
    <mergeCell ref="AM22:AN22"/>
    <mergeCell ref="AP22:AQ22"/>
    <mergeCell ref="AS22:AT22"/>
    <mergeCell ref="AV22:AW22"/>
    <mergeCell ref="U22:V22"/>
    <mergeCell ref="U23:V23"/>
    <mergeCell ref="AA23:AB23"/>
    <mergeCell ref="AG23:AH23"/>
    <mergeCell ref="AM23:AN23"/>
    <mergeCell ref="AS23:AT23"/>
    <mergeCell ref="X18:Y18"/>
    <mergeCell ref="AD18:AE18"/>
    <mergeCell ref="R22:S22"/>
    <mergeCell ref="X22:Y22"/>
    <mergeCell ref="AA22:AB22"/>
    <mergeCell ref="AD22:AE22"/>
    <mergeCell ref="AG22:AH22"/>
    <mergeCell ref="AJ18:AK18"/>
    <mergeCell ref="AP18:AQ18"/>
    <mergeCell ref="R19:S19"/>
    <mergeCell ref="X19:Y19"/>
    <mergeCell ref="AD19:AE19"/>
    <mergeCell ref="AJ19:AK19"/>
    <mergeCell ref="AP19:AQ19"/>
    <mergeCell ref="R20:S20"/>
    <mergeCell ref="X20:Y20"/>
    <mergeCell ref="AD20:AE20"/>
    <mergeCell ref="AJ20:AK20"/>
    <mergeCell ref="AP20:AQ20"/>
    <mergeCell ref="O21:S21"/>
    <mergeCell ref="U21:Y21"/>
    <mergeCell ref="AA21:AE21"/>
    <mergeCell ref="AG21:AK21"/>
    <mergeCell ref="AM21:AQ21"/>
    <mergeCell ref="O22:P22"/>
    <mergeCell ref="AS21:AW21"/>
    <mergeCell ref="AS25:AU25"/>
    <mergeCell ref="AV25:AW25"/>
    <mergeCell ref="BE25:BE32"/>
    <mergeCell ref="BF25:BF34"/>
    <mergeCell ref="AV26:AW26"/>
    <mergeCell ref="AS28:AS31"/>
    <mergeCell ref="AS45:AT45"/>
    <mergeCell ref="AZ45:BD45"/>
    <mergeCell ref="AZ47:BE48"/>
    <mergeCell ref="AS34:AT34"/>
    <mergeCell ref="AZ34:BD34"/>
    <mergeCell ref="AZ36:BD36"/>
    <mergeCell ref="BE36:BE43"/>
    <mergeCell ref="BF36:BF45"/>
    <mergeCell ref="AV37:AW37"/>
    <mergeCell ref="AS39:AS42"/>
    <mergeCell ref="AV27:AW27"/>
    <mergeCell ref="AV28:AW28"/>
    <mergeCell ref="AV29:AW29"/>
    <mergeCell ref="AV30:AW30"/>
    <mergeCell ref="AV31:AW31"/>
    <mergeCell ref="AS32:AW32"/>
    <mergeCell ref="AS33:AT33"/>
    <mergeCell ref="AV33:AW33"/>
    <mergeCell ref="AV38:AW38"/>
    <mergeCell ref="AV39:AW39"/>
    <mergeCell ref="AV40:AW40"/>
    <mergeCell ref="AV41:AW41"/>
    <mergeCell ref="AV42:AW42"/>
    <mergeCell ref="AS43:AW43"/>
    <mergeCell ref="AS6:AS9"/>
    <mergeCell ref="AS17:AS20"/>
    <mergeCell ref="AS3:AU3"/>
    <mergeCell ref="AV3:AW3"/>
    <mergeCell ref="AY3:AY45"/>
    <mergeCell ref="AV6:AW6"/>
    <mergeCell ref="AV7:AW7"/>
    <mergeCell ref="AV8:AW8"/>
    <mergeCell ref="AV16:AW16"/>
    <mergeCell ref="AV9:AW9"/>
    <mergeCell ref="AS10:AW10"/>
    <mergeCell ref="AS12:AT12"/>
    <mergeCell ref="AS14:AU14"/>
    <mergeCell ref="AV14:AW14"/>
    <mergeCell ref="AV15:AW15"/>
    <mergeCell ref="AV17:AW17"/>
    <mergeCell ref="AV18:AW18"/>
    <mergeCell ref="AV19:AW19"/>
    <mergeCell ref="AV20:AW20"/>
    <mergeCell ref="AS36:AU36"/>
    <mergeCell ref="AV36:AW36"/>
    <mergeCell ref="AS44:AT44"/>
    <mergeCell ref="AV44:AW44"/>
    <mergeCell ref="U14:W14"/>
    <mergeCell ref="X14:Y14"/>
    <mergeCell ref="X16:Y16"/>
    <mergeCell ref="AD16:AE16"/>
    <mergeCell ref="AP16:AQ16"/>
    <mergeCell ref="X17:Y17"/>
    <mergeCell ref="AD17:AE17"/>
    <mergeCell ref="AP17:AQ17"/>
    <mergeCell ref="O14:Q14"/>
    <mergeCell ref="R14:S14"/>
    <mergeCell ref="R17:S17"/>
    <mergeCell ref="U17:U20"/>
    <mergeCell ref="AA17:AA20"/>
    <mergeCell ref="AG17:AG20"/>
    <mergeCell ref="R18:S18"/>
    <mergeCell ref="AD25:AE25"/>
    <mergeCell ref="AD26:AE26"/>
    <mergeCell ref="AD27:AE27"/>
    <mergeCell ref="AD28:AE28"/>
    <mergeCell ref="AG28:AG31"/>
    <mergeCell ref="AD29:AE29"/>
    <mergeCell ref="AD30:AE30"/>
    <mergeCell ref="AD31:AE31"/>
    <mergeCell ref="AP25:AQ25"/>
    <mergeCell ref="AP26:AQ26"/>
    <mergeCell ref="AP27:AQ27"/>
    <mergeCell ref="AP28:AQ28"/>
    <mergeCell ref="AP29:AQ29"/>
    <mergeCell ref="AP30:AQ30"/>
    <mergeCell ref="AP31:AQ31"/>
    <mergeCell ref="B26:E26"/>
    <mergeCell ref="B27:E27"/>
    <mergeCell ref="R26:S26"/>
    <mergeCell ref="R27:S27"/>
    <mergeCell ref="X27:Y27"/>
    <mergeCell ref="X28:Y28"/>
    <mergeCell ref="AJ27:AK27"/>
    <mergeCell ref="AJ28:AK28"/>
    <mergeCell ref="AM28:AM31"/>
    <mergeCell ref="AJ29:AK29"/>
    <mergeCell ref="AJ30:AK30"/>
    <mergeCell ref="AJ31:AK31"/>
    <mergeCell ref="AG32:AK32"/>
    <mergeCell ref="AM32:AQ32"/>
    <mergeCell ref="X25:Y25"/>
    <mergeCell ref="AA25:AC25"/>
    <mergeCell ref="AG25:AI25"/>
    <mergeCell ref="AJ25:AK25"/>
    <mergeCell ref="AM25:AO25"/>
    <mergeCell ref="X26:Y26"/>
    <mergeCell ref="AJ26:AK26"/>
    <mergeCell ref="H25:L25"/>
    <mergeCell ref="H26:K26"/>
    <mergeCell ref="H27:K27"/>
    <mergeCell ref="H28:K28"/>
    <mergeCell ref="B28:E28"/>
    <mergeCell ref="B29:E29"/>
    <mergeCell ref="B31:E31"/>
    <mergeCell ref="H31:K31"/>
    <mergeCell ref="R25:S25"/>
    <mergeCell ref="R28:S28"/>
    <mergeCell ref="AA28:AA31"/>
    <mergeCell ref="R29:S29"/>
    <mergeCell ref="X29:Y29"/>
    <mergeCell ref="R30:S30"/>
    <mergeCell ref="R31:S31"/>
    <mergeCell ref="H32:K32"/>
    <mergeCell ref="O32:S32"/>
    <mergeCell ref="U32:Y32"/>
    <mergeCell ref="AA32:AE32"/>
    <mergeCell ref="AM33:AN33"/>
    <mergeCell ref="AP33:AQ33"/>
    <mergeCell ref="X38:Y38"/>
    <mergeCell ref="AD38:AE38"/>
    <mergeCell ref="AJ38:AK38"/>
    <mergeCell ref="X39:Y39"/>
    <mergeCell ref="X40:Y40"/>
    <mergeCell ref="X41:Y41"/>
    <mergeCell ref="X42:Y42"/>
    <mergeCell ref="AD36:AE36"/>
    <mergeCell ref="AD37:AE37"/>
    <mergeCell ref="AA39:AA42"/>
    <mergeCell ref="AD39:AE39"/>
    <mergeCell ref="AG39:AG42"/>
    <mergeCell ref="AD40:AE40"/>
    <mergeCell ref="AD41:AE41"/>
    <mergeCell ref="AG33:AH33"/>
    <mergeCell ref="AG34:AH34"/>
    <mergeCell ref="AM34:AN34"/>
    <mergeCell ref="X30:Y30"/>
    <mergeCell ref="X31:Y31"/>
    <mergeCell ref="X33:Y33"/>
    <mergeCell ref="AA33:AB33"/>
    <mergeCell ref="AD33:AE33"/>
    <mergeCell ref="AJ33:AK33"/>
    <mergeCell ref="AA34:AB34"/>
    <mergeCell ref="X36:Y36"/>
    <mergeCell ref="AA36:AC36"/>
    <mergeCell ref="AG36:AI36"/>
    <mergeCell ref="AJ36:AK36"/>
    <mergeCell ref="AM36:AO36"/>
    <mergeCell ref="X37:Y37"/>
    <mergeCell ref="AJ37:AK37"/>
    <mergeCell ref="AJ40:AK40"/>
    <mergeCell ref="AJ41:AK41"/>
    <mergeCell ref="AJ39:AK39"/>
    <mergeCell ref="AJ42:AK42"/>
    <mergeCell ref="AD42:AE42"/>
    <mergeCell ref="AA43:AE43"/>
    <mergeCell ref="AG43:AK43"/>
    <mergeCell ref="AP42:AQ42"/>
    <mergeCell ref="AM43:AQ43"/>
    <mergeCell ref="AP36:AQ36"/>
    <mergeCell ref="AP37:AQ37"/>
    <mergeCell ref="AP38:AQ38"/>
    <mergeCell ref="AM39:AM42"/>
    <mergeCell ref="AP39:AQ39"/>
    <mergeCell ref="AP40:AQ40"/>
    <mergeCell ref="AP41:AQ41"/>
    <mergeCell ref="AD4:AE4"/>
    <mergeCell ref="AJ4:AK4"/>
    <mergeCell ref="AP4:AQ4"/>
    <mergeCell ref="AV4:AW4"/>
    <mergeCell ref="R5:S5"/>
    <mergeCell ref="X5:Y5"/>
    <mergeCell ref="AD5:AE5"/>
    <mergeCell ref="AJ5:AK5"/>
    <mergeCell ref="AP5:AQ5"/>
    <mergeCell ref="AV5:AW5"/>
    <mergeCell ref="O6:O9"/>
    <mergeCell ref="R6:S6"/>
    <mergeCell ref="U6:U9"/>
    <mergeCell ref="X6:Y6"/>
    <mergeCell ref="O3:Q3"/>
    <mergeCell ref="R3:S3"/>
    <mergeCell ref="R7:S7"/>
    <mergeCell ref="R8:S8"/>
    <mergeCell ref="R9:S9"/>
    <mergeCell ref="O10:S10"/>
    <mergeCell ref="U3:W3"/>
    <mergeCell ref="X3:Y3"/>
    <mergeCell ref="X7:Y7"/>
    <mergeCell ref="X8:Y8"/>
    <mergeCell ref="X9:Y9"/>
    <mergeCell ref="U10:Y10"/>
    <mergeCell ref="AG3:AI3"/>
    <mergeCell ref="AJ3:AK3"/>
    <mergeCell ref="AJ6:AK6"/>
    <mergeCell ref="AM6:AM9"/>
    <mergeCell ref="AJ7:AK7"/>
    <mergeCell ref="AJ8:AK8"/>
    <mergeCell ref="AJ9:AK9"/>
    <mergeCell ref="AG10:AK10"/>
    <mergeCell ref="AM3:AO3"/>
    <mergeCell ref="AP3:AQ3"/>
    <mergeCell ref="AP6:AQ6"/>
    <mergeCell ref="AP7:AQ7"/>
    <mergeCell ref="AP8:AQ8"/>
    <mergeCell ref="AP9:AQ9"/>
    <mergeCell ref="AM10:AQ10"/>
    <mergeCell ref="R4:S4"/>
    <mergeCell ref="X4:Y4"/>
    <mergeCell ref="AD9:AE9"/>
    <mergeCell ref="AA10:AE10"/>
    <mergeCell ref="AA3:AC3"/>
    <mergeCell ref="AD3:AE3"/>
    <mergeCell ref="AA6:AA9"/>
    <mergeCell ref="AD6:AE6"/>
    <mergeCell ref="AG6:AG9"/>
    <mergeCell ref="AD7:AE7"/>
    <mergeCell ref="AD8:AE8"/>
    <mergeCell ref="O11:P11"/>
    <mergeCell ref="R11:S11"/>
    <mergeCell ref="U11:V11"/>
    <mergeCell ref="X11:Y11"/>
    <mergeCell ref="AA11:AB11"/>
    <mergeCell ref="AD11:AE11"/>
    <mergeCell ref="AG11:AH11"/>
    <mergeCell ref="AJ11:AK11"/>
    <mergeCell ref="AM11:AN11"/>
    <mergeCell ref="AP11:AQ11"/>
    <mergeCell ref="AS11:AT11"/>
    <mergeCell ref="AV11:AW11"/>
    <mergeCell ref="B12:C12"/>
    <mergeCell ref="D12:F12"/>
    <mergeCell ref="AA14:AC14"/>
    <mergeCell ref="AD14:AE14"/>
    <mergeCell ref="AG14:AI14"/>
    <mergeCell ref="AJ14:AK14"/>
    <mergeCell ref="AM14:AO14"/>
    <mergeCell ref="AP14:AQ14"/>
    <mergeCell ref="AZ14:BD14"/>
    <mergeCell ref="BE14:BE21"/>
    <mergeCell ref="R15:S15"/>
    <mergeCell ref="X15:Y15"/>
    <mergeCell ref="AD15:AE15"/>
    <mergeCell ref="AJ15:AK15"/>
    <mergeCell ref="H14:L14"/>
    <mergeCell ref="R16:S16"/>
    <mergeCell ref="B3:F3"/>
    <mergeCell ref="B14:F14"/>
    <mergeCell ref="B23:C23"/>
    <mergeCell ref="D23:F23"/>
    <mergeCell ref="B1:L1"/>
    <mergeCell ref="O1:AW1"/>
    <mergeCell ref="AZ1:BE1"/>
    <mergeCell ref="A3:A23"/>
    <mergeCell ref="H3:L3"/>
    <mergeCell ref="AM12:AN12"/>
    <mergeCell ref="AP15:AQ15"/>
    <mergeCell ref="AZ25:BD25"/>
    <mergeCell ref="H29:K29"/>
    <mergeCell ref="B30:E30"/>
    <mergeCell ref="H30:K30"/>
    <mergeCell ref="O33:P33"/>
    <mergeCell ref="R33:S33"/>
    <mergeCell ref="O28:O31"/>
    <mergeCell ref="O34:P34"/>
    <mergeCell ref="N25:N34"/>
    <mergeCell ref="N36:N45"/>
    <mergeCell ref="O36:Q36"/>
    <mergeCell ref="R36:S36"/>
    <mergeCell ref="H36:L36"/>
    <mergeCell ref="B37:E37"/>
    <mergeCell ref="H37:I37"/>
    <mergeCell ref="R37:S37"/>
    <mergeCell ref="B38:E38"/>
    <mergeCell ref="U39:U42"/>
    <mergeCell ref="B40:E40"/>
    <mergeCell ref="H40:I40"/>
    <mergeCell ref="H41:I41"/>
    <mergeCell ref="H42:I42"/>
    <mergeCell ref="A25:A45"/>
    <mergeCell ref="O25:Q25"/>
    <mergeCell ref="U25:W25"/>
    <mergeCell ref="U28:U31"/>
    <mergeCell ref="U33:V33"/>
    <mergeCell ref="U34:V34"/>
    <mergeCell ref="U36:W36"/>
    <mergeCell ref="U45:V45"/>
    <mergeCell ref="B25:F25"/>
    <mergeCell ref="B36:F36"/>
    <mergeCell ref="H38:I38"/>
    <mergeCell ref="R38:S38"/>
    <mergeCell ref="B39:E39"/>
    <mergeCell ref="H39:I39"/>
    <mergeCell ref="O39:O42"/>
    <mergeCell ref="R39:S39"/>
    <mergeCell ref="R40:S40"/>
    <mergeCell ref="R41:S41"/>
    <mergeCell ref="R42:S42"/>
    <mergeCell ref="U43:Y43"/>
    <mergeCell ref="X44:Y44"/>
    <mergeCell ref="AM44:AN44"/>
    <mergeCell ref="AP44:AQ44"/>
    <mergeCell ref="AM45:AN45"/>
    <mergeCell ref="O43:S43"/>
    <mergeCell ref="O44:P44"/>
    <mergeCell ref="R44:S44"/>
    <mergeCell ref="AA44:AB44"/>
    <mergeCell ref="AD44:AE44"/>
    <mergeCell ref="AG44:AH44"/>
    <mergeCell ref="AJ44:AK44"/>
    <mergeCell ref="U44:V44"/>
    <mergeCell ref="O45:P45"/>
    <mergeCell ref="AA45:AB45"/>
    <mergeCell ref="AG45:AH45"/>
  </mergeCells>
  <conditionalFormatting sqref="C5:C10 I5:I10 Q12 W12 AC12 AI12 AO12 AU12 C16:C21 I16:I21 Q23 W23 AC23 AI23 AO23 AU23 F27 Q34 W34 AC34 AI34 AO34 AU34 Q45 W45 AC45 AI45 AO45 AU45">
    <cfRule type="cellIs" dxfId="21" priority="1" operator="greaterThanOrEqual">
      <formula>18</formula>
    </cfRule>
  </conditionalFormatting>
  <conditionalFormatting sqref="C5:C10 I5:I10 Q12 W12 AC12 AI12 AO12 AU12 C16:C21 I16:I21 Q23 W23 AC23 AI23 AO23 AU23 F27 Q34 W34 AC34 AI34 AO34 AU34 Q45 W45 AC45 AI45 AO45 AU45">
    <cfRule type="cellIs" dxfId="22" priority="2" operator="greaterThanOrEqual">
      <formula>16</formula>
    </cfRule>
  </conditionalFormatting>
  <conditionalFormatting sqref="C5:C10 I5:I10 Q12 W12 AC12 AI12 AO12 AU12 C16:C21 I16:I21 Q23 W23 AC23 AI23 AO23 AU23 F27 Q34 W34 AC34 AI34 AO34 AU34 Q45 W45 AC45 AI45 AO45 AU45">
    <cfRule type="cellIs" dxfId="23" priority="3" operator="greaterThanOrEqual">
      <formula>16</formula>
    </cfRule>
  </conditionalFormatting>
  <conditionalFormatting sqref="C5:C10 I5:I10 Q12 W12 AC12 AI12 AO12 AU12 C16:C21 I16:I21 Q23 W23 AC23 AI23 AO23 AU23 F27 Q34 W34 AC34 AI34 AO34 AU34 Q45 W45 AC45 AI45 AO45 AU45">
    <cfRule type="cellIs" dxfId="24" priority="4" operator="greaterThanOrEqual">
      <formula>12</formula>
    </cfRule>
  </conditionalFormatting>
  <conditionalFormatting sqref="C5:C10 I5:I10 Q12 W12 AC12 AI12 AO12 AU12 C16:C21 I16:I21 Q23 W23 AC23 AI23 AO23 AU23 F27 Q34 W34 AC34 AI34 AO34 AU34 Q45 W45 AC45 AI45 AO45 AU45">
    <cfRule type="cellIs" dxfId="25" priority="5" operator="greaterThanOrEqual">
      <formula>10</formula>
    </cfRule>
  </conditionalFormatting>
  <conditionalFormatting sqref="C5:C10 I5:I10 Q12 W12 AC12 AI12 AO12 AU12 C16:C21 I16:I21 Q23 W23 AC23 AI23 AO23 AU23 F27 Q34 W34 AC34 AI34 AO34 AU34 Q45 W45 AC45 AI45 AO45 AU45">
    <cfRule type="cellIs" dxfId="26" priority="6" operator="greaterThanOrEqual">
      <formula>8</formula>
    </cfRule>
  </conditionalFormatting>
  <conditionalFormatting sqref="C5:C10 I5:I10 Q12 W12 AC12 AI12 AO12 AU12 C16:C21 I16:I21 Q23 W23 AC23 AI23 AO23 AU23 F27 Q34 W34 AC34 AI34 AO34 AU34 Q45 W45 AC45 AI45 AO45 AU45">
    <cfRule type="cellIs" dxfId="15" priority="7" operator="greaterThanOrEqual">
      <formula>4</formula>
    </cfRule>
  </conditionalFormatting>
  <conditionalFormatting sqref="C5:C10 I5:I10 Q12 W12 AC12 AI12 AO12 AU12 C16:C21 I16:I21 Q23 W23 AC23 AI23 AO23 AU23 F27 Q34 W34 AC34 AI34 AO34 AU34 Q45 W45 AC45 AI45 AO45 AU45">
    <cfRule type="cellIs" dxfId="14" priority="8" operator="greaterThanOrEqual">
      <formula>2</formula>
    </cfRule>
  </conditionalFormatting>
  <conditionalFormatting sqref="C5:C10 I5:I10 Q12 W12 AC12 AI12 AO12 AU12 C16:C21 I16:I21 Q23 W23 AC23 AI23 AO23 AU23 F27 Q34 W34 AC34 AI34 AO34 AU34 Q45 W45 AC45 AI45 AO45 AU45">
    <cfRule type="cellIs" dxfId="13" priority="9" operator="greaterThanOrEqual">
      <formula>1</formula>
    </cfRule>
  </conditionalFormatting>
  <conditionalFormatting sqref="C5:C10 I5:I10 Q12 W12 AC12 AI12 AO12 AU12 C16:C21 I16:I21 Q23 W23 AC23 AI23 AO23 AU23 F27 Q34 W34 AC34 AI34 AO34 AU34 Q45 W45 AC45 AI45 AO45 AU45">
    <cfRule type="cellIs" dxfId="12" priority="10" operator="greaterThanOrEqual">
      <formula>0</formula>
    </cfRule>
  </conditionalFormatting>
  <conditionalFormatting sqref="C5:C10 I5:I10 Q12 W12 AC12 AI12 AO12 AU12 C16:C21 I16:I21 Q23 W23 AC23 AI23 AO23 AU23 F27 Q34 W34 AC34 AI34 AO34 AU34 Q45 W45 AC45 AI45 AO45 AU45">
    <cfRule type="containsBlanks" dxfId="17" priority="11">
      <formula>LEN(TRIM(C5))=0</formula>
    </cfRule>
  </conditionalFormatting>
  <dataValidations>
    <dataValidation type="list" allowBlank="1" showDropDown="1" showErrorMessage="1" sqref="P5 V5 AB5 AH5 AN5 AT5 P16 V16 AB16 AH16 AN16 AT16 P27 V27 AB27 AH27 AN27 AT27 P38 V38 AB38 AH38 AN38 AT38">
      <formula1>DVT_Modules!$S$3:$S$15</formula1>
    </dataValidation>
    <dataValidation type="list" allowBlank="1" showErrorMessage="1" sqref="P6:P9 V6:V9 AB6:AB9 AH6:AH9 AN6:AN9 AT6:AT9 P17:P20 V17:V20 AB17:AB20 AH17:AH20 AN17:AN20 AT17:AT20 P28:P31 V28:V31 AB28:AB31 AH28:AH31 AN28:AN31 AT28:AT31 P39:P42 V39:V42 AB39:AB42 AH39:AH42 AN39:AN42 AT39:AT42">
      <formula1>DVT_Modules!$B$6:$B$17</formula1>
    </dataValidation>
  </dataValidations>
  <drawing r:id="rId2"/>
  <legacyDrawing r:id="rId3"/>
  <tableParts count="4">
    <tablePart r:id="rId8"/>
    <tablePart r:id="rId9"/>
    <tablePart r:id="rId10"/>
    <tablePart r:id="rId11"/>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Right="0"/>
    <pageSetUpPr/>
  </sheetPr>
  <sheetViews>
    <sheetView workbookViewId="0"/>
  </sheetViews>
  <sheetFormatPr customHeight="1" defaultColWidth="14.43" defaultRowHeight="15.75" outlineLevelCol="1"/>
  <cols>
    <col customWidth="1" min="1" max="1" width="23.29"/>
    <col customWidth="1" min="2" max="2" width="15.57"/>
    <col customWidth="1" min="3" max="3" width="6.43"/>
    <col customWidth="1" min="4" max="4" width="8.43"/>
    <col customWidth="1" min="5" max="5" width="6.86"/>
    <col customWidth="1" min="6" max="13" width="10.86"/>
    <col customWidth="1" min="14" max="14" width="3.71"/>
    <col customWidth="1" min="15" max="15" width="32.71"/>
    <col customWidth="1" min="16" max="16" width="3.43"/>
    <col customWidth="1" min="17" max="17" width="40.0"/>
    <col customWidth="1" min="18" max="18" width="6.29"/>
    <col collapsed="1" customWidth="1" min="19" max="19" width="3.71"/>
    <col customWidth="1" hidden="1" min="20" max="20" width="14.29" outlineLevel="1"/>
    <col customWidth="1" hidden="1" min="21" max="55" width="10.71" outlineLevel="1"/>
    <col customWidth="1" min="56" max="56" width="10.71"/>
  </cols>
  <sheetData>
    <row r="1">
      <c r="A1" s="848" t="s">
        <v>448</v>
      </c>
      <c r="B1" s="849">
        <v>0.95</v>
      </c>
      <c r="C1" s="1"/>
      <c r="D1" s="850" t="s">
        <v>449</v>
      </c>
      <c r="E1" s="851" t="s">
        <v>450</v>
      </c>
      <c r="F1" s="852" t="s">
        <v>176</v>
      </c>
      <c r="G1" s="30"/>
      <c r="H1" s="853" t="s">
        <v>175</v>
      </c>
      <c r="I1" s="30"/>
      <c r="J1" s="854" t="s">
        <v>180</v>
      </c>
      <c r="K1" s="30"/>
      <c r="L1" s="855" t="s">
        <v>174</v>
      </c>
      <c r="M1" s="30"/>
      <c r="N1" s="1"/>
      <c r="O1" s="856" t="s">
        <v>451</v>
      </c>
      <c r="Q1" s="1"/>
      <c r="R1" s="1"/>
      <c r="S1" s="1"/>
      <c r="T1" s="857" t="s">
        <v>452</v>
      </c>
      <c r="AE1" s="1"/>
      <c r="AF1" s="1"/>
      <c r="AG1" s="1"/>
      <c r="AH1" s="1"/>
      <c r="AI1" s="1"/>
      <c r="AJ1" s="1"/>
      <c r="AK1" s="1"/>
      <c r="AL1" s="1"/>
      <c r="AM1" s="1"/>
      <c r="AN1" s="1"/>
      <c r="AO1" s="1"/>
      <c r="AP1" s="1"/>
      <c r="AQ1" s="1"/>
      <c r="AR1" s="1"/>
      <c r="AS1" s="1"/>
      <c r="AT1" s="1"/>
      <c r="AU1" s="1"/>
      <c r="AV1" s="1"/>
      <c r="AW1" s="1"/>
      <c r="AX1" s="1"/>
      <c r="AY1" s="1"/>
      <c r="AZ1" s="1"/>
      <c r="BA1" s="1"/>
      <c r="BB1" s="1"/>
      <c r="BC1" s="1"/>
      <c r="BD1" s="1"/>
    </row>
    <row r="2">
      <c r="A2" s="150"/>
      <c r="B2" s="150"/>
      <c r="C2" s="1"/>
      <c r="D2" s="858"/>
      <c r="E2" s="415"/>
      <c r="F2" s="859" t="s">
        <v>453</v>
      </c>
      <c r="G2" s="860" t="s">
        <v>454</v>
      </c>
      <c r="H2" s="859" t="s">
        <v>453</v>
      </c>
      <c r="I2" s="860" t="s">
        <v>454</v>
      </c>
      <c r="J2" s="859" t="s">
        <v>453</v>
      </c>
      <c r="K2" s="860" t="s">
        <v>454</v>
      </c>
      <c r="L2" s="859" t="s">
        <v>453</v>
      </c>
      <c r="M2" s="861" t="s">
        <v>454</v>
      </c>
      <c r="N2" s="1"/>
      <c r="Q2" s="1"/>
      <c r="R2" s="1"/>
      <c r="S2" s="1"/>
      <c r="AE2" s="1"/>
      <c r="AF2" s="1"/>
      <c r="AG2" s="1"/>
      <c r="AH2" s="1"/>
      <c r="AI2" s="1"/>
      <c r="AJ2" s="1"/>
      <c r="AK2" s="1"/>
      <c r="AL2" s="1"/>
      <c r="AM2" s="1"/>
      <c r="AN2" s="1"/>
      <c r="AO2" s="1"/>
      <c r="AP2" s="1"/>
      <c r="AQ2" s="1"/>
      <c r="AR2" s="1"/>
      <c r="AS2" s="1"/>
      <c r="AT2" s="1"/>
      <c r="AU2" s="1"/>
      <c r="AV2" s="1"/>
      <c r="AW2" s="1"/>
      <c r="AX2" s="1"/>
      <c r="AY2" s="1"/>
      <c r="AZ2" s="1"/>
      <c r="BA2" s="1"/>
      <c r="BB2" s="1"/>
      <c r="BC2" s="1"/>
      <c r="BD2" s="1"/>
    </row>
    <row r="3">
      <c r="A3" s="1"/>
      <c r="B3" s="1"/>
      <c r="C3" s="1"/>
      <c r="D3" s="862"/>
      <c r="E3" s="365"/>
      <c r="F3" s="672"/>
      <c r="G3" s="863"/>
      <c r="H3" s="672"/>
      <c r="I3" s="863"/>
      <c r="J3" s="672"/>
      <c r="K3" s="863"/>
      <c r="L3" s="672"/>
      <c r="M3" s="365"/>
      <c r="N3" s="1"/>
      <c r="Q3" s="1"/>
      <c r="R3" s="1"/>
      <c r="S3" s="1"/>
      <c r="AE3" s="1"/>
      <c r="AF3" s="1"/>
      <c r="AG3" s="1"/>
      <c r="AH3" s="1"/>
      <c r="AI3" s="1"/>
      <c r="AJ3" s="1"/>
      <c r="AK3" s="1"/>
      <c r="AL3" s="1"/>
      <c r="AM3" s="1"/>
      <c r="AN3" s="1"/>
      <c r="AO3" s="1"/>
      <c r="AP3" s="1"/>
      <c r="AQ3" s="1"/>
      <c r="AR3" s="1"/>
      <c r="AS3" s="1"/>
      <c r="AT3" s="1"/>
      <c r="AU3" s="1"/>
      <c r="AV3" s="1"/>
      <c r="AW3" s="1"/>
      <c r="AX3" s="1"/>
      <c r="AY3" s="1"/>
      <c r="AZ3" s="1"/>
      <c r="BA3" s="1"/>
      <c r="BB3" s="1"/>
      <c r="BC3" s="1"/>
      <c r="BD3" s="1"/>
    </row>
    <row r="4">
      <c r="A4" s="864" t="s">
        <v>455</v>
      </c>
      <c r="B4" s="572"/>
      <c r="C4" s="1"/>
      <c r="D4" s="865">
        <v>8.0</v>
      </c>
      <c r="E4" s="866">
        <v>0.0</v>
      </c>
      <c r="F4" s="867">
        <f>IFERROR(AV13, "-")</f>
        <v>8</v>
      </c>
      <c r="G4" s="868">
        <f t="shared" ref="G4:G11" si="1">IFERROR(F4*$D41, "-")</f>
        <v>80</v>
      </c>
      <c r="H4" s="869">
        <f>IFERROR(AM13, "-")</f>
        <v>34</v>
      </c>
      <c r="I4" s="870">
        <f t="shared" ref="I4:I11" si="2">IFERROR(H4*$D41, "-")</f>
        <v>340</v>
      </c>
      <c r="J4" s="871">
        <f>IFERROR(AD13, "-")</f>
        <v>98</v>
      </c>
      <c r="K4" s="872">
        <f t="shared" ref="K4:K11" si="3">IFERROR(J4*$D41, "-")</f>
        <v>980</v>
      </c>
      <c r="L4" s="873">
        <f>IFERROR(U13, "-")</f>
        <v>425</v>
      </c>
      <c r="M4" s="874">
        <f t="shared" ref="M4:M11" si="4">IFERROR(L4*$D41, "-")</f>
        <v>4250</v>
      </c>
      <c r="N4" s="1"/>
      <c r="O4" s="1"/>
      <c r="P4" s="1"/>
      <c r="Q4" s="1"/>
      <c r="R4" s="1"/>
      <c r="S4" s="1"/>
      <c r="T4" s="875" t="s">
        <v>456</v>
      </c>
      <c r="U4" s="876" t="s">
        <v>457</v>
      </c>
      <c r="V4" s="876" t="s">
        <v>458</v>
      </c>
      <c r="W4" s="876" t="s">
        <v>459</v>
      </c>
      <c r="X4" s="876" t="s">
        <v>460</v>
      </c>
      <c r="Y4" s="876" t="s">
        <v>461</v>
      </c>
      <c r="Z4" s="876" t="s">
        <v>462</v>
      </c>
      <c r="AA4" s="876" t="s">
        <v>463</v>
      </c>
      <c r="AB4" s="877" t="s">
        <v>464</v>
      </c>
      <c r="AC4" s="875" t="s">
        <v>465</v>
      </c>
      <c r="AD4" s="876" t="s">
        <v>457</v>
      </c>
      <c r="AE4" s="876" t="s">
        <v>458</v>
      </c>
      <c r="AF4" s="876" t="s">
        <v>459</v>
      </c>
      <c r="AG4" s="876" t="s">
        <v>460</v>
      </c>
      <c r="AH4" s="876" t="s">
        <v>461</v>
      </c>
      <c r="AI4" s="876" t="s">
        <v>462</v>
      </c>
      <c r="AJ4" s="876" t="s">
        <v>463</v>
      </c>
      <c r="AK4" s="877" t="s">
        <v>464</v>
      </c>
      <c r="AL4" s="875" t="s">
        <v>466</v>
      </c>
      <c r="AM4" s="876" t="s">
        <v>457</v>
      </c>
      <c r="AN4" s="876" t="s">
        <v>458</v>
      </c>
      <c r="AO4" s="876" t="s">
        <v>459</v>
      </c>
      <c r="AP4" s="876" t="s">
        <v>460</v>
      </c>
      <c r="AQ4" s="876" t="s">
        <v>461</v>
      </c>
      <c r="AR4" s="876" t="s">
        <v>462</v>
      </c>
      <c r="AS4" s="876" t="s">
        <v>463</v>
      </c>
      <c r="AT4" s="877" t="s">
        <v>464</v>
      </c>
      <c r="AU4" s="875" t="s">
        <v>467</v>
      </c>
      <c r="AV4" s="876" t="s">
        <v>457</v>
      </c>
      <c r="AW4" s="876" t="s">
        <v>458</v>
      </c>
      <c r="AX4" s="876" t="s">
        <v>459</v>
      </c>
      <c r="AY4" s="876" t="s">
        <v>460</v>
      </c>
      <c r="AZ4" s="876" t="s">
        <v>461</v>
      </c>
      <c r="BA4" s="876" t="s">
        <v>462</v>
      </c>
      <c r="BB4" s="876" t="s">
        <v>463</v>
      </c>
      <c r="BC4" s="877" t="s">
        <v>464</v>
      </c>
      <c r="BD4" s="1"/>
    </row>
    <row r="5">
      <c r="A5" s="878" t="s">
        <v>468</v>
      </c>
      <c r="B5" s="865">
        <v>5.0</v>
      </c>
      <c r="C5" s="1"/>
      <c r="D5" s="865">
        <v>7.0</v>
      </c>
      <c r="E5" s="879">
        <f t="shared" ref="E5:E11" si="5">E4+1</f>
        <v>1</v>
      </c>
      <c r="F5" s="880">
        <f>IFERROR(AW13, "-")</f>
        <v>10</v>
      </c>
      <c r="G5" s="881">
        <f t="shared" si="1"/>
        <v>400</v>
      </c>
      <c r="H5" s="882">
        <f>IFERROR(AN13, "-")</f>
        <v>45</v>
      </c>
      <c r="I5" s="883">
        <f t="shared" si="2"/>
        <v>1800</v>
      </c>
      <c r="J5" s="884">
        <f>IFERROR(AE13, "-")</f>
        <v>132</v>
      </c>
      <c r="K5" s="885">
        <f t="shared" si="3"/>
        <v>5280</v>
      </c>
      <c r="L5" s="886">
        <f>IFERROR(V13, "-")</f>
        <v>571</v>
      </c>
      <c r="M5" s="887">
        <f t="shared" si="4"/>
        <v>22840</v>
      </c>
      <c r="N5" s="1"/>
      <c r="O5" s="888" t="s">
        <v>469</v>
      </c>
      <c r="P5" s="889">
        <f>17-B6</f>
        <v>17</v>
      </c>
      <c r="Q5" s="890" t="s">
        <v>470</v>
      </c>
      <c r="R5" s="891">
        <f>SWITCH($B7,"Ancestral",$L$44,0)</f>
        <v>0.003</v>
      </c>
      <c r="S5" s="1"/>
      <c r="T5" s="892" t="s">
        <v>471</v>
      </c>
      <c r="U5" s="893">
        <f>($D4/($P$5-$E4))*$R$5</f>
        <v>0.001411764706</v>
      </c>
      <c r="V5" s="893">
        <f>($D5/($P$5-$E5))*$R$5</f>
        <v>0.0013125</v>
      </c>
      <c r="W5" s="893">
        <f>($D6/($P$5-$E6))*$R$5</f>
        <v>0.0012</v>
      </c>
      <c r="X5" s="893">
        <f>($D7/($P$5-$E7))*$R$5</f>
        <v>0.001071428571</v>
      </c>
      <c r="Y5" s="893">
        <f>($D8/($P$5-$E8))*$R$5</f>
        <v>0.0009230769231</v>
      </c>
      <c r="Z5" s="893">
        <f>($D9/($P$5-$E9))*$R$5</f>
        <v>0.00075</v>
      </c>
      <c r="AA5" s="893">
        <f>($D10/($P$5-$E10))*$R$5</f>
        <v>0.0005454545455</v>
      </c>
      <c r="AB5" s="894">
        <f>($D11/($P$5-$E11))*$R$5</f>
        <v>0.0003</v>
      </c>
      <c r="AC5" s="892" t="s">
        <v>471</v>
      </c>
      <c r="AD5" s="893">
        <f>($D4/($P$6-$E4))*$R$6</f>
        <v>0.006117647059</v>
      </c>
      <c r="AE5" s="893">
        <f>($D5/($P$6-$E5))*$R$6</f>
        <v>0.0056875</v>
      </c>
      <c r="AF5" s="893">
        <f>($D6/($P$6-$E6))*$R$6</f>
        <v>0.0052</v>
      </c>
      <c r="AG5" s="893">
        <f>($D7/($P$6-$E7))*$R$6</f>
        <v>0.004642857143</v>
      </c>
      <c r="AH5" s="893">
        <f>($D8/($P$6-$E8))*$R$6</f>
        <v>0.004</v>
      </c>
      <c r="AI5" s="893">
        <f>($D9/($P$6-$E9))*$R$6</f>
        <v>0.00325</v>
      </c>
      <c r="AJ5" s="893">
        <f>($D10/($P$6-$E10))*$R$6</f>
        <v>0.002363636364</v>
      </c>
      <c r="AK5" s="894">
        <f>($D11/($P$6-$E11))*$R$6</f>
        <v>0.0013</v>
      </c>
      <c r="AL5" s="892" t="s">
        <v>471</v>
      </c>
      <c r="AM5" s="893">
        <f>($D4/($P$7-$E4))*$R$7</f>
        <v>0.01788235294</v>
      </c>
      <c r="AN5" s="893">
        <f>($D5/($P$7-$E5))*$R$7</f>
        <v>0.016625</v>
      </c>
      <c r="AO5" s="893">
        <f>($D6/($P$7-$E6))*$R$7</f>
        <v>0.0152</v>
      </c>
      <c r="AP5" s="893">
        <f>($D7/($P$7-$E7))*$R$7</f>
        <v>0.01357142857</v>
      </c>
      <c r="AQ5" s="893">
        <f>($D8/($P$7-$E8))*$R$7</f>
        <v>0.01169230769</v>
      </c>
      <c r="AR5" s="893">
        <f>($D9/($P$7-$E9))*$R$7</f>
        <v>0.0095</v>
      </c>
      <c r="AS5" s="893">
        <f>($D10/($P$7-$E10))*$R$7</f>
        <v>0.006909090909</v>
      </c>
      <c r="AT5" s="894">
        <f>($D11/($P$7-$E11))*$R$7</f>
        <v>0.0038</v>
      </c>
      <c r="AU5" s="892" t="s">
        <v>471</v>
      </c>
      <c r="AV5" s="893">
        <f>($D4/($P$8-$E4))*$R$8</f>
        <v>0.07885714286</v>
      </c>
      <c r="AW5" s="893">
        <f>($D5/($P$8-$E5))*$R$8</f>
        <v>0.07430769231</v>
      </c>
      <c r="AX5" s="893">
        <f>($D6/($P$8-$E6))*$R$8</f>
        <v>0.069</v>
      </c>
      <c r="AY5" s="893">
        <f>($D7/($P$8-$E7))*$R$8</f>
        <v>0.06272727273</v>
      </c>
      <c r="AZ5" s="893">
        <f>($D8/($P$8-$E8))*$R$8</f>
        <v>0.0552</v>
      </c>
      <c r="BA5" s="893">
        <f>($D9/($P$8-$E9))*$R$8</f>
        <v>0.046</v>
      </c>
      <c r="BB5" s="893">
        <f>($D10/($P$8-$E10))*$R$8</f>
        <v>0.0345</v>
      </c>
      <c r="BC5" s="894">
        <f>($D11/($P$8-$E11))*$R$8</f>
        <v>0.01971428571</v>
      </c>
      <c r="BD5" s="1"/>
    </row>
    <row r="6">
      <c r="A6" s="878" t="s">
        <v>472</v>
      </c>
      <c r="B6" s="895">
        <f>'Master Sheet'!C12</f>
        <v>0</v>
      </c>
      <c r="C6" s="1"/>
      <c r="D6" s="865">
        <v>6.0</v>
      </c>
      <c r="E6" s="879">
        <f t="shared" si="5"/>
        <v>2</v>
      </c>
      <c r="F6" s="880">
        <f>IFERROR(AX13, "-")</f>
        <v>14</v>
      </c>
      <c r="G6" s="881">
        <f t="shared" si="1"/>
        <v>2240</v>
      </c>
      <c r="H6" s="882">
        <f>IFERROR(AO13, "-")</f>
        <v>66</v>
      </c>
      <c r="I6" s="883">
        <f t="shared" si="2"/>
        <v>10560</v>
      </c>
      <c r="J6" s="884">
        <f>IFERROR(AF13, "-")</f>
        <v>192</v>
      </c>
      <c r="K6" s="885">
        <f t="shared" si="3"/>
        <v>30720</v>
      </c>
      <c r="L6" s="886">
        <f>IFERROR(W13, "-")</f>
        <v>832</v>
      </c>
      <c r="M6" s="887">
        <f t="shared" si="4"/>
        <v>133120</v>
      </c>
      <c r="N6" s="1"/>
      <c r="O6" s="888" t="s">
        <v>473</v>
      </c>
      <c r="P6" s="889">
        <f>17-B6</f>
        <v>17</v>
      </c>
      <c r="Q6" s="890" t="s">
        <v>474</v>
      </c>
      <c r="R6" s="891">
        <f>SWITCH($B7,"Ancestral",SUM($L$43:$L$44),"Mythic",$L$43,0)</f>
        <v>0.013</v>
      </c>
      <c r="S6" s="1"/>
      <c r="T6" s="892" t="s">
        <v>475</v>
      </c>
      <c r="U6" s="893">
        <f t="shared" ref="U6:AB6" si="6">U$5*(1-SUM(U$5:U5))</f>
        <v>0.001409771626</v>
      </c>
      <c r="V6" s="893">
        <f t="shared" si="6"/>
        <v>0.001310777344</v>
      </c>
      <c r="W6" s="893">
        <f t="shared" si="6"/>
        <v>0.00119856</v>
      </c>
      <c r="X6" s="893">
        <f t="shared" si="6"/>
        <v>0.001070280612</v>
      </c>
      <c r="Y6" s="893">
        <f t="shared" si="6"/>
        <v>0.0009222248521</v>
      </c>
      <c r="Z6" s="893">
        <f t="shared" si="6"/>
        <v>0.0007494375</v>
      </c>
      <c r="AA6" s="893">
        <f t="shared" si="6"/>
        <v>0.0005451570248</v>
      </c>
      <c r="AB6" s="896">
        <f t="shared" si="6"/>
        <v>0.00029991</v>
      </c>
      <c r="AC6" s="892" t="s">
        <v>475</v>
      </c>
      <c r="AD6" s="893">
        <f t="shared" ref="AD6:AK6" si="7">AD$5*(1-SUM(AD$5:AD5))</f>
        <v>0.006080221453</v>
      </c>
      <c r="AE6" s="893">
        <f t="shared" si="7"/>
        <v>0.005655152344</v>
      </c>
      <c r="AF6" s="893">
        <f t="shared" si="7"/>
        <v>0.00517296</v>
      </c>
      <c r="AG6" s="893">
        <f t="shared" si="7"/>
        <v>0.00462130102</v>
      </c>
      <c r="AH6" s="893">
        <f t="shared" si="7"/>
        <v>0.003984</v>
      </c>
      <c r="AI6" s="893">
        <f t="shared" si="7"/>
        <v>0.0032394375</v>
      </c>
      <c r="AJ6" s="893">
        <f t="shared" si="7"/>
        <v>0.002358049587</v>
      </c>
      <c r="AK6" s="896">
        <f t="shared" si="7"/>
        <v>0.00129831</v>
      </c>
      <c r="AL6" s="892" t="s">
        <v>475</v>
      </c>
      <c r="AM6" s="893">
        <f t="shared" ref="AM6:AT6" si="8">AM$5*(1-SUM(AM$5:AM5))</f>
        <v>0.01756257439</v>
      </c>
      <c r="AN6" s="893">
        <f t="shared" si="8"/>
        <v>0.01634860938</v>
      </c>
      <c r="AO6" s="893">
        <f t="shared" si="8"/>
        <v>0.01496896</v>
      </c>
      <c r="AP6" s="893">
        <f t="shared" si="8"/>
        <v>0.0133872449</v>
      </c>
      <c r="AQ6" s="893">
        <f t="shared" si="8"/>
        <v>0.01155559763</v>
      </c>
      <c r="AR6" s="893">
        <f t="shared" si="8"/>
        <v>0.00940975</v>
      </c>
      <c r="AS6" s="893">
        <f t="shared" si="8"/>
        <v>0.006861355372</v>
      </c>
      <c r="AT6" s="896">
        <f t="shared" si="8"/>
        <v>0.00378556</v>
      </c>
      <c r="AU6" s="892" t="s">
        <v>475</v>
      </c>
      <c r="AV6" s="893">
        <f t="shared" ref="AV6:BC6" si="9">AV$5*(1-SUM(AV$5:AV5))</f>
        <v>0.07263869388</v>
      </c>
      <c r="AW6" s="893">
        <f t="shared" si="9"/>
        <v>0.06878605917</v>
      </c>
      <c r="AX6" s="893">
        <f t="shared" si="9"/>
        <v>0.064239</v>
      </c>
      <c r="AY6" s="893">
        <f t="shared" si="9"/>
        <v>0.05879256198</v>
      </c>
      <c r="AZ6" s="893">
        <f t="shared" si="9"/>
        <v>0.05215296</v>
      </c>
      <c r="BA6" s="893">
        <f t="shared" si="9"/>
        <v>0.043884</v>
      </c>
      <c r="BB6" s="893">
        <f t="shared" si="9"/>
        <v>0.03330975</v>
      </c>
      <c r="BC6" s="896">
        <f t="shared" si="9"/>
        <v>0.01932563265</v>
      </c>
      <c r="BD6" s="1"/>
    </row>
    <row r="7">
      <c r="A7" s="586" t="s">
        <v>476</v>
      </c>
      <c r="B7" s="865" t="s">
        <v>174</v>
      </c>
      <c r="C7" s="1"/>
      <c r="D7" s="865">
        <v>5.0</v>
      </c>
      <c r="E7" s="879">
        <f t="shared" si="5"/>
        <v>3</v>
      </c>
      <c r="F7" s="880">
        <f>IFERROR(AY13, "-")</f>
        <v>24</v>
      </c>
      <c r="G7" s="881">
        <f t="shared" si="1"/>
        <v>12000</v>
      </c>
      <c r="H7" s="882">
        <f>IFERROR(AP13, "-")</f>
        <v>110</v>
      </c>
      <c r="I7" s="883">
        <f t="shared" si="2"/>
        <v>55000</v>
      </c>
      <c r="J7" s="884">
        <f>IFERROR(AG13, "-")</f>
        <v>322</v>
      </c>
      <c r="K7" s="885">
        <f t="shared" si="3"/>
        <v>161000</v>
      </c>
      <c r="L7" s="886">
        <f>IFERROR(X13, "-")</f>
        <v>1398</v>
      </c>
      <c r="M7" s="887">
        <f t="shared" si="4"/>
        <v>699000</v>
      </c>
      <c r="N7" s="1"/>
      <c r="O7" s="888" t="s">
        <v>477</v>
      </c>
      <c r="P7" s="889">
        <f>17-B6</f>
        <v>17</v>
      </c>
      <c r="Q7" s="890" t="s">
        <v>478</v>
      </c>
      <c r="R7" s="891">
        <f>SWITCH($B7,"Ancestral",SUM($L$42:$L$44),"Mythic",SUM($L$42:$L$43),"Legendary",$L$42,0)</f>
        <v>0.038</v>
      </c>
      <c r="S7" s="1"/>
      <c r="T7" s="892" t="s">
        <v>479</v>
      </c>
      <c r="U7" s="893">
        <f t="shared" ref="U7:AB7" si="10">U$5*(1-SUM(U$5:U6))</f>
        <v>0.00140778136</v>
      </c>
      <c r="V7" s="893">
        <f t="shared" si="10"/>
        <v>0.001309056948</v>
      </c>
      <c r="W7" s="893">
        <f t="shared" si="10"/>
        <v>0.001197121728</v>
      </c>
      <c r="X7" s="893">
        <f t="shared" si="10"/>
        <v>0.001069133883</v>
      </c>
      <c r="Y7" s="893">
        <f t="shared" si="10"/>
        <v>0.0009213735676</v>
      </c>
      <c r="Z7" s="893">
        <f t="shared" si="10"/>
        <v>0.0007488754219</v>
      </c>
      <c r="AA7" s="897">
        <f t="shared" si="10"/>
        <v>0.0005448596664</v>
      </c>
      <c r="AB7" s="896">
        <f t="shared" si="10"/>
        <v>0.000299820027</v>
      </c>
      <c r="AC7" s="892" t="s">
        <v>479</v>
      </c>
      <c r="AD7" s="893">
        <f t="shared" ref="AD7:AK7" si="11">AD$5*(1-SUM(AD$5:AD6))</f>
        <v>0.006043024804</v>
      </c>
      <c r="AE7" s="893">
        <f t="shared" si="11"/>
        <v>0.005622988665</v>
      </c>
      <c r="AF7" s="893">
        <f t="shared" si="11"/>
        <v>0.005146060608</v>
      </c>
      <c r="AG7" s="893">
        <f t="shared" si="11"/>
        <v>0.00459984498</v>
      </c>
      <c r="AH7" s="893">
        <f t="shared" si="11"/>
        <v>0.003968064</v>
      </c>
      <c r="AI7" s="893">
        <f t="shared" si="11"/>
        <v>0.003228909328</v>
      </c>
      <c r="AJ7" s="897">
        <f t="shared" si="11"/>
        <v>0.002352476015</v>
      </c>
      <c r="AK7" s="896">
        <f t="shared" si="11"/>
        <v>0.001296622197</v>
      </c>
      <c r="AL7" s="892" t="s">
        <v>479</v>
      </c>
      <c r="AM7" s="893">
        <f t="shared" ref="AM7:AT7" si="12">AM$5*(1-SUM(AM$5:AM6))</f>
        <v>0.01724851424</v>
      </c>
      <c r="AN7" s="893">
        <f t="shared" si="12"/>
        <v>0.01607681374</v>
      </c>
      <c r="AO7" s="893">
        <f t="shared" si="12"/>
        <v>0.01474143181</v>
      </c>
      <c r="AP7" s="893">
        <f t="shared" si="12"/>
        <v>0.01320556086</v>
      </c>
      <c r="AQ7" s="893">
        <f t="shared" si="12"/>
        <v>0.01142048603</v>
      </c>
      <c r="AR7" s="893">
        <f t="shared" si="12"/>
        <v>0.009320357375</v>
      </c>
      <c r="AS7" s="897">
        <f t="shared" si="12"/>
        <v>0.006813949644</v>
      </c>
      <c r="AT7" s="896">
        <f t="shared" si="12"/>
        <v>0.003771174872</v>
      </c>
      <c r="AU7" s="892" t="s">
        <v>479</v>
      </c>
      <c r="AV7" s="893">
        <f t="shared" ref="AV7:BC7" si="13">AV$5*(1-SUM(AV$5:AV6))</f>
        <v>0.06691061402</v>
      </c>
      <c r="AW7" s="893">
        <f t="shared" si="13"/>
        <v>0.06367472585</v>
      </c>
      <c r="AX7" s="893">
        <f t="shared" si="13"/>
        <v>0.059806509</v>
      </c>
      <c r="AY7" s="893">
        <f t="shared" si="13"/>
        <v>0.05510466491</v>
      </c>
      <c r="AZ7" s="893">
        <f t="shared" si="13"/>
        <v>0.04927411661</v>
      </c>
      <c r="BA7" s="893">
        <f t="shared" si="13"/>
        <v>0.041865336</v>
      </c>
      <c r="BB7" s="897">
        <f t="shared" si="13"/>
        <v>0.03216056363</v>
      </c>
      <c r="BC7" s="896">
        <f t="shared" si="13"/>
        <v>0.01894464161</v>
      </c>
      <c r="BD7" s="1"/>
    </row>
    <row r="8">
      <c r="A8" s="1"/>
      <c r="B8" s="1"/>
      <c r="C8" s="1"/>
      <c r="D8" s="865">
        <v>4.0</v>
      </c>
      <c r="E8" s="879">
        <f t="shared" si="5"/>
        <v>4</v>
      </c>
      <c r="F8" s="880">
        <f>IFERROR(AZ13, "-")</f>
        <v>53</v>
      </c>
      <c r="G8" s="881">
        <f t="shared" si="1"/>
        <v>53000</v>
      </c>
      <c r="H8" s="882">
        <f>IFERROR(AQ13, "-")</f>
        <v>255</v>
      </c>
      <c r="I8" s="883">
        <f t="shared" si="2"/>
        <v>255000</v>
      </c>
      <c r="J8" s="884">
        <f>IFERROR(AH13, "-")</f>
        <v>748</v>
      </c>
      <c r="K8" s="885">
        <f t="shared" si="3"/>
        <v>748000</v>
      </c>
      <c r="L8" s="886">
        <f>IFERROR(Y13, "-")</f>
        <v>3244</v>
      </c>
      <c r="M8" s="887">
        <f t="shared" si="4"/>
        <v>3244000</v>
      </c>
      <c r="N8" s="1"/>
      <c r="O8" s="888" t="s">
        <v>480</v>
      </c>
      <c r="P8" s="889">
        <f>14-B6</f>
        <v>14</v>
      </c>
      <c r="Q8" s="890" t="s">
        <v>481</v>
      </c>
      <c r="R8" s="891">
        <f>SWITCH($B7,"Ancestral",SUM($L$41:$L$44),"Mythic",SUM($L$41:$L$43),"Legendary",SUM($L$41:$L$42),"Epic",SUM($L$41),0)</f>
        <v>0.138</v>
      </c>
      <c r="S8" s="1"/>
      <c r="T8" s="892" t="s">
        <v>482</v>
      </c>
      <c r="U8" s="893">
        <f t="shared" ref="U8:AB8" si="14">U$5*(1-SUM(U$5:U7))</f>
        <v>0.001405793904</v>
      </c>
      <c r="V8" s="893">
        <f t="shared" si="14"/>
        <v>0.001307338811</v>
      </c>
      <c r="W8" s="893">
        <f t="shared" si="14"/>
        <v>0.001195685182</v>
      </c>
      <c r="X8" s="893">
        <f t="shared" si="14"/>
        <v>0.001067988382</v>
      </c>
      <c r="Y8" s="893">
        <f t="shared" si="14"/>
        <v>0.0009205230689</v>
      </c>
      <c r="Z8" s="897">
        <f t="shared" si="14"/>
        <v>0.0007483137653</v>
      </c>
      <c r="AA8" s="897">
        <f t="shared" si="14"/>
        <v>0.0005445624702</v>
      </c>
      <c r="AB8" s="896">
        <f t="shared" si="14"/>
        <v>0.000299730081</v>
      </c>
      <c r="AC8" s="892" t="s">
        <v>482</v>
      </c>
      <c r="AD8" s="893">
        <f t="shared" ref="AD8:AK8" si="15">AD$5*(1-SUM(AD$5:AD7))</f>
        <v>0.006006055711</v>
      </c>
      <c r="AE8" s="893">
        <f t="shared" si="15"/>
        <v>0.005591007917</v>
      </c>
      <c r="AF8" s="893">
        <f t="shared" si="15"/>
        <v>0.005119301093</v>
      </c>
      <c r="AG8" s="893">
        <f t="shared" si="15"/>
        <v>0.004578488557</v>
      </c>
      <c r="AH8" s="893">
        <f t="shared" si="15"/>
        <v>0.003952191744</v>
      </c>
      <c r="AI8" s="897">
        <f t="shared" si="15"/>
        <v>0.003218415373</v>
      </c>
      <c r="AJ8" s="897">
        <f t="shared" si="15"/>
        <v>0.002346915617</v>
      </c>
      <c r="AK8" s="896">
        <f t="shared" si="15"/>
        <v>0.001294936588</v>
      </c>
      <c r="AL8" s="892" t="s">
        <v>482</v>
      </c>
      <c r="AM8" s="893">
        <f t="shared" ref="AM8:AT8" si="16">AM$5*(1-SUM(AM$5:AM7))</f>
        <v>0.01694007022</v>
      </c>
      <c r="AN8" s="893">
        <f t="shared" si="16"/>
        <v>0.01580953672</v>
      </c>
      <c r="AO8" s="893">
        <f t="shared" si="16"/>
        <v>0.01451736204</v>
      </c>
      <c r="AP8" s="893">
        <f t="shared" si="16"/>
        <v>0.01302634253</v>
      </c>
      <c r="AQ8" s="893">
        <f t="shared" si="16"/>
        <v>0.01128695419</v>
      </c>
      <c r="AR8" s="897">
        <f t="shared" si="16"/>
        <v>0.00923181398</v>
      </c>
      <c r="AS8" s="897">
        <f t="shared" si="16"/>
        <v>0.006766871446</v>
      </c>
      <c r="AT8" s="896">
        <f t="shared" si="16"/>
        <v>0.003756844407</v>
      </c>
      <c r="AU8" s="892" t="s">
        <v>482</v>
      </c>
      <c r="AV8" s="893">
        <f t="shared" ref="AV8:BC8" si="17">AV$5*(1-SUM(AV$5:AV7))</f>
        <v>0.06163423417</v>
      </c>
      <c r="AW8" s="893">
        <f t="shared" si="17"/>
        <v>0.05894320392</v>
      </c>
      <c r="AX8" s="893">
        <f t="shared" si="17"/>
        <v>0.05567985988</v>
      </c>
      <c r="AY8" s="893">
        <f t="shared" si="17"/>
        <v>0.05164809957</v>
      </c>
      <c r="AZ8" s="893">
        <f t="shared" si="17"/>
        <v>0.04655418537</v>
      </c>
      <c r="BA8" s="897">
        <f t="shared" si="17"/>
        <v>0.03993953054</v>
      </c>
      <c r="BB8" s="897">
        <f t="shared" si="17"/>
        <v>0.03105102418</v>
      </c>
      <c r="BC8" s="896">
        <f t="shared" si="17"/>
        <v>0.01857116153</v>
      </c>
      <c r="BD8" s="1"/>
    </row>
    <row r="9">
      <c r="A9" s="1"/>
      <c r="B9" s="1"/>
      <c r="C9" s="1"/>
      <c r="D9" s="865">
        <v>3.0</v>
      </c>
      <c r="E9" s="879">
        <f t="shared" si="5"/>
        <v>5</v>
      </c>
      <c r="F9" s="880" t="str">
        <f>IFERROR(BA13, "-")</f>
        <v>-</v>
      </c>
      <c r="G9" s="881" t="str">
        <f t="shared" si="1"/>
        <v>-</v>
      </c>
      <c r="H9" s="882" t="str">
        <f>IFERROR(AR13, "-")</f>
        <v>-</v>
      </c>
      <c r="I9" s="883" t="str">
        <f t="shared" si="2"/>
        <v>-</v>
      </c>
      <c r="J9" s="884" t="str">
        <f>IFERROR(AI13, "-")</f>
        <v>-</v>
      </c>
      <c r="K9" s="885" t="str">
        <f t="shared" si="3"/>
        <v>-</v>
      </c>
      <c r="L9" s="886" t="str">
        <f>IFERROR(Z13, "-")</f>
        <v>-</v>
      </c>
      <c r="M9" s="887" t="str">
        <f t="shared" si="4"/>
        <v>-</v>
      </c>
      <c r="N9" s="1"/>
      <c r="O9" s="1"/>
      <c r="P9" s="1"/>
      <c r="Q9" s="1"/>
      <c r="R9" s="1"/>
      <c r="S9" s="1"/>
      <c r="T9" s="892" t="s">
        <v>483</v>
      </c>
      <c r="U9" s="893">
        <f t="shared" ref="U9:AB9" si="18">U$5*(1-SUM(U$5:U8))</f>
        <v>0.001403809254</v>
      </c>
      <c r="V9" s="893">
        <f t="shared" si="18"/>
        <v>0.001305622929</v>
      </c>
      <c r="W9" s="893">
        <f t="shared" si="18"/>
        <v>0.00119425036</v>
      </c>
      <c r="X9" s="893">
        <f t="shared" si="18"/>
        <v>0.001066844109</v>
      </c>
      <c r="Y9" s="897">
        <f t="shared" si="18"/>
        <v>0.0009196733553</v>
      </c>
      <c r="Z9" s="897">
        <f t="shared" si="18"/>
        <v>0.00074775253</v>
      </c>
      <c r="AA9" s="897">
        <f t="shared" si="18"/>
        <v>0.0005442654362</v>
      </c>
      <c r="AB9" s="896">
        <f t="shared" si="18"/>
        <v>0.000299640162</v>
      </c>
      <c r="AC9" s="892" t="s">
        <v>483</v>
      </c>
      <c r="AD9" s="893">
        <f t="shared" ref="AD9:AK9" si="19">AD$5*(1-SUM(AD$5:AD8))</f>
        <v>0.005969312782</v>
      </c>
      <c r="AE9" s="893">
        <f t="shared" si="19"/>
        <v>0.005559209059</v>
      </c>
      <c r="AF9" s="893">
        <f t="shared" si="19"/>
        <v>0.005092680727</v>
      </c>
      <c r="AG9" s="893">
        <f t="shared" si="19"/>
        <v>0.004557231289</v>
      </c>
      <c r="AH9" s="897">
        <f t="shared" si="19"/>
        <v>0.003936382977</v>
      </c>
      <c r="AI9" s="897">
        <f t="shared" si="19"/>
        <v>0.003207955523</v>
      </c>
      <c r="AJ9" s="897">
        <f t="shared" si="19"/>
        <v>0.002341368362</v>
      </c>
      <c r="AK9" s="896">
        <f t="shared" si="19"/>
        <v>0.001293253171</v>
      </c>
      <c r="AL9" s="892" t="s">
        <v>483</v>
      </c>
      <c r="AM9" s="893">
        <f t="shared" ref="AM9:AT9" si="20">AM$5*(1-SUM(AM$5:AM8))</f>
        <v>0.01663714191</v>
      </c>
      <c r="AN9" s="893">
        <f t="shared" si="20"/>
        <v>0.01554670317</v>
      </c>
      <c r="AO9" s="893">
        <f t="shared" si="20"/>
        <v>0.01429669814</v>
      </c>
      <c r="AP9" s="893">
        <f t="shared" si="20"/>
        <v>0.01284955646</v>
      </c>
      <c r="AQ9" s="897">
        <f t="shared" si="20"/>
        <v>0.01115498365</v>
      </c>
      <c r="AR9" s="897">
        <f t="shared" si="20"/>
        <v>0.009144111747</v>
      </c>
      <c r="AS9" s="897">
        <f t="shared" si="20"/>
        <v>0.006720118516</v>
      </c>
      <c r="AT9" s="896">
        <f t="shared" si="20"/>
        <v>0.003742568399</v>
      </c>
      <c r="AU9" s="892" t="s">
        <v>483</v>
      </c>
      <c r="AV9" s="893">
        <f t="shared" ref="AV9:BC9" si="21">AV$5*(1-SUM(AV$5:AV8))</f>
        <v>0.05677393456</v>
      </c>
      <c r="AW9" s="893">
        <f t="shared" si="21"/>
        <v>0.05456327046</v>
      </c>
      <c r="AX9" s="893">
        <f t="shared" si="21"/>
        <v>0.05183794955</v>
      </c>
      <c r="AY9" s="893">
        <f t="shared" si="21"/>
        <v>0.04840835514</v>
      </c>
      <c r="AZ9" s="897">
        <f t="shared" si="21"/>
        <v>0.04398439434</v>
      </c>
      <c r="BA9" s="897">
        <f t="shared" si="21"/>
        <v>0.03810231214</v>
      </c>
      <c r="BB9" s="897">
        <f t="shared" si="21"/>
        <v>0.02997976385</v>
      </c>
      <c r="BC9" s="896">
        <f t="shared" si="21"/>
        <v>0.01820504435</v>
      </c>
      <c r="BD9" s="1"/>
    </row>
    <row r="10">
      <c r="A10" s="1"/>
      <c r="B10" s="1"/>
      <c r="C10" s="1"/>
      <c r="D10" s="865">
        <v>2.0</v>
      </c>
      <c r="E10" s="879">
        <f t="shared" si="5"/>
        <v>6</v>
      </c>
      <c r="F10" s="880" t="str">
        <f>IFERROR(BB13, "-")</f>
        <v>-</v>
      </c>
      <c r="G10" s="881" t="str">
        <f t="shared" si="1"/>
        <v>-</v>
      </c>
      <c r="H10" s="882" t="str">
        <f>IFERROR(AS13, "-")</f>
        <v>-</v>
      </c>
      <c r="I10" s="883" t="str">
        <f t="shared" si="2"/>
        <v>-</v>
      </c>
      <c r="J10" s="884" t="str">
        <f>IFERROR(AJ13, "-")</f>
        <v>-</v>
      </c>
      <c r="K10" s="885" t="str">
        <f t="shared" si="3"/>
        <v>-</v>
      </c>
      <c r="L10" s="886" t="str">
        <f>IFERROR(AA13, "-")</f>
        <v>-</v>
      </c>
      <c r="M10" s="887" t="str">
        <f t="shared" si="4"/>
        <v>-</v>
      </c>
      <c r="N10" s="1"/>
      <c r="O10" s="888" t="s">
        <v>484</v>
      </c>
      <c r="P10" s="889">
        <f>17-B15</f>
        <v>15</v>
      </c>
      <c r="Q10" s="890" t="s">
        <v>485</v>
      </c>
      <c r="R10" s="891">
        <f>SWITCH($B16,"Ancestral",$L$44,0)</f>
        <v>0</v>
      </c>
      <c r="S10" s="1"/>
      <c r="T10" s="892" t="s">
        <v>486</v>
      </c>
      <c r="U10" s="893">
        <f t="shared" ref="U10:AB10" si="22">U$5*(1-SUM(U$5:U9))</f>
        <v>0.001401827406</v>
      </c>
      <c r="V10" s="893">
        <f t="shared" si="22"/>
        <v>0.001303909299</v>
      </c>
      <c r="W10" s="893">
        <f t="shared" si="22"/>
        <v>0.001192817259</v>
      </c>
      <c r="X10" s="897">
        <f t="shared" si="22"/>
        <v>0.001065701062</v>
      </c>
      <c r="Y10" s="897">
        <f t="shared" si="22"/>
        <v>0.0009188244261</v>
      </c>
      <c r="Z10" s="897">
        <f t="shared" si="22"/>
        <v>0.0007471917156</v>
      </c>
      <c r="AA10" s="897">
        <f t="shared" si="22"/>
        <v>0.0005439685641</v>
      </c>
      <c r="AB10" s="896">
        <f t="shared" si="22"/>
        <v>0.0002995502699</v>
      </c>
      <c r="AC10" s="892" t="s">
        <v>486</v>
      </c>
      <c r="AD10" s="893">
        <f t="shared" ref="AD10:AK10" si="23">AD$5*(1-SUM(AD$5:AD9))</f>
        <v>0.005932794634</v>
      </c>
      <c r="AE10" s="893">
        <f t="shared" si="23"/>
        <v>0.005527591058</v>
      </c>
      <c r="AF10" s="893">
        <f t="shared" si="23"/>
        <v>0.005066198787</v>
      </c>
      <c r="AG10" s="897">
        <f t="shared" si="23"/>
        <v>0.004536072715</v>
      </c>
      <c r="AH10" s="897">
        <f t="shared" si="23"/>
        <v>0.003920637445</v>
      </c>
      <c r="AI10" s="897">
        <f t="shared" si="23"/>
        <v>0.003197529667</v>
      </c>
      <c r="AJ10" s="897">
        <f t="shared" si="23"/>
        <v>0.002335834219</v>
      </c>
      <c r="AK10" s="896">
        <f t="shared" si="23"/>
        <v>0.001291571941</v>
      </c>
      <c r="AL10" s="892" t="s">
        <v>486</v>
      </c>
      <c r="AM10" s="893">
        <f t="shared" ref="AM10:AT10" si="24">AM$5*(1-SUM(AM$5:AM9))</f>
        <v>0.01633963066</v>
      </c>
      <c r="AN10" s="893">
        <f t="shared" si="24"/>
        <v>0.01528823923</v>
      </c>
      <c r="AO10" s="893">
        <f t="shared" si="24"/>
        <v>0.01407938833</v>
      </c>
      <c r="AP10" s="897">
        <f t="shared" si="24"/>
        <v>0.01267516962</v>
      </c>
      <c r="AQ10" s="897">
        <f t="shared" si="24"/>
        <v>0.01102455615</v>
      </c>
      <c r="AR10" s="897">
        <f t="shared" si="24"/>
        <v>0.009057242686</v>
      </c>
      <c r="AS10" s="897">
        <f t="shared" si="24"/>
        <v>0.006673688607</v>
      </c>
      <c r="AT10" s="896">
        <f t="shared" si="24"/>
        <v>0.003728346639</v>
      </c>
      <c r="AU10" s="892" t="s">
        <v>486</v>
      </c>
      <c r="AV10" s="893">
        <f t="shared" ref="AV10:BC10" si="25">AV$5*(1-SUM(AV$5:AV9))</f>
        <v>0.05229690429</v>
      </c>
      <c r="AW10" s="893">
        <f t="shared" si="25"/>
        <v>0.05050879974</v>
      </c>
      <c r="AX10" s="893">
        <f t="shared" si="25"/>
        <v>0.04826113103</v>
      </c>
      <c r="AY10" s="897">
        <f t="shared" si="25"/>
        <v>0.04537183105</v>
      </c>
      <c r="AZ10" s="897">
        <f t="shared" si="25"/>
        <v>0.04155645577</v>
      </c>
      <c r="BA10" s="897">
        <f t="shared" si="25"/>
        <v>0.03634960578</v>
      </c>
      <c r="BB10" s="897">
        <f t="shared" si="25"/>
        <v>0.02894546199</v>
      </c>
      <c r="BC10" s="896">
        <f t="shared" si="25"/>
        <v>0.0178461449</v>
      </c>
      <c r="BD10" s="1"/>
    </row>
    <row r="11">
      <c r="A11" s="1"/>
      <c r="B11" s="1"/>
      <c r="C11" s="1"/>
      <c r="D11" s="898">
        <v>1.0</v>
      </c>
      <c r="E11" s="899">
        <f t="shared" si="5"/>
        <v>7</v>
      </c>
      <c r="F11" s="900" t="str">
        <f>IFERROR(BC13, "-")</f>
        <v>-</v>
      </c>
      <c r="G11" s="901" t="str">
        <f t="shared" si="1"/>
        <v>-</v>
      </c>
      <c r="H11" s="902" t="str">
        <f>IFERROR(AT13, "-")</f>
        <v>-</v>
      </c>
      <c r="I11" s="903" t="str">
        <f t="shared" si="2"/>
        <v>-</v>
      </c>
      <c r="J11" s="904" t="str">
        <f>IFERROR(AK13, "-")</f>
        <v>-</v>
      </c>
      <c r="K11" s="905" t="str">
        <f t="shared" si="3"/>
        <v>-</v>
      </c>
      <c r="L11" s="906" t="str">
        <f>IFERROR(AB13, "-")</f>
        <v>-</v>
      </c>
      <c r="M11" s="907" t="str">
        <f t="shared" si="4"/>
        <v>-</v>
      </c>
      <c r="N11" s="1"/>
      <c r="O11" s="888" t="s">
        <v>487</v>
      </c>
      <c r="P11" s="889">
        <f>17-B15</f>
        <v>15</v>
      </c>
      <c r="Q11" s="890" t="s">
        <v>488</v>
      </c>
      <c r="R11" s="891">
        <f>SWITCH($B16,"Ancestral",SUM($L$43:$L$44),"Mythic",$L$43,0)</f>
        <v>0</v>
      </c>
      <c r="S11" s="1"/>
      <c r="T11" s="892" t="s">
        <v>489</v>
      </c>
      <c r="U11" s="893">
        <f t="shared" ref="U11:AB11" si="26">U$5*(1-SUM(U$5:U10))</f>
        <v>0.001399848355</v>
      </c>
      <c r="V11" s="893">
        <f t="shared" si="26"/>
        <v>0.001302197918</v>
      </c>
      <c r="W11" s="897">
        <f t="shared" si="26"/>
        <v>0.001191385879</v>
      </c>
      <c r="X11" s="897">
        <f t="shared" si="26"/>
        <v>0.001064559239</v>
      </c>
      <c r="Y11" s="897">
        <f t="shared" si="26"/>
        <v>0.0009179762804</v>
      </c>
      <c r="Z11" s="897">
        <f t="shared" si="26"/>
        <v>0.0007466313218</v>
      </c>
      <c r="AA11" s="897">
        <f t="shared" si="26"/>
        <v>0.000543671854</v>
      </c>
      <c r="AB11" s="896">
        <f t="shared" si="26"/>
        <v>0.0002994604048</v>
      </c>
      <c r="AC11" s="892" t="s">
        <v>489</v>
      </c>
      <c r="AD11" s="893">
        <f t="shared" ref="AD11:AK11" si="27">AD$5*(1-SUM(AD$5:AD10))</f>
        <v>0.00589649989</v>
      </c>
      <c r="AE11" s="893">
        <f t="shared" si="27"/>
        <v>0.005496152884</v>
      </c>
      <c r="AF11" s="897">
        <f t="shared" si="27"/>
        <v>0.005039854554</v>
      </c>
      <c r="AG11" s="897">
        <f t="shared" si="27"/>
        <v>0.004515012377</v>
      </c>
      <c r="AH11" s="897">
        <f t="shared" si="27"/>
        <v>0.003904954895</v>
      </c>
      <c r="AI11" s="897">
        <f t="shared" si="27"/>
        <v>0.003187137696</v>
      </c>
      <c r="AJ11" s="897">
        <f t="shared" si="27"/>
        <v>0.002330313156</v>
      </c>
      <c r="AK11" s="896">
        <f t="shared" si="27"/>
        <v>0.001289892898</v>
      </c>
      <c r="AL11" s="892" t="s">
        <v>489</v>
      </c>
      <c r="AM11" s="893">
        <f t="shared" ref="AM11:AT11" si="28">AM$5*(1-SUM(AM$5:AM10))</f>
        <v>0.01604743962</v>
      </c>
      <c r="AN11" s="893">
        <f t="shared" si="28"/>
        <v>0.01503407225</v>
      </c>
      <c r="AO11" s="897">
        <f t="shared" si="28"/>
        <v>0.01386538163</v>
      </c>
      <c r="AP11" s="897">
        <f t="shared" si="28"/>
        <v>0.01250314946</v>
      </c>
      <c r="AQ11" s="897">
        <f t="shared" si="28"/>
        <v>0.01089565365</v>
      </c>
      <c r="AR11" s="897">
        <f t="shared" si="28"/>
        <v>0.00897119888</v>
      </c>
      <c r="AS11" s="897">
        <f t="shared" si="28"/>
        <v>0.006627579485</v>
      </c>
      <c r="AT11" s="896">
        <f t="shared" si="28"/>
        <v>0.003714178922</v>
      </c>
      <c r="AU11" s="892" t="s">
        <v>489</v>
      </c>
      <c r="AV11" s="893">
        <f t="shared" ref="AV11:BC11" si="29">AV$5*(1-SUM(AV$5:AV10))</f>
        <v>0.04817291984</v>
      </c>
      <c r="AW11" s="893">
        <f t="shared" si="29"/>
        <v>0.04675560739</v>
      </c>
      <c r="AX11" s="897">
        <f t="shared" si="29"/>
        <v>0.04493111299</v>
      </c>
      <c r="AY11" s="897">
        <f t="shared" si="29"/>
        <v>0.04252577983</v>
      </c>
      <c r="AZ11" s="897">
        <f t="shared" si="29"/>
        <v>0.03926253941</v>
      </c>
      <c r="BA11" s="897">
        <f t="shared" si="29"/>
        <v>0.03467752391</v>
      </c>
      <c r="BB11" s="897">
        <f t="shared" si="29"/>
        <v>0.02794684355</v>
      </c>
      <c r="BC11" s="896">
        <f t="shared" si="29"/>
        <v>0.0174943209</v>
      </c>
      <c r="BD11" s="1"/>
    </row>
    <row r="12">
      <c r="A12" s="1"/>
      <c r="B12" s="1"/>
      <c r="C12" s="1"/>
      <c r="D12" s="1"/>
      <c r="E12" s="1"/>
      <c r="F12" s="1"/>
      <c r="G12" s="1"/>
      <c r="H12" s="1"/>
      <c r="I12" s="1"/>
      <c r="J12" s="1"/>
      <c r="K12" s="1"/>
      <c r="L12" s="1"/>
      <c r="M12" s="1"/>
      <c r="N12" s="1"/>
      <c r="O12" s="888" t="s">
        <v>490</v>
      </c>
      <c r="P12" s="889">
        <f>16-B15</f>
        <v>14</v>
      </c>
      <c r="Q12" s="890" t="s">
        <v>491</v>
      </c>
      <c r="R12" s="891">
        <f>SWITCH($B16,"Ancestral",SUM($L$42:$L$44),"Mythic",SUM($L$42:$L$43),"Legendary",$L$42,0)</f>
        <v>0</v>
      </c>
      <c r="S12" s="1"/>
      <c r="T12" s="892" t="s">
        <v>492</v>
      </c>
      <c r="U12" s="893">
        <f t="shared" ref="U12:AB12" si="30">U$5*(1-SUM(U$5:U11))</f>
        <v>0.001397872099</v>
      </c>
      <c r="V12" s="897">
        <f t="shared" si="30"/>
        <v>0.001300488783</v>
      </c>
      <c r="W12" s="897">
        <f t="shared" si="30"/>
        <v>0.001189956216</v>
      </c>
      <c r="X12" s="897">
        <f t="shared" si="30"/>
        <v>0.00106341864</v>
      </c>
      <c r="Y12" s="897">
        <f t="shared" si="30"/>
        <v>0.0009171289177</v>
      </c>
      <c r="Z12" s="897">
        <f t="shared" si="30"/>
        <v>0.0007460713483</v>
      </c>
      <c r="AA12" s="897">
        <f t="shared" si="30"/>
        <v>0.0005433753057</v>
      </c>
      <c r="AB12" s="896">
        <f t="shared" si="30"/>
        <v>0.0002993705667</v>
      </c>
      <c r="AC12" s="892" t="s">
        <v>492</v>
      </c>
      <c r="AD12" s="893">
        <f t="shared" ref="AD12:AK12" si="31">AD$5*(1-SUM(AD$5:AD11))</f>
        <v>0.005860427185</v>
      </c>
      <c r="AE12" s="897">
        <f t="shared" si="31"/>
        <v>0.005464893514</v>
      </c>
      <c r="AF12" s="897">
        <f t="shared" si="31"/>
        <v>0.00501364731</v>
      </c>
      <c r="AG12" s="897">
        <f t="shared" si="31"/>
        <v>0.00449404982</v>
      </c>
      <c r="AH12" s="897">
        <f t="shared" si="31"/>
        <v>0.003889335076</v>
      </c>
      <c r="AI12" s="897">
        <f t="shared" si="31"/>
        <v>0.003176779498</v>
      </c>
      <c r="AJ12" s="897">
        <f t="shared" si="31"/>
        <v>0.002324805143</v>
      </c>
      <c r="AK12" s="896">
        <f t="shared" si="31"/>
        <v>0.001288216037</v>
      </c>
      <c r="AL12" s="892" t="s">
        <v>492</v>
      </c>
      <c r="AM12" s="893">
        <f t="shared" ref="AM12:AT12" si="32">AM$5*(1-SUM(AM$5:AM11))</f>
        <v>0.01576047364</v>
      </c>
      <c r="AN12" s="897">
        <f t="shared" si="32"/>
        <v>0.0147841308</v>
      </c>
      <c r="AO12" s="897">
        <f t="shared" si="32"/>
        <v>0.01365462783</v>
      </c>
      <c r="AP12" s="897">
        <f t="shared" si="32"/>
        <v>0.01233346386</v>
      </c>
      <c r="AQ12" s="897">
        <f t="shared" si="32"/>
        <v>0.01076825831</v>
      </c>
      <c r="AR12" s="897">
        <f t="shared" si="32"/>
        <v>0.008885972491</v>
      </c>
      <c r="AS12" s="897">
        <f t="shared" si="32"/>
        <v>0.006581788936</v>
      </c>
      <c r="AT12" s="896">
        <f t="shared" si="32"/>
        <v>0.003700065042</v>
      </c>
      <c r="AU12" s="892" t="s">
        <v>492</v>
      </c>
      <c r="AV12" s="893">
        <f t="shared" ref="AV12:BC12" si="33">AV$5*(1-SUM(AV$5:AV11))</f>
        <v>0.04437414102</v>
      </c>
      <c r="AW12" s="897">
        <f t="shared" si="33"/>
        <v>0.0432813061</v>
      </c>
      <c r="AX12" s="897">
        <f t="shared" si="33"/>
        <v>0.04183086619</v>
      </c>
      <c r="AY12" s="897">
        <f t="shared" si="33"/>
        <v>0.03985825364</v>
      </c>
      <c r="AZ12" s="897">
        <f t="shared" si="33"/>
        <v>0.03709524724</v>
      </c>
      <c r="BA12" s="897">
        <f t="shared" si="33"/>
        <v>0.03308235781</v>
      </c>
      <c r="BB12" s="897">
        <f t="shared" si="33"/>
        <v>0.02698267745</v>
      </c>
      <c r="BC12" s="896">
        <f t="shared" si="33"/>
        <v>0.01714943286</v>
      </c>
      <c r="BD12" s="1"/>
    </row>
    <row r="13">
      <c r="A13" s="864" t="s">
        <v>493</v>
      </c>
      <c r="B13" s="572"/>
      <c r="C13" s="1"/>
      <c r="D13" s="865">
        <v>8.0</v>
      </c>
      <c r="E13" s="866">
        <v>0.0</v>
      </c>
      <c r="F13" s="867">
        <f>IFERROR(AV23, "-")</f>
        <v>12</v>
      </c>
      <c r="G13" s="868">
        <f t="shared" ref="G13:G20" si="34">IFERROR(F13*$D41, "-")</f>
        <v>120</v>
      </c>
      <c r="H13" s="908" t="str">
        <f>IFERROR(AM23, "-")</f>
        <v>-</v>
      </c>
      <c r="I13" s="909" t="str">
        <f t="shared" ref="I13:I20" si="35">IFERROR(H13*$D41, "-")</f>
        <v>-</v>
      </c>
      <c r="J13" s="871" t="str">
        <f>IFERROR(AD23, "-")</f>
        <v>-</v>
      </c>
      <c r="K13" s="872" t="str">
        <f t="shared" ref="K13:K20" si="36">IFERROR(J13*$D41, "-")</f>
        <v>-</v>
      </c>
      <c r="L13" s="873" t="str">
        <f>IFERROR(U23, "-")</f>
        <v>-</v>
      </c>
      <c r="M13" s="874" t="str">
        <f t="shared" ref="M13:M20" si="37">IFERROR(L13*$D41, "-")</f>
        <v>-</v>
      </c>
      <c r="N13" s="1"/>
      <c r="O13" s="888" t="s">
        <v>494</v>
      </c>
      <c r="P13" s="889">
        <f>15-B15</f>
        <v>13</v>
      </c>
      <c r="Q13" s="890" t="s">
        <v>495</v>
      </c>
      <c r="R13" s="891">
        <f>SWITCH($B16,"Ancestral",SUM($L$41:$L$44),"Mythic",SUM($L$41:$L$43),"Legendary",SUM($L$41:$L$42),"Epic",SUM($L$41),0)</f>
        <v>0.1</v>
      </c>
      <c r="S13" s="1"/>
      <c r="T13" s="875" t="s">
        <v>496</v>
      </c>
      <c r="U13" s="910">
        <f>ROUNDUP(LOG((1-$B$1),(1-SUM(OFFSET(U5,0,0,$B$5-$E$4)))),0)</f>
        <v>425</v>
      </c>
      <c r="V13" s="910">
        <f>ROUNDUP(LOG((1-$B$1),(1-SUM(OFFSET(V5,0,0,$B$5-$E$5)))),0)</f>
        <v>571</v>
      </c>
      <c r="W13" s="910">
        <f>ROUNDUP(LOG((1-$B$1),(1-SUM(OFFSET(W5,0,0,$B$5-$E$6)))),0)</f>
        <v>832</v>
      </c>
      <c r="X13" s="910">
        <f>ROUNDUP(LOG((1-$B$1),(1-SUM(OFFSET(X5,0,0,$B$5-$E$7)))),0)</f>
        <v>1398</v>
      </c>
      <c r="Y13" s="910">
        <f>ROUNDUP(LOG((1-$B$1),(1-SUM(OFFSET(Y5,0,0,$B$5-$E$8)))),0)</f>
        <v>3244</v>
      </c>
      <c r="Z13" s="910" t="str">
        <f>ROUNDUP(LOG((1-$B$1),(1-SUM(OFFSET(Z5,0,0,$B$5-$E$9)))),0)</f>
        <v>#VALUE!</v>
      </c>
      <c r="AA13" s="910" t="str">
        <f>ROUNDUP(LOG((1-$B$1),(1-SUM(OFFSET(AA5,0,0,$B$5-$E$10)))),0)</f>
        <v>#VALUE!</v>
      </c>
      <c r="AB13" s="911" t="str">
        <f>ROUNDUP(LOG((1-$B$1),(1-SUM(OFFSET(AB5,0,0,$B$5-$E$11)))),0)</f>
        <v>#VALUE!</v>
      </c>
      <c r="AC13" s="875" t="s">
        <v>496</v>
      </c>
      <c r="AD13" s="910">
        <f>ROUNDUP(LOG((1-$B$1),(1-SUM(OFFSET(AD5,0,0,$B$5-$E$4)))),0)</f>
        <v>98</v>
      </c>
      <c r="AE13" s="910">
        <f>ROUNDUP(LOG((1-$B$1),(1-SUM(OFFSET(AE5,0,0,$B$5-$E$5)))),0)</f>
        <v>132</v>
      </c>
      <c r="AF13" s="910">
        <f>ROUNDUP(LOG((1-$B$1),(1-SUM(OFFSET(AF5,0,0,$B$5-$E$6)))),0)</f>
        <v>192</v>
      </c>
      <c r="AG13" s="910">
        <f>ROUNDUP(LOG((1-$B$1),(1-SUM(OFFSET(AG5,0,0,$B$5-$E$7)))),0)</f>
        <v>322</v>
      </c>
      <c r="AH13" s="910">
        <f>ROUNDUP(LOG((1-$B$1),(1-SUM(OFFSET(AH5,0,0,$B$5-$E$8)))),0)</f>
        <v>748</v>
      </c>
      <c r="AI13" s="910" t="str">
        <f>ROUNDUP(LOG((1-$B$1),(1-SUM(OFFSET(AI5,0,0,$B$5-$E$9)))),0)</f>
        <v>#VALUE!</v>
      </c>
      <c r="AJ13" s="910" t="str">
        <f>ROUNDUP(LOG((1-$B$1),(1-SUM(OFFSET(AJ5,0,0,$B$5-$E$10)))),0)</f>
        <v>#VALUE!</v>
      </c>
      <c r="AK13" s="911" t="str">
        <f>ROUNDUP(LOG((1-$B$1),(1-SUM(OFFSET(AK5,0,0,$B$5-$E$11)))),0)</f>
        <v>#VALUE!</v>
      </c>
      <c r="AL13" s="875" t="s">
        <v>496</v>
      </c>
      <c r="AM13" s="910">
        <f>ROUNDUP(LOG((1-$B$1),(1-SUM(OFFSET(AM5,0,0,$B$5-$E$4)))),0)</f>
        <v>34</v>
      </c>
      <c r="AN13" s="910">
        <f>ROUNDUP(LOG((1-$B$1),(1-SUM(OFFSET(AN5,0,0,$B$5-$E$5)))),0)</f>
        <v>45</v>
      </c>
      <c r="AO13" s="910">
        <f>ROUNDUP(LOG((1-$B$1),(1-SUM(OFFSET(AO5,0,0,$B$5-$E$6)))),0)</f>
        <v>66</v>
      </c>
      <c r="AP13" s="910">
        <f>ROUNDUP(LOG((1-$B$1),(1-SUM(OFFSET(AP5,0,0,$B$5-$E$7)))),0)</f>
        <v>110</v>
      </c>
      <c r="AQ13" s="910">
        <f>ROUNDUP(LOG((1-$B$1),(1-SUM(OFFSET(AQ5,0,0,$B$5-$E$8)))),0)</f>
        <v>255</v>
      </c>
      <c r="AR13" s="910" t="str">
        <f>ROUNDUP(LOG((1-$B$1),(1-SUM(OFFSET(AR5,0,0,$B$5-$E$9)))),0)</f>
        <v>#VALUE!</v>
      </c>
      <c r="AS13" s="910" t="str">
        <f>ROUNDUP(LOG((1-$B$1),(1-SUM(OFFSET(AS5,0,0,$B$5-$E$10)))),0)</f>
        <v>#VALUE!</v>
      </c>
      <c r="AT13" s="911" t="str">
        <f>ROUNDUP(LOG((1-$B$1),(1-SUM(OFFSET(AT5,0,0,$B$5-$E$11)))),0)</f>
        <v>#VALUE!</v>
      </c>
      <c r="AU13" s="875" t="s">
        <v>496</v>
      </c>
      <c r="AV13" s="910">
        <f>ROUNDUP(LOG((1-$B$1),(1-SUM(OFFSET(AV5,0,0,$B$5-$E$4)))),0)</f>
        <v>8</v>
      </c>
      <c r="AW13" s="910">
        <f>ROUNDUP(LOG((1-$B$1),(1-SUM(OFFSET(AW5,0,0,$B$5-$E$5)))),0)</f>
        <v>10</v>
      </c>
      <c r="AX13" s="910">
        <f>ROUNDUP(LOG((1-$B$1),(1-SUM(OFFSET(AX5,0,0,$B$5-$E$6)))),0)</f>
        <v>14</v>
      </c>
      <c r="AY13" s="910">
        <f>ROUNDUP(LOG((1-$B$1),(1-SUM(OFFSET(AY5,0,0,$B$5-$E$7)))),0)</f>
        <v>24</v>
      </c>
      <c r="AZ13" s="910">
        <f>ROUNDUP(LOG((1-$B$1),(1-SUM(OFFSET(AZ5,0,0,$B$5-$E$8)))),0)</f>
        <v>53</v>
      </c>
      <c r="BA13" s="910" t="str">
        <f>ROUNDUP(LOG((1-$B$1),(1-SUM(OFFSET(BA5,0,0,$B$5-$E$9)))),0)</f>
        <v>#VALUE!</v>
      </c>
      <c r="BB13" s="910" t="str">
        <f>ROUNDUP(LOG((1-$B$1),(1-SUM(OFFSET(BB5,0,0,$B$5-$E$10)))),0)</f>
        <v>#VALUE!</v>
      </c>
      <c r="BC13" s="911" t="str">
        <f>ROUNDUP(LOG((1-$B$1),(1-SUM(OFFSET(BC5,0,0,$B$5-$E$11)))),0)</f>
        <v>#VALUE!</v>
      </c>
      <c r="BD13" s="1"/>
    </row>
    <row r="14">
      <c r="A14" s="878" t="s">
        <v>468</v>
      </c>
      <c r="B14" s="865">
        <v>4.0</v>
      </c>
      <c r="C14" s="1"/>
      <c r="D14" s="865">
        <v>7.0</v>
      </c>
      <c r="E14" s="879">
        <f t="shared" ref="E14:E20" si="38">E13+1</f>
        <v>1</v>
      </c>
      <c r="F14" s="880">
        <f>IFERROR(AW23, "-")</f>
        <v>17</v>
      </c>
      <c r="G14" s="881">
        <f t="shared" si="34"/>
        <v>680</v>
      </c>
      <c r="H14" s="912" t="str">
        <f>IFERROR(AN23, "-")</f>
        <v>-</v>
      </c>
      <c r="I14" s="913" t="str">
        <f t="shared" si="35"/>
        <v>-</v>
      </c>
      <c r="J14" s="884" t="str">
        <f>IFERROR(AE23, "-")</f>
        <v>-</v>
      </c>
      <c r="K14" s="885" t="str">
        <f t="shared" si="36"/>
        <v>-</v>
      </c>
      <c r="L14" s="886" t="str">
        <f>IFERROR(V23, "-")</f>
        <v>-</v>
      </c>
      <c r="M14" s="887" t="str">
        <f t="shared" si="37"/>
        <v>-</v>
      </c>
      <c r="N14" s="1"/>
      <c r="O14" s="1"/>
      <c r="P14" s="1"/>
      <c r="Q14" s="1"/>
      <c r="R14" s="1"/>
      <c r="S14" s="1"/>
      <c r="T14" s="875" t="s">
        <v>456</v>
      </c>
      <c r="U14" s="876" t="s">
        <v>457</v>
      </c>
      <c r="V14" s="876" t="s">
        <v>458</v>
      </c>
      <c r="W14" s="876" t="s">
        <v>459</v>
      </c>
      <c r="X14" s="876" t="s">
        <v>460</v>
      </c>
      <c r="Y14" s="876" t="s">
        <v>461</v>
      </c>
      <c r="Z14" s="876" t="s">
        <v>462</v>
      </c>
      <c r="AA14" s="876" t="s">
        <v>463</v>
      </c>
      <c r="AB14" s="877" t="s">
        <v>464</v>
      </c>
      <c r="AC14" s="875" t="s">
        <v>465</v>
      </c>
      <c r="AD14" s="876" t="s">
        <v>457</v>
      </c>
      <c r="AE14" s="876" t="s">
        <v>458</v>
      </c>
      <c r="AF14" s="876" t="s">
        <v>459</v>
      </c>
      <c r="AG14" s="876" t="s">
        <v>460</v>
      </c>
      <c r="AH14" s="876" t="s">
        <v>461</v>
      </c>
      <c r="AI14" s="876" t="s">
        <v>462</v>
      </c>
      <c r="AJ14" s="876" t="s">
        <v>463</v>
      </c>
      <c r="AK14" s="877" t="s">
        <v>464</v>
      </c>
      <c r="AL14" s="875" t="s">
        <v>466</v>
      </c>
      <c r="AM14" s="876" t="s">
        <v>457</v>
      </c>
      <c r="AN14" s="876" t="s">
        <v>458</v>
      </c>
      <c r="AO14" s="876" t="s">
        <v>459</v>
      </c>
      <c r="AP14" s="876" t="s">
        <v>460</v>
      </c>
      <c r="AQ14" s="876" t="s">
        <v>461</v>
      </c>
      <c r="AR14" s="876" t="s">
        <v>462</v>
      </c>
      <c r="AS14" s="876" t="s">
        <v>463</v>
      </c>
      <c r="AT14" s="877" t="s">
        <v>464</v>
      </c>
      <c r="AU14" s="875" t="s">
        <v>467</v>
      </c>
      <c r="AV14" s="876" t="s">
        <v>457</v>
      </c>
      <c r="AW14" s="876" t="s">
        <v>458</v>
      </c>
      <c r="AX14" s="876" t="s">
        <v>459</v>
      </c>
      <c r="AY14" s="876" t="s">
        <v>460</v>
      </c>
      <c r="AZ14" s="876" t="s">
        <v>461</v>
      </c>
      <c r="BA14" s="876" t="s">
        <v>462</v>
      </c>
      <c r="BB14" s="876" t="s">
        <v>463</v>
      </c>
      <c r="BC14" s="877" t="s">
        <v>464</v>
      </c>
      <c r="BD14" s="1"/>
    </row>
    <row r="15">
      <c r="A15" s="878" t="s">
        <v>497</v>
      </c>
      <c r="B15" s="895">
        <f>'Master Sheet'!C13</f>
        <v>2</v>
      </c>
      <c r="C15" s="1"/>
      <c r="D15" s="865">
        <v>6.0</v>
      </c>
      <c r="E15" s="879">
        <f t="shared" si="38"/>
        <v>2</v>
      </c>
      <c r="F15" s="880">
        <f>IFERROR(AX23, "-")</f>
        <v>27</v>
      </c>
      <c r="G15" s="881">
        <f t="shared" si="34"/>
        <v>4320</v>
      </c>
      <c r="H15" s="912" t="str">
        <f>IFERROR(AO23, "-")</f>
        <v>-</v>
      </c>
      <c r="I15" s="913" t="str">
        <f t="shared" si="35"/>
        <v>-</v>
      </c>
      <c r="J15" s="884" t="str">
        <f>IFERROR(AF23, "-")</f>
        <v>-</v>
      </c>
      <c r="K15" s="885" t="str">
        <f t="shared" si="36"/>
        <v>-</v>
      </c>
      <c r="L15" s="886" t="str">
        <f>IFERROR(W23, "-")</f>
        <v>-</v>
      </c>
      <c r="M15" s="887" t="str">
        <f t="shared" si="37"/>
        <v>-</v>
      </c>
      <c r="N15" s="1"/>
      <c r="O15" s="888" t="s">
        <v>498</v>
      </c>
      <c r="P15" s="889">
        <f>13-B24</f>
        <v>12</v>
      </c>
      <c r="Q15" s="890" t="s">
        <v>499</v>
      </c>
      <c r="R15" s="891">
        <f>SWITCH($B25,"Ancestral",$L$44,0)</f>
        <v>0</v>
      </c>
      <c r="S15" s="1"/>
      <c r="T15" s="892" t="s">
        <v>471</v>
      </c>
      <c r="U15" s="893">
        <f>($D13/($P$10-$E13))*$R$10</f>
        <v>0</v>
      </c>
      <c r="V15" s="893">
        <f>($D14/($P$10-$E14))*$R$10</f>
        <v>0</v>
      </c>
      <c r="W15" s="893">
        <f>($D15/($P$10-$E15))*$R$10</f>
        <v>0</v>
      </c>
      <c r="X15" s="893">
        <f>($D16/($P$10-$E16))*$R$10</f>
        <v>0</v>
      </c>
      <c r="Y15" s="893">
        <f>($D17/($P$10-$E17))*$R$10</f>
        <v>0</v>
      </c>
      <c r="Z15" s="893">
        <f>($D18/($P$10-$E18))*$R$10</f>
        <v>0</v>
      </c>
      <c r="AA15" s="893">
        <f>($D19/($P$10-$E19))*$R$10</f>
        <v>0</v>
      </c>
      <c r="AB15" s="894">
        <f>($D20/($P$10-$E20))*$R$10</f>
        <v>0</v>
      </c>
      <c r="AC15" s="892" t="s">
        <v>471</v>
      </c>
      <c r="AD15" s="893">
        <f>($D13/($P$11-$E13))*$R$11</f>
        <v>0</v>
      </c>
      <c r="AE15" s="893">
        <f>($D14/($P$11-$E14))*$R$11</f>
        <v>0</v>
      </c>
      <c r="AF15" s="893">
        <f>($D15/($P$11-$E15))*$R$11</f>
        <v>0</v>
      </c>
      <c r="AG15" s="893">
        <f>($D16/($P$11-$E16))*$R$11</f>
        <v>0</v>
      </c>
      <c r="AH15" s="893">
        <f>($D17/($P$11-$E17))*$R$11</f>
        <v>0</v>
      </c>
      <c r="AI15" s="893">
        <f>($D18/($P$11-$E18))*$R$11</f>
        <v>0</v>
      </c>
      <c r="AJ15" s="893">
        <f>($D19/($P$11-$E19))*$R$11</f>
        <v>0</v>
      </c>
      <c r="AK15" s="894">
        <f>($D20/($P$11-$E20))*$R$11</f>
        <v>0</v>
      </c>
      <c r="AL15" s="892" t="s">
        <v>471</v>
      </c>
      <c r="AM15" s="893">
        <f>($D13/($P$12-$E13))*$R$12</f>
        <v>0</v>
      </c>
      <c r="AN15" s="893">
        <f>($D14/($P$12-$E14))*$R$12</f>
        <v>0</v>
      </c>
      <c r="AO15" s="893">
        <f>($D15/($P$12-$E15))*$R$12</f>
        <v>0</v>
      </c>
      <c r="AP15" s="893">
        <f>($D16/($P$12-$E16))*$R$12</f>
        <v>0</v>
      </c>
      <c r="AQ15" s="893">
        <f>($D17/($P$12-$E17))*$R$12</f>
        <v>0</v>
      </c>
      <c r="AR15" s="893">
        <f>($D18/($P$12-$E18))*$R$12</f>
        <v>0</v>
      </c>
      <c r="AS15" s="893">
        <f>($D19/($P$12-$E19))*$R$12</f>
        <v>0</v>
      </c>
      <c r="AT15" s="894">
        <f>($D20/($P$12-$E20))*$R$12</f>
        <v>0</v>
      </c>
      <c r="AU15" s="892" t="s">
        <v>471</v>
      </c>
      <c r="AV15" s="893">
        <f>($D13/($P$13-$E13))*$R$13</f>
        <v>0.06153846154</v>
      </c>
      <c r="AW15" s="893">
        <f>($D14/($P$13-$E14))*$R$13</f>
        <v>0.05833333333</v>
      </c>
      <c r="AX15" s="893">
        <f>($D15/($P$13-$E15))*$R$13</f>
        <v>0.05454545455</v>
      </c>
      <c r="AY15" s="893">
        <f>($D16/($P$13-$E16))*$R$13</f>
        <v>0.05</v>
      </c>
      <c r="AZ15" s="893">
        <f>($D17/($P$13-$E17))*$R$13</f>
        <v>0.04444444444</v>
      </c>
      <c r="BA15" s="893">
        <f>($D18/($P$13-$E18))*$R$13</f>
        <v>0.0375</v>
      </c>
      <c r="BB15" s="893">
        <f>($D19/($P$13-$E19))*$R$13</f>
        <v>0.02857142857</v>
      </c>
      <c r="BC15" s="894">
        <f>($D20/($P$13-$E20))*$R$13</f>
        <v>0.01666666667</v>
      </c>
      <c r="BD15" s="1"/>
    </row>
    <row r="16">
      <c r="A16" s="586" t="s">
        <v>500</v>
      </c>
      <c r="B16" s="865" t="s">
        <v>176</v>
      </c>
      <c r="C16" s="1"/>
      <c r="D16" s="865">
        <v>5.0</v>
      </c>
      <c r="E16" s="879">
        <f t="shared" si="38"/>
        <v>3</v>
      </c>
      <c r="F16" s="880">
        <f>IFERROR(AY23, "-")</f>
        <v>59</v>
      </c>
      <c r="G16" s="881">
        <f t="shared" si="34"/>
        <v>29500</v>
      </c>
      <c r="H16" s="912" t="str">
        <f>IFERROR(AP23, "-")</f>
        <v>-</v>
      </c>
      <c r="I16" s="913" t="str">
        <f t="shared" si="35"/>
        <v>-</v>
      </c>
      <c r="J16" s="884" t="str">
        <f>IFERROR(AG23, "-")</f>
        <v>-</v>
      </c>
      <c r="K16" s="885" t="str">
        <f t="shared" si="36"/>
        <v>-</v>
      </c>
      <c r="L16" s="886" t="str">
        <f>IFERROR(X23, "-")</f>
        <v>-</v>
      </c>
      <c r="M16" s="887" t="str">
        <f t="shared" si="37"/>
        <v>-</v>
      </c>
      <c r="N16" s="1"/>
      <c r="O16" s="888" t="s">
        <v>501</v>
      </c>
      <c r="P16" s="889">
        <f>13-B24</f>
        <v>12</v>
      </c>
      <c r="Q16" s="890" t="s">
        <v>502</v>
      </c>
      <c r="R16" s="891">
        <f>SWITCH($B25,"Ancestral",SUM($L$43:$L$44),"Mythic",$L$43,0)</f>
        <v>0.01</v>
      </c>
      <c r="S16" s="1"/>
      <c r="T16" s="892" t="s">
        <v>475</v>
      </c>
      <c r="U16" s="893">
        <f t="shared" ref="U16:AB16" si="39">U$15*(1-SUM(U$15:U15))</f>
        <v>0</v>
      </c>
      <c r="V16" s="893">
        <f t="shared" si="39"/>
        <v>0</v>
      </c>
      <c r="W16" s="893">
        <f t="shared" si="39"/>
        <v>0</v>
      </c>
      <c r="X16" s="893">
        <f t="shared" si="39"/>
        <v>0</v>
      </c>
      <c r="Y16" s="893">
        <f t="shared" si="39"/>
        <v>0</v>
      </c>
      <c r="Z16" s="893">
        <f t="shared" si="39"/>
        <v>0</v>
      </c>
      <c r="AA16" s="893">
        <f t="shared" si="39"/>
        <v>0</v>
      </c>
      <c r="AB16" s="896">
        <f t="shared" si="39"/>
        <v>0</v>
      </c>
      <c r="AC16" s="892" t="s">
        <v>475</v>
      </c>
      <c r="AD16" s="893">
        <f t="shared" ref="AD16:AK16" si="40">AD$15*(1-SUM(AD$15:AD15))</f>
        <v>0</v>
      </c>
      <c r="AE16" s="893">
        <f t="shared" si="40"/>
        <v>0</v>
      </c>
      <c r="AF16" s="893">
        <f t="shared" si="40"/>
        <v>0</v>
      </c>
      <c r="AG16" s="893">
        <f t="shared" si="40"/>
        <v>0</v>
      </c>
      <c r="AH16" s="893">
        <f t="shared" si="40"/>
        <v>0</v>
      </c>
      <c r="AI16" s="893">
        <f t="shared" si="40"/>
        <v>0</v>
      </c>
      <c r="AJ16" s="893">
        <f t="shared" si="40"/>
        <v>0</v>
      </c>
      <c r="AK16" s="896">
        <f t="shared" si="40"/>
        <v>0</v>
      </c>
      <c r="AL16" s="892" t="s">
        <v>475</v>
      </c>
      <c r="AM16" s="893">
        <f t="shared" ref="AM16:AT16" si="41">AM$15*(1-SUM(AM$15:AM15))</f>
        <v>0</v>
      </c>
      <c r="AN16" s="893">
        <f t="shared" si="41"/>
        <v>0</v>
      </c>
      <c r="AO16" s="893">
        <f t="shared" si="41"/>
        <v>0</v>
      </c>
      <c r="AP16" s="893">
        <f t="shared" si="41"/>
        <v>0</v>
      </c>
      <c r="AQ16" s="893">
        <f t="shared" si="41"/>
        <v>0</v>
      </c>
      <c r="AR16" s="893">
        <f t="shared" si="41"/>
        <v>0</v>
      </c>
      <c r="AS16" s="893">
        <f t="shared" si="41"/>
        <v>0</v>
      </c>
      <c r="AT16" s="896">
        <f t="shared" si="41"/>
        <v>0</v>
      </c>
      <c r="AU16" s="892" t="s">
        <v>475</v>
      </c>
      <c r="AV16" s="893">
        <f t="shared" ref="AV16:BC16" si="42">AV$15*(1-SUM(AV$15:AV15))</f>
        <v>0.05775147929</v>
      </c>
      <c r="AW16" s="893">
        <f t="shared" si="42"/>
        <v>0.05493055556</v>
      </c>
      <c r="AX16" s="893">
        <f t="shared" si="42"/>
        <v>0.05157024793</v>
      </c>
      <c r="AY16" s="893">
        <f t="shared" si="42"/>
        <v>0.0475</v>
      </c>
      <c r="AZ16" s="893">
        <f t="shared" si="42"/>
        <v>0.0424691358</v>
      </c>
      <c r="BA16" s="893">
        <f t="shared" si="42"/>
        <v>0.03609375</v>
      </c>
      <c r="BB16" s="893">
        <f t="shared" si="42"/>
        <v>0.02775510204</v>
      </c>
      <c r="BC16" s="896">
        <f t="shared" si="42"/>
        <v>0.01638888889</v>
      </c>
      <c r="BD16" s="1"/>
    </row>
    <row r="17">
      <c r="A17" s="1"/>
      <c r="B17" s="1"/>
      <c r="C17" s="1"/>
      <c r="D17" s="865">
        <v>4.0</v>
      </c>
      <c r="E17" s="879">
        <f t="shared" si="38"/>
        <v>4</v>
      </c>
      <c r="F17" s="880" t="str">
        <f>IFERROR(AZ23, "-")</f>
        <v>-</v>
      </c>
      <c r="G17" s="881" t="str">
        <f t="shared" si="34"/>
        <v>-</v>
      </c>
      <c r="H17" s="912" t="str">
        <f>IFERROR(AQ23, "-")</f>
        <v>-</v>
      </c>
      <c r="I17" s="913" t="str">
        <f t="shared" si="35"/>
        <v>-</v>
      </c>
      <c r="J17" s="884" t="str">
        <f>IFERROR(AH23, "-")</f>
        <v>-</v>
      </c>
      <c r="K17" s="885" t="str">
        <f t="shared" si="36"/>
        <v>-</v>
      </c>
      <c r="L17" s="886" t="str">
        <f>IFERROR(Y23, "-")</f>
        <v>-</v>
      </c>
      <c r="M17" s="887" t="str">
        <f t="shared" si="37"/>
        <v>-</v>
      </c>
      <c r="N17" s="1"/>
      <c r="O17" s="888" t="s">
        <v>503</v>
      </c>
      <c r="P17" s="889">
        <f>13-B24</f>
        <v>12</v>
      </c>
      <c r="Q17" s="890" t="s">
        <v>504</v>
      </c>
      <c r="R17" s="891">
        <f>SWITCH($B25,"Ancestral",SUM($L$42:$L$44),"Mythic",SUM($L$42:$L$43),"Legendary",$L$42,0)</f>
        <v>0.035</v>
      </c>
      <c r="S17" s="1"/>
      <c r="T17" s="892" t="s">
        <v>479</v>
      </c>
      <c r="U17" s="893">
        <f t="shared" ref="U17:AB17" si="43">U$15*(1-SUM(U$15:U16))</f>
        <v>0</v>
      </c>
      <c r="V17" s="893">
        <f t="shared" si="43"/>
        <v>0</v>
      </c>
      <c r="W17" s="893">
        <f t="shared" si="43"/>
        <v>0</v>
      </c>
      <c r="X17" s="893">
        <f t="shared" si="43"/>
        <v>0</v>
      </c>
      <c r="Y17" s="893">
        <f t="shared" si="43"/>
        <v>0</v>
      </c>
      <c r="Z17" s="893">
        <f t="shared" si="43"/>
        <v>0</v>
      </c>
      <c r="AA17" s="897">
        <f t="shared" si="43"/>
        <v>0</v>
      </c>
      <c r="AB17" s="896">
        <f t="shared" si="43"/>
        <v>0</v>
      </c>
      <c r="AC17" s="892" t="s">
        <v>479</v>
      </c>
      <c r="AD17" s="893">
        <f t="shared" ref="AD17:AK17" si="44">AD$15*(1-SUM(AD$15:AD16))</f>
        <v>0</v>
      </c>
      <c r="AE17" s="893">
        <f t="shared" si="44"/>
        <v>0</v>
      </c>
      <c r="AF17" s="893">
        <f t="shared" si="44"/>
        <v>0</v>
      </c>
      <c r="AG17" s="893">
        <f t="shared" si="44"/>
        <v>0</v>
      </c>
      <c r="AH17" s="893">
        <f t="shared" si="44"/>
        <v>0</v>
      </c>
      <c r="AI17" s="893">
        <f t="shared" si="44"/>
        <v>0</v>
      </c>
      <c r="AJ17" s="897">
        <f t="shared" si="44"/>
        <v>0</v>
      </c>
      <c r="AK17" s="896">
        <f t="shared" si="44"/>
        <v>0</v>
      </c>
      <c r="AL17" s="892" t="s">
        <v>479</v>
      </c>
      <c r="AM17" s="893">
        <f t="shared" ref="AM17:AT17" si="45">AM$15*(1-SUM(AM$15:AM16))</f>
        <v>0</v>
      </c>
      <c r="AN17" s="893">
        <f t="shared" si="45"/>
        <v>0</v>
      </c>
      <c r="AO17" s="893">
        <f t="shared" si="45"/>
        <v>0</v>
      </c>
      <c r="AP17" s="893">
        <f t="shared" si="45"/>
        <v>0</v>
      </c>
      <c r="AQ17" s="893">
        <f t="shared" si="45"/>
        <v>0</v>
      </c>
      <c r="AR17" s="893">
        <f t="shared" si="45"/>
        <v>0</v>
      </c>
      <c r="AS17" s="897">
        <f t="shared" si="45"/>
        <v>0</v>
      </c>
      <c r="AT17" s="896">
        <f t="shared" si="45"/>
        <v>0</v>
      </c>
      <c r="AU17" s="892" t="s">
        <v>479</v>
      </c>
      <c r="AV17" s="893">
        <f t="shared" ref="AV17:BC17" si="46">AV$15*(1-SUM(AV$15:AV16))</f>
        <v>0.0541975421</v>
      </c>
      <c r="AW17" s="893">
        <f t="shared" si="46"/>
        <v>0.05172627315</v>
      </c>
      <c r="AX17" s="893">
        <f t="shared" si="46"/>
        <v>0.04875732532</v>
      </c>
      <c r="AY17" s="893">
        <f t="shared" si="46"/>
        <v>0.045125</v>
      </c>
      <c r="AZ17" s="893">
        <f t="shared" si="46"/>
        <v>0.04058161866</v>
      </c>
      <c r="BA17" s="893">
        <f t="shared" si="46"/>
        <v>0.03474023438</v>
      </c>
      <c r="BB17" s="897">
        <f t="shared" si="46"/>
        <v>0.02696209913</v>
      </c>
      <c r="BC17" s="896">
        <f t="shared" si="46"/>
        <v>0.01611574074</v>
      </c>
      <c r="BD17" s="1"/>
    </row>
    <row r="18">
      <c r="A18" s="1"/>
      <c r="B18" s="1"/>
      <c r="C18" s="1"/>
      <c r="D18" s="865">
        <v>3.0</v>
      </c>
      <c r="E18" s="879">
        <f t="shared" si="38"/>
        <v>5</v>
      </c>
      <c r="F18" s="880" t="str">
        <f>IFERROR(BA23, "-")</f>
        <v>-</v>
      </c>
      <c r="G18" s="881" t="str">
        <f t="shared" si="34"/>
        <v>-</v>
      </c>
      <c r="H18" s="912" t="str">
        <f>IFERROR(AR23, "-")</f>
        <v>-</v>
      </c>
      <c r="I18" s="913" t="str">
        <f t="shared" si="35"/>
        <v>-</v>
      </c>
      <c r="J18" s="884" t="str">
        <f>IFERROR(AI23, "-")</f>
        <v>-</v>
      </c>
      <c r="K18" s="885" t="str">
        <f t="shared" si="36"/>
        <v>-</v>
      </c>
      <c r="L18" s="886" t="str">
        <f>IFERROR(Z23, "-")</f>
        <v>-</v>
      </c>
      <c r="M18" s="887" t="str">
        <f t="shared" si="37"/>
        <v>-</v>
      </c>
      <c r="N18" s="1"/>
      <c r="O18" s="888" t="s">
        <v>505</v>
      </c>
      <c r="P18" s="889">
        <f>13-B24</f>
        <v>12</v>
      </c>
      <c r="Q18" s="890" t="s">
        <v>506</v>
      </c>
      <c r="R18" s="891">
        <f>SWITCH($B25,"Ancestral",SUM($L$41:$L$44),"Mythic",SUM($L$41:$L$43),"Legendary",SUM($L$41:$L$42),"Epic",SUM($L$41),0)</f>
        <v>0.135</v>
      </c>
      <c r="S18" s="1"/>
      <c r="T18" s="892" t="s">
        <v>482</v>
      </c>
      <c r="U18" s="893">
        <f t="shared" ref="U18:AB18" si="47">U$15*(1-SUM(U$15:U17))</f>
        <v>0</v>
      </c>
      <c r="V18" s="893">
        <f t="shared" si="47"/>
        <v>0</v>
      </c>
      <c r="W18" s="893">
        <f t="shared" si="47"/>
        <v>0</v>
      </c>
      <c r="X18" s="893">
        <f t="shared" si="47"/>
        <v>0</v>
      </c>
      <c r="Y18" s="893">
        <f t="shared" si="47"/>
        <v>0</v>
      </c>
      <c r="Z18" s="897">
        <f t="shared" si="47"/>
        <v>0</v>
      </c>
      <c r="AA18" s="897">
        <f t="shared" si="47"/>
        <v>0</v>
      </c>
      <c r="AB18" s="896">
        <f t="shared" si="47"/>
        <v>0</v>
      </c>
      <c r="AC18" s="892" t="s">
        <v>482</v>
      </c>
      <c r="AD18" s="893">
        <f t="shared" ref="AD18:AK18" si="48">AD$15*(1-SUM(AD$15:AD17))</f>
        <v>0</v>
      </c>
      <c r="AE18" s="893">
        <f t="shared" si="48"/>
        <v>0</v>
      </c>
      <c r="AF18" s="893">
        <f t="shared" si="48"/>
        <v>0</v>
      </c>
      <c r="AG18" s="893">
        <f t="shared" si="48"/>
        <v>0</v>
      </c>
      <c r="AH18" s="893">
        <f t="shared" si="48"/>
        <v>0</v>
      </c>
      <c r="AI18" s="897">
        <f t="shared" si="48"/>
        <v>0</v>
      </c>
      <c r="AJ18" s="897">
        <f t="shared" si="48"/>
        <v>0</v>
      </c>
      <c r="AK18" s="896">
        <f t="shared" si="48"/>
        <v>0</v>
      </c>
      <c r="AL18" s="892" t="s">
        <v>482</v>
      </c>
      <c r="AM18" s="893">
        <f t="shared" ref="AM18:AT18" si="49">AM$15*(1-SUM(AM$15:AM17))</f>
        <v>0</v>
      </c>
      <c r="AN18" s="893">
        <f t="shared" si="49"/>
        <v>0</v>
      </c>
      <c r="AO18" s="893">
        <f t="shared" si="49"/>
        <v>0</v>
      </c>
      <c r="AP18" s="893">
        <f t="shared" si="49"/>
        <v>0</v>
      </c>
      <c r="AQ18" s="893">
        <f t="shared" si="49"/>
        <v>0</v>
      </c>
      <c r="AR18" s="897">
        <f t="shared" si="49"/>
        <v>0</v>
      </c>
      <c r="AS18" s="897">
        <f t="shared" si="49"/>
        <v>0</v>
      </c>
      <c r="AT18" s="896">
        <f t="shared" si="49"/>
        <v>0</v>
      </c>
      <c r="AU18" s="892" t="s">
        <v>482</v>
      </c>
      <c r="AV18" s="893">
        <f t="shared" ref="AV18:BC18" si="50">AV$15*(1-SUM(AV$15:AV17))</f>
        <v>0.05086230874</v>
      </c>
      <c r="AW18" s="893">
        <f t="shared" si="50"/>
        <v>0.04870890721</v>
      </c>
      <c r="AX18" s="893">
        <f t="shared" si="50"/>
        <v>0.04609783485</v>
      </c>
      <c r="AY18" s="893">
        <f t="shared" si="50"/>
        <v>0.04286875</v>
      </c>
      <c r="AZ18" s="893">
        <f t="shared" si="50"/>
        <v>0.03877799116</v>
      </c>
      <c r="BA18" s="897">
        <f t="shared" si="50"/>
        <v>0.03343747559</v>
      </c>
      <c r="BB18" s="897">
        <f t="shared" si="50"/>
        <v>0.02619175344</v>
      </c>
      <c r="BC18" s="896">
        <f t="shared" si="50"/>
        <v>0.01584714506</v>
      </c>
      <c r="BD18" s="1"/>
    </row>
    <row r="19">
      <c r="A19" s="1"/>
      <c r="B19" s="1"/>
      <c r="C19" s="1"/>
      <c r="D19" s="865">
        <v>2.0</v>
      </c>
      <c r="E19" s="879">
        <f t="shared" si="38"/>
        <v>6</v>
      </c>
      <c r="F19" s="880" t="str">
        <f>IFERROR(BB23, "-")</f>
        <v>-</v>
      </c>
      <c r="G19" s="881" t="str">
        <f t="shared" si="34"/>
        <v>-</v>
      </c>
      <c r="H19" s="912" t="str">
        <f>IFERROR(AS23, "-")</f>
        <v>-</v>
      </c>
      <c r="I19" s="913" t="str">
        <f t="shared" si="35"/>
        <v>-</v>
      </c>
      <c r="J19" s="884" t="str">
        <f>IFERROR(AJ23, "-")</f>
        <v>-</v>
      </c>
      <c r="K19" s="885" t="str">
        <f t="shared" si="36"/>
        <v>-</v>
      </c>
      <c r="L19" s="886" t="str">
        <f>IFERROR(AA23, "-")</f>
        <v>-</v>
      </c>
      <c r="M19" s="887" t="str">
        <f t="shared" si="37"/>
        <v>-</v>
      </c>
      <c r="N19" s="1"/>
      <c r="O19" s="1"/>
      <c r="P19" s="1"/>
      <c r="Q19" s="1"/>
      <c r="R19" s="1"/>
      <c r="S19" s="1"/>
      <c r="T19" s="892" t="s">
        <v>483</v>
      </c>
      <c r="U19" s="893">
        <f t="shared" ref="U19:AB19" si="51">U$15*(1-SUM(U$15:U18))</f>
        <v>0</v>
      </c>
      <c r="V19" s="893">
        <f t="shared" si="51"/>
        <v>0</v>
      </c>
      <c r="W19" s="893">
        <f t="shared" si="51"/>
        <v>0</v>
      </c>
      <c r="X19" s="893">
        <f t="shared" si="51"/>
        <v>0</v>
      </c>
      <c r="Y19" s="897">
        <f t="shared" si="51"/>
        <v>0</v>
      </c>
      <c r="Z19" s="897">
        <f t="shared" si="51"/>
        <v>0</v>
      </c>
      <c r="AA19" s="897">
        <f t="shared" si="51"/>
        <v>0</v>
      </c>
      <c r="AB19" s="896">
        <f t="shared" si="51"/>
        <v>0</v>
      </c>
      <c r="AC19" s="892" t="s">
        <v>483</v>
      </c>
      <c r="AD19" s="893">
        <f t="shared" ref="AD19:AK19" si="52">AD$15*(1-SUM(AD$15:AD18))</f>
        <v>0</v>
      </c>
      <c r="AE19" s="893">
        <f t="shared" si="52"/>
        <v>0</v>
      </c>
      <c r="AF19" s="893">
        <f t="shared" si="52"/>
        <v>0</v>
      </c>
      <c r="AG19" s="893">
        <f t="shared" si="52"/>
        <v>0</v>
      </c>
      <c r="AH19" s="897">
        <f t="shared" si="52"/>
        <v>0</v>
      </c>
      <c r="AI19" s="897">
        <f t="shared" si="52"/>
        <v>0</v>
      </c>
      <c r="AJ19" s="897">
        <f t="shared" si="52"/>
        <v>0</v>
      </c>
      <c r="AK19" s="896">
        <f t="shared" si="52"/>
        <v>0</v>
      </c>
      <c r="AL19" s="892" t="s">
        <v>483</v>
      </c>
      <c r="AM19" s="893">
        <f t="shared" ref="AM19:AT19" si="53">AM$15*(1-SUM(AM$15:AM18))</f>
        <v>0</v>
      </c>
      <c r="AN19" s="893">
        <f t="shared" si="53"/>
        <v>0</v>
      </c>
      <c r="AO19" s="893">
        <f t="shared" si="53"/>
        <v>0</v>
      </c>
      <c r="AP19" s="893">
        <f t="shared" si="53"/>
        <v>0</v>
      </c>
      <c r="AQ19" s="897">
        <f t="shared" si="53"/>
        <v>0</v>
      </c>
      <c r="AR19" s="897">
        <f t="shared" si="53"/>
        <v>0</v>
      </c>
      <c r="AS19" s="897">
        <f t="shared" si="53"/>
        <v>0</v>
      </c>
      <c r="AT19" s="896">
        <f t="shared" si="53"/>
        <v>0</v>
      </c>
      <c r="AU19" s="892" t="s">
        <v>483</v>
      </c>
      <c r="AV19" s="893">
        <f t="shared" ref="AV19:BC19" si="54">AV$15*(1-SUM(AV$15:AV18))</f>
        <v>0.04773232051</v>
      </c>
      <c r="AW19" s="893">
        <f t="shared" si="54"/>
        <v>0.04586755429</v>
      </c>
      <c r="AX19" s="893">
        <f t="shared" si="54"/>
        <v>0.04358340749</v>
      </c>
      <c r="AY19" s="893">
        <f t="shared" si="54"/>
        <v>0.0407253125</v>
      </c>
      <c r="AZ19" s="897">
        <f t="shared" si="54"/>
        <v>0.03705452489</v>
      </c>
      <c r="BA19" s="897">
        <f t="shared" si="54"/>
        <v>0.03218357025</v>
      </c>
      <c r="BB19" s="897">
        <f t="shared" si="54"/>
        <v>0.02544341762</v>
      </c>
      <c r="BC19" s="896">
        <f t="shared" si="54"/>
        <v>0.01558302598</v>
      </c>
      <c r="BD19" s="1"/>
    </row>
    <row r="20">
      <c r="A20" s="1"/>
      <c r="B20" s="1"/>
      <c r="C20" s="1"/>
      <c r="D20" s="898">
        <v>1.0</v>
      </c>
      <c r="E20" s="899">
        <f t="shared" si="38"/>
        <v>7</v>
      </c>
      <c r="F20" s="900" t="str">
        <f>IFERROR(BC23, "-")</f>
        <v>-</v>
      </c>
      <c r="G20" s="901" t="str">
        <f t="shared" si="34"/>
        <v>-</v>
      </c>
      <c r="H20" s="914" t="str">
        <f>IFERROR(AT23, "-")</f>
        <v>-</v>
      </c>
      <c r="I20" s="915" t="str">
        <f t="shared" si="35"/>
        <v>-</v>
      </c>
      <c r="J20" s="904" t="str">
        <f>IFERROR(AK23, "-")</f>
        <v>-</v>
      </c>
      <c r="K20" s="905" t="str">
        <f t="shared" si="36"/>
        <v>-</v>
      </c>
      <c r="L20" s="906" t="str">
        <f>IFERROR(AB23, "-")</f>
        <v>-</v>
      </c>
      <c r="M20" s="907" t="str">
        <f t="shared" si="37"/>
        <v>-</v>
      </c>
      <c r="N20" s="1"/>
      <c r="O20" s="888" t="s">
        <v>507</v>
      </c>
      <c r="P20" s="889">
        <f>26-B34</f>
        <v>22</v>
      </c>
      <c r="Q20" s="890" t="s">
        <v>508</v>
      </c>
      <c r="R20" s="891">
        <f>SWITCH($B35,"Ancestral",$L$44,0)</f>
        <v>0</v>
      </c>
      <c r="S20" s="1"/>
      <c r="T20" s="892" t="s">
        <v>486</v>
      </c>
      <c r="U20" s="893">
        <f t="shared" ref="U20:AB20" si="55">U$15*(1-SUM(U$15:U19))</f>
        <v>0</v>
      </c>
      <c r="V20" s="893">
        <f t="shared" si="55"/>
        <v>0</v>
      </c>
      <c r="W20" s="893">
        <f t="shared" si="55"/>
        <v>0</v>
      </c>
      <c r="X20" s="897">
        <f t="shared" si="55"/>
        <v>0</v>
      </c>
      <c r="Y20" s="897">
        <f t="shared" si="55"/>
        <v>0</v>
      </c>
      <c r="Z20" s="897">
        <f t="shared" si="55"/>
        <v>0</v>
      </c>
      <c r="AA20" s="897">
        <f t="shared" si="55"/>
        <v>0</v>
      </c>
      <c r="AB20" s="896">
        <f t="shared" si="55"/>
        <v>0</v>
      </c>
      <c r="AC20" s="892" t="s">
        <v>486</v>
      </c>
      <c r="AD20" s="893">
        <f t="shared" ref="AD20:AK20" si="56">AD$15*(1-SUM(AD$15:AD19))</f>
        <v>0</v>
      </c>
      <c r="AE20" s="893">
        <f t="shared" si="56"/>
        <v>0</v>
      </c>
      <c r="AF20" s="893">
        <f t="shared" si="56"/>
        <v>0</v>
      </c>
      <c r="AG20" s="897">
        <f t="shared" si="56"/>
        <v>0</v>
      </c>
      <c r="AH20" s="897">
        <f t="shared" si="56"/>
        <v>0</v>
      </c>
      <c r="AI20" s="897">
        <f t="shared" si="56"/>
        <v>0</v>
      </c>
      <c r="AJ20" s="897">
        <f t="shared" si="56"/>
        <v>0</v>
      </c>
      <c r="AK20" s="896">
        <f t="shared" si="56"/>
        <v>0</v>
      </c>
      <c r="AL20" s="892" t="s">
        <v>486</v>
      </c>
      <c r="AM20" s="893">
        <f t="shared" ref="AM20:AT20" si="57">AM$15*(1-SUM(AM$15:AM19))</f>
        <v>0</v>
      </c>
      <c r="AN20" s="893">
        <f t="shared" si="57"/>
        <v>0</v>
      </c>
      <c r="AO20" s="893">
        <f t="shared" si="57"/>
        <v>0</v>
      </c>
      <c r="AP20" s="897">
        <f t="shared" si="57"/>
        <v>0</v>
      </c>
      <c r="AQ20" s="897">
        <f t="shared" si="57"/>
        <v>0</v>
      </c>
      <c r="AR20" s="897">
        <f t="shared" si="57"/>
        <v>0</v>
      </c>
      <c r="AS20" s="897">
        <f t="shared" si="57"/>
        <v>0</v>
      </c>
      <c r="AT20" s="896">
        <f t="shared" si="57"/>
        <v>0</v>
      </c>
      <c r="AU20" s="892" t="s">
        <v>486</v>
      </c>
      <c r="AV20" s="893">
        <f t="shared" ref="AV20:BC20" si="58">AV$15*(1-SUM(AV$15:AV19))</f>
        <v>0.04479494694</v>
      </c>
      <c r="AW20" s="893">
        <f t="shared" si="58"/>
        <v>0.04319194696</v>
      </c>
      <c r="AX20" s="893">
        <f t="shared" si="58"/>
        <v>0.04120613072</v>
      </c>
      <c r="AY20" s="897">
        <f t="shared" si="58"/>
        <v>0.03868904688</v>
      </c>
      <c r="AZ20" s="897">
        <f t="shared" si="58"/>
        <v>0.03540765711</v>
      </c>
      <c r="BA20" s="897">
        <f t="shared" si="58"/>
        <v>0.03097668637</v>
      </c>
      <c r="BB20" s="897">
        <f t="shared" si="58"/>
        <v>0.02471646283</v>
      </c>
      <c r="BC20" s="896">
        <f t="shared" si="58"/>
        <v>0.01532330888</v>
      </c>
      <c r="BD20" s="1"/>
    </row>
    <row r="21">
      <c r="A21" s="1"/>
      <c r="B21" s="1"/>
      <c r="C21" s="1"/>
      <c r="D21" s="1"/>
      <c r="E21" s="1"/>
      <c r="F21" s="1"/>
      <c r="G21" s="1"/>
      <c r="H21" s="1"/>
      <c r="I21" s="1"/>
      <c r="J21" s="1"/>
      <c r="K21" s="1"/>
      <c r="L21" s="1"/>
      <c r="M21" s="1"/>
      <c r="N21" s="1"/>
      <c r="O21" s="888" t="s">
        <v>509</v>
      </c>
      <c r="P21" s="889">
        <f>26-B34</f>
        <v>22</v>
      </c>
      <c r="Q21" s="890" t="s">
        <v>510</v>
      </c>
      <c r="R21" s="891">
        <f>SWITCH($B35,"Ancestral",SUM($L$43:$L$44),"Mythic",$L$43,0)</f>
        <v>0</v>
      </c>
      <c r="S21" s="1"/>
      <c r="T21" s="892" t="s">
        <v>489</v>
      </c>
      <c r="U21" s="893">
        <f t="shared" ref="U21:AB21" si="59">U$15*(1-SUM(U$15:U20))</f>
        <v>0</v>
      </c>
      <c r="V21" s="893">
        <f t="shared" si="59"/>
        <v>0</v>
      </c>
      <c r="W21" s="897">
        <f t="shared" si="59"/>
        <v>0</v>
      </c>
      <c r="X21" s="897">
        <f t="shared" si="59"/>
        <v>0</v>
      </c>
      <c r="Y21" s="897">
        <f t="shared" si="59"/>
        <v>0</v>
      </c>
      <c r="Z21" s="897">
        <f t="shared" si="59"/>
        <v>0</v>
      </c>
      <c r="AA21" s="897">
        <f t="shared" si="59"/>
        <v>0</v>
      </c>
      <c r="AB21" s="896">
        <f t="shared" si="59"/>
        <v>0</v>
      </c>
      <c r="AC21" s="892" t="s">
        <v>489</v>
      </c>
      <c r="AD21" s="893">
        <f t="shared" ref="AD21:AK21" si="60">AD$15*(1-SUM(AD$15:AD20))</f>
        <v>0</v>
      </c>
      <c r="AE21" s="893">
        <f t="shared" si="60"/>
        <v>0</v>
      </c>
      <c r="AF21" s="897">
        <f t="shared" si="60"/>
        <v>0</v>
      </c>
      <c r="AG21" s="897">
        <f t="shared" si="60"/>
        <v>0</v>
      </c>
      <c r="AH21" s="897">
        <f t="shared" si="60"/>
        <v>0</v>
      </c>
      <c r="AI21" s="897">
        <f t="shared" si="60"/>
        <v>0</v>
      </c>
      <c r="AJ21" s="897">
        <f t="shared" si="60"/>
        <v>0</v>
      </c>
      <c r="AK21" s="896">
        <f t="shared" si="60"/>
        <v>0</v>
      </c>
      <c r="AL21" s="892" t="s">
        <v>489</v>
      </c>
      <c r="AM21" s="893">
        <f t="shared" ref="AM21:AT21" si="61">AM$15*(1-SUM(AM$15:AM20))</f>
        <v>0</v>
      </c>
      <c r="AN21" s="893">
        <f t="shared" si="61"/>
        <v>0</v>
      </c>
      <c r="AO21" s="897">
        <f t="shared" si="61"/>
        <v>0</v>
      </c>
      <c r="AP21" s="897">
        <f t="shared" si="61"/>
        <v>0</v>
      </c>
      <c r="AQ21" s="897">
        <f t="shared" si="61"/>
        <v>0</v>
      </c>
      <c r="AR21" s="897">
        <f t="shared" si="61"/>
        <v>0</v>
      </c>
      <c r="AS21" s="897">
        <f t="shared" si="61"/>
        <v>0</v>
      </c>
      <c r="AT21" s="896">
        <f t="shared" si="61"/>
        <v>0</v>
      </c>
      <c r="AU21" s="892" t="s">
        <v>489</v>
      </c>
      <c r="AV21" s="893">
        <f t="shared" ref="AV21:BC21" si="62">AV$15*(1-SUM(AV$15:AV20))</f>
        <v>0.04203833482</v>
      </c>
      <c r="AW21" s="893">
        <f t="shared" si="62"/>
        <v>0.04067241672</v>
      </c>
      <c r="AX21" s="897">
        <f t="shared" si="62"/>
        <v>0.03895852359</v>
      </c>
      <c r="AY21" s="897">
        <f t="shared" si="62"/>
        <v>0.03675459453</v>
      </c>
      <c r="AZ21" s="897">
        <f t="shared" si="62"/>
        <v>0.03383398346</v>
      </c>
      <c r="BA21" s="897">
        <f t="shared" si="62"/>
        <v>0.02981506063</v>
      </c>
      <c r="BB21" s="897">
        <f t="shared" si="62"/>
        <v>0.02401027818</v>
      </c>
      <c r="BC21" s="896">
        <f t="shared" si="62"/>
        <v>0.0150679204</v>
      </c>
      <c r="BD21" s="1"/>
    </row>
    <row r="22">
      <c r="A22" s="864" t="s">
        <v>511</v>
      </c>
      <c r="B22" s="572"/>
      <c r="C22" s="1"/>
      <c r="D22" s="865">
        <v>8.0</v>
      </c>
      <c r="E22" s="866">
        <v>0.0</v>
      </c>
      <c r="F22" s="867">
        <f>IFERROR(AV33, "-")</f>
        <v>4</v>
      </c>
      <c r="G22" s="868">
        <f t="shared" ref="G22:G29" si="67">IFERROR(F22*$D41, "-")</f>
        <v>40</v>
      </c>
      <c r="H22" s="869">
        <f>IFERROR(AM33, "-")</f>
        <v>16</v>
      </c>
      <c r="I22" s="909">
        <f t="shared" ref="I22:I29" si="68">IFERROR(H22*$D41, "-")</f>
        <v>160</v>
      </c>
      <c r="J22" s="871">
        <f>IFERROR(AD33, "-")</f>
        <v>56</v>
      </c>
      <c r="K22" s="872">
        <f t="shared" ref="K22:K29" si="69">IFERROR(J22*$D41, "-")</f>
        <v>560</v>
      </c>
      <c r="L22" s="873" t="str">
        <f>IFERROR(U33, "-")</f>
        <v>-</v>
      </c>
      <c r="M22" s="874" t="str">
        <f t="shared" ref="M22:M29" si="70">IFERROR(L22*$D41, "-")</f>
        <v>-</v>
      </c>
      <c r="N22" s="1"/>
      <c r="O22" s="888" t="s">
        <v>512</v>
      </c>
      <c r="P22" s="889">
        <f>26-B34</f>
        <v>22</v>
      </c>
      <c r="Q22" s="890" t="s">
        <v>513</v>
      </c>
      <c r="R22" s="891">
        <f>SWITCH($B35,"Ancestral",SUM($L$42:$L$44),"Mythic",SUM($L$42:$L$43),"Legendary",$L$42,0)</f>
        <v>0.025</v>
      </c>
      <c r="S22" s="1"/>
      <c r="T22" s="892" t="s">
        <v>492</v>
      </c>
      <c r="U22" s="893">
        <f t="shared" ref="U22:AB22" si="63">U$15*(1-SUM(U$15:U21))</f>
        <v>0</v>
      </c>
      <c r="V22" s="897">
        <f t="shared" si="63"/>
        <v>0</v>
      </c>
      <c r="W22" s="897">
        <f t="shared" si="63"/>
        <v>0</v>
      </c>
      <c r="X22" s="897">
        <f t="shared" si="63"/>
        <v>0</v>
      </c>
      <c r="Y22" s="897">
        <f t="shared" si="63"/>
        <v>0</v>
      </c>
      <c r="Z22" s="897">
        <f t="shared" si="63"/>
        <v>0</v>
      </c>
      <c r="AA22" s="897">
        <f t="shared" si="63"/>
        <v>0</v>
      </c>
      <c r="AB22" s="896">
        <f t="shared" si="63"/>
        <v>0</v>
      </c>
      <c r="AC22" s="892" t="s">
        <v>492</v>
      </c>
      <c r="AD22" s="893">
        <f t="shared" ref="AD22:AK22" si="64">AD$15*(1-SUM(AD$15:AD21))</f>
        <v>0</v>
      </c>
      <c r="AE22" s="897">
        <f t="shared" si="64"/>
        <v>0</v>
      </c>
      <c r="AF22" s="897">
        <f t="shared" si="64"/>
        <v>0</v>
      </c>
      <c r="AG22" s="897">
        <f t="shared" si="64"/>
        <v>0</v>
      </c>
      <c r="AH22" s="897">
        <f t="shared" si="64"/>
        <v>0</v>
      </c>
      <c r="AI22" s="897">
        <f t="shared" si="64"/>
        <v>0</v>
      </c>
      <c r="AJ22" s="897">
        <f t="shared" si="64"/>
        <v>0</v>
      </c>
      <c r="AK22" s="896">
        <f t="shared" si="64"/>
        <v>0</v>
      </c>
      <c r="AL22" s="892" t="s">
        <v>492</v>
      </c>
      <c r="AM22" s="893">
        <f t="shared" ref="AM22:AT22" si="65">AM$15*(1-SUM(AM$15:AM21))</f>
        <v>0</v>
      </c>
      <c r="AN22" s="897">
        <f t="shared" si="65"/>
        <v>0</v>
      </c>
      <c r="AO22" s="897">
        <f t="shared" si="65"/>
        <v>0</v>
      </c>
      <c r="AP22" s="897">
        <f t="shared" si="65"/>
        <v>0</v>
      </c>
      <c r="AQ22" s="897">
        <f t="shared" si="65"/>
        <v>0</v>
      </c>
      <c r="AR22" s="897">
        <f t="shared" si="65"/>
        <v>0</v>
      </c>
      <c r="AS22" s="897">
        <f t="shared" si="65"/>
        <v>0</v>
      </c>
      <c r="AT22" s="896">
        <f t="shared" si="65"/>
        <v>0</v>
      </c>
      <c r="AU22" s="892" t="s">
        <v>492</v>
      </c>
      <c r="AV22" s="893">
        <f t="shared" ref="AV22:BC22" si="66">AV$15*(1-SUM(AV$15:AV21))</f>
        <v>0.03945136037</v>
      </c>
      <c r="AW22" s="897">
        <f t="shared" si="66"/>
        <v>0.03829985908</v>
      </c>
      <c r="AX22" s="897">
        <f t="shared" si="66"/>
        <v>0.03683351321</v>
      </c>
      <c r="AY22" s="897">
        <f t="shared" si="66"/>
        <v>0.0349168648</v>
      </c>
      <c r="AZ22" s="897">
        <f t="shared" si="66"/>
        <v>0.03233025087</v>
      </c>
      <c r="BA22" s="897">
        <f t="shared" si="66"/>
        <v>0.02869699585</v>
      </c>
      <c r="BB22" s="897">
        <f t="shared" si="66"/>
        <v>0.02332427023</v>
      </c>
      <c r="BC22" s="896">
        <f t="shared" si="66"/>
        <v>0.01481678839</v>
      </c>
      <c r="BD22" s="1"/>
    </row>
    <row r="23">
      <c r="A23" s="878" t="s">
        <v>468</v>
      </c>
      <c r="B23" s="865">
        <v>8.0</v>
      </c>
      <c r="C23" s="1"/>
      <c r="D23" s="865">
        <v>7.0</v>
      </c>
      <c r="E23" s="879">
        <f t="shared" ref="E23:E29" si="71">E22+1</f>
        <v>1</v>
      </c>
      <c r="F23" s="880">
        <f>IFERROR(AW33, "-")</f>
        <v>5</v>
      </c>
      <c r="G23" s="881">
        <f t="shared" si="67"/>
        <v>200</v>
      </c>
      <c r="H23" s="882">
        <f>IFERROR(AN33, "-")</f>
        <v>19</v>
      </c>
      <c r="I23" s="913">
        <f t="shared" si="68"/>
        <v>760</v>
      </c>
      <c r="J23" s="884">
        <f>IFERROR(AE33, "-")</f>
        <v>68</v>
      </c>
      <c r="K23" s="885">
        <f t="shared" si="69"/>
        <v>2720</v>
      </c>
      <c r="L23" s="886" t="str">
        <f>IFERROR(V33, "-")</f>
        <v>-</v>
      </c>
      <c r="M23" s="887" t="str">
        <f t="shared" si="70"/>
        <v>-</v>
      </c>
      <c r="N23" s="1"/>
      <c r="O23" s="888" t="s">
        <v>514</v>
      </c>
      <c r="P23" s="889">
        <f>15-B34</f>
        <v>11</v>
      </c>
      <c r="Q23" s="890" t="s">
        <v>515</v>
      </c>
      <c r="R23" s="891">
        <f>SWITCH($B35,"Ancestral",SUM($L$41:$L$44),"Mythic",SUM($L$41:$L$43),"Legendary",SUM($L$41:$L$42),"Epic",SUM($L$41),0)</f>
        <v>0.125</v>
      </c>
      <c r="S23" s="1"/>
      <c r="T23" s="875" t="s">
        <v>496</v>
      </c>
      <c r="U23" s="910" t="str">
        <f>ROUNDUP(LOG((1-$B$1),(1-SUM(OFFSET(U15,0,0,$B$14-$E$13)))),0)</f>
        <v>#DIV/0!</v>
      </c>
      <c r="V23" s="910" t="str">
        <f>ROUNDUP(LOG((1-$B$1),(1-SUM(OFFSET(V15,0,0,$B$14-$E$14)))),0)</f>
        <v>#DIV/0!</v>
      </c>
      <c r="W23" s="910" t="str">
        <f>ROUNDUP(LOG((1-$B$1),(1-SUM(OFFSET(W15,0,0,$B$14-$E$15)))),0)</f>
        <v>#DIV/0!</v>
      </c>
      <c r="X23" s="910" t="str">
        <f>ROUNDUP(LOG((1-$B$1),(1-SUM(OFFSET(X15,0,0,$B$14-$E$16)))),0)</f>
        <v>#DIV/0!</v>
      </c>
      <c r="Y23" s="910" t="str">
        <f>ROUNDUP(LOG((1-$B$1),(1-SUM(OFFSET(Y15,0,0,$B$14-$E$17)))),0)</f>
        <v>#VALUE!</v>
      </c>
      <c r="Z23" s="910" t="str">
        <f>ROUNDUP(LOG((1-$B$1),(1-SUM(OFFSET(Z15,0,0,$B$14-$E$18)))),0)</f>
        <v>#VALUE!</v>
      </c>
      <c r="AA23" s="910" t="str">
        <f>ROUNDUP(LOG((1-$B$1),(1-SUM(OFFSET(AA15,0,0,$B$14-$E$19)))),0)</f>
        <v>#VALUE!</v>
      </c>
      <c r="AB23" s="911" t="str">
        <f>ROUNDUP(LOG((1-$B$1),(1-SUM(OFFSET(AB15,0,0,$B$14-$E$20)))),0)</f>
        <v>#VALUE!</v>
      </c>
      <c r="AC23" s="875" t="s">
        <v>496</v>
      </c>
      <c r="AD23" s="910" t="str">
        <f>ROUNDUP(LOG((1-$B$1),(1-SUM(OFFSET(AD15,0,0,$B$14-$E$13)))),0)</f>
        <v>#DIV/0!</v>
      </c>
      <c r="AE23" s="910" t="str">
        <f>ROUNDUP(LOG((1-$B$1),(1-SUM(OFFSET(AE15,0,0,$B$14-$E$14)))),0)</f>
        <v>#DIV/0!</v>
      </c>
      <c r="AF23" s="910" t="str">
        <f>ROUNDUP(LOG((1-$B$1),(1-SUM(OFFSET(AF15,0,0,$B$14-$E$15)))),0)</f>
        <v>#DIV/0!</v>
      </c>
      <c r="AG23" s="910" t="str">
        <f>ROUNDUP(LOG((1-$B$1),(1-SUM(OFFSET(AG15,0,0,$B$14-$E$16)))),0)</f>
        <v>#DIV/0!</v>
      </c>
      <c r="AH23" s="910" t="str">
        <f>ROUNDUP(LOG((1-$B$1),(1-SUM(OFFSET(AH15,0,0,$B$14-$E$17)))),0)</f>
        <v>#VALUE!</v>
      </c>
      <c r="AI23" s="910" t="str">
        <f>ROUNDUP(LOG((1-$B$1),(1-SUM(OFFSET(AI15,0,0,$B$14-$E$18)))),0)</f>
        <v>#VALUE!</v>
      </c>
      <c r="AJ23" s="910" t="str">
        <f>ROUNDUP(LOG((1-$B$1),(1-SUM(OFFSET(AJ15,0,0,$B$14-$E$19)))),0)</f>
        <v>#VALUE!</v>
      </c>
      <c r="AK23" s="911" t="str">
        <f>ROUNDUP(LOG((1-$B$1),(1-SUM(OFFSET(AK15,0,0,$B$14-$E$20)))),0)</f>
        <v>#VALUE!</v>
      </c>
      <c r="AL23" s="875" t="s">
        <v>496</v>
      </c>
      <c r="AM23" s="910" t="str">
        <f>ROUNDUP(LOG((1-$B$1),(1-SUM(OFFSET(AM15,0,0,$B$14-$E$13)))),0)</f>
        <v>#DIV/0!</v>
      </c>
      <c r="AN23" s="910" t="str">
        <f>ROUNDUP(LOG((1-$B$1),(1-SUM(OFFSET(AN15,0,0,$B$14-$E$14)))),0)</f>
        <v>#DIV/0!</v>
      </c>
      <c r="AO23" s="910" t="str">
        <f>ROUNDUP(LOG((1-$B$1),(1-SUM(OFFSET(AO15,0,0,$B$14-$E$15)))),0)</f>
        <v>#DIV/0!</v>
      </c>
      <c r="AP23" s="910" t="str">
        <f>ROUNDUP(LOG((1-$B$1),(1-SUM(OFFSET(AP15,0,0,$B$14-$E$16)))),0)</f>
        <v>#DIV/0!</v>
      </c>
      <c r="AQ23" s="910" t="str">
        <f>ROUNDUP(LOG((1-$B$1),(1-SUM(OFFSET(AQ15,0,0,$B$14-$E$17)))),0)</f>
        <v>#VALUE!</v>
      </c>
      <c r="AR23" s="910" t="str">
        <f>ROUNDUP(LOG((1-$B$1),(1-SUM(OFFSET(AR15,0,0,$B$14-$E$18)))),0)</f>
        <v>#VALUE!</v>
      </c>
      <c r="AS23" s="910" t="str">
        <f>ROUNDUP(LOG((1-$B$1),(1-SUM(OFFSET(AS15,0,0,$B$14-$E$19)))),0)</f>
        <v>#VALUE!</v>
      </c>
      <c r="AT23" s="911" t="str">
        <f>ROUNDUP(LOG((1-$B$1),(1-SUM(OFFSET(AT15,0,0,$B$14-$E$20)))),0)</f>
        <v>#VALUE!</v>
      </c>
      <c r="AU23" s="875" t="s">
        <v>496</v>
      </c>
      <c r="AV23" s="910">
        <f>ROUNDUP(LOG((1-$B$1),(1-SUM(OFFSET(AV15,0,0,$B$14-$E$13)))),0)</f>
        <v>12</v>
      </c>
      <c r="AW23" s="910">
        <f>ROUNDUP(LOG((1-$B$1),(1-SUM(OFFSET(AW15,0,0,$B$14-$E$14)))),0)</f>
        <v>17</v>
      </c>
      <c r="AX23" s="910">
        <f>ROUNDUP(LOG((1-$B$1),(1-SUM(OFFSET(AX15,0,0,$B$14-$E$15)))),0)</f>
        <v>27</v>
      </c>
      <c r="AY23" s="910">
        <f>ROUNDUP(LOG((1-$B$1),(1-SUM(OFFSET(AY15,0,0,$B$14-$E$16)))),0)</f>
        <v>59</v>
      </c>
      <c r="AZ23" s="910" t="str">
        <f>ROUNDUP(LOG((1-$B$1),(1-SUM(OFFSET(AZ15,0,0,$B$14-$E$17)))),0)</f>
        <v>#VALUE!</v>
      </c>
      <c r="BA23" s="910" t="str">
        <f>ROUNDUP(LOG((1-$B$1),(1-SUM(OFFSET(BA15,0,0,$B$14-$E$18)))),0)</f>
        <v>#VALUE!</v>
      </c>
      <c r="BB23" s="910" t="str">
        <f>ROUNDUP(LOG((1-$B$1),(1-SUM(OFFSET(BB15,0,0,$B$14-$E$19)))),0)</f>
        <v>#VALUE!</v>
      </c>
      <c r="BC23" s="911" t="str">
        <f>ROUNDUP(LOG((1-$B$1),(1-SUM(OFFSET(BC15,0,0,$B$14-$E$20)))),0)</f>
        <v>#VALUE!</v>
      </c>
      <c r="BD23" s="1"/>
    </row>
    <row r="24">
      <c r="A24" s="878" t="s">
        <v>516</v>
      </c>
      <c r="B24" s="895">
        <f>'Master Sheet'!C14</f>
        <v>1</v>
      </c>
      <c r="C24" s="1"/>
      <c r="D24" s="865">
        <v>6.0</v>
      </c>
      <c r="E24" s="879">
        <f t="shared" si="71"/>
        <v>2</v>
      </c>
      <c r="F24" s="880">
        <f>IFERROR(AX33, "-")</f>
        <v>6</v>
      </c>
      <c r="G24" s="881">
        <f t="shared" si="67"/>
        <v>960</v>
      </c>
      <c r="H24" s="882">
        <f>IFERROR(AO33, "-")</f>
        <v>24</v>
      </c>
      <c r="I24" s="913">
        <f t="shared" si="68"/>
        <v>3840</v>
      </c>
      <c r="J24" s="884">
        <f>IFERROR(AF33, "-")</f>
        <v>83</v>
      </c>
      <c r="K24" s="885">
        <f t="shared" si="69"/>
        <v>13280</v>
      </c>
      <c r="L24" s="886" t="str">
        <f>IFERROR(W33, "-")</f>
        <v>-</v>
      </c>
      <c r="M24" s="887" t="str">
        <f t="shared" si="70"/>
        <v>-</v>
      </c>
      <c r="N24" s="1"/>
      <c r="O24" s="1"/>
      <c r="P24" s="1"/>
      <c r="Q24" s="1"/>
      <c r="R24" s="1"/>
      <c r="S24" s="1"/>
      <c r="T24" s="875" t="s">
        <v>456</v>
      </c>
      <c r="U24" s="876" t="s">
        <v>457</v>
      </c>
      <c r="V24" s="876" t="s">
        <v>458</v>
      </c>
      <c r="W24" s="876" t="s">
        <v>459</v>
      </c>
      <c r="X24" s="876" t="s">
        <v>460</v>
      </c>
      <c r="Y24" s="876" t="s">
        <v>461</v>
      </c>
      <c r="Z24" s="876" t="s">
        <v>462</v>
      </c>
      <c r="AA24" s="876" t="s">
        <v>463</v>
      </c>
      <c r="AB24" s="877" t="s">
        <v>464</v>
      </c>
      <c r="AC24" s="875" t="s">
        <v>465</v>
      </c>
      <c r="AD24" s="876" t="s">
        <v>457</v>
      </c>
      <c r="AE24" s="876" t="s">
        <v>458</v>
      </c>
      <c r="AF24" s="876" t="s">
        <v>459</v>
      </c>
      <c r="AG24" s="876" t="s">
        <v>460</v>
      </c>
      <c r="AH24" s="876" t="s">
        <v>461</v>
      </c>
      <c r="AI24" s="876" t="s">
        <v>462</v>
      </c>
      <c r="AJ24" s="876" t="s">
        <v>463</v>
      </c>
      <c r="AK24" s="877" t="s">
        <v>464</v>
      </c>
      <c r="AL24" s="875" t="s">
        <v>466</v>
      </c>
      <c r="AM24" s="876" t="s">
        <v>457</v>
      </c>
      <c r="AN24" s="876" t="s">
        <v>458</v>
      </c>
      <c r="AO24" s="876" t="s">
        <v>459</v>
      </c>
      <c r="AP24" s="876" t="s">
        <v>460</v>
      </c>
      <c r="AQ24" s="876" t="s">
        <v>461</v>
      </c>
      <c r="AR24" s="876" t="s">
        <v>462</v>
      </c>
      <c r="AS24" s="876" t="s">
        <v>463</v>
      </c>
      <c r="AT24" s="877" t="s">
        <v>464</v>
      </c>
      <c r="AU24" s="875" t="s">
        <v>467</v>
      </c>
      <c r="AV24" s="876" t="s">
        <v>457</v>
      </c>
      <c r="AW24" s="876" t="s">
        <v>458</v>
      </c>
      <c r="AX24" s="876" t="s">
        <v>459</v>
      </c>
      <c r="AY24" s="876" t="s">
        <v>460</v>
      </c>
      <c r="AZ24" s="876" t="s">
        <v>461</v>
      </c>
      <c r="BA24" s="876" t="s">
        <v>462</v>
      </c>
      <c r="BB24" s="876" t="s">
        <v>463</v>
      </c>
      <c r="BC24" s="877" t="s">
        <v>464</v>
      </c>
      <c r="BD24" s="1"/>
    </row>
    <row r="25">
      <c r="A25" s="586" t="s">
        <v>517</v>
      </c>
      <c r="B25" s="865" t="s">
        <v>180</v>
      </c>
      <c r="C25" s="1"/>
      <c r="D25" s="865">
        <v>5.0</v>
      </c>
      <c r="E25" s="879">
        <f t="shared" si="71"/>
        <v>3</v>
      </c>
      <c r="F25" s="880">
        <f>IFERROR(AY33, "-")</f>
        <v>8</v>
      </c>
      <c r="G25" s="881">
        <f t="shared" si="67"/>
        <v>4000</v>
      </c>
      <c r="H25" s="882">
        <f>IFERROR(AP33, "-")</f>
        <v>31</v>
      </c>
      <c r="I25" s="913">
        <f t="shared" si="68"/>
        <v>15500</v>
      </c>
      <c r="J25" s="884">
        <f>IFERROR(AG33, "-")</f>
        <v>108</v>
      </c>
      <c r="K25" s="885">
        <f t="shared" si="69"/>
        <v>54000</v>
      </c>
      <c r="L25" s="886" t="str">
        <f>IFERROR(X33, "-")</f>
        <v>-</v>
      </c>
      <c r="M25" s="887" t="str">
        <f t="shared" si="70"/>
        <v>-</v>
      </c>
      <c r="N25" s="1"/>
      <c r="O25" s="1"/>
      <c r="P25" s="1"/>
      <c r="Q25" s="1"/>
      <c r="R25" s="1"/>
      <c r="S25" s="1"/>
      <c r="T25" s="892" t="s">
        <v>471</v>
      </c>
      <c r="U25" s="893">
        <f>($D22/($P$15-$E22))*$R$15</f>
        <v>0</v>
      </c>
      <c r="V25" s="893">
        <f>($D23/($P$15-$E23))*$R$15</f>
        <v>0</v>
      </c>
      <c r="W25" s="893">
        <f>($D24/($P$15-$E24))*$R$15</f>
        <v>0</v>
      </c>
      <c r="X25" s="893">
        <f>($D25/($P$15-$E25))*$R$15</f>
        <v>0</v>
      </c>
      <c r="Y25" s="893">
        <f>($D26/($P$15-$E26))*$R$15</f>
        <v>0</v>
      </c>
      <c r="Z25" s="893">
        <f>($D27/($P$15-$E27))*$R$15</f>
        <v>0</v>
      </c>
      <c r="AA25" s="893">
        <f>($D28/($P$15-$E28))*$R$15</f>
        <v>0</v>
      </c>
      <c r="AB25" s="894">
        <f>($D29/($P$15-$E29))*$R$15</f>
        <v>0</v>
      </c>
      <c r="AC25" s="892" t="s">
        <v>471</v>
      </c>
      <c r="AD25" s="893">
        <f>($D22/($P$16-$E22))*$R$16</f>
        <v>0.006666666667</v>
      </c>
      <c r="AE25" s="893">
        <f>($D23/($P$16-$E23))*$R$16</f>
        <v>0.006363636364</v>
      </c>
      <c r="AF25" s="893">
        <f>($D24/($P$16-$E24))*$R$16</f>
        <v>0.006</v>
      </c>
      <c r="AG25" s="893">
        <f>($D25/($P$16-$E25))*$R$16</f>
        <v>0.005555555556</v>
      </c>
      <c r="AH25" s="893">
        <f>($D26/($P$16-$E26))*$R$16</f>
        <v>0.005</v>
      </c>
      <c r="AI25" s="893">
        <f>($D27/($P$16-$E27))*$R$16</f>
        <v>0.004285714286</v>
      </c>
      <c r="AJ25" s="893">
        <f>($D28/($P$16-$E28))*$R$16</f>
        <v>0.003333333333</v>
      </c>
      <c r="AK25" s="894">
        <f>($D29/($P$16-$E29))*$R$16</f>
        <v>0.002</v>
      </c>
      <c r="AL25" s="892" t="s">
        <v>471</v>
      </c>
      <c r="AM25" s="893">
        <f>($D22/($P$17-$E22))*$R$17</f>
        <v>0.02333333333</v>
      </c>
      <c r="AN25" s="893">
        <f>($D23/($P$17-$E23))*$R$17</f>
        <v>0.02227272727</v>
      </c>
      <c r="AO25" s="893">
        <f>($D24/($P$17-$E24))*$R$17</f>
        <v>0.021</v>
      </c>
      <c r="AP25" s="893">
        <f>($D25/($P$17-$E25))*$R$17</f>
        <v>0.01944444444</v>
      </c>
      <c r="AQ25" s="893">
        <f>($D26/($P$17-$E26))*$R$17</f>
        <v>0.0175</v>
      </c>
      <c r="AR25" s="893">
        <f>($D27/($P$17-$E27))*$R$17</f>
        <v>0.015</v>
      </c>
      <c r="AS25" s="893">
        <f>($D28/($P$17-$E28))*$R$17</f>
        <v>0.01166666667</v>
      </c>
      <c r="AT25" s="894">
        <f>($D29/($P$17-$E29))*$R$17</f>
        <v>0.007</v>
      </c>
      <c r="AU25" s="892" t="s">
        <v>471</v>
      </c>
      <c r="AV25" s="893">
        <f>($D22/($P$18-$E22))*$R$18</f>
        <v>0.09</v>
      </c>
      <c r="AW25" s="893">
        <f>($D23/($P$18-$E23))*$R$18</f>
        <v>0.08590909091</v>
      </c>
      <c r="AX25" s="893">
        <f>($D24/($P$18-$E24))*$R$18</f>
        <v>0.081</v>
      </c>
      <c r="AY25" s="893">
        <f>($D25/($P$18-$E25))*$R$18</f>
        <v>0.075</v>
      </c>
      <c r="AZ25" s="893">
        <f>($D26/($P$18-$E26))*$R$18</f>
        <v>0.0675</v>
      </c>
      <c r="BA25" s="893">
        <f>($D27/($P$18-$E27))*$R$18</f>
        <v>0.05785714286</v>
      </c>
      <c r="BB25" s="893">
        <f>($D28/($P$18-$E28))*$R$18</f>
        <v>0.045</v>
      </c>
      <c r="BC25" s="894">
        <f>($D29/($P$18-$E29))*$R$18</f>
        <v>0.027</v>
      </c>
      <c r="BD25" s="1"/>
    </row>
    <row r="26">
      <c r="A26" s="1"/>
      <c r="B26" s="1"/>
      <c r="C26" s="1"/>
      <c r="D26" s="865">
        <v>4.0</v>
      </c>
      <c r="E26" s="879">
        <f t="shared" si="71"/>
        <v>4</v>
      </c>
      <c r="F26" s="880">
        <f>IFERROR(AZ33, "-")</f>
        <v>11</v>
      </c>
      <c r="G26" s="881">
        <f t="shared" si="67"/>
        <v>11000</v>
      </c>
      <c r="H26" s="916">
        <f>IFERROR(AQ33, "-")</f>
        <v>43</v>
      </c>
      <c r="I26" s="913">
        <f t="shared" si="68"/>
        <v>43000</v>
      </c>
      <c r="J26" s="884">
        <f>IFERROR(AH33, "-")</f>
        <v>150</v>
      </c>
      <c r="K26" s="885">
        <f t="shared" si="69"/>
        <v>150000</v>
      </c>
      <c r="L26" s="886" t="str">
        <f>IFERROR(Y33, "-")</f>
        <v>-</v>
      </c>
      <c r="M26" s="887" t="str">
        <f t="shared" si="70"/>
        <v>-</v>
      </c>
      <c r="N26" s="1"/>
      <c r="O26" s="1"/>
      <c r="P26" s="1"/>
      <c r="Q26" s="1"/>
      <c r="R26" s="1"/>
      <c r="S26" s="1"/>
      <c r="T26" s="892" t="s">
        <v>475</v>
      </c>
      <c r="U26" s="893">
        <f t="shared" ref="U26:AB26" si="72">U$25*(1-SUM(U$25:U25))</f>
        <v>0</v>
      </c>
      <c r="V26" s="893">
        <f t="shared" si="72"/>
        <v>0</v>
      </c>
      <c r="W26" s="893">
        <f t="shared" si="72"/>
        <v>0</v>
      </c>
      <c r="X26" s="893">
        <f t="shared" si="72"/>
        <v>0</v>
      </c>
      <c r="Y26" s="893">
        <f t="shared" si="72"/>
        <v>0</v>
      </c>
      <c r="Z26" s="893">
        <f t="shared" si="72"/>
        <v>0</v>
      </c>
      <c r="AA26" s="893">
        <f t="shared" si="72"/>
        <v>0</v>
      </c>
      <c r="AB26" s="896">
        <f t="shared" si="72"/>
        <v>0</v>
      </c>
      <c r="AC26" s="892" t="s">
        <v>475</v>
      </c>
      <c r="AD26" s="893">
        <f t="shared" ref="AD26:AK26" si="73">AD$25*(1-SUM(AD$25:AD25))</f>
        <v>0.006622222222</v>
      </c>
      <c r="AE26" s="893">
        <f t="shared" si="73"/>
        <v>0.006323140496</v>
      </c>
      <c r="AF26" s="893">
        <f t="shared" si="73"/>
        <v>0.005964</v>
      </c>
      <c r="AG26" s="893">
        <f t="shared" si="73"/>
        <v>0.005524691358</v>
      </c>
      <c r="AH26" s="893">
        <f t="shared" si="73"/>
        <v>0.004975</v>
      </c>
      <c r="AI26" s="893">
        <f t="shared" si="73"/>
        <v>0.004267346939</v>
      </c>
      <c r="AJ26" s="893">
        <f t="shared" si="73"/>
        <v>0.003322222222</v>
      </c>
      <c r="AK26" s="896">
        <f t="shared" si="73"/>
        <v>0.001996</v>
      </c>
      <c r="AL26" s="892" t="s">
        <v>475</v>
      </c>
      <c r="AM26" s="893">
        <f t="shared" ref="AM26:AT26" si="74">AM$25*(1-SUM(AM$25:AM25))</f>
        <v>0.02278888889</v>
      </c>
      <c r="AN26" s="893">
        <f t="shared" si="74"/>
        <v>0.02177665289</v>
      </c>
      <c r="AO26" s="893">
        <f t="shared" si="74"/>
        <v>0.020559</v>
      </c>
      <c r="AP26" s="893">
        <f t="shared" si="74"/>
        <v>0.01906635802</v>
      </c>
      <c r="AQ26" s="893">
        <f t="shared" si="74"/>
        <v>0.01719375</v>
      </c>
      <c r="AR26" s="893">
        <f t="shared" si="74"/>
        <v>0.014775</v>
      </c>
      <c r="AS26" s="893">
        <f t="shared" si="74"/>
        <v>0.01153055556</v>
      </c>
      <c r="AT26" s="896">
        <f t="shared" si="74"/>
        <v>0.006951</v>
      </c>
      <c r="AU26" s="892" t="s">
        <v>475</v>
      </c>
      <c r="AV26" s="893">
        <f t="shared" ref="AV26:BC26" si="75">AV$25*(1-SUM(AV$25:AV25))</f>
        <v>0.0819</v>
      </c>
      <c r="AW26" s="893">
        <f t="shared" si="75"/>
        <v>0.07852871901</v>
      </c>
      <c r="AX26" s="893">
        <f t="shared" si="75"/>
        <v>0.074439</v>
      </c>
      <c r="AY26" s="893">
        <f t="shared" si="75"/>
        <v>0.069375</v>
      </c>
      <c r="AZ26" s="893">
        <f t="shared" si="75"/>
        <v>0.06294375</v>
      </c>
      <c r="BA26" s="893">
        <f t="shared" si="75"/>
        <v>0.05450969388</v>
      </c>
      <c r="BB26" s="893">
        <f t="shared" si="75"/>
        <v>0.042975</v>
      </c>
      <c r="BC26" s="896">
        <f t="shared" si="75"/>
        <v>0.026271</v>
      </c>
      <c r="BD26" s="1"/>
    </row>
    <row r="27">
      <c r="A27" s="1"/>
      <c r="B27" s="1"/>
      <c r="C27" s="1"/>
      <c r="D27" s="865">
        <v>3.0</v>
      </c>
      <c r="E27" s="879">
        <f t="shared" si="71"/>
        <v>5</v>
      </c>
      <c r="F27" s="880">
        <f>IFERROR(BA33, "-")</f>
        <v>17</v>
      </c>
      <c r="G27" s="881">
        <f t="shared" si="67"/>
        <v>27200</v>
      </c>
      <c r="H27" s="882">
        <f>IFERROR(AR33, "-")</f>
        <v>67</v>
      </c>
      <c r="I27" s="913">
        <f t="shared" si="68"/>
        <v>107200</v>
      </c>
      <c r="J27" s="884">
        <f>IFERROR(AI33, "-")</f>
        <v>233</v>
      </c>
      <c r="K27" s="885">
        <f t="shared" si="69"/>
        <v>372800</v>
      </c>
      <c r="L27" s="886" t="str">
        <f>IFERROR(Z33, "-")</f>
        <v>-</v>
      </c>
      <c r="M27" s="887" t="str">
        <f t="shared" si="70"/>
        <v>-</v>
      </c>
      <c r="N27" s="1"/>
      <c r="O27" s="1"/>
      <c r="P27" s="1"/>
      <c r="Q27" s="1"/>
      <c r="R27" s="1"/>
      <c r="S27" s="1"/>
      <c r="T27" s="892" t="s">
        <v>479</v>
      </c>
      <c r="U27" s="893">
        <f t="shared" ref="U27:AB27" si="76">U$25*(1-SUM(U$25:U26))</f>
        <v>0</v>
      </c>
      <c r="V27" s="893">
        <f t="shared" si="76"/>
        <v>0</v>
      </c>
      <c r="W27" s="893">
        <f t="shared" si="76"/>
        <v>0</v>
      </c>
      <c r="X27" s="893">
        <f t="shared" si="76"/>
        <v>0</v>
      </c>
      <c r="Y27" s="893">
        <f t="shared" si="76"/>
        <v>0</v>
      </c>
      <c r="Z27" s="893">
        <f t="shared" si="76"/>
        <v>0</v>
      </c>
      <c r="AA27" s="897">
        <f t="shared" si="76"/>
        <v>0</v>
      </c>
      <c r="AB27" s="896">
        <f t="shared" si="76"/>
        <v>0</v>
      </c>
      <c r="AC27" s="892" t="s">
        <v>479</v>
      </c>
      <c r="AD27" s="893">
        <f t="shared" ref="AD27:AK27" si="77">AD$25*(1-SUM(AD$25:AD26))</f>
        <v>0.006578074074</v>
      </c>
      <c r="AE27" s="893">
        <f t="shared" si="77"/>
        <v>0.006282902329</v>
      </c>
      <c r="AF27" s="893">
        <f t="shared" si="77"/>
        <v>0.005928216</v>
      </c>
      <c r="AG27" s="893">
        <f t="shared" si="77"/>
        <v>0.005493998628</v>
      </c>
      <c r="AH27" s="893">
        <f t="shared" si="77"/>
        <v>0.004950125</v>
      </c>
      <c r="AI27" s="893">
        <f t="shared" si="77"/>
        <v>0.004249058309</v>
      </c>
      <c r="AJ27" s="897">
        <f t="shared" si="77"/>
        <v>0.003311148148</v>
      </c>
      <c r="AK27" s="896">
        <f t="shared" si="77"/>
        <v>0.001992008</v>
      </c>
      <c r="AL27" s="892" t="s">
        <v>479</v>
      </c>
      <c r="AM27" s="893">
        <f t="shared" ref="AM27:AT27" si="78">AM$25*(1-SUM(AM$25:AM26))</f>
        <v>0.02225714815</v>
      </c>
      <c r="AN27" s="893">
        <f t="shared" si="78"/>
        <v>0.02129162744</v>
      </c>
      <c r="AO27" s="893">
        <f t="shared" si="78"/>
        <v>0.020127261</v>
      </c>
      <c r="AP27" s="893">
        <f t="shared" si="78"/>
        <v>0.01869562329</v>
      </c>
      <c r="AQ27" s="893">
        <f t="shared" si="78"/>
        <v>0.01689285938</v>
      </c>
      <c r="AR27" s="893">
        <f t="shared" si="78"/>
        <v>0.014553375</v>
      </c>
      <c r="AS27" s="897">
        <f t="shared" si="78"/>
        <v>0.01139603241</v>
      </c>
      <c r="AT27" s="896">
        <f t="shared" si="78"/>
        <v>0.006902343</v>
      </c>
      <c r="AU27" s="892" t="s">
        <v>479</v>
      </c>
      <c r="AV27" s="893">
        <f t="shared" ref="AV27:BC27" si="79">AV$25*(1-SUM(AV$25:AV26))</f>
        <v>0.074529</v>
      </c>
      <c r="AW27" s="893">
        <f t="shared" si="79"/>
        <v>0.07178238815</v>
      </c>
      <c r="AX27" s="893">
        <f t="shared" si="79"/>
        <v>0.068409441</v>
      </c>
      <c r="AY27" s="893">
        <f t="shared" si="79"/>
        <v>0.064171875</v>
      </c>
      <c r="AZ27" s="893">
        <f t="shared" si="79"/>
        <v>0.05869504688</v>
      </c>
      <c r="BA27" s="893">
        <f t="shared" si="79"/>
        <v>0.05135591873</v>
      </c>
      <c r="BB27" s="897">
        <f t="shared" si="79"/>
        <v>0.041041125</v>
      </c>
      <c r="BC27" s="896">
        <f t="shared" si="79"/>
        <v>0.025561683</v>
      </c>
      <c r="BD27" s="1"/>
    </row>
    <row r="28">
      <c r="A28" s="1"/>
      <c r="B28" s="1"/>
      <c r="C28" s="1"/>
      <c r="D28" s="865">
        <v>2.0</v>
      </c>
      <c r="E28" s="879">
        <f t="shared" si="71"/>
        <v>6</v>
      </c>
      <c r="F28" s="880">
        <f>IFERROR(BB33, "-")</f>
        <v>33</v>
      </c>
      <c r="G28" s="881">
        <f t="shared" si="67"/>
        <v>74250</v>
      </c>
      <c r="H28" s="882">
        <f>IFERROR(AS33, "-")</f>
        <v>128</v>
      </c>
      <c r="I28" s="913">
        <f t="shared" si="68"/>
        <v>288000</v>
      </c>
      <c r="J28" s="884">
        <f>IFERROR(AJ33, "-")</f>
        <v>449</v>
      </c>
      <c r="K28" s="885">
        <f t="shared" si="69"/>
        <v>1010250</v>
      </c>
      <c r="L28" s="886" t="str">
        <f>IFERROR(AA33, "-")</f>
        <v>-</v>
      </c>
      <c r="M28" s="887" t="str">
        <f t="shared" si="70"/>
        <v>-</v>
      </c>
      <c r="N28" s="1"/>
      <c r="O28" s="1"/>
      <c r="P28" s="1"/>
      <c r="Q28" s="1"/>
      <c r="R28" s="1"/>
      <c r="S28" s="1"/>
      <c r="T28" s="892" t="s">
        <v>482</v>
      </c>
      <c r="U28" s="893">
        <f t="shared" ref="U28:AB28" si="80">U$25*(1-SUM(U$25:U27))</f>
        <v>0</v>
      </c>
      <c r="V28" s="893">
        <f t="shared" si="80"/>
        <v>0</v>
      </c>
      <c r="W28" s="893">
        <f t="shared" si="80"/>
        <v>0</v>
      </c>
      <c r="X28" s="893">
        <f t="shared" si="80"/>
        <v>0</v>
      </c>
      <c r="Y28" s="893">
        <f t="shared" si="80"/>
        <v>0</v>
      </c>
      <c r="Z28" s="897">
        <f t="shared" si="80"/>
        <v>0</v>
      </c>
      <c r="AA28" s="897">
        <f t="shared" si="80"/>
        <v>0</v>
      </c>
      <c r="AB28" s="896">
        <f t="shared" si="80"/>
        <v>0</v>
      </c>
      <c r="AC28" s="892" t="s">
        <v>482</v>
      </c>
      <c r="AD28" s="893">
        <f t="shared" ref="AD28:AK28" si="81">AD$25*(1-SUM(AD$25:AD27))</f>
        <v>0.006534220247</v>
      </c>
      <c r="AE28" s="893">
        <f t="shared" si="81"/>
        <v>0.006242920223</v>
      </c>
      <c r="AF28" s="893">
        <f t="shared" si="81"/>
        <v>0.005892646704</v>
      </c>
      <c r="AG28" s="893">
        <f t="shared" si="81"/>
        <v>0.005463476414</v>
      </c>
      <c r="AH28" s="893">
        <f t="shared" si="81"/>
        <v>0.004925374375</v>
      </c>
      <c r="AI28" s="897">
        <f t="shared" si="81"/>
        <v>0.004230848059</v>
      </c>
      <c r="AJ28" s="897">
        <f t="shared" si="81"/>
        <v>0.003300110988</v>
      </c>
      <c r="AK28" s="896">
        <f t="shared" si="81"/>
        <v>0.001988023984</v>
      </c>
      <c r="AL28" s="892" t="s">
        <v>482</v>
      </c>
      <c r="AM28" s="893">
        <f t="shared" ref="AM28:AT28" si="82">AM$25*(1-SUM(AM$25:AM27))</f>
        <v>0.02173781469</v>
      </c>
      <c r="AN28" s="893">
        <f t="shared" si="82"/>
        <v>0.02081740483</v>
      </c>
      <c r="AO28" s="893">
        <f t="shared" si="82"/>
        <v>0.01970458852</v>
      </c>
      <c r="AP28" s="893">
        <f t="shared" si="82"/>
        <v>0.01833209728</v>
      </c>
      <c r="AQ28" s="893">
        <f t="shared" si="82"/>
        <v>0.01659723434</v>
      </c>
      <c r="AR28" s="897">
        <f t="shared" si="82"/>
        <v>0.01433507438</v>
      </c>
      <c r="AS28" s="897">
        <f t="shared" si="82"/>
        <v>0.0112630787</v>
      </c>
      <c r="AT28" s="896">
        <f t="shared" si="82"/>
        <v>0.006854026599</v>
      </c>
      <c r="AU28" s="892" t="s">
        <v>482</v>
      </c>
      <c r="AV28" s="893">
        <f t="shared" ref="AV28:BC28" si="83">AV$25*(1-SUM(AV$25:AV27))</f>
        <v>0.06782139</v>
      </c>
      <c r="AW28" s="893">
        <f t="shared" si="83"/>
        <v>0.06561562844</v>
      </c>
      <c r="AX28" s="893">
        <f t="shared" si="83"/>
        <v>0.06286827628</v>
      </c>
      <c r="AY28" s="893">
        <f t="shared" si="83"/>
        <v>0.05935898438</v>
      </c>
      <c r="AZ28" s="893">
        <f t="shared" si="83"/>
        <v>0.05473313121</v>
      </c>
      <c r="BA28" s="897">
        <f t="shared" si="83"/>
        <v>0.04838461201</v>
      </c>
      <c r="BB28" s="897">
        <f t="shared" si="83"/>
        <v>0.03919427438</v>
      </c>
      <c r="BC28" s="896">
        <f t="shared" si="83"/>
        <v>0.02487151756</v>
      </c>
      <c r="BD28" s="1"/>
    </row>
    <row r="29">
      <c r="A29" s="1"/>
      <c r="B29" s="1"/>
      <c r="C29" s="1"/>
      <c r="D29" s="898">
        <v>1.0</v>
      </c>
      <c r="E29" s="899">
        <f t="shared" si="71"/>
        <v>7</v>
      </c>
      <c r="F29" s="900">
        <f>IFERROR(BC33, "-")</f>
        <v>110</v>
      </c>
      <c r="G29" s="901">
        <f t="shared" si="67"/>
        <v>330000</v>
      </c>
      <c r="H29" s="902">
        <f>IFERROR(AT33, "-")</f>
        <v>427</v>
      </c>
      <c r="I29" s="915">
        <f t="shared" si="68"/>
        <v>1281000</v>
      </c>
      <c r="J29" s="904">
        <f>IFERROR(AK33, "-")</f>
        <v>1497</v>
      </c>
      <c r="K29" s="905">
        <f t="shared" si="69"/>
        <v>4491000</v>
      </c>
      <c r="L29" s="906" t="str">
        <f>IFERROR(AB33, "-")</f>
        <v>-</v>
      </c>
      <c r="M29" s="907" t="str">
        <f t="shared" si="70"/>
        <v>-</v>
      </c>
      <c r="N29" s="1"/>
      <c r="O29" s="917" t="s">
        <v>518</v>
      </c>
      <c r="P29" s="571"/>
      <c r="Q29" s="571"/>
      <c r="R29" s="572"/>
      <c r="S29" s="1"/>
      <c r="T29" s="892" t="s">
        <v>483</v>
      </c>
      <c r="U29" s="893">
        <f t="shared" ref="U29:AB29" si="84">U$25*(1-SUM(U$25:U28))</f>
        <v>0</v>
      </c>
      <c r="V29" s="893">
        <f t="shared" si="84"/>
        <v>0</v>
      </c>
      <c r="W29" s="893">
        <f t="shared" si="84"/>
        <v>0</v>
      </c>
      <c r="X29" s="893">
        <f t="shared" si="84"/>
        <v>0</v>
      </c>
      <c r="Y29" s="897">
        <f t="shared" si="84"/>
        <v>0</v>
      </c>
      <c r="Z29" s="897">
        <f t="shared" si="84"/>
        <v>0</v>
      </c>
      <c r="AA29" s="897">
        <f t="shared" si="84"/>
        <v>0</v>
      </c>
      <c r="AB29" s="896">
        <f t="shared" si="84"/>
        <v>0</v>
      </c>
      <c r="AC29" s="892" t="s">
        <v>483</v>
      </c>
      <c r="AD29" s="893">
        <f t="shared" ref="AD29:AK29" si="85">AD$25*(1-SUM(AD$25:AD28))</f>
        <v>0.006490658779</v>
      </c>
      <c r="AE29" s="893">
        <f t="shared" si="85"/>
        <v>0.006203192549</v>
      </c>
      <c r="AF29" s="893">
        <f t="shared" si="85"/>
        <v>0.005857290824</v>
      </c>
      <c r="AG29" s="893">
        <f t="shared" si="85"/>
        <v>0.005433123767</v>
      </c>
      <c r="AH29" s="897">
        <f t="shared" si="85"/>
        <v>0.004900747503</v>
      </c>
      <c r="AI29" s="897">
        <f t="shared" si="85"/>
        <v>0.004212715853</v>
      </c>
      <c r="AJ29" s="897">
        <f t="shared" si="85"/>
        <v>0.003289110618</v>
      </c>
      <c r="AK29" s="896">
        <f t="shared" si="85"/>
        <v>0.001984047936</v>
      </c>
      <c r="AL29" s="892" t="s">
        <v>483</v>
      </c>
      <c r="AM29" s="893">
        <f t="shared" ref="AM29:AT29" si="86">AM$25*(1-SUM(AM$25:AM28))</f>
        <v>0.02123059902</v>
      </c>
      <c r="AN29" s="893">
        <f t="shared" si="86"/>
        <v>0.02035374445</v>
      </c>
      <c r="AO29" s="893">
        <f t="shared" si="86"/>
        <v>0.01929079216</v>
      </c>
      <c r="AP29" s="893">
        <f t="shared" si="86"/>
        <v>0.01797563983</v>
      </c>
      <c r="AQ29" s="897">
        <f t="shared" si="86"/>
        <v>0.01630678274</v>
      </c>
      <c r="AR29" s="897">
        <f t="shared" si="86"/>
        <v>0.01412004826</v>
      </c>
      <c r="AS29" s="897">
        <f t="shared" si="86"/>
        <v>0.01113167611</v>
      </c>
      <c r="AT29" s="896">
        <f t="shared" si="86"/>
        <v>0.006806048413</v>
      </c>
      <c r="AU29" s="892" t="s">
        <v>483</v>
      </c>
      <c r="AV29" s="893">
        <f t="shared" ref="AV29:BC29" si="87">AV$25*(1-SUM(AV$25:AV28))</f>
        <v>0.0617174649</v>
      </c>
      <c r="AW29" s="893">
        <f t="shared" si="87"/>
        <v>0.05997864945</v>
      </c>
      <c r="AX29" s="893">
        <f t="shared" si="87"/>
        <v>0.0577759459</v>
      </c>
      <c r="AY29" s="893">
        <f t="shared" si="87"/>
        <v>0.05490706055</v>
      </c>
      <c r="AZ29" s="897">
        <f t="shared" si="87"/>
        <v>0.05103864485</v>
      </c>
      <c r="BA29" s="897">
        <f t="shared" si="87"/>
        <v>0.0455852166</v>
      </c>
      <c r="BB29" s="897">
        <f t="shared" si="87"/>
        <v>0.03743053203</v>
      </c>
      <c r="BC29" s="896">
        <f t="shared" si="87"/>
        <v>0.02419998658</v>
      </c>
      <c r="BD29" s="1"/>
    </row>
    <row r="30">
      <c r="A30" s="1"/>
      <c r="B30" s="1"/>
      <c r="C30" s="1"/>
      <c r="D30" s="1"/>
      <c r="E30" s="1"/>
      <c r="F30" s="1"/>
      <c r="G30" s="1"/>
      <c r="H30" s="1"/>
      <c r="I30" s="1"/>
      <c r="J30" s="1"/>
      <c r="K30" s="1"/>
      <c r="L30" s="1"/>
      <c r="M30" s="1"/>
      <c r="N30" s="1"/>
      <c r="O30" s="362"/>
      <c r="R30" s="415"/>
      <c r="S30" s="1"/>
      <c r="T30" s="892" t="s">
        <v>486</v>
      </c>
      <c r="U30" s="893">
        <f t="shared" ref="U30:AB30" si="88">U$25*(1-SUM(U$25:U29))</f>
        <v>0</v>
      </c>
      <c r="V30" s="893">
        <f t="shared" si="88"/>
        <v>0</v>
      </c>
      <c r="W30" s="893">
        <f t="shared" si="88"/>
        <v>0</v>
      </c>
      <c r="X30" s="897">
        <f t="shared" si="88"/>
        <v>0</v>
      </c>
      <c r="Y30" s="897">
        <f t="shared" si="88"/>
        <v>0</v>
      </c>
      <c r="Z30" s="897">
        <f t="shared" si="88"/>
        <v>0</v>
      </c>
      <c r="AA30" s="897">
        <f t="shared" si="88"/>
        <v>0</v>
      </c>
      <c r="AB30" s="896">
        <f t="shared" si="88"/>
        <v>0</v>
      </c>
      <c r="AC30" s="892" t="s">
        <v>486</v>
      </c>
      <c r="AD30" s="893">
        <f t="shared" ref="AD30:AK30" si="89">AD$25*(1-SUM(AD$25:AD29))</f>
        <v>0.00644738772</v>
      </c>
      <c r="AE30" s="893">
        <f t="shared" si="89"/>
        <v>0.006163717688</v>
      </c>
      <c r="AF30" s="893">
        <f t="shared" si="89"/>
        <v>0.005822147079</v>
      </c>
      <c r="AG30" s="897">
        <f t="shared" si="89"/>
        <v>0.005402939746</v>
      </c>
      <c r="AH30" s="897">
        <f t="shared" si="89"/>
        <v>0.004876243766</v>
      </c>
      <c r="AI30" s="897">
        <f t="shared" si="89"/>
        <v>0.004194661357</v>
      </c>
      <c r="AJ30" s="897">
        <f t="shared" si="89"/>
        <v>0.003278146916</v>
      </c>
      <c r="AK30" s="896">
        <f t="shared" si="89"/>
        <v>0.00198007984</v>
      </c>
      <c r="AL30" s="892" t="s">
        <v>486</v>
      </c>
      <c r="AM30" s="893">
        <f t="shared" ref="AM30:AT30" si="90">AM$25*(1-SUM(AM$25:AM29))</f>
        <v>0.02073521837</v>
      </c>
      <c r="AN30" s="893">
        <f t="shared" si="90"/>
        <v>0.01990041105</v>
      </c>
      <c r="AO30" s="893">
        <f t="shared" si="90"/>
        <v>0.01888568552</v>
      </c>
      <c r="AP30" s="897">
        <f t="shared" si="90"/>
        <v>0.0176261135</v>
      </c>
      <c r="AQ30" s="897">
        <f t="shared" si="90"/>
        <v>0.01602141404</v>
      </c>
      <c r="AR30" s="897">
        <f t="shared" si="90"/>
        <v>0.01390824754</v>
      </c>
      <c r="AS30" s="897">
        <f t="shared" si="90"/>
        <v>0.01100180656</v>
      </c>
      <c r="AT30" s="896">
        <f t="shared" si="90"/>
        <v>0.006758406074</v>
      </c>
      <c r="AU30" s="892" t="s">
        <v>486</v>
      </c>
      <c r="AV30" s="893">
        <f t="shared" ref="AV30:BC30" si="91">AV$25*(1-SUM(AV$25:AV29))</f>
        <v>0.05616289306</v>
      </c>
      <c r="AW30" s="893">
        <f t="shared" si="91"/>
        <v>0.0548259382</v>
      </c>
      <c r="AX30" s="893">
        <f t="shared" si="91"/>
        <v>0.05309609428</v>
      </c>
      <c r="AY30" s="897">
        <f t="shared" si="91"/>
        <v>0.05078903101</v>
      </c>
      <c r="AZ30" s="897">
        <f t="shared" si="91"/>
        <v>0.04759353633</v>
      </c>
      <c r="BA30" s="897">
        <f t="shared" si="91"/>
        <v>0.04294778621</v>
      </c>
      <c r="BB30" s="897">
        <f t="shared" si="91"/>
        <v>0.03574615809</v>
      </c>
      <c r="BC30" s="896">
        <f t="shared" si="91"/>
        <v>0.02354658695</v>
      </c>
      <c r="BD30" s="1"/>
    </row>
    <row r="31">
      <c r="A31" s="864" t="s">
        <v>519</v>
      </c>
      <c r="B31" s="572"/>
      <c r="C31" s="1"/>
      <c r="D31" s="865">
        <v>8.0</v>
      </c>
      <c r="E31" s="866">
        <v>0.0</v>
      </c>
      <c r="F31" s="867">
        <f>IFERROR(AV43, "-")</f>
        <v>11</v>
      </c>
      <c r="G31" s="918">
        <f t="shared" ref="G31:G38" si="96">IFERROR(F31*$D41, "-")</f>
        <v>110</v>
      </c>
      <c r="H31" s="869">
        <f>IFERROR(AM43, "-")</f>
        <v>110</v>
      </c>
      <c r="I31" s="909">
        <f t="shared" ref="I31:I38" si="97">IFERROR(H31*$D41, "-")</f>
        <v>1100</v>
      </c>
      <c r="J31" s="871" t="str">
        <f>IFERROR(AD43, "-")</f>
        <v>-</v>
      </c>
      <c r="K31" s="872" t="str">
        <f t="shared" ref="K31:K38" si="98">IFERROR(J31*$D41, "-")</f>
        <v>-</v>
      </c>
      <c r="L31" s="873" t="str">
        <f>IFERROR(U43, "-")</f>
        <v>-</v>
      </c>
      <c r="M31" s="874" t="str">
        <f t="shared" ref="M31:M38" si="99">IFERROR(L31*$D41, "-")</f>
        <v>-</v>
      </c>
      <c r="N31" s="1"/>
      <c r="O31" s="362"/>
      <c r="R31" s="415"/>
      <c r="S31" s="1"/>
      <c r="T31" s="892" t="s">
        <v>489</v>
      </c>
      <c r="U31" s="893">
        <f t="shared" ref="U31:AB31" si="92">U$25*(1-SUM(U$25:U30))</f>
        <v>0</v>
      </c>
      <c r="V31" s="893">
        <f t="shared" si="92"/>
        <v>0</v>
      </c>
      <c r="W31" s="897">
        <f t="shared" si="92"/>
        <v>0</v>
      </c>
      <c r="X31" s="897">
        <f t="shared" si="92"/>
        <v>0</v>
      </c>
      <c r="Y31" s="897">
        <f t="shared" si="92"/>
        <v>0</v>
      </c>
      <c r="Z31" s="897">
        <f t="shared" si="92"/>
        <v>0</v>
      </c>
      <c r="AA31" s="897">
        <f t="shared" si="92"/>
        <v>0</v>
      </c>
      <c r="AB31" s="896">
        <f t="shared" si="92"/>
        <v>0</v>
      </c>
      <c r="AC31" s="892" t="s">
        <v>489</v>
      </c>
      <c r="AD31" s="893">
        <f t="shared" ref="AD31:AK31" si="93">AD$25*(1-SUM(AD$25:AD30))</f>
        <v>0.006404405135</v>
      </c>
      <c r="AE31" s="893">
        <f t="shared" si="93"/>
        <v>0.00612449403</v>
      </c>
      <c r="AF31" s="897">
        <f t="shared" si="93"/>
        <v>0.005787214196</v>
      </c>
      <c r="AG31" s="897">
        <f t="shared" si="93"/>
        <v>0.005372923414</v>
      </c>
      <c r="AH31" s="897">
        <f t="shared" si="93"/>
        <v>0.004851862547</v>
      </c>
      <c r="AI31" s="897">
        <f t="shared" si="93"/>
        <v>0.004176684237</v>
      </c>
      <c r="AJ31" s="897">
        <f t="shared" si="93"/>
        <v>0.003267219759</v>
      </c>
      <c r="AK31" s="896">
        <f t="shared" si="93"/>
        <v>0.00197611968</v>
      </c>
      <c r="AL31" s="892" t="s">
        <v>489</v>
      </c>
      <c r="AM31" s="893">
        <f t="shared" ref="AM31:AT31" si="94">AM$25*(1-SUM(AM$25:AM30))</f>
        <v>0.02025139661</v>
      </c>
      <c r="AN31" s="893">
        <f t="shared" si="94"/>
        <v>0.01945717462</v>
      </c>
      <c r="AO31" s="897">
        <f t="shared" si="94"/>
        <v>0.01848908613</v>
      </c>
      <c r="AP31" s="897">
        <f t="shared" si="94"/>
        <v>0.01728338352</v>
      </c>
      <c r="AQ31" s="897">
        <f t="shared" si="94"/>
        <v>0.01574103929</v>
      </c>
      <c r="AR31" s="897">
        <f t="shared" si="94"/>
        <v>0.01369962382</v>
      </c>
      <c r="AS31" s="897">
        <f t="shared" si="94"/>
        <v>0.01087345215</v>
      </c>
      <c r="AT31" s="896">
        <f t="shared" si="94"/>
        <v>0.006711097231</v>
      </c>
      <c r="AU31" s="892" t="s">
        <v>489</v>
      </c>
      <c r="AV31" s="893">
        <f t="shared" ref="AV31:BC31" si="95">AV$25*(1-SUM(AV$25:AV30))</f>
        <v>0.05110823268</v>
      </c>
      <c r="AW31" s="893">
        <f t="shared" si="95"/>
        <v>0.05011589169</v>
      </c>
      <c r="AX31" s="897">
        <f t="shared" si="95"/>
        <v>0.04879531065</v>
      </c>
      <c r="AY31" s="897">
        <f t="shared" si="95"/>
        <v>0.04697985368</v>
      </c>
      <c r="AZ31" s="897">
        <f t="shared" si="95"/>
        <v>0.04438097262</v>
      </c>
      <c r="BA31" s="897">
        <f t="shared" si="95"/>
        <v>0.04046295001</v>
      </c>
      <c r="BB31" s="897">
        <f t="shared" si="95"/>
        <v>0.03413758097</v>
      </c>
      <c r="BC31" s="896">
        <f t="shared" si="95"/>
        <v>0.0229108291</v>
      </c>
      <c r="BD31" s="1"/>
    </row>
    <row r="32">
      <c r="A32" s="878" t="s">
        <v>468</v>
      </c>
      <c r="B32" s="865">
        <v>3.0</v>
      </c>
      <c r="C32" s="1"/>
      <c r="D32" s="865">
        <v>7.0</v>
      </c>
      <c r="E32" s="879">
        <f t="shared" ref="E32:E38" si="104">E31+1</f>
        <v>1</v>
      </c>
      <c r="F32" s="880">
        <f>IFERROR(AW43, "-")</f>
        <v>17</v>
      </c>
      <c r="G32" s="919">
        <f t="shared" si="96"/>
        <v>680</v>
      </c>
      <c r="H32" s="882">
        <f>IFERROR(AN43, "-")</f>
        <v>179</v>
      </c>
      <c r="I32" s="913">
        <f t="shared" si="97"/>
        <v>7160</v>
      </c>
      <c r="J32" s="884" t="str">
        <f>IFERROR(AE43, "-")</f>
        <v>-</v>
      </c>
      <c r="K32" s="885" t="str">
        <f t="shared" si="98"/>
        <v>-</v>
      </c>
      <c r="L32" s="886" t="str">
        <f>IFERROR(V43, "-")</f>
        <v>-</v>
      </c>
      <c r="M32" s="887" t="str">
        <f t="shared" si="99"/>
        <v>-</v>
      </c>
      <c r="N32" s="1"/>
      <c r="O32" s="362"/>
      <c r="R32" s="415"/>
      <c r="S32" s="1"/>
      <c r="T32" s="892" t="s">
        <v>492</v>
      </c>
      <c r="U32" s="893">
        <f t="shared" ref="U32:AB32" si="100">U$25*(1-SUM(U$25:U31))</f>
        <v>0</v>
      </c>
      <c r="V32" s="897">
        <f t="shared" si="100"/>
        <v>0</v>
      </c>
      <c r="W32" s="897">
        <f t="shared" si="100"/>
        <v>0</v>
      </c>
      <c r="X32" s="897">
        <f t="shared" si="100"/>
        <v>0</v>
      </c>
      <c r="Y32" s="897">
        <f t="shared" si="100"/>
        <v>0</v>
      </c>
      <c r="Z32" s="897">
        <f t="shared" si="100"/>
        <v>0</v>
      </c>
      <c r="AA32" s="897">
        <f t="shared" si="100"/>
        <v>0</v>
      </c>
      <c r="AB32" s="896">
        <f t="shared" si="100"/>
        <v>0</v>
      </c>
      <c r="AC32" s="892" t="s">
        <v>492</v>
      </c>
      <c r="AD32" s="893">
        <f t="shared" ref="AD32:AK32" si="101">AD$25*(1-SUM(AD$25:AD31))</f>
        <v>0.006361709101</v>
      </c>
      <c r="AE32" s="897">
        <f t="shared" si="101"/>
        <v>0.006085519977</v>
      </c>
      <c r="AF32" s="897">
        <f t="shared" si="101"/>
        <v>0.005752490911</v>
      </c>
      <c r="AG32" s="897">
        <f t="shared" si="101"/>
        <v>0.00534307384</v>
      </c>
      <c r="AH32" s="897">
        <f t="shared" si="101"/>
        <v>0.004827603234</v>
      </c>
      <c r="AI32" s="897">
        <f t="shared" si="101"/>
        <v>0.004158784161</v>
      </c>
      <c r="AJ32" s="897">
        <f t="shared" si="101"/>
        <v>0.003256329027</v>
      </c>
      <c r="AK32" s="896">
        <f t="shared" si="101"/>
        <v>0.001972167441</v>
      </c>
      <c r="AL32" s="892" t="s">
        <v>492</v>
      </c>
      <c r="AM32" s="893">
        <f t="shared" ref="AM32:AT32" si="102">AM$25*(1-SUM(AM$25:AM31))</f>
        <v>0.01977886402</v>
      </c>
      <c r="AN32" s="897">
        <f t="shared" si="102"/>
        <v>0.01902381028</v>
      </c>
      <c r="AO32" s="897">
        <f t="shared" si="102"/>
        <v>0.01810081532</v>
      </c>
      <c r="AP32" s="897">
        <f t="shared" si="102"/>
        <v>0.01694731772</v>
      </c>
      <c r="AQ32" s="897">
        <f t="shared" si="102"/>
        <v>0.0154655711</v>
      </c>
      <c r="AR32" s="897">
        <f t="shared" si="102"/>
        <v>0.01349412947</v>
      </c>
      <c r="AS32" s="897">
        <f t="shared" si="102"/>
        <v>0.01074659521</v>
      </c>
      <c r="AT32" s="896">
        <f t="shared" si="102"/>
        <v>0.006664119551</v>
      </c>
      <c r="AU32" s="892" t="s">
        <v>492</v>
      </c>
      <c r="AV32" s="893">
        <f t="shared" ref="AV32:BC32" si="103">AV$25*(1-SUM(AV$25:AV31))</f>
        <v>0.04650849174</v>
      </c>
      <c r="AW32" s="897">
        <f t="shared" si="103"/>
        <v>0.045810481</v>
      </c>
      <c r="AX32" s="897">
        <f t="shared" si="103"/>
        <v>0.04484289048</v>
      </c>
      <c r="AY32" s="897">
        <f t="shared" si="103"/>
        <v>0.04345636465</v>
      </c>
      <c r="AZ32" s="897">
        <f t="shared" si="103"/>
        <v>0.04138525697</v>
      </c>
      <c r="BA32" s="897">
        <f t="shared" si="103"/>
        <v>0.03812187933</v>
      </c>
      <c r="BB32" s="897">
        <f t="shared" si="103"/>
        <v>0.03260138983</v>
      </c>
      <c r="BC32" s="896">
        <f t="shared" si="103"/>
        <v>0.02229223671</v>
      </c>
      <c r="BD32" s="1"/>
    </row>
    <row r="33">
      <c r="A33" s="586" t="s">
        <v>520</v>
      </c>
      <c r="B33" s="895">
        <f>LET(
  SLA, IF(IDS_UW_VALUE("Spotlight", "Angle")=90, 1, 0),
  CF, IF(AND(IDS_UW_VALUE("Chrono Field", "Cooldown")=60, IDS_UW_VALUE("Chrono Field", "Duration")=40, IDS_LAB_LEVEL("Chrono Field Duration")=30), 2, 0),
SLA + CF)</f>
        <v>0</v>
      </c>
      <c r="C33" s="1"/>
      <c r="D33" s="865">
        <v>6.0</v>
      </c>
      <c r="E33" s="879">
        <f t="shared" si="104"/>
        <v>2</v>
      </c>
      <c r="F33" s="880">
        <f>IFERROR(AX43, "-")</f>
        <v>35</v>
      </c>
      <c r="G33" s="919">
        <f t="shared" si="96"/>
        <v>5600</v>
      </c>
      <c r="H33" s="882">
        <f>IFERROR(AO43, "-")</f>
        <v>398</v>
      </c>
      <c r="I33" s="913">
        <f t="shared" si="97"/>
        <v>63680</v>
      </c>
      <c r="J33" s="884" t="str">
        <f>IFERROR(AF43, "-")</f>
        <v>-</v>
      </c>
      <c r="K33" s="885" t="str">
        <f t="shared" si="98"/>
        <v>-</v>
      </c>
      <c r="L33" s="886" t="str">
        <f>IFERROR(W43, "-")</f>
        <v>-</v>
      </c>
      <c r="M33" s="887" t="str">
        <f t="shared" si="99"/>
        <v>-</v>
      </c>
      <c r="N33" s="1"/>
      <c r="O33" s="362"/>
      <c r="R33" s="415"/>
      <c r="S33" s="1"/>
      <c r="T33" s="875" t="s">
        <v>496</v>
      </c>
      <c r="U33" s="910" t="str">
        <f>ROUNDUP(LOG((1-$B$1),(1-SUM(OFFSET(U25,0,0,$B$23-$E$22)))),0)</f>
        <v>#DIV/0!</v>
      </c>
      <c r="V33" s="910" t="str">
        <f>ROUNDUP(LOG((1-$B$1),(1-SUM(OFFSET(V25,0,0,$B$23-$E$23)))),0)</f>
        <v>#DIV/0!</v>
      </c>
      <c r="W33" s="910" t="str">
        <f>ROUNDUP(LOG((1-$B$1),(1-SUM(OFFSET(W25,0,0,$B$23-$E$24)))),0)</f>
        <v>#DIV/0!</v>
      </c>
      <c r="X33" s="910" t="str">
        <f>ROUNDUP(LOG((1-$B$1),(1-SUM(OFFSET(X25,0,0,$B$23-$E$25)))),0)</f>
        <v>#DIV/0!</v>
      </c>
      <c r="Y33" s="910" t="str">
        <f>ROUNDUP(LOG((1-$B$1),(1-SUM(OFFSET(Y25,0,0,$B$23-$E$26)))),0)</f>
        <v>#DIV/0!</v>
      </c>
      <c r="Z33" s="910" t="str">
        <f>ROUNDUP(LOG((1-$B$1),(1-SUM(OFFSET(Z25,0,0,$B$23-$E$27)))),0)</f>
        <v>#DIV/0!</v>
      </c>
      <c r="AA33" s="910" t="str">
        <f>ROUNDUP(LOG((1-$B$1),(1-SUM(OFFSET(AA25,0,0,$B$23-$E$28)))),0)</f>
        <v>#DIV/0!</v>
      </c>
      <c r="AB33" s="911" t="str">
        <f>ROUNDUP(LOG((1-$B$1),(1-SUM(OFFSET(AB25,0,0,$B$23-$E$29)))),0)</f>
        <v>#DIV/0!</v>
      </c>
      <c r="AC33" s="875" t="s">
        <v>496</v>
      </c>
      <c r="AD33" s="910">
        <f>ROUNDUP(LOG((1-$B$1),(1-SUM(OFFSET(AD25,0,0,$B$23-$E$22)))),0)</f>
        <v>56</v>
      </c>
      <c r="AE33" s="910">
        <f>ROUNDUP(LOG((1-$B$1),(1-SUM(OFFSET(AE25,0,0,$B$23-$E$23)))),0)</f>
        <v>68</v>
      </c>
      <c r="AF33" s="910">
        <f>ROUNDUP(LOG((1-$B$1),(1-SUM(OFFSET(AF25,0,0,$B$23-$E$24)))),0)</f>
        <v>83</v>
      </c>
      <c r="AG33" s="910">
        <f>ROUNDUP(LOG((1-$B$1),(1-SUM(OFFSET(AG25,0,0,$B$23-$E$25)))),0)</f>
        <v>108</v>
      </c>
      <c r="AH33" s="910">
        <f>ROUNDUP(LOG((1-$B$1),(1-SUM(OFFSET(AH25,0,0,$B$23-$E$26)))),0)</f>
        <v>150</v>
      </c>
      <c r="AI33" s="910">
        <f>ROUNDUP(LOG((1-$B$1),(1-SUM(OFFSET(AI25,0,0,$B$23-$E$27)))),0)</f>
        <v>233</v>
      </c>
      <c r="AJ33" s="910">
        <f>ROUNDUP(LOG((1-$B$1),(1-SUM(OFFSET(AJ25,0,0,$B$23-$E$28)))),0)</f>
        <v>449</v>
      </c>
      <c r="AK33" s="911">
        <f>ROUNDUP(LOG((1-$B$1),(1-SUM(OFFSET(AK25,0,0,$B$23-$E$29)))),0)</f>
        <v>1497</v>
      </c>
      <c r="AL33" s="875" t="s">
        <v>496</v>
      </c>
      <c r="AM33" s="910">
        <f>ROUNDUP(LOG((1-$B$1),(1-SUM(OFFSET(AM25,0,0,$B$23-$E$22)))),0)</f>
        <v>16</v>
      </c>
      <c r="AN33" s="910">
        <f>ROUNDUP(LOG((1-$B$1),(1-SUM(OFFSET(AN25,0,0,$B$23-$E$23)))),0)</f>
        <v>19</v>
      </c>
      <c r="AO33" s="910">
        <f>ROUNDUP(LOG((1-$B$1),(1-SUM(OFFSET(AO25,0,0,$B$23-$E$24)))),0)</f>
        <v>24</v>
      </c>
      <c r="AP33" s="910">
        <f>ROUNDUP(LOG((1-$B$1),(1-SUM(OFFSET(AP25,0,0,$B$23-$E$25)))),0)</f>
        <v>31</v>
      </c>
      <c r="AQ33" s="910">
        <f>ROUNDUP(LOG((1-$B$1),(1-SUM(OFFSET(AQ25,0,0,$B$23-$E$26)))),0)</f>
        <v>43</v>
      </c>
      <c r="AR33" s="910">
        <f>ROUNDUP(LOG((1-$B$1),(1-SUM(OFFSET(AR25,0,0,$B$23-$E$27)))),0)</f>
        <v>67</v>
      </c>
      <c r="AS33" s="910">
        <f>ROUNDUP(LOG((1-$B$1),(1-SUM(OFFSET(AS25,0,0,$B$23-$E$28)))),0)</f>
        <v>128</v>
      </c>
      <c r="AT33" s="911">
        <f>ROUNDUP(LOG((1-$B$1),(1-SUM(OFFSET(AT25,0,0,$B$23-$E$29)))),0)</f>
        <v>427</v>
      </c>
      <c r="AU33" s="875" t="s">
        <v>496</v>
      </c>
      <c r="AV33" s="910">
        <f>ROUNDUP(LOG((1-$B$1),(1-SUM(OFFSET(AV25,0,0,$B$23-$E$22)))),0)</f>
        <v>4</v>
      </c>
      <c r="AW33" s="910">
        <f>ROUNDUP(LOG((1-$B$1),(1-SUM(OFFSET(AW25,0,0,$B$23-$E$23)))),0)</f>
        <v>5</v>
      </c>
      <c r="AX33" s="910">
        <f>ROUNDUP(LOG((1-$B$1),(1-SUM(OFFSET(AX25,0,0,$B$23-$E$24)))),0)</f>
        <v>6</v>
      </c>
      <c r="AY33" s="910">
        <f>ROUNDUP(LOG((1-$B$1),(1-SUM(OFFSET(AY25,0,0,$B$23-$E$25)))),0)</f>
        <v>8</v>
      </c>
      <c r="AZ33" s="910">
        <f>ROUNDUP(LOG((1-$B$1),(1-SUM(OFFSET(AZ25,0,0,$B$23-$E$26)))),0)</f>
        <v>11</v>
      </c>
      <c r="BA33" s="910">
        <f>ROUNDUP(LOG((1-$B$1),(1-SUM(OFFSET(BA25,0,0,$B$23-$E$27)))),0)</f>
        <v>17</v>
      </c>
      <c r="BB33" s="910">
        <f>ROUNDUP(LOG((1-$B$1),(1-SUM(OFFSET(BB25,0,0,$B$23-$E$28)))),0)</f>
        <v>33</v>
      </c>
      <c r="BC33" s="911">
        <f>ROUNDUP(LOG((1-$B$1),(1-SUM(OFFSET(BC25,0,0,$B$23-$E$29)))),0)</f>
        <v>110</v>
      </c>
      <c r="BD33" s="1"/>
    </row>
    <row r="34">
      <c r="A34" s="878" t="s">
        <v>521</v>
      </c>
      <c r="B34" s="895">
        <f>'Master Sheet'!C15+B33</f>
        <v>4</v>
      </c>
      <c r="C34" s="1"/>
      <c r="D34" s="865">
        <v>5.0</v>
      </c>
      <c r="E34" s="879">
        <f t="shared" si="104"/>
        <v>3</v>
      </c>
      <c r="F34" s="880" t="str">
        <f>IFERROR(AY43, "-")</f>
        <v>-</v>
      </c>
      <c r="G34" s="919" t="str">
        <f t="shared" si="96"/>
        <v>-</v>
      </c>
      <c r="H34" s="882" t="str">
        <f>IFERROR(AP43, "-")</f>
        <v>-</v>
      </c>
      <c r="I34" s="913" t="str">
        <f t="shared" si="97"/>
        <v>-</v>
      </c>
      <c r="J34" s="884" t="str">
        <f>IFERROR(AG43, "-")</f>
        <v>-</v>
      </c>
      <c r="K34" s="885" t="str">
        <f t="shared" si="98"/>
        <v>-</v>
      </c>
      <c r="L34" s="886" t="str">
        <f>IFERROR(X43, "-")</f>
        <v>-</v>
      </c>
      <c r="M34" s="887" t="str">
        <f t="shared" si="99"/>
        <v>-</v>
      </c>
      <c r="N34" s="1"/>
      <c r="O34" s="362"/>
      <c r="R34" s="415"/>
      <c r="S34" s="1"/>
      <c r="T34" s="875" t="s">
        <v>456</v>
      </c>
      <c r="U34" s="876" t="s">
        <v>457</v>
      </c>
      <c r="V34" s="876" t="s">
        <v>458</v>
      </c>
      <c r="W34" s="876" t="s">
        <v>459</v>
      </c>
      <c r="X34" s="876" t="s">
        <v>460</v>
      </c>
      <c r="Y34" s="876" t="s">
        <v>461</v>
      </c>
      <c r="Z34" s="876" t="s">
        <v>462</v>
      </c>
      <c r="AA34" s="876" t="s">
        <v>463</v>
      </c>
      <c r="AB34" s="877" t="s">
        <v>464</v>
      </c>
      <c r="AC34" s="875" t="s">
        <v>465</v>
      </c>
      <c r="AD34" s="876" t="s">
        <v>457</v>
      </c>
      <c r="AE34" s="876" t="s">
        <v>458</v>
      </c>
      <c r="AF34" s="876" t="s">
        <v>459</v>
      </c>
      <c r="AG34" s="876" t="s">
        <v>460</v>
      </c>
      <c r="AH34" s="876" t="s">
        <v>461</v>
      </c>
      <c r="AI34" s="876" t="s">
        <v>462</v>
      </c>
      <c r="AJ34" s="876" t="s">
        <v>463</v>
      </c>
      <c r="AK34" s="877" t="s">
        <v>464</v>
      </c>
      <c r="AL34" s="875" t="s">
        <v>466</v>
      </c>
      <c r="AM34" s="876" t="s">
        <v>457</v>
      </c>
      <c r="AN34" s="876" t="s">
        <v>458</v>
      </c>
      <c r="AO34" s="876" t="s">
        <v>459</v>
      </c>
      <c r="AP34" s="876" t="s">
        <v>460</v>
      </c>
      <c r="AQ34" s="876" t="s">
        <v>461</v>
      </c>
      <c r="AR34" s="876" t="s">
        <v>462</v>
      </c>
      <c r="AS34" s="876" t="s">
        <v>463</v>
      </c>
      <c r="AT34" s="877" t="s">
        <v>464</v>
      </c>
      <c r="AU34" s="875" t="s">
        <v>467</v>
      </c>
      <c r="AV34" s="876" t="s">
        <v>457</v>
      </c>
      <c r="AW34" s="876" t="s">
        <v>458</v>
      </c>
      <c r="AX34" s="876" t="s">
        <v>459</v>
      </c>
      <c r="AY34" s="876" t="s">
        <v>460</v>
      </c>
      <c r="AZ34" s="876" t="s">
        <v>461</v>
      </c>
      <c r="BA34" s="876" t="s">
        <v>462</v>
      </c>
      <c r="BB34" s="876" t="s">
        <v>463</v>
      </c>
      <c r="BC34" s="877" t="s">
        <v>464</v>
      </c>
      <c r="BD34" s="1"/>
    </row>
    <row r="35">
      <c r="A35" s="586" t="s">
        <v>522</v>
      </c>
      <c r="B35" s="865" t="s">
        <v>175</v>
      </c>
      <c r="C35" s="1"/>
      <c r="D35" s="865">
        <v>4.0</v>
      </c>
      <c r="E35" s="879">
        <f t="shared" si="104"/>
        <v>4</v>
      </c>
      <c r="F35" s="880" t="str">
        <f>IFERROR(AZ43, "-")</f>
        <v>-</v>
      </c>
      <c r="G35" s="919" t="str">
        <f t="shared" si="96"/>
        <v>-</v>
      </c>
      <c r="H35" s="882" t="str">
        <f>IFERROR(AQ43, "-")</f>
        <v>-</v>
      </c>
      <c r="I35" s="913" t="str">
        <f t="shared" si="97"/>
        <v>-</v>
      </c>
      <c r="J35" s="884" t="str">
        <f>IFERROR(AH43, "-")</f>
        <v>-</v>
      </c>
      <c r="K35" s="885" t="str">
        <f t="shared" si="98"/>
        <v>-</v>
      </c>
      <c r="L35" s="886" t="str">
        <f>IFERROR(Y43, "-")</f>
        <v>-</v>
      </c>
      <c r="M35" s="887" t="str">
        <f t="shared" si="99"/>
        <v>-</v>
      </c>
      <c r="N35" s="1"/>
      <c r="O35" s="362"/>
      <c r="R35" s="415"/>
      <c r="S35" s="1"/>
      <c r="T35" s="892" t="s">
        <v>471</v>
      </c>
      <c r="U35" s="893">
        <f>($D31/($P$20-$E31))*$R$20</f>
        <v>0</v>
      </c>
      <c r="V35" s="893">
        <f>($D32/($P$20-$E32))*$R$20</f>
        <v>0</v>
      </c>
      <c r="W35" s="893">
        <f>($D33/($P$20-$E33))*$R$20</f>
        <v>0</v>
      </c>
      <c r="X35" s="893">
        <f>($D34/($P$20-$E34))*$R$20</f>
        <v>0</v>
      </c>
      <c r="Y35" s="893">
        <f>($D35/($P$20-$E35))*$R$20</f>
        <v>0</v>
      </c>
      <c r="Z35" s="893">
        <f>($D36/($P$20-$E36))*$R$20</f>
        <v>0</v>
      </c>
      <c r="AA35" s="893">
        <f>($D37/($P$20-$E37))*$R$20</f>
        <v>0</v>
      </c>
      <c r="AB35" s="894">
        <f>($D38/($P$20-$E38))*$R$20</f>
        <v>0</v>
      </c>
      <c r="AC35" s="892" t="s">
        <v>471</v>
      </c>
      <c r="AD35" s="893">
        <f>($D$31/($P$21-$E31))*$R$21</f>
        <v>0</v>
      </c>
      <c r="AE35" s="893">
        <f>($D32/($P$21-$E32))*$R$21</f>
        <v>0</v>
      </c>
      <c r="AF35" s="893">
        <f>($D33/($P$21-$E33))*$R$21</f>
        <v>0</v>
      </c>
      <c r="AG35" s="893">
        <f>($D34/($P$21-$E34))*$R$21</f>
        <v>0</v>
      </c>
      <c r="AH35" s="893">
        <f>($D35/($P$21-$E35))*$R$21</f>
        <v>0</v>
      </c>
      <c r="AI35" s="893">
        <f>($D36/($P$21-$E36))*$R$21</f>
        <v>0</v>
      </c>
      <c r="AJ35" s="893">
        <f>($D37/($P$21-$E37))*$R$21</f>
        <v>0</v>
      </c>
      <c r="AK35" s="894">
        <f>($D38/($P$21-$E38))*$R$21</f>
        <v>0</v>
      </c>
      <c r="AL35" s="892" t="s">
        <v>471</v>
      </c>
      <c r="AM35" s="893">
        <f>($D$31/($P$22-$E31))*$R$22</f>
        <v>0.009090909091</v>
      </c>
      <c r="AN35" s="893">
        <f>($D32/($P$22-$E32))*$R$22</f>
        <v>0.008333333333</v>
      </c>
      <c r="AO35" s="893">
        <f>($D33/($P$22-$E33))*$R$22</f>
        <v>0.0075</v>
      </c>
      <c r="AP35" s="893">
        <f>($D34/($P$22-$E34))*$R$22</f>
        <v>0.006578947368</v>
      </c>
      <c r="AQ35" s="893">
        <f>($D35/($P$22-$E35))*$R$22</f>
        <v>0.005555555556</v>
      </c>
      <c r="AR35" s="893">
        <f>($D36/($P$22-$E36))*$R$22</f>
        <v>0.004411764706</v>
      </c>
      <c r="AS35" s="893">
        <f>($D37/($P$22-$E37))*$R$22</f>
        <v>0.003125</v>
      </c>
      <c r="AT35" s="894">
        <f>($D38/($P$22-$E38))*$R$22</f>
        <v>0.001666666667</v>
      </c>
      <c r="AU35" s="892" t="s">
        <v>471</v>
      </c>
      <c r="AV35" s="893">
        <f>($D$31/($P$23-$E31))*$R$23</f>
        <v>0.09090909091</v>
      </c>
      <c r="AW35" s="893">
        <f>($D32/($P$23-$E32))*$R$23</f>
        <v>0.0875</v>
      </c>
      <c r="AX35" s="893">
        <f>($D33/($P$23-$E33))*$R$23</f>
        <v>0.08333333333</v>
      </c>
      <c r="AY35" s="893">
        <f>($D34/($P$23-$E34))*$R$23</f>
        <v>0.078125</v>
      </c>
      <c r="AZ35" s="893">
        <f>($D35/($P$23-$E35))*$R$23</f>
        <v>0.07142857143</v>
      </c>
      <c r="BA35" s="893">
        <f>($D36/($P$23-$E36))*$R$23</f>
        <v>0.0625</v>
      </c>
      <c r="BB35" s="893">
        <f>($D37/($P$23-$E37))*$R$23</f>
        <v>0.05</v>
      </c>
      <c r="BC35" s="894">
        <f>($D38/($P$23-$E38))*$R$23</f>
        <v>0.03125</v>
      </c>
      <c r="BD35" s="1"/>
    </row>
    <row r="36">
      <c r="A36" s="1"/>
      <c r="B36" s="1"/>
      <c r="C36" s="1"/>
      <c r="D36" s="865">
        <v>3.0</v>
      </c>
      <c r="E36" s="879">
        <f t="shared" si="104"/>
        <v>5</v>
      </c>
      <c r="F36" s="880" t="str">
        <f>IFERROR(BA43, "-")</f>
        <v>-</v>
      </c>
      <c r="G36" s="919" t="str">
        <f t="shared" si="96"/>
        <v>-</v>
      </c>
      <c r="H36" s="882" t="str">
        <f>IFERROR(AR43, "-")</f>
        <v>-</v>
      </c>
      <c r="I36" s="913" t="str">
        <f t="shared" si="97"/>
        <v>-</v>
      </c>
      <c r="J36" s="884" t="str">
        <f>IFERROR(AI43, "-")</f>
        <v>-</v>
      </c>
      <c r="K36" s="885" t="str">
        <f t="shared" si="98"/>
        <v>-</v>
      </c>
      <c r="L36" s="886" t="str">
        <f>IFERROR(Z43, "-")</f>
        <v>-</v>
      </c>
      <c r="M36" s="887" t="str">
        <f t="shared" si="99"/>
        <v>-</v>
      </c>
      <c r="N36" s="1"/>
      <c r="O36" s="362"/>
      <c r="R36" s="415"/>
      <c r="S36" s="1"/>
      <c r="T36" s="892" t="s">
        <v>475</v>
      </c>
      <c r="U36" s="893">
        <f t="shared" ref="U36:AB36" si="105">U$35*(1-SUM(U$35:U35))</f>
        <v>0</v>
      </c>
      <c r="V36" s="893">
        <f t="shared" si="105"/>
        <v>0</v>
      </c>
      <c r="W36" s="893">
        <f t="shared" si="105"/>
        <v>0</v>
      </c>
      <c r="X36" s="893">
        <f t="shared" si="105"/>
        <v>0</v>
      </c>
      <c r="Y36" s="893">
        <f t="shared" si="105"/>
        <v>0</v>
      </c>
      <c r="Z36" s="893">
        <f t="shared" si="105"/>
        <v>0</v>
      </c>
      <c r="AA36" s="893">
        <f t="shared" si="105"/>
        <v>0</v>
      </c>
      <c r="AB36" s="896">
        <f t="shared" si="105"/>
        <v>0</v>
      </c>
      <c r="AC36" s="892" t="s">
        <v>475</v>
      </c>
      <c r="AD36" s="893">
        <f t="shared" ref="AD36:AK36" si="106">AD$35*(1-SUM(AD$35:AD35))</f>
        <v>0</v>
      </c>
      <c r="AE36" s="893">
        <f t="shared" si="106"/>
        <v>0</v>
      </c>
      <c r="AF36" s="893">
        <f t="shared" si="106"/>
        <v>0</v>
      </c>
      <c r="AG36" s="893">
        <f t="shared" si="106"/>
        <v>0</v>
      </c>
      <c r="AH36" s="893">
        <f t="shared" si="106"/>
        <v>0</v>
      </c>
      <c r="AI36" s="893">
        <f t="shared" si="106"/>
        <v>0</v>
      </c>
      <c r="AJ36" s="893">
        <f t="shared" si="106"/>
        <v>0</v>
      </c>
      <c r="AK36" s="896">
        <f t="shared" si="106"/>
        <v>0</v>
      </c>
      <c r="AL36" s="892" t="s">
        <v>475</v>
      </c>
      <c r="AM36" s="893">
        <f t="shared" ref="AM36:AT36" si="107">AM$35*(1-SUM(AM$35:AM35))</f>
        <v>0.009008264463</v>
      </c>
      <c r="AN36" s="893">
        <f t="shared" si="107"/>
        <v>0.008263888889</v>
      </c>
      <c r="AO36" s="893">
        <f t="shared" si="107"/>
        <v>0.00744375</v>
      </c>
      <c r="AP36" s="893">
        <f t="shared" si="107"/>
        <v>0.00653566482</v>
      </c>
      <c r="AQ36" s="893">
        <f t="shared" si="107"/>
        <v>0.005524691358</v>
      </c>
      <c r="AR36" s="893">
        <f t="shared" si="107"/>
        <v>0.004392301038</v>
      </c>
      <c r="AS36" s="893">
        <f t="shared" si="107"/>
        <v>0.003115234375</v>
      </c>
      <c r="AT36" s="896">
        <f t="shared" si="107"/>
        <v>0.001663888889</v>
      </c>
      <c r="AU36" s="892" t="s">
        <v>475</v>
      </c>
      <c r="AV36" s="893">
        <f t="shared" ref="AV36:BC36" si="108">AV$35*(1-SUM(AV$35:AV35))</f>
        <v>0.0826446281</v>
      </c>
      <c r="AW36" s="893">
        <f t="shared" si="108"/>
        <v>0.07984375</v>
      </c>
      <c r="AX36" s="893">
        <f t="shared" si="108"/>
        <v>0.07638888889</v>
      </c>
      <c r="AY36" s="893">
        <f t="shared" si="108"/>
        <v>0.07202148438</v>
      </c>
      <c r="AZ36" s="893">
        <f t="shared" si="108"/>
        <v>0.06632653061</v>
      </c>
      <c r="BA36" s="893">
        <f t="shared" si="108"/>
        <v>0.05859375</v>
      </c>
      <c r="BB36" s="893">
        <f t="shared" si="108"/>
        <v>0.0475</v>
      </c>
      <c r="BC36" s="896">
        <f t="shared" si="108"/>
        <v>0.0302734375</v>
      </c>
      <c r="BD36" s="1"/>
    </row>
    <row r="37">
      <c r="A37" s="1"/>
      <c r="B37" s="1"/>
      <c r="C37" s="1"/>
      <c r="D37" s="865">
        <v>2.0</v>
      </c>
      <c r="E37" s="879">
        <f t="shared" si="104"/>
        <v>6</v>
      </c>
      <c r="F37" s="880" t="str">
        <f>IFERROR(BB43, "-")</f>
        <v>-</v>
      </c>
      <c r="G37" s="919" t="str">
        <f t="shared" si="96"/>
        <v>-</v>
      </c>
      <c r="H37" s="882" t="str">
        <f>IFERROR(AS43, "-")</f>
        <v>-</v>
      </c>
      <c r="I37" s="913" t="str">
        <f t="shared" si="97"/>
        <v>-</v>
      </c>
      <c r="J37" s="884" t="str">
        <f>IFERROR(AJ43, "-")</f>
        <v>-</v>
      </c>
      <c r="K37" s="885" t="str">
        <f t="shared" si="98"/>
        <v>-</v>
      </c>
      <c r="L37" s="886" t="str">
        <f>IFERROR(AA43, "-")</f>
        <v>-</v>
      </c>
      <c r="M37" s="887" t="str">
        <f t="shared" si="99"/>
        <v>-</v>
      </c>
      <c r="N37" s="1"/>
      <c r="O37" s="362"/>
      <c r="R37" s="415"/>
      <c r="S37" s="1"/>
      <c r="T37" s="892" t="s">
        <v>479</v>
      </c>
      <c r="U37" s="893">
        <f t="shared" ref="U37:AB37" si="109">U$35*(1-SUM(U$35:U36))</f>
        <v>0</v>
      </c>
      <c r="V37" s="893">
        <f t="shared" si="109"/>
        <v>0</v>
      </c>
      <c r="W37" s="893">
        <f t="shared" si="109"/>
        <v>0</v>
      </c>
      <c r="X37" s="893">
        <f t="shared" si="109"/>
        <v>0</v>
      </c>
      <c r="Y37" s="893">
        <f t="shared" si="109"/>
        <v>0</v>
      </c>
      <c r="Z37" s="893">
        <f t="shared" si="109"/>
        <v>0</v>
      </c>
      <c r="AA37" s="897">
        <f t="shared" si="109"/>
        <v>0</v>
      </c>
      <c r="AB37" s="896">
        <f t="shared" si="109"/>
        <v>0</v>
      </c>
      <c r="AC37" s="892" t="s">
        <v>479</v>
      </c>
      <c r="AD37" s="893">
        <f t="shared" ref="AD37:AK37" si="110">AD$35*(1-SUM(AD$35:AD36))</f>
        <v>0</v>
      </c>
      <c r="AE37" s="893">
        <f t="shared" si="110"/>
        <v>0</v>
      </c>
      <c r="AF37" s="893">
        <f t="shared" si="110"/>
        <v>0</v>
      </c>
      <c r="AG37" s="893">
        <f t="shared" si="110"/>
        <v>0</v>
      </c>
      <c r="AH37" s="893">
        <f t="shared" si="110"/>
        <v>0</v>
      </c>
      <c r="AI37" s="893">
        <f t="shared" si="110"/>
        <v>0</v>
      </c>
      <c r="AJ37" s="897">
        <f t="shared" si="110"/>
        <v>0</v>
      </c>
      <c r="AK37" s="896">
        <f t="shared" si="110"/>
        <v>0</v>
      </c>
      <c r="AL37" s="892" t="s">
        <v>479</v>
      </c>
      <c r="AM37" s="893">
        <f t="shared" ref="AM37:AT37" si="111">AM$35*(1-SUM(AM$35:AM36))</f>
        <v>0.00892637115</v>
      </c>
      <c r="AN37" s="893">
        <f t="shared" si="111"/>
        <v>0.008195023148</v>
      </c>
      <c r="AO37" s="893">
        <f t="shared" si="111"/>
        <v>0.007387921875</v>
      </c>
      <c r="AP37" s="893">
        <f t="shared" si="111"/>
        <v>0.006492667025</v>
      </c>
      <c r="AQ37" s="893">
        <f t="shared" si="111"/>
        <v>0.005493998628</v>
      </c>
      <c r="AR37" s="893">
        <f t="shared" si="111"/>
        <v>0.004372923239</v>
      </c>
      <c r="AS37" s="897">
        <f t="shared" si="111"/>
        <v>0.003105499268</v>
      </c>
      <c r="AT37" s="896">
        <f t="shared" si="111"/>
        <v>0.001661115741</v>
      </c>
      <c r="AU37" s="892" t="s">
        <v>479</v>
      </c>
      <c r="AV37" s="893">
        <f t="shared" ref="AV37:BC37" si="112">AV$35*(1-SUM(AV$35:AV36))</f>
        <v>0.07513148009</v>
      </c>
      <c r="AW37" s="893">
        <f t="shared" si="112"/>
        <v>0.07285742188</v>
      </c>
      <c r="AX37" s="893">
        <f t="shared" si="112"/>
        <v>0.07002314815</v>
      </c>
      <c r="AY37" s="893">
        <f t="shared" si="112"/>
        <v>0.06639480591</v>
      </c>
      <c r="AZ37" s="893">
        <f t="shared" si="112"/>
        <v>0.06158892128</v>
      </c>
      <c r="BA37" s="893">
        <f t="shared" si="112"/>
        <v>0.05493164063</v>
      </c>
      <c r="BB37" s="897">
        <f t="shared" si="112"/>
        <v>0.045125</v>
      </c>
      <c r="BC37" s="896">
        <f t="shared" si="112"/>
        <v>0.02932739258</v>
      </c>
      <c r="BD37" s="1"/>
    </row>
    <row r="38">
      <c r="A38" s="920" t="s">
        <v>523</v>
      </c>
      <c r="B38" s="921">
        <f>'Master Sheet'!G5</f>
        <v>0</v>
      </c>
      <c r="C38" s="1"/>
      <c r="D38" s="898">
        <v>1.0</v>
      </c>
      <c r="E38" s="899">
        <f t="shared" si="104"/>
        <v>7</v>
      </c>
      <c r="F38" s="900" t="str">
        <f>IFERROR(BC43, "-")</f>
        <v>-</v>
      </c>
      <c r="G38" s="922" t="str">
        <f t="shared" si="96"/>
        <v>-</v>
      </c>
      <c r="H38" s="902" t="str">
        <f>IFERROR(AT43, "-")</f>
        <v>-</v>
      </c>
      <c r="I38" s="915" t="str">
        <f t="shared" si="97"/>
        <v>-</v>
      </c>
      <c r="J38" s="904" t="str">
        <f>IFERROR(AK43, "-")</f>
        <v>-</v>
      </c>
      <c r="K38" s="905" t="str">
        <f t="shared" si="98"/>
        <v>-</v>
      </c>
      <c r="L38" s="906" t="str">
        <f>IFERROR(AB43, "-")</f>
        <v>-</v>
      </c>
      <c r="M38" s="907" t="str">
        <f t="shared" si="99"/>
        <v>-</v>
      </c>
      <c r="N38" s="1"/>
      <c r="O38" s="923"/>
      <c r="P38" s="672"/>
      <c r="Q38" s="672"/>
      <c r="R38" s="365"/>
      <c r="S38" s="1"/>
      <c r="T38" s="892" t="s">
        <v>482</v>
      </c>
      <c r="U38" s="893">
        <f t="shared" ref="U38:AB38" si="113">U$35*(1-SUM(U$35:U37))</f>
        <v>0</v>
      </c>
      <c r="V38" s="893">
        <f t="shared" si="113"/>
        <v>0</v>
      </c>
      <c r="W38" s="893">
        <f t="shared" si="113"/>
        <v>0</v>
      </c>
      <c r="X38" s="893">
        <f t="shared" si="113"/>
        <v>0</v>
      </c>
      <c r="Y38" s="893">
        <f t="shared" si="113"/>
        <v>0</v>
      </c>
      <c r="Z38" s="897">
        <f t="shared" si="113"/>
        <v>0</v>
      </c>
      <c r="AA38" s="897">
        <f t="shared" si="113"/>
        <v>0</v>
      </c>
      <c r="AB38" s="896">
        <f t="shared" si="113"/>
        <v>0</v>
      </c>
      <c r="AC38" s="892" t="s">
        <v>482</v>
      </c>
      <c r="AD38" s="893">
        <f t="shared" ref="AD38:AK38" si="114">AD$35*(1-SUM(AD$35:AD37))</f>
        <v>0</v>
      </c>
      <c r="AE38" s="893">
        <f t="shared" si="114"/>
        <v>0</v>
      </c>
      <c r="AF38" s="893">
        <f t="shared" si="114"/>
        <v>0</v>
      </c>
      <c r="AG38" s="893">
        <f t="shared" si="114"/>
        <v>0</v>
      </c>
      <c r="AH38" s="893">
        <f t="shared" si="114"/>
        <v>0</v>
      </c>
      <c r="AI38" s="897">
        <f t="shared" si="114"/>
        <v>0</v>
      </c>
      <c r="AJ38" s="897">
        <f t="shared" si="114"/>
        <v>0</v>
      </c>
      <c r="AK38" s="896">
        <f t="shared" si="114"/>
        <v>0</v>
      </c>
      <c r="AL38" s="892" t="s">
        <v>482</v>
      </c>
      <c r="AM38" s="893">
        <f t="shared" ref="AM38:AT38" si="115">AM$35*(1-SUM(AM$35:AM37))</f>
        <v>0.008845222321</v>
      </c>
      <c r="AN38" s="893">
        <f t="shared" si="115"/>
        <v>0.008126731289</v>
      </c>
      <c r="AO38" s="893">
        <f t="shared" si="115"/>
        <v>0.007332512461</v>
      </c>
      <c r="AP38" s="893">
        <f t="shared" si="115"/>
        <v>0.00644995211</v>
      </c>
      <c r="AQ38" s="893">
        <f t="shared" si="115"/>
        <v>0.005463476414</v>
      </c>
      <c r="AR38" s="897">
        <f t="shared" si="115"/>
        <v>0.004353630931</v>
      </c>
      <c r="AS38" s="897">
        <f t="shared" si="115"/>
        <v>0.003095794582</v>
      </c>
      <c r="AT38" s="896">
        <f t="shared" si="115"/>
        <v>0.001658347215</v>
      </c>
      <c r="AU38" s="892" t="s">
        <v>482</v>
      </c>
      <c r="AV38" s="893">
        <f t="shared" ref="AV38:BC38" si="116">AV$35*(1-SUM(AV$35:AV37))</f>
        <v>0.06830134554</v>
      </c>
      <c r="AW38" s="893">
        <f t="shared" si="116"/>
        <v>0.06648239746</v>
      </c>
      <c r="AX38" s="893">
        <f t="shared" si="116"/>
        <v>0.0641878858</v>
      </c>
      <c r="AY38" s="893">
        <f t="shared" si="116"/>
        <v>0.0612077117</v>
      </c>
      <c r="AZ38" s="893">
        <f t="shared" si="116"/>
        <v>0.05718971262</v>
      </c>
      <c r="BA38" s="897">
        <f t="shared" si="116"/>
        <v>0.05149841309</v>
      </c>
      <c r="BB38" s="897">
        <f t="shared" si="116"/>
        <v>0.04286875</v>
      </c>
      <c r="BC38" s="896">
        <f t="shared" si="116"/>
        <v>0.02841091156</v>
      </c>
      <c r="BD38" s="1"/>
    </row>
    <row r="39" ht="12.75" customHeight="1">
      <c r="A39" s="1"/>
      <c r="B39" s="1"/>
      <c r="C39" s="1"/>
      <c r="D39" s="1"/>
      <c r="E39" s="1"/>
      <c r="F39" s="1"/>
      <c r="G39" s="1"/>
      <c r="H39" s="1"/>
      <c r="I39" s="1"/>
      <c r="J39" s="1"/>
      <c r="K39" s="1"/>
      <c r="L39" s="1"/>
      <c r="M39" s="1"/>
      <c r="N39" s="1"/>
      <c r="O39" s="1"/>
      <c r="P39" s="1"/>
      <c r="Q39" s="1"/>
      <c r="R39" s="1"/>
      <c r="S39" s="1"/>
      <c r="T39" s="892" t="s">
        <v>483</v>
      </c>
      <c r="U39" s="893">
        <f t="shared" ref="U39:AB39" si="117">U$35*(1-SUM(U$35:U38))</f>
        <v>0</v>
      </c>
      <c r="V39" s="893">
        <f t="shared" si="117"/>
        <v>0</v>
      </c>
      <c r="W39" s="893">
        <f t="shared" si="117"/>
        <v>0</v>
      </c>
      <c r="X39" s="893">
        <f t="shared" si="117"/>
        <v>0</v>
      </c>
      <c r="Y39" s="897">
        <f t="shared" si="117"/>
        <v>0</v>
      </c>
      <c r="Z39" s="897">
        <f t="shared" si="117"/>
        <v>0</v>
      </c>
      <c r="AA39" s="897">
        <f t="shared" si="117"/>
        <v>0</v>
      </c>
      <c r="AB39" s="896">
        <f t="shared" si="117"/>
        <v>0</v>
      </c>
      <c r="AC39" s="892" t="s">
        <v>483</v>
      </c>
      <c r="AD39" s="893">
        <f t="shared" ref="AD39:AK39" si="118">AD$35*(1-SUM(AD$35:AD38))</f>
        <v>0</v>
      </c>
      <c r="AE39" s="893">
        <f t="shared" si="118"/>
        <v>0</v>
      </c>
      <c r="AF39" s="893">
        <f t="shared" si="118"/>
        <v>0</v>
      </c>
      <c r="AG39" s="893">
        <f t="shared" si="118"/>
        <v>0</v>
      </c>
      <c r="AH39" s="897">
        <f t="shared" si="118"/>
        <v>0</v>
      </c>
      <c r="AI39" s="897">
        <f t="shared" si="118"/>
        <v>0</v>
      </c>
      <c r="AJ39" s="897">
        <f t="shared" si="118"/>
        <v>0</v>
      </c>
      <c r="AK39" s="896">
        <f t="shared" si="118"/>
        <v>0</v>
      </c>
      <c r="AL39" s="892" t="s">
        <v>483</v>
      </c>
      <c r="AM39" s="893">
        <f t="shared" ref="AM39:AT39" si="119">AM$35*(1-SUM(AM$35:AM38))</f>
        <v>0.008764811209</v>
      </c>
      <c r="AN39" s="893">
        <f t="shared" si="119"/>
        <v>0.008059008528</v>
      </c>
      <c r="AO39" s="893">
        <f t="shared" si="119"/>
        <v>0.007277518617</v>
      </c>
      <c r="AP39" s="893">
        <f t="shared" si="119"/>
        <v>0.006407518215</v>
      </c>
      <c r="AQ39" s="897">
        <f t="shared" si="119"/>
        <v>0.005433123767</v>
      </c>
      <c r="AR39" s="897">
        <f t="shared" si="119"/>
        <v>0.004334423736</v>
      </c>
      <c r="AS39" s="897">
        <f t="shared" si="119"/>
        <v>0.003086120224</v>
      </c>
      <c r="AT39" s="896">
        <f t="shared" si="119"/>
        <v>0.001655583302</v>
      </c>
      <c r="AU39" s="892" t="s">
        <v>483</v>
      </c>
      <c r="AV39" s="893">
        <f t="shared" ref="AV39:BC39" si="120">AV$35*(1-SUM(AV$35:AV38))</f>
        <v>0.06209213231</v>
      </c>
      <c r="AW39" s="893">
        <f t="shared" si="120"/>
        <v>0.06066518768</v>
      </c>
      <c r="AX39" s="893">
        <f t="shared" si="120"/>
        <v>0.05883889532</v>
      </c>
      <c r="AY39" s="893">
        <f t="shared" si="120"/>
        <v>0.05642585922</v>
      </c>
      <c r="AZ39" s="897">
        <f t="shared" si="120"/>
        <v>0.05310473315</v>
      </c>
      <c r="BA39" s="897">
        <f t="shared" si="120"/>
        <v>0.04827976227</v>
      </c>
      <c r="BB39" s="897">
        <f t="shared" si="120"/>
        <v>0.0407253125</v>
      </c>
      <c r="BC39" s="896">
        <f t="shared" si="120"/>
        <v>0.02752307057</v>
      </c>
      <c r="BD39" s="1"/>
    </row>
    <row r="40" ht="12.75" customHeight="1">
      <c r="A40" s="1"/>
      <c r="B40" s="1"/>
      <c r="C40" s="1"/>
      <c r="D40" s="1"/>
      <c r="E40" s="1"/>
      <c r="F40" s="1"/>
      <c r="G40" s="1"/>
      <c r="H40" s="1"/>
      <c r="I40" s="1"/>
      <c r="J40" s="1"/>
      <c r="K40" s="1"/>
      <c r="L40" s="1"/>
      <c r="M40" s="1"/>
      <c r="N40" s="1"/>
      <c r="O40" s="1"/>
      <c r="P40" s="1"/>
      <c r="Q40" s="1"/>
      <c r="R40" s="1"/>
      <c r="S40" s="1"/>
      <c r="T40" s="892" t="s">
        <v>486</v>
      </c>
      <c r="U40" s="893">
        <f t="shared" ref="U40:AB40" si="121">U$35*(1-SUM(U$35:U39))</f>
        <v>0</v>
      </c>
      <c r="V40" s="893">
        <f t="shared" si="121"/>
        <v>0</v>
      </c>
      <c r="W40" s="893">
        <f t="shared" si="121"/>
        <v>0</v>
      </c>
      <c r="X40" s="897">
        <f t="shared" si="121"/>
        <v>0</v>
      </c>
      <c r="Y40" s="897">
        <f t="shared" si="121"/>
        <v>0</v>
      </c>
      <c r="Z40" s="897">
        <f t="shared" si="121"/>
        <v>0</v>
      </c>
      <c r="AA40" s="897">
        <f t="shared" si="121"/>
        <v>0</v>
      </c>
      <c r="AB40" s="896">
        <f t="shared" si="121"/>
        <v>0</v>
      </c>
      <c r="AC40" s="892" t="s">
        <v>486</v>
      </c>
      <c r="AD40" s="893">
        <f t="shared" ref="AD40:AK40" si="122">AD$35*(1-SUM(AD$35:AD39))</f>
        <v>0</v>
      </c>
      <c r="AE40" s="893">
        <f t="shared" si="122"/>
        <v>0</v>
      </c>
      <c r="AF40" s="893">
        <f t="shared" si="122"/>
        <v>0</v>
      </c>
      <c r="AG40" s="897">
        <f t="shared" si="122"/>
        <v>0</v>
      </c>
      <c r="AH40" s="897">
        <f t="shared" si="122"/>
        <v>0</v>
      </c>
      <c r="AI40" s="897">
        <f t="shared" si="122"/>
        <v>0</v>
      </c>
      <c r="AJ40" s="897">
        <f t="shared" si="122"/>
        <v>0</v>
      </c>
      <c r="AK40" s="896">
        <f t="shared" si="122"/>
        <v>0</v>
      </c>
      <c r="AL40" s="892" t="s">
        <v>486</v>
      </c>
      <c r="AM40" s="893">
        <f t="shared" ref="AM40:AT40" si="123">AM$35*(1-SUM(AM$35:AM39))</f>
        <v>0.008685131107</v>
      </c>
      <c r="AN40" s="893">
        <f t="shared" si="123"/>
        <v>0.007991850123</v>
      </c>
      <c r="AO40" s="893">
        <f t="shared" si="123"/>
        <v>0.007222937228</v>
      </c>
      <c r="AP40" s="897">
        <f t="shared" si="123"/>
        <v>0.00636536349</v>
      </c>
      <c r="AQ40" s="897">
        <f t="shared" si="123"/>
        <v>0.005402939746</v>
      </c>
      <c r="AR40" s="897">
        <f t="shared" si="123"/>
        <v>0.004315301278</v>
      </c>
      <c r="AS40" s="897">
        <f t="shared" si="123"/>
        <v>0.003076476099</v>
      </c>
      <c r="AT40" s="896">
        <f t="shared" si="123"/>
        <v>0.001652823997</v>
      </c>
      <c r="AU40" s="892" t="s">
        <v>486</v>
      </c>
      <c r="AV40" s="893">
        <f t="shared" ref="AV40:BC40" si="124">AV$35*(1-SUM(AV$35:AV39))</f>
        <v>0.05644739301</v>
      </c>
      <c r="AW40" s="893">
        <f t="shared" si="124"/>
        <v>0.05535698376</v>
      </c>
      <c r="AX40" s="893">
        <f t="shared" si="124"/>
        <v>0.05393565404</v>
      </c>
      <c r="AY40" s="897">
        <f t="shared" si="124"/>
        <v>0.05201758897</v>
      </c>
      <c r="AZ40" s="897">
        <f t="shared" si="124"/>
        <v>0.04931153792</v>
      </c>
      <c r="BA40" s="897">
        <f t="shared" si="124"/>
        <v>0.04526227713</v>
      </c>
      <c r="BB40" s="897">
        <f t="shared" si="124"/>
        <v>0.03868904688</v>
      </c>
      <c r="BC40" s="896">
        <f t="shared" si="124"/>
        <v>0.02666297462</v>
      </c>
      <c r="BD40" s="1"/>
    </row>
    <row r="41" ht="12.75" customHeight="1">
      <c r="A41" s="1"/>
      <c r="B41" s="924" t="s">
        <v>524</v>
      </c>
      <c r="C41" s="925"/>
      <c r="D41" s="926">
        <f t="shared" ref="D41:D48" si="129">ROUND(H41*(1-$B$38),0)</f>
        <v>10</v>
      </c>
      <c r="E41" s="924" t="s">
        <v>525</v>
      </c>
      <c r="F41" s="927"/>
      <c r="G41" s="927"/>
      <c r="H41" s="920">
        <v>10.0</v>
      </c>
      <c r="I41" s="1"/>
      <c r="J41" s="928" t="s">
        <v>526</v>
      </c>
      <c r="K41" s="927"/>
      <c r="L41" s="929">
        <v>0.1</v>
      </c>
      <c r="M41" s="1"/>
      <c r="N41" s="1"/>
      <c r="O41" s="1"/>
      <c r="P41" s="1"/>
      <c r="Q41" s="1"/>
      <c r="R41" s="1"/>
      <c r="S41" s="1"/>
      <c r="T41" s="892" t="s">
        <v>489</v>
      </c>
      <c r="U41" s="893">
        <f t="shared" ref="U41:AB41" si="125">U$35*(1-SUM(U$35:U40))</f>
        <v>0</v>
      </c>
      <c r="V41" s="893">
        <f t="shared" si="125"/>
        <v>0</v>
      </c>
      <c r="W41" s="897">
        <f t="shared" si="125"/>
        <v>0</v>
      </c>
      <c r="X41" s="897">
        <f t="shared" si="125"/>
        <v>0</v>
      </c>
      <c r="Y41" s="897">
        <f t="shared" si="125"/>
        <v>0</v>
      </c>
      <c r="Z41" s="897">
        <f t="shared" si="125"/>
        <v>0</v>
      </c>
      <c r="AA41" s="897">
        <f t="shared" si="125"/>
        <v>0</v>
      </c>
      <c r="AB41" s="896">
        <f t="shared" si="125"/>
        <v>0</v>
      </c>
      <c r="AC41" s="892" t="s">
        <v>489</v>
      </c>
      <c r="AD41" s="893">
        <f t="shared" ref="AD41:AK41" si="126">AD$35*(1-SUM(AD$35:AD40))</f>
        <v>0</v>
      </c>
      <c r="AE41" s="893">
        <f t="shared" si="126"/>
        <v>0</v>
      </c>
      <c r="AF41" s="897">
        <f t="shared" si="126"/>
        <v>0</v>
      </c>
      <c r="AG41" s="897">
        <f t="shared" si="126"/>
        <v>0</v>
      </c>
      <c r="AH41" s="897">
        <f t="shared" si="126"/>
        <v>0</v>
      </c>
      <c r="AI41" s="897">
        <f t="shared" si="126"/>
        <v>0</v>
      </c>
      <c r="AJ41" s="897">
        <f t="shared" si="126"/>
        <v>0</v>
      </c>
      <c r="AK41" s="896">
        <f t="shared" si="126"/>
        <v>0</v>
      </c>
      <c r="AL41" s="892" t="s">
        <v>489</v>
      </c>
      <c r="AM41" s="893">
        <f t="shared" ref="AM41:AT41" si="127">AM$35*(1-SUM(AM$35:AM40))</f>
        <v>0.00860617537</v>
      </c>
      <c r="AN41" s="893">
        <f t="shared" si="127"/>
        <v>0.007925251372</v>
      </c>
      <c r="AO41" s="897">
        <f t="shared" si="127"/>
        <v>0.007168765199</v>
      </c>
      <c r="AP41" s="897">
        <f t="shared" si="127"/>
        <v>0.006323486098</v>
      </c>
      <c r="AQ41" s="897">
        <f t="shared" si="127"/>
        <v>0.005372923414</v>
      </c>
      <c r="AR41" s="897">
        <f t="shared" si="127"/>
        <v>0.004296263184</v>
      </c>
      <c r="AS41" s="897">
        <f t="shared" si="127"/>
        <v>0.003066862111</v>
      </c>
      <c r="AT41" s="896">
        <f t="shared" si="127"/>
        <v>0.00165006929</v>
      </c>
      <c r="AU41" s="892" t="s">
        <v>489</v>
      </c>
      <c r="AV41" s="893">
        <f t="shared" ref="AV41:BC41" si="128">AV$35*(1-SUM(AV$35:AV40))</f>
        <v>0.05131581182</v>
      </c>
      <c r="AW41" s="893">
        <f t="shared" si="128"/>
        <v>0.05051324768</v>
      </c>
      <c r="AX41" s="897">
        <f t="shared" si="128"/>
        <v>0.04944101621</v>
      </c>
      <c r="AY41" s="897">
        <f t="shared" si="128"/>
        <v>0.04795371483</v>
      </c>
      <c r="AZ41" s="897">
        <f t="shared" si="128"/>
        <v>0.04578928521</v>
      </c>
      <c r="BA41" s="897">
        <f t="shared" si="128"/>
        <v>0.04243338481</v>
      </c>
      <c r="BB41" s="897">
        <f t="shared" si="128"/>
        <v>0.03675459453</v>
      </c>
      <c r="BC41" s="896">
        <f t="shared" si="128"/>
        <v>0.02582975666</v>
      </c>
      <c r="BD41" s="1"/>
    </row>
    <row r="42" ht="12.75" customHeight="1">
      <c r="A42" s="1"/>
      <c r="B42" s="924" t="s">
        <v>527</v>
      </c>
      <c r="C42" s="925"/>
      <c r="D42" s="926">
        <f t="shared" si="129"/>
        <v>40</v>
      </c>
      <c r="E42" s="924" t="s">
        <v>528</v>
      </c>
      <c r="F42" s="927"/>
      <c r="G42" s="927"/>
      <c r="H42" s="920">
        <v>40.0</v>
      </c>
      <c r="I42" s="1"/>
      <c r="J42" s="928" t="s">
        <v>529</v>
      </c>
      <c r="K42" s="927"/>
      <c r="L42" s="929">
        <v>0.025</v>
      </c>
      <c r="M42" s="1"/>
      <c r="N42" s="1"/>
      <c r="O42" s="1"/>
      <c r="P42" s="1"/>
      <c r="Q42" s="1"/>
      <c r="R42" s="1"/>
      <c r="S42" s="1"/>
      <c r="T42" s="892" t="s">
        <v>492</v>
      </c>
      <c r="U42" s="893">
        <f t="shared" ref="U42:AB42" si="130">U$35*(1-SUM(U$35:U41))</f>
        <v>0</v>
      </c>
      <c r="V42" s="897">
        <f t="shared" si="130"/>
        <v>0</v>
      </c>
      <c r="W42" s="897">
        <f t="shared" si="130"/>
        <v>0</v>
      </c>
      <c r="X42" s="897">
        <f t="shared" si="130"/>
        <v>0</v>
      </c>
      <c r="Y42" s="897">
        <f t="shared" si="130"/>
        <v>0</v>
      </c>
      <c r="Z42" s="897">
        <f t="shared" si="130"/>
        <v>0</v>
      </c>
      <c r="AA42" s="897">
        <f t="shared" si="130"/>
        <v>0</v>
      </c>
      <c r="AB42" s="896">
        <f t="shared" si="130"/>
        <v>0</v>
      </c>
      <c r="AC42" s="892" t="s">
        <v>492</v>
      </c>
      <c r="AD42" s="893">
        <f t="shared" ref="AD42:AK42" si="131">AD$35*(1-SUM(AD$35:AD41))</f>
        <v>0</v>
      </c>
      <c r="AE42" s="897">
        <f t="shared" si="131"/>
        <v>0</v>
      </c>
      <c r="AF42" s="897">
        <f t="shared" si="131"/>
        <v>0</v>
      </c>
      <c r="AG42" s="897">
        <f t="shared" si="131"/>
        <v>0</v>
      </c>
      <c r="AH42" s="897">
        <f t="shared" si="131"/>
        <v>0</v>
      </c>
      <c r="AI42" s="897">
        <f t="shared" si="131"/>
        <v>0</v>
      </c>
      <c r="AJ42" s="897">
        <f t="shared" si="131"/>
        <v>0</v>
      </c>
      <c r="AK42" s="896">
        <f t="shared" si="131"/>
        <v>0</v>
      </c>
      <c r="AL42" s="892" t="s">
        <v>492</v>
      </c>
      <c r="AM42" s="893">
        <f t="shared" ref="AM42:AT42" si="132">AM$35*(1-SUM(AM$35:AM41))</f>
        <v>0.008527937412</v>
      </c>
      <c r="AN42" s="897">
        <f t="shared" si="132"/>
        <v>0.007859207611</v>
      </c>
      <c r="AO42" s="897">
        <f t="shared" si="132"/>
        <v>0.00711499946</v>
      </c>
      <c r="AP42" s="897">
        <f t="shared" si="132"/>
        <v>0.006281884216</v>
      </c>
      <c r="AQ42" s="897">
        <f t="shared" si="132"/>
        <v>0.00534307384</v>
      </c>
      <c r="AR42" s="897">
        <f t="shared" si="132"/>
        <v>0.004277309082</v>
      </c>
      <c r="AS42" s="897">
        <f t="shared" si="132"/>
        <v>0.003057278167</v>
      </c>
      <c r="AT42" s="896">
        <f t="shared" si="132"/>
        <v>0.001647319175</v>
      </c>
      <c r="AU42" s="892" t="s">
        <v>492</v>
      </c>
      <c r="AV42" s="893">
        <f t="shared" ref="AV42:BC42" si="133">AV$35*(1-SUM(AV$35:AV41))</f>
        <v>0.04665073802</v>
      </c>
      <c r="AW42" s="897">
        <f t="shared" si="133"/>
        <v>0.04609333851</v>
      </c>
      <c r="AX42" s="897">
        <f t="shared" si="133"/>
        <v>0.04532093152</v>
      </c>
      <c r="AY42" s="897">
        <f t="shared" si="133"/>
        <v>0.04420733086</v>
      </c>
      <c r="AZ42" s="897">
        <f t="shared" si="133"/>
        <v>0.04251862198</v>
      </c>
      <c r="BA42" s="897">
        <f t="shared" si="133"/>
        <v>0.03978129826</v>
      </c>
      <c r="BB42" s="897">
        <f t="shared" si="133"/>
        <v>0.0349168648</v>
      </c>
      <c r="BC42" s="896">
        <f t="shared" si="133"/>
        <v>0.02502257677</v>
      </c>
      <c r="BD42" s="1"/>
    </row>
    <row r="43" ht="12.75" customHeight="1">
      <c r="A43" s="1"/>
      <c r="B43" s="924" t="s">
        <v>530</v>
      </c>
      <c r="C43" s="925"/>
      <c r="D43" s="926">
        <f t="shared" si="129"/>
        <v>160</v>
      </c>
      <c r="E43" s="924" t="s">
        <v>531</v>
      </c>
      <c r="F43" s="927"/>
      <c r="G43" s="927"/>
      <c r="H43" s="920">
        <v>160.0</v>
      </c>
      <c r="I43" s="1"/>
      <c r="J43" s="928" t="s">
        <v>532</v>
      </c>
      <c r="K43" s="927"/>
      <c r="L43" s="929">
        <v>0.01</v>
      </c>
      <c r="M43" s="1"/>
      <c r="N43" s="1"/>
      <c r="O43" s="1"/>
      <c r="P43" s="1"/>
      <c r="Q43" s="1"/>
      <c r="R43" s="1"/>
      <c r="S43" s="1"/>
      <c r="T43" s="875" t="s">
        <v>496</v>
      </c>
      <c r="U43" s="910" t="str">
        <f>ROUNDUP(LOG((1-$B$1),(1-SUM(OFFSET(U35,0,0,$B$32-$E$31)))),0)</f>
        <v>#DIV/0!</v>
      </c>
      <c r="V43" s="910" t="str">
        <f>ROUNDUP(LOG((1-$B$1),(1-SUM(OFFSET(V35,0,0,$B$32-$E$32)))),0)</f>
        <v>#DIV/0!</v>
      </c>
      <c r="W43" s="910" t="str">
        <f>ROUNDUP(LOG((1-$B$1),(1-SUM(OFFSET(W35,0,0,$B$32-$E$33)))),0)</f>
        <v>#DIV/0!</v>
      </c>
      <c r="X43" s="910" t="str">
        <f>ROUNDUP(LOG((1-$B$1),(1-SUM(OFFSET(X35,0,0,$B$32-$E$34)))),0)</f>
        <v>#VALUE!</v>
      </c>
      <c r="Y43" s="910" t="str">
        <f>ROUNDUP(LOG((1-$B$1),(1-SUM(OFFSET(Y35,0,0,$B$32-$E$35)))),0)</f>
        <v>#VALUE!</v>
      </c>
      <c r="Z43" s="910" t="str">
        <f>ROUNDUP(LOG((1-$B$1),(1-SUM(OFFSET(Z35,0,0,$B$32-$E$36)))),0)</f>
        <v>#VALUE!</v>
      </c>
      <c r="AA43" s="910" t="str">
        <f>ROUNDUP(LOG((1-$B$1),(1-SUM(OFFSET(AA35,0,0,$B$32-$E$37)))),0)</f>
        <v>#VALUE!</v>
      </c>
      <c r="AB43" s="911" t="str">
        <f>ROUNDUP(LOG((1-$B$1),(1-SUM(OFFSET(AB35,0,0,$B$32-$E$38)))),0)</f>
        <v>#VALUE!</v>
      </c>
      <c r="AC43" s="875" t="s">
        <v>496</v>
      </c>
      <c r="AD43" s="910" t="str">
        <f>ROUNDUP(LOG((1-$B$1),(1-SUM(OFFSET(AD35,0,0,$B$32-$E$31)))),0)</f>
        <v>#DIV/0!</v>
      </c>
      <c r="AE43" s="910" t="str">
        <f>ROUNDUP(LOG((1-$B$1),(1-SUM(OFFSET(AE35,0,0,$B$32-$E$32)))),0)</f>
        <v>#DIV/0!</v>
      </c>
      <c r="AF43" s="910" t="str">
        <f>ROUNDUP(LOG((1-$B$1),(1-SUM(OFFSET(AF35,0,0,$B$32-$E$33)))),0)</f>
        <v>#DIV/0!</v>
      </c>
      <c r="AG43" s="910" t="str">
        <f>ROUNDUP(LOG((1-$B$1),(1-SUM(OFFSET(AG35,0,0,$B$32-$E$34)))),0)</f>
        <v>#VALUE!</v>
      </c>
      <c r="AH43" s="910" t="str">
        <f>ROUNDUP(LOG((1-$B$1),(1-SUM(OFFSET(AH35,0,0,$B$32-$E$35)))),0)</f>
        <v>#VALUE!</v>
      </c>
      <c r="AI43" s="910" t="str">
        <f>ROUNDUP(LOG((1-$B$1),(1-SUM(OFFSET(AI35,0,0,$B$32-$E$36)))),0)</f>
        <v>#VALUE!</v>
      </c>
      <c r="AJ43" s="910" t="str">
        <f>ROUNDUP(LOG((1-$B$1),(1-SUM(OFFSET(AJ35,0,0,$B$32-$E$37)))),0)</f>
        <v>#VALUE!</v>
      </c>
      <c r="AK43" s="911" t="str">
        <f>ROUNDUP(LOG((1-$B$1),(1-SUM(OFFSET(AK35,0,0,$B$32-$E$38)))),0)</f>
        <v>#VALUE!</v>
      </c>
      <c r="AL43" s="875" t="s">
        <v>496</v>
      </c>
      <c r="AM43" s="910">
        <f>ROUNDUP(LOG((1-$B$1),(1-SUM(OFFSET(AM35,0,0,$B$32-$E$31)))),0)</f>
        <v>110</v>
      </c>
      <c r="AN43" s="910">
        <f>ROUNDUP(LOG((1-$B$1),(1-SUM(OFFSET(AN35,0,0,$B$32-$E$32)))),0)</f>
        <v>179</v>
      </c>
      <c r="AO43" s="910">
        <f>ROUNDUP(LOG((1-$B$1),(1-SUM(OFFSET(AO35,0,0,$B$32-$E$33)))),0)</f>
        <v>398</v>
      </c>
      <c r="AP43" s="910" t="str">
        <f>ROUNDUP(LOG((1-$B$1),(1-SUM(OFFSET(AP35,0,0,$B$32-$E$34)))),0)</f>
        <v>#VALUE!</v>
      </c>
      <c r="AQ43" s="910" t="str">
        <f>ROUNDUP(LOG((1-$B$1),(1-SUM(OFFSET(AQ35,0,0,$B$32-$E$35)))),0)</f>
        <v>#VALUE!</v>
      </c>
      <c r="AR43" s="910" t="str">
        <f>ROUNDUP(LOG((1-$B$1),(1-SUM(OFFSET(AR35,0,0,$B$32-$E$36)))),0)</f>
        <v>#VALUE!</v>
      </c>
      <c r="AS43" s="910" t="str">
        <f>ROUNDUP(LOG((1-$B$1),(1-SUM(OFFSET(AS35,0,0,$B$32-$E$37)))),0)</f>
        <v>#VALUE!</v>
      </c>
      <c r="AT43" s="911" t="str">
        <f>ROUNDUP(LOG((1-$B$1),(1-SUM(OFFSET(AT35,0,0,$B$32-$E$38)))),0)</f>
        <v>#VALUE!</v>
      </c>
      <c r="AU43" s="875" t="s">
        <v>496</v>
      </c>
      <c r="AV43" s="910">
        <f>ROUNDUP(LOG((1-$B$1),(1-SUM(OFFSET(AV35,0,0,$B$32-$E$31)))),0)</f>
        <v>11</v>
      </c>
      <c r="AW43" s="910">
        <f>ROUNDUP(LOG((1-$B$1),(1-SUM(OFFSET(AW35,0,0,$B$32-$E$32)))),0)</f>
        <v>17</v>
      </c>
      <c r="AX43" s="910">
        <f>ROUNDUP(LOG((1-$B$1),(1-SUM(OFFSET(AX35,0,0,$B$32-$E$33)))),0)</f>
        <v>35</v>
      </c>
      <c r="AY43" s="910" t="str">
        <f>ROUNDUP(LOG((1-$B$1),(1-SUM(OFFSET(AY35,0,0,$B$32-$E$34)))),0)</f>
        <v>#VALUE!</v>
      </c>
      <c r="AZ43" s="910" t="str">
        <f>ROUNDUP(LOG((1-$B$1),(1-SUM(OFFSET(AZ35,0,0,$B$32-$E$35)))),0)</f>
        <v>#VALUE!</v>
      </c>
      <c r="BA43" s="910" t="str">
        <f>ROUNDUP(LOG((1-$B$1),(1-SUM(OFFSET(BA35,0,0,$B$32-$E$36)))),0)</f>
        <v>#VALUE!</v>
      </c>
      <c r="BB43" s="910" t="str">
        <f>ROUNDUP(LOG((1-$B$1),(1-SUM(OFFSET(BB35,0,0,$B$32-$E$37)))),0)</f>
        <v>#VALUE!</v>
      </c>
      <c r="BC43" s="911" t="str">
        <f>ROUNDUP(LOG((1-$B$1),(1-SUM(OFFSET(BC35,0,0,$B$32-$E$38)))),0)</f>
        <v>#VALUE!</v>
      </c>
      <c r="BD43" s="1"/>
    </row>
    <row r="44" ht="12.75" customHeight="1">
      <c r="A44" s="1"/>
      <c r="B44" s="924" t="s">
        <v>533</v>
      </c>
      <c r="C44" s="925"/>
      <c r="D44" s="926">
        <f t="shared" si="129"/>
        <v>500</v>
      </c>
      <c r="E44" s="924" t="s">
        <v>534</v>
      </c>
      <c r="F44" s="927"/>
      <c r="G44" s="927"/>
      <c r="H44" s="920">
        <v>500.0</v>
      </c>
      <c r="I44" s="1"/>
      <c r="J44" s="928" t="s">
        <v>535</v>
      </c>
      <c r="K44" s="927"/>
      <c r="L44" s="929">
        <v>0.003</v>
      </c>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row>
    <row r="45" ht="12.75" customHeight="1">
      <c r="A45" s="1"/>
      <c r="B45" s="924" t="s">
        <v>536</v>
      </c>
      <c r="C45" s="925"/>
      <c r="D45" s="926">
        <f t="shared" si="129"/>
        <v>1000</v>
      </c>
      <c r="E45" s="924" t="s">
        <v>537</v>
      </c>
      <c r="F45" s="927"/>
      <c r="G45" s="927"/>
      <c r="H45" s="920">
        <v>1000.0</v>
      </c>
      <c r="I45" s="1"/>
      <c r="J45" s="1"/>
      <c r="K45" s="1"/>
      <c r="L45" s="1"/>
      <c r="M45" s="1"/>
      <c r="N45" s="1"/>
      <c r="O45" s="1"/>
      <c r="P45" s="1"/>
      <c r="Q45" s="1"/>
      <c r="R45" s="1"/>
      <c r="S45" s="1"/>
      <c r="T45" s="930" t="s">
        <v>538</v>
      </c>
      <c r="U45" s="931" t="s">
        <v>539</v>
      </c>
      <c r="V45" s="29"/>
      <c r="W45" s="29"/>
      <c r="X45" s="30"/>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row>
    <row r="46" ht="12.75" customHeight="1">
      <c r="A46" s="1"/>
      <c r="B46" s="924" t="s">
        <v>540</v>
      </c>
      <c r="C46" s="925"/>
      <c r="D46" s="926">
        <f t="shared" si="129"/>
        <v>1600</v>
      </c>
      <c r="E46" s="924" t="s">
        <v>541</v>
      </c>
      <c r="F46" s="927"/>
      <c r="G46" s="927"/>
      <c r="H46" s="920">
        <v>1600.0</v>
      </c>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row>
    <row r="47" ht="12.75" customHeight="1">
      <c r="A47" s="1"/>
      <c r="B47" s="924" t="s">
        <v>542</v>
      </c>
      <c r="C47" s="925"/>
      <c r="D47" s="926">
        <f t="shared" si="129"/>
        <v>2250</v>
      </c>
      <c r="E47" s="924" t="s">
        <v>543</v>
      </c>
      <c r="F47" s="927"/>
      <c r="G47" s="927"/>
      <c r="H47" s="920">
        <v>2250.0</v>
      </c>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row>
    <row r="48" ht="12.75" customHeight="1">
      <c r="A48" s="1"/>
      <c r="B48" s="924" t="s">
        <v>544</v>
      </c>
      <c r="C48" s="925"/>
      <c r="D48" s="926">
        <f t="shared" si="129"/>
        <v>3000</v>
      </c>
      <c r="E48" s="924" t="s">
        <v>545</v>
      </c>
      <c r="F48" s="927"/>
      <c r="G48" s="927"/>
      <c r="H48" s="920">
        <v>3000.0</v>
      </c>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row>
  </sheetData>
  <mergeCells count="24">
    <mergeCell ref="L1:M1"/>
    <mergeCell ref="O1:P3"/>
    <mergeCell ref="T1:AD3"/>
    <mergeCell ref="L2:L3"/>
    <mergeCell ref="M2:M3"/>
    <mergeCell ref="F2:F3"/>
    <mergeCell ref="G2:G3"/>
    <mergeCell ref="A13:B13"/>
    <mergeCell ref="A22:B22"/>
    <mergeCell ref="A31:B31"/>
    <mergeCell ref="H2:H3"/>
    <mergeCell ref="I2:I3"/>
    <mergeCell ref="J2:J3"/>
    <mergeCell ref="K2:K3"/>
    <mergeCell ref="O29:R38"/>
    <mergeCell ref="U45:X45"/>
    <mergeCell ref="A1:A2"/>
    <mergeCell ref="B1:B2"/>
    <mergeCell ref="D1:D3"/>
    <mergeCell ref="E1:E3"/>
    <mergeCell ref="F1:G1"/>
    <mergeCell ref="H1:I1"/>
    <mergeCell ref="J1:K1"/>
    <mergeCell ref="A4:B4"/>
  </mergeCells>
  <conditionalFormatting sqref="B6 B15 B24 B33:B34 B38">
    <cfRule type="expression" dxfId="4" priority="1">
      <formula>NOT(ISFORMULA(B6))</formula>
    </cfRule>
  </conditionalFormatting>
  <dataValidations>
    <dataValidation type="list" allowBlank="1" showErrorMessage="1" sqref="B7 B16 B25 B35">
      <formula1>"Epic,Legendary,Mythic,Ancestral"</formula1>
    </dataValidation>
  </dataValidations>
  <hyperlinks>
    <hyperlink r:id="rId1" location="gid=709300081" ref="U45"/>
  </hyperlinks>
  <printOptions/>
  <pageMargins bottom="1.025" footer="0.0" header="0.0" left="0.7875" right="0.7875" top="1.025"/>
  <pageSetup paperSize="9" orientation="portrait"/>
  <headerFooter>
    <oddHeader>&amp;C&amp;A</oddHeader>
    <oddFooter>&amp;CPage &amp;P</oddFooter>
  </headerFooter>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7.71"/>
    <col customWidth="1" min="3" max="3" width="17.43"/>
    <col customWidth="1" min="4" max="4" width="7.14"/>
    <col customWidth="1" min="5" max="5" width="7.57"/>
    <col customWidth="1" min="6" max="6" width="7.29"/>
    <col customWidth="1" min="7" max="7" width="27.71"/>
    <col customWidth="1" min="8" max="8" width="17.43"/>
    <col customWidth="1" min="9" max="9" width="7.14"/>
    <col customWidth="1" min="10" max="10" width="7.57"/>
    <col customWidth="1" min="11" max="11" width="7.29"/>
    <col customWidth="1" min="12" max="12" width="27.71"/>
    <col customWidth="1" min="13" max="13" width="17.43"/>
    <col customWidth="1" min="14" max="14" width="7.14"/>
    <col customWidth="1" min="15" max="15" width="7.57"/>
    <col customWidth="1" min="16" max="16" width="7.29"/>
    <col customWidth="1" min="17" max="17" width="27.71"/>
    <col customWidth="1" min="18" max="18" width="17.43"/>
    <col customWidth="1" min="19" max="19" width="7.14"/>
    <col customWidth="1" min="20" max="21" width="4.86"/>
  </cols>
  <sheetData>
    <row r="1">
      <c r="A1" s="932" t="s">
        <v>546</v>
      </c>
      <c r="B1" s="110"/>
      <c r="C1" s="110"/>
      <c r="D1" s="110"/>
      <c r="E1" s="110"/>
      <c r="F1" s="110"/>
      <c r="G1" s="110"/>
      <c r="H1" s="110"/>
      <c r="I1" s="110"/>
      <c r="J1" s="110"/>
      <c r="K1" s="110"/>
      <c r="L1" s="110"/>
      <c r="M1" s="110"/>
      <c r="N1" s="110"/>
      <c r="O1" s="110"/>
      <c r="P1" s="110"/>
      <c r="Q1" s="110"/>
      <c r="R1" s="110"/>
      <c r="S1" s="110"/>
      <c r="T1" s="110"/>
      <c r="U1" s="110"/>
    </row>
    <row r="2">
      <c r="A2" s="933"/>
      <c r="B2" s="934" t="s">
        <v>246</v>
      </c>
      <c r="C2" s="935" t="b">
        <f>Presets!F2</f>
        <v>0</v>
      </c>
      <c r="D2" s="936">
        <f>Inventory!D8</f>
        <v>0</v>
      </c>
      <c r="E2" s="933"/>
      <c r="F2" s="110"/>
      <c r="G2" s="934" t="s">
        <v>246</v>
      </c>
      <c r="H2" s="935" t="b">
        <f>Presets!F8</f>
        <v>1</v>
      </c>
      <c r="I2" s="936">
        <f>Inventory!D21</f>
        <v>41</v>
      </c>
      <c r="J2" s="933"/>
      <c r="K2" s="110"/>
      <c r="L2" s="934" t="s">
        <v>246</v>
      </c>
      <c r="M2" s="935" t="b">
        <f>Presets!F14</f>
        <v>1</v>
      </c>
      <c r="N2" s="936">
        <f>Inventory!D34</f>
        <v>97</v>
      </c>
      <c r="O2" s="933"/>
      <c r="P2" s="110"/>
      <c r="Q2" s="937" t="s">
        <v>246</v>
      </c>
      <c r="R2" s="938" t="b">
        <f>Presets!F20</f>
        <v>1</v>
      </c>
      <c r="S2" s="939">
        <f>Inventory!D47</f>
        <v>101</v>
      </c>
      <c r="T2" s="110"/>
      <c r="U2" s="110"/>
    </row>
    <row r="3">
      <c r="A3" s="933"/>
      <c r="B3" s="940" t="s">
        <v>251</v>
      </c>
      <c r="C3" s="941" t="str">
        <f>Presets!E3</f>
        <v>Epic</v>
      </c>
      <c r="D3" s="365"/>
      <c r="E3" s="933"/>
      <c r="F3" s="110"/>
      <c r="G3" s="942" t="s">
        <v>251</v>
      </c>
      <c r="H3" s="943" t="str">
        <f>Presets!E9</f>
        <v>Epic</v>
      </c>
      <c r="I3" s="365"/>
      <c r="J3" s="933"/>
      <c r="K3" s="110"/>
      <c r="L3" s="942" t="s">
        <v>251</v>
      </c>
      <c r="M3" s="943" t="str">
        <f>Presets!E15</f>
        <v>Epic</v>
      </c>
      <c r="N3" s="365"/>
      <c r="O3" s="933"/>
      <c r="P3" s="110"/>
      <c r="Q3" s="944" t="s">
        <v>251</v>
      </c>
      <c r="R3" s="945" t="str">
        <f>Presets!E21</f>
        <v>Epic</v>
      </c>
      <c r="S3" s="365"/>
      <c r="T3" s="110"/>
      <c r="U3" s="110"/>
    </row>
    <row r="4">
      <c r="A4" s="933"/>
      <c r="B4" s="940" t="s">
        <v>252</v>
      </c>
      <c r="C4" s="946">
        <f>Presets!E4</f>
        <v>0.01</v>
      </c>
      <c r="D4" s="947" t="str">
        <f>Presets!F4</f>
        <v>00 | 1% | Cost 0 ⧌ | Next 15 ⧌</v>
      </c>
      <c r="E4" s="948"/>
      <c r="F4" s="110"/>
      <c r="G4" s="942" t="s">
        <v>252</v>
      </c>
      <c r="H4" s="949">
        <f>Presets!E10</f>
        <v>0.01</v>
      </c>
      <c r="I4" s="947" t="str">
        <f>Presets!F10</f>
        <v>00 | 1% | Cost 0 ⧌ | Next 15 ⧌</v>
      </c>
      <c r="J4" s="948"/>
      <c r="K4" s="110"/>
      <c r="L4" s="942" t="s">
        <v>252</v>
      </c>
      <c r="M4" s="949">
        <f>Presets!E16</f>
        <v>0.1</v>
      </c>
      <c r="N4" s="947" t="str">
        <f>Presets!F16</f>
        <v>09 | 10% | Cost 39 ⧌ | Next 42 ⧌</v>
      </c>
      <c r="O4" s="948"/>
      <c r="P4" s="110"/>
      <c r="Q4" s="944" t="s">
        <v>252</v>
      </c>
      <c r="R4" s="949">
        <f>Presets!E22</f>
        <v>0.1</v>
      </c>
      <c r="S4" s="950" t="str">
        <f>Presets!F22</f>
        <v>09 | 10% | Cost 39 ⧌ | Next 42 ⧌</v>
      </c>
      <c r="T4" s="110"/>
      <c r="U4" s="110"/>
    </row>
    <row r="5">
      <c r="A5" s="933"/>
      <c r="B5" s="951" t="s">
        <v>255</v>
      </c>
      <c r="C5" s="946">
        <f>Presets!E5</f>
        <v>0.01</v>
      </c>
      <c r="D5" s="950" t="str">
        <f>Presets!F5</f>
        <v>00 | 1% | Cost 0 ⧌ | Next 15 ⧌</v>
      </c>
      <c r="E5" s="110"/>
      <c r="F5" s="110"/>
      <c r="G5" s="944" t="s">
        <v>255</v>
      </c>
      <c r="H5" s="949">
        <f>Presets!E11</f>
        <v>0.1</v>
      </c>
      <c r="I5" s="950" t="str">
        <f>Presets!F11</f>
        <v>09 | 10% | Cost 39 ⧌ | Next 42 ⧌</v>
      </c>
      <c r="J5" s="110"/>
      <c r="K5" s="110"/>
      <c r="L5" s="944" t="s">
        <v>255</v>
      </c>
      <c r="M5" s="949">
        <f>Presets!E17</f>
        <v>0.1</v>
      </c>
      <c r="N5" s="950" t="str">
        <f>Presets!F17</f>
        <v>09 | 10% | Cost 39 ⧌ | Next 42 ⧌</v>
      </c>
      <c r="O5" s="110"/>
      <c r="P5" s="110"/>
      <c r="Q5" s="944" t="s">
        <v>255</v>
      </c>
      <c r="R5" s="949">
        <f>Presets!E23</f>
        <v>0.1</v>
      </c>
      <c r="S5" s="950" t="str">
        <f>Presets!F23</f>
        <v>09 | 10% | Cost 39 ⧌ | Next 42 ⧌</v>
      </c>
      <c r="T5" s="110"/>
      <c r="U5" s="110"/>
    </row>
    <row r="6">
      <c r="A6" s="933"/>
      <c r="B6" s="933"/>
      <c r="C6" s="933"/>
      <c r="D6" s="110"/>
      <c r="E6" s="110">
        <f>Tracker!F26/(COUNTA(DVT_Modules!N4:Q130)*18)</f>
        <v>0.4444444444</v>
      </c>
      <c r="F6" s="110"/>
      <c r="G6" s="933"/>
      <c r="H6" s="933"/>
      <c r="I6" s="110"/>
      <c r="J6" s="110"/>
      <c r="K6" s="110"/>
      <c r="L6" s="933"/>
      <c r="M6" s="933"/>
      <c r="N6" s="110"/>
      <c r="O6" s="110"/>
      <c r="P6" s="110"/>
      <c r="Q6" s="110"/>
      <c r="R6" s="110"/>
      <c r="S6" s="110"/>
      <c r="T6" s="110"/>
      <c r="U6" s="110"/>
    </row>
    <row r="7">
      <c r="A7" s="933"/>
      <c r="B7" s="952" t="s">
        <v>248</v>
      </c>
      <c r="C7" s="953"/>
      <c r="D7" s="954"/>
      <c r="E7" s="110"/>
      <c r="F7" s="110"/>
      <c r="G7" s="952" t="s">
        <v>248</v>
      </c>
      <c r="H7" s="953"/>
      <c r="I7" s="954"/>
      <c r="J7" s="110"/>
      <c r="K7" s="110"/>
      <c r="L7" s="952" t="s">
        <v>248</v>
      </c>
      <c r="M7" s="953"/>
      <c r="N7" s="954"/>
      <c r="O7" s="110"/>
      <c r="P7" s="110"/>
      <c r="Q7" s="955" t="s">
        <v>248</v>
      </c>
      <c r="R7" s="953"/>
      <c r="S7" s="954"/>
      <c r="T7" s="110"/>
      <c r="U7" s="110"/>
    </row>
    <row r="8">
      <c r="A8" s="933"/>
      <c r="B8" s="956" t="s">
        <v>254</v>
      </c>
      <c r="C8" s="957" t="str">
        <f>Presets!J4</f>
        <v>Amplifying Strike</v>
      </c>
      <c r="D8" s="365"/>
      <c r="E8" s="110"/>
      <c r="F8" s="110"/>
      <c r="G8" s="958" t="s">
        <v>254</v>
      </c>
      <c r="H8" s="959" t="str">
        <f>Presets!J10</f>
        <v>Sharp Fortitude</v>
      </c>
      <c r="I8" s="365"/>
      <c r="J8" s="110"/>
      <c r="K8" s="110"/>
      <c r="L8" s="958" t="s">
        <v>254</v>
      </c>
      <c r="M8" s="959" t="str">
        <f>Presets!J16</f>
        <v>Singularity Harness</v>
      </c>
      <c r="N8" s="365"/>
      <c r="O8" s="110"/>
      <c r="P8" s="110"/>
      <c r="Q8" s="960" t="s">
        <v>254</v>
      </c>
      <c r="R8" s="961" t="str">
        <f>Presets!J22</f>
        <v>Primordial Collapse</v>
      </c>
      <c r="S8" s="365"/>
      <c r="T8" s="110"/>
      <c r="U8" s="110"/>
    </row>
    <row r="9">
      <c r="A9" s="933"/>
      <c r="B9" s="962" t="s">
        <v>246</v>
      </c>
      <c r="C9" s="963" t="str">
        <f>Presets!J5</f>
        <v/>
      </c>
      <c r="D9" s="365"/>
      <c r="E9" s="110"/>
      <c r="F9" s="110"/>
      <c r="G9" s="964" t="s">
        <v>246</v>
      </c>
      <c r="H9" s="965" t="str">
        <f>Presets!J11</f>
        <v>Orbital Augment</v>
      </c>
      <c r="I9" s="365"/>
      <c r="J9" s="110"/>
      <c r="K9" s="110"/>
      <c r="L9" s="964" t="s">
        <v>246</v>
      </c>
      <c r="M9" s="959" t="str">
        <f>Presets!J17</f>
        <v>Pulsar Harvester</v>
      </c>
      <c r="N9" s="365"/>
      <c r="O9" s="110"/>
      <c r="P9" s="110"/>
      <c r="Q9" s="966" t="s">
        <v>246</v>
      </c>
      <c r="R9" s="967" t="str">
        <f>Presets!J23</f>
        <v>Dimension Core</v>
      </c>
      <c r="S9" s="365"/>
      <c r="T9" s="110"/>
      <c r="U9" s="110"/>
    </row>
    <row r="10">
      <c r="A10" s="933"/>
      <c r="B10" s="933"/>
      <c r="C10" s="933"/>
      <c r="D10" s="110"/>
      <c r="E10" s="110"/>
      <c r="F10" s="110"/>
      <c r="G10" s="933"/>
      <c r="H10" s="933"/>
      <c r="I10" s="110"/>
      <c r="J10" s="110"/>
      <c r="K10" s="110"/>
      <c r="L10" s="933"/>
      <c r="M10" s="933"/>
      <c r="N10" s="110"/>
      <c r="O10" s="110"/>
      <c r="P10" s="110"/>
      <c r="Q10" s="110"/>
      <c r="R10" s="110"/>
      <c r="S10" s="110"/>
      <c r="T10" s="110"/>
      <c r="U10" s="110"/>
    </row>
    <row r="11">
      <c r="A11" s="933"/>
      <c r="B11" s="952" t="s">
        <v>249</v>
      </c>
      <c r="C11" s="953"/>
      <c r="D11" s="954"/>
      <c r="E11" s="110"/>
      <c r="F11" s="110"/>
      <c r="G11" s="952" t="s">
        <v>249</v>
      </c>
      <c r="H11" s="953"/>
      <c r="I11" s="954"/>
      <c r="J11" s="110"/>
      <c r="K11" s="110"/>
      <c r="L11" s="952" t="s">
        <v>249</v>
      </c>
      <c r="M11" s="953"/>
      <c r="N11" s="954"/>
      <c r="O11" s="110"/>
      <c r="P11" s="110"/>
      <c r="Q11" s="955" t="s">
        <v>249</v>
      </c>
      <c r="R11" s="953"/>
      <c r="S11" s="954"/>
      <c r="T11" s="110"/>
      <c r="U11" s="110"/>
    </row>
    <row r="12">
      <c r="A12" s="933"/>
      <c r="B12" s="956" t="s">
        <v>254</v>
      </c>
      <c r="C12" s="959" t="str">
        <f>Presets!M4</f>
        <v>Amplifying Strike</v>
      </c>
      <c r="D12" s="365"/>
      <c r="E12" s="110"/>
      <c r="F12" s="110"/>
      <c r="G12" s="958" t="s">
        <v>254</v>
      </c>
      <c r="H12" s="959" t="str">
        <f>Presets!M10</f>
        <v>Sharp Fortitude</v>
      </c>
      <c r="I12" s="365"/>
      <c r="J12" s="110"/>
      <c r="K12" s="110"/>
      <c r="L12" s="958" t="s">
        <v>254</v>
      </c>
      <c r="M12" s="959" t="str">
        <f>Presets!M16</f>
        <v>Project Funding</v>
      </c>
      <c r="N12" s="365"/>
      <c r="O12" s="110"/>
      <c r="P12" s="110"/>
      <c r="Q12" s="960" t="s">
        <v>254</v>
      </c>
      <c r="R12" s="961" t="str">
        <f>Presets!M22</f>
        <v>Primordial Collapse</v>
      </c>
      <c r="S12" s="365"/>
      <c r="T12" s="110"/>
      <c r="U12" s="110"/>
    </row>
    <row r="13">
      <c r="A13" s="933"/>
      <c r="B13" s="962" t="s">
        <v>246</v>
      </c>
      <c r="C13" s="959" t="str">
        <f>Presets!M5</f>
        <v/>
      </c>
      <c r="D13" s="365"/>
      <c r="E13" s="110"/>
      <c r="F13" s="110"/>
      <c r="G13" s="964" t="s">
        <v>246</v>
      </c>
      <c r="H13" s="965" t="str">
        <f>Presets!M11</f>
        <v>Anti-Cube Portal</v>
      </c>
      <c r="I13" s="365"/>
      <c r="J13" s="110"/>
      <c r="K13" s="110"/>
      <c r="L13" s="964" t="s">
        <v>246</v>
      </c>
      <c r="M13" s="965" t="str">
        <f>Presets!M17</f>
        <v>Galaxy Compressor</v>
      </c>
      <c r="N13" s="365"/>
      <c r="O13" s="110"/>
      <c r="P13" s="110"/>
      <c r="Q13" s="966" t="s">
        <v>246</v>
      </c>
      <c r="R13" s="961" t="str">
        <f>Presets!M23</f>
        <v>Dimension Core</v>
      </c>
      <c r="S13" s="365"/>
      <c r="T13" s="110"/>
      <c r="U13" s="110"/>
    </row>
    <row r="14">
      <c r="A14" s="933"/>
      <c r="B14" s="110"/>
      <c r="C14" s="110"/>
      <c r="D14" s="110"/>
      <c r="E14" s="110"/>
      <c r="F14" s="110"/>
      <c r="G14" s="110"/>
      <c r="H14" s="110"/>
      <c r="I14" s="110"/>
      <c r="J14" s="110"/>
      <c r="K14" s="110"/>
      <c r="L14" s="110"/>
      <c r="M14" s="110"/>
      <c r="N14" s="110"/>
      <c r="O14" s="110"/>
      <c r="P14" s="110"/>
      <c r="Q14" s="110"/>
      <c r="R14" s="110"/>
      <c r="S14" s="110"/>
      <c r="T14" s="110"/>
      <c r="U14" s="110"/>
    </row>
    <row r="15">
      <c r="A15" s="933"/>
      <c r="B15" s="952" t="s">
        <v>250</v>
      </c>
      <c r="C15" s="953"/>
      <c r="D15" s="954"/>
      <c r="E15" s="933"/>
      <c r="F15" s="110"/>
      <c r="G15" s="952" t="s">
        <v>250</v>
      </c>
      <c r="H15" s="953"/>
      <c r="I15" s="954"/>
      <c r="J15" s="933"/>
      <c r="K15" s="110"/>
      <c r="L15" s="952" t="s">
        <v>250</v>
      </c>
      <c r="M15" s="953"/>
      <c r="N15" s="954"/>
      <c r="O15" s="933"/>
      <c r="P15" s="110"/>
      <c r="Q15" s="955" t="s">
        <v>250</v>
      </c>
      <c r="R15" s="953"/>
      <c r="S15" s="954"/>
      <c r="T15" s="110"/>
      <c r="U15" s="110"/>
    </row>
    <row r="16">
      <c r="A16" s="933"/>
      <c r="B16" s="956" t="s">
        <v>254</v>
      </c>
      <c r="C16" s="959" t="str">
        <f>Presets!P4</f>
        <v>Being Annihilator</v>
      </c>
      <c r="D16" s="365"/>
      <c r="E16" s="933"/>
      <c r="F16" s="110"/>
      <c r="G16" s="958" t="s">
        <v>254</v>
      </c>
      <c r="H16" s="959" t="str">
        <f>Presets!P10</f>
        <v>Sharp Fortitude</v>
      </c>
      <c r="I16" s="365"/>
      <c r="J16" s="933"/>
      <c r="K16" s="110"/>
      <c r="L16" s="958" t="s">
        <v>254</v>
      </c>
      <c r="M16" s="959" t="str">
        <f>Presets!P16</f>
        <v>Galaxy Compressor</v>
      </c>
      <c r="N16" s="365"/>
      <c r="O16" s="933"/>
      <c r="P16" s="110"/>
      <c r="Q16" s="960" t="s">
        <v>254</v>
      </c>
      <c r="R16" s="967" t="str">
        <f>Presets!P22</f>
        <v>Dimension Core</v>
      </c>
      <c r="S16" s="365"/>
      <c r="T16" s="110"/>
      <c r="U16" s="110"/>
    </row>
    <row r="17">
      <c r="A17" s="933"/>
      <c r="B17" s="962" t="s">
        <v>246</v>
      </c>
      <c r="C17" s="965" t="str">
        <f>Presets!P5</f>
        <v/>
      </c>
      <c r="D17" s="365"/>
      <c r="E17" s="948"/>
      <c r="F17" s="110"/>
      <c r="G17" s="964" t="s">
        <v>246</v>
      </c>
      <c r="H17" s="965" t="str">
        <f>Presets!P11</f>
        <v/>
      </c>
      <c r="I17" s="365"/>
      <c r="J17" s="948"/>
      <c r="K17" s="110"/>
      <c r="L17" s="964" t="s">
        <v>246</v>
      </c>
      <c r="M17" s="965" t="str">
        <f>Presets!P17</f>
        <v>Restorative Bonus</v>
      </c>
      <c r="N17" s="365"/>
      <c r="O17" s="948"/>
      <c r="P17" s="110"/>
      <c r="Q17" s="966" t="s">
        <v>246</v>
      </c>
      <c r="R17" s="967" t="str">
        <f>Presets!P23</f>
        <v>Om Chip</v>
      </c>
      <c r="S17" s="365"/>
      <c r="T17" s="110"/>
      <c r="U17" s="110"/>
    </row>
    <row r="18">
      <c r="A18" s="933"/>
      <c r="B18" s="110"/>
      <c r="C18" s="110"/>
      <c r="D18" s="110"/>
      <c r="E18" s="110"/>
      <c r="F18" s="110"/>
      <c r="G18" s="110"/>
      <c r="H18" s="110"/>
      <c r="I18" s="110"/>
      <c r="J18" s="110"/>
      <c r="K18" s="110"/>
      <c r="L18" s="110"/>
      <c r="M18" s="110"/>
      <c r="N18" s="110"/>
      <c r="O18" s="110"/>
      <c r="P18" s="110"/>
      <c r="Q18" s="110"/>
      <c r="R18" s="110"/>
      <c r="S18" s="110"/>
      <c r="T18" s="110"/>
      <c r="U18" s="110"/>
    </row>
    <row r="19">
      <c r="A19" s="933"/>
      <c r="B19" s="952" t="s">
        <v>547</v>
      </c>
      <c r="C19" s="953"/>
      <c r="D19" s="954"/>
      <c r="E19" s="110"/>
      <c r="F19" s="110"/>
      <c r="G19" s="952" t="s">
        <v>547</v>
      </c>
      <c r="H19" s="953"/>
      <c r="I19" s="954"/>
      <c r="J19" s="110"/>
      <c r="K19" s="110"/>
      <c r="L19" s="952" t="s">
        <v>547</v>
      </c>
      <c r="M19" s="953"/>
      <c r="N19" s="954"/>
      <c r="O19" s="110"/>
      <c r="P19" s="110"/>
      <c r="Q19" s="955" t="s">
        <v>547</v>
      </c>
      <c r="R19" s="953"/>
      <c r="S19" s="954"/>
      <c r="T19" s="110"/>
      <c r="U19" s="110"/>
    </row>
    <row r="20">
      <c r="A20" s="933"/>
      <c r="B20" s="968"/>
      <c r="C20" s="963"/>
      <c r="D20" s="365"/>
      <c r="E20" s="110"/>
      <c r="F20" s="110"/>
      <c r="G20" s="968"/>
      <c r="H20" s="963"/>
      <c r="I20" s="365"/>
      <c r="J20" s="110"/>
      <c r="K20" s="110"/>
      <c r="L20" s="968"/>
      <c r="M20" s="963"/>
      <c r="N20" s="365"/>
      <c r="O20" s="110"/>
      <c r="P20" s="110"/>
      <c r="Q20" s="969"/>
      <c r="R20" s="970"/>
      <c r="S20" s="365"/>
      <c r="T20" s="110"/>
      <c r="U20" s="110"/>
    </row>
    <row r="21">
      <c r="A21" s="933"/>
      <c r="B21" s="971"/>
      <c r="C21" s="972"/>
      <c r="D21" s="30"/>
      <c r="E21" s="110"/>
      <c r="F21" s="110"/>
      <c r="G21" s="971"/>
      <c r="H21" s="972"/>
      <c r="I21" s="30"/>
      <c r="J21" s="110"/>
      <c r="K21" s="110"/>
      <c r="L21" s="971"/>
      <c r="M21" s="972"/>
      <c r="N21" s="30"/>
      <c r="O21" s="110"/>
      <c r="P21" s="110"/>
      <c r="Q21" s="973"/>
      <c r="R21" s="974"/>
      <c r="S21" s="30"/>
      <c r="T21" s="110"/>
      <c r="U21" s="110"/>
    </row>
    <row r="22">
      <c r="A22" s="933"/>
      <c r="B22" s="933"/>
      <c r="C22" s="933"/>
      <c r="D22" s="110"/>
      <c r="E22" s="110"/>
      <c r="F22" s="110"/>
      <c r="G22" s="933"/>
      <c r="H22" s="933"/>
      <c r="I22" s="110"/>
      <c r="J22" s="110"/>
      <c r="K22" s="110"/>
      <c r="L22" s="933"/>
      <c r="M22" s="933"/>
      <c r="N22" s="110"/>
      <c r="O22" s="110"/>
      <c r="P22" s="110"/>
      <c r="Q22" s="110"/>
      <c r="R22" s="110"/>
      <c r="S22" s="110"/>
      <c r="T22" s="110"/>
      <c r="U22" s="110"/>
    </row>
    <row r="23">
      <c r="A23" s="933"/>
      <c r="B23" s="952" t="s">
        <v>548</v>
      </c>
      <c r="C23" s="953"/>
      <c r="D23" s="954"/>
      <c r="E23" s="110"/>
      <c r="F23" s="110"/>
      <c r="G23" s="952" t="s">
        <v>548</v>
      </c>
      <c r="H23" s="953"/>
      <c r="I23" s="954"/>
      <c r="J23" s="110"/>
      <c r="K23" s="110"/>
      <c r="L23" s="952" t="s">
        <v>548</v>
      </c>
      <c r="M23" s="953"/>
      <c r="N23" s="954"/>
      <c r="O23" s="110"/>
      <c r="P23" s="110"/>
      <c r="Q23" s="955" t="s">
        <v>548</v>
      </c>
      <c r="R23" s="953"/>
      <c r="S23" s="954"/>
      <c r="T23" s="110"/>
      <c r="U23" s="110"/>
    </row>
    <row r="24">
      <c r="A24" s="933"/>
      <c r="B24" s="968"/>
      <c r="C24" s="963"/>
      <c r="D24" s="365"/>
      <c r="E24" s="110"/>
      <c r="F24" s="110"/>
      <c r="G24" s="968"/>
      <c r="H24" s="963"/>
      <c r="I24" s="365"/>
      <c r="J24" s="110"/>
      <c r="K24" s="110"/>
      <c r="L24" s="968"/>
      <c r="M24" s="963"/>
      <c r="N24" s="365"/>
      <c r="O24" s="110"/>
      <c r="P24" s="110"/>
      <c r="Q24" s="969"/>
      <c r="R24" s="970"/>
      <c r="S24" s="365"/>
      <c r="T24" s="110"/>
      <c r="U24" s="110"/>
    </row>
    <row r="25">
      <c r="A25" s="933"/>
      <c r="B25" s="971"/>
      <c r="C25" s="972"/>
      <c r="D25" s="30"/>
      <c r="E25" s="110"/>
      <c r="F25" s="110"/>
      <c r="G25" s="971"/>
      <c r="H25" s="972"/>
      <c r="I25" s="30"/>
      <c r="J25" s="110"/>
      <c r="K25" s="110"/>
      <c r="L25" s="971"/>
      <c r="M25" s="972"/>
      <c r="N25" s="30"/>
      <c r="O25" s="110"/>
      <c r="P25" s="110"/>
      <c r="Q25" s="973"/>
      <c r="R25" s="974"/>
      <c r="S25" s="30"/>
      <c r="T25" s="110"/>
      <c r="U25" s="110"/>
    </row>
    <row r="26">
      <c r="A26" s="933"/>
      <c r="B26" s="933"/>
      <c r="C26" s="933"/>
      <c r="D26" s="110"/>
      <c r="E26" s="110"/>
      <c r="F26" s="110"/>
      <c r="G26" s="933"/>
      <c r="H26" s="933"/>
      <c r="I26" s="110"/>
      <c r="J26" s="110"/>
      <c r="K26" s="110"/>
      <c r="L26" s="933"/>
      <c r="M26" s="933"/>
      <c r="N26" s="110"/>
      <c r="O26" s="110"/>
      <c r="P26" s="110"/>
      <c r="Q26" s="110"/>
      <c r="R26" s="110"/>
      <c r="S26" s="110"/>
      <c r="T26" s="110"/>
      <c r="U26" s="110"/>
    </row>
    <row r="27">
      <c r="A27" s="933"/>
      <c r="B27" s="975" t="str">
        <f t="array" ref="B27:E38">Inventory!F3:I14</f>
        <v>Astral Deliverance</v>
      </c>
      <c r="C27" s="120"/>
      <c r="D27" s="121"/>
      <c r="E27" s="110"/>
      <c r="F27" s="110"/>
      <c r="G27" s="976" t="str">
        <f t="array" ref="G27:J38">Inventory!F16:I27</f>
        <v>Anti-Cube Portal</v>
      </c>
      <c r="H27" s="120"/>
      <c r="I27" s="121"/>
      <c r="J27" s="110"/>
      <c r="K27" s="110"/>
      <c r="L27" s="977" t="str">
        <f t="array" ref="L27:O38">Inventory!F29:I40</f>
        <v>Black Hole Digestor</v>
      </c>
      <c r="M27" s="120"/>
      <c r="N27" s="121"/>
      <c r="O27" s="110"/>
      <c r="P27" s="110"/>
      <c r="Q27" s="803" t="str">
        <f t="array" ref="Q27:T38">Inventory!F42:I53</f>
        <v>Multiverse Nexus</v>
      </c>
      <c r="R27" s="120"/>
      <c r="S27" s="121"/>
      <c r="T27" s="110"/>
      <c r="U27" s="110"/>
    </row>
    <row r="28">
      <c r="A28" s="933"/>
      <c r="B28" s="125" t="s">
        <v>170</v>
      </c>
      <c r="C28" s="125" t="s">
        <v>134</v>
      </c>
      <c r="D28" s="126" t="s">
        <v>171</v>
      </c>
      <c r="E28" s="933"/>
      <c r="F28" s="110"/>
      <c r="G28" s="166" t="s">
        <v>170</v>
      </c>
      <c r="H28" s="166" t="s">
        <v>134</v>
      </c>
      <c r="I28" s="167" t="s">
        <v>171</v>
      </c>
      <c r="J28" s="933"/>
      <c r="K28" s="110"/>
      <c r="L28" s="185" t="s">
        <v>170</v>
      </c>
      <c r="M28" s="185" t="s">
        <v>134</v>
      </c>
      <c r="N28" s="186" t="s">
        <v>171</v>
      </c>
      <c r="O28" s="933"/>
      <c r="P28" s="110"/>
      <c r="Q28" s="978" t="s">
        <v>170</v>
      </c>
      <c r="R28" s="979" t="s">
        <v>134</v>
      </c>
      <c r="S28" s="980" t="s">
        <v>171</v>
      </c>
      <c r="T28" s="110"/>
      <c r="U28" s="110"/>
    </row>
    <row r="29">
      <c r="A29" s="933"/>
      <c r="B29" s="981" t="s">
        <v>173</v>
      </c>
      <c r="C29" s="982">
        <v>160.0</v>
      </c>
      <c r="D29" s="131">
        <v>8.19</v>
      </c>
      <c r="E29" s="933"/>
      <c r="F29" s="110"/>
      <c r="G29" s="983" t="s">
        <v>173</v>
      </c>
      <c r="H29" s="984">
        <v>160.0</v>
      </c>
      <c r="I29" s="173">
        <v>8.19</v>
      </c>
      <c r="J29" s="933"/>
      <c r="K29" s="110"/>
      <c r="L29" s="985" t="s">
        <v>175</v>
      </c>
      <c r="M29" s="986">
        <v>100.0</v>
      </c>
      <c r="N29" s="192">
        <v>1.275</v>
      </c>
      <c r="O29" s="933"/>
      <c r="P29" s="110"/>
      <c r="Q29" s="987" t="s">
        <v>195</v>
      </c>
      <c r="R29" s="988">
        <v>159.0</v>
      </c>
      <c r="S29" s="211">
        <v>11.692</v>
      </c>
      <c r="T29" s="110"/>
      <c r="U29" s="110"/>
    </row>
    <row r="30">
      <c r="A30" s="933"/>
      <c r="B30" s="989"/>
      <c r="C30" s="29"/>
      <c r="D30" s="136"/>
      <c r="E30" s="948"/>
      <c r="F30" s="110"/>
      <c r="G30" s="990"/>
      <c r="H30" s="29"/>
      <c r="I30" s="136"/>
      <c r="J30" s="948"/>
      <c r="K30" s="110"/>
      <c r="L30" s="991"/>
      <c r="M30" s="29"/>
      <c r="N30" s="136"/>
      <c r="O30" s="948"/>
      <c r="P30" s="110"/>
      <c r="Q30" s="992"/>
      <c r="R30" s="29"/>
      <c r="S30" s="136"/>
      <c r="T30" s="110"/>
      <c r="U30" s="110"/>
    </row>
    <row r="31">
      <c r="A31" s="933"/>
      <c r="B31" s="993"/>
      <c r="C31" s="994"/>
      <c r="D31" s="995"/>
      <c r="E31" s="996" t="s">
        <v>549</v>
      </c>
      <c r="F31" s="997"/>
      <c r="G31" s="998" t="s">
        <v>197</v>
      </c>
      <c r="H31" s="994" t="s">
        <v>175</v>
      </c>
      <c r="I31" s="995" t="s">
        <v>550</v>
      </c>
      <c r="J31" s="996">
        <v>1.5</v>
      </c>
      <c r="K31" s="997"/>
      <c r="L31" s="999" t="s">
        <v>213</v>
      </c>
      <c r="M31" s="994" t="s">
        <v>175</v>
      </c>
      <c r="N31" s="995" t="s">
        <v>551</v>
      </c>
      <c r="O31" s="996">
        <v>0.4</v>
      </c>
      <c r="P31" s="110"/>
      <c r="Q31" s="1000" t="s">
        <v>229</v>
      </c>
      <c r="R31" s="1001" t="s">
        <v>175</v>
      </c>
      <c r="S31" s="995" t="s">
        <v>552</v>
      </c>
      <c r="T31" s="996">
        <v>1.0</v>
      </c>
      <c r="U31" s="110"/>
    </row>
    <row r="32">
      <c r="A32" s="933"/>
      <c r="B32" s="152"/>
      <c r="C32" s="994"/>
      <c r="D32" s="995"/>
      <c r="E32" s="996" t="s">
        <v>549</v>
      </c>
      <c r="F32" s="997"/>
      <c r="G32" s="177" t="s">
        <v>200</v>
      </c>
      <c r="H32" s="994" t="s">
        <v>175</v>
      </c>
      <c r="I32" s="995" t="s">
        <v>553</v>
      </c>
      <c r="J32" s="996">
        <v>0.3</v>
      </c>
      <c r="K32" s="997"/>
      <c r="L32" s="197" t="s">
        <v>216</v>
      </c>
      <c r="M32" s="994" t="s">
        <v>175</v>
      </c>
      <c r="N32" s="995" t="s">
        <v>554</v>
      </c>
      <c r="O32" s="996">
        <v>0.04</v>
      </c>
      <c r="P32" s="110"/>
      <c r="Q32" s="1000" t="s">
        <v>233</v>
      </c>
      <c r="R32" s="1001" t="s">
        <v>175</v>
      </c>
      <c r="S32" s="995" t="s">
        <v>555</v>
      </c>
      <c r="T32" s="996">
        <v>2.0</v>
      </c>
      <c r="U32" s="110"/>
    </row>
    <row r="33">
      <c r="A33" s="933"/>
      <c r="B33" s="152"/>
      <c r="C33" s="994"/>
      <c r="D33" s="995"/>
      <c r="E33" s="996" t="s">
        <v>549</v>
      </c>
      <c r="F33" s="997"/>
      <c r="G33" s="177" t="s">
        <v>203</v>
      </c>
      <c r="H33" s="994" t="s">
        <v>175</v>
      </c>
      <c r="I33" s="995" t="s">
        <v>556</v>
      </c>
      <c r="J33" s="996">
        <v>0.015</v>
      </c>
      <c r="K33" s="997"/>
      <c r="L33" s="197" t="s">
        <v>215</v>
      </c>
      <c r="M33" s="994" t="s">
        <v>175</v>
      </c>
      <c r="N33" s="995" t="s">
        <v>557</v>
      </c>
      <c r="O33" s="996">
        <v>0.08</v>
      </c>
      <c r="P33" s="110"/>
      <c r="Q33" s="1000" t="s">
        <v>237</v>
      </c>
      <c r="R33" s="1001" t="s">
        <v>175</v>
      </c>
      <c r="S33" s="995" t="s">
        <v>558</v>
      </c>
      <c r="T33" s="996">
        <v>8.0</v>
      </c>
      <c r="U33" s="110"/>
    </row>
    <row r="34">
      <c r="A34" s="933"/>
      <c r="B34" s="152"/>
      <c r="C34" s="994"/>
      <c r="D34" s="995"/>
      <c r="E34" s="996" t="s">
        <v>549</v>
      </c>
      <c r="F34" s="997"/>
      <c r="G34" s="177"/>
      <c r="H34" s="994"/>
      <c r="I34" s="995"/>
      <c r="J34" s="996" t="s">
        <v>549</v>
      </c>
      <c r="K34" s="997"/>
      <c r="L34" s="197"/>
      <c r="M34" s="994"/>
      <c r="N34" s="995"/>
      <c r="O34" s="996" t="s">
        <v>549</v>
      </c>
      <c r="P34" s="110"/>
      <c r="Q34" s="1000" t="s">
        <v>234</v>
      </c>
      <c r="R34" s="1001"/>
      <c r="S34" s="995"/>
      <c r="T34" s="996"/>
      <c r="U34" s="110"/>
    </row>
    <row r="35">
      <c r="A35" s="933"/>
      <c r="B35" s="152"/>
      <c r="C35" s="994"/>
      <c r="D35" s="995"/>
      <c r="E35" s="996" t="s">
        <v>549</v>
      </c>
      <c r="F35" s="997"/>
      <c r="G35" s="177"/>
      <c r="H35" s="994"/>
      <c r="I35" s="995"/>
      <c r="J35" s="996" t="s">
        <v>549</v>
      </c>
      <c r="K35" s="997"/>
      <c r="L35" s="197"/>
      <c r="M35" s="994"/>
      <c r="N35" s="995"/>
      <c r="O35" s="996" t="s">
        <v>549</v>
      </c>
      <c r="P35" s="110"/>
      <c r="Q35" s="1000" t="s">
        <v>229</v>
      </c>
      <c r="R35" s="1001"/>
      <c r="S35" s="995"/>
      <c r="T35" s="996"/>
      <c r="U35" s="110"/>
    </row>
    <row r="36">
      <c r="A36" s="933"/>
      <c r="B36" s="152"/>
      <c r="C36" s="994"/>
      <c r="D36" s="995"/>
      <c r="E36" s="996" t="s">
        <v>549</v>
      </c>
      <c r="F36" s="997"/>
      <c r="G36" s="177"/>
      <c r="H36" s="994"/>
      <c r="I36" s="995"/>
      <c r="J36" s="996" t="s">
        <v>549</v>
      </c>
      <c r="K36" s="997"/>
      <c r="L36" s="197"/>
      <c r="M36" s="994"/>
      <c r="N36" s="995"/>
      <c r="O36" s="996" t="s">
        <v>549</v>
      </c>
      <c r="P36" s="110"/>
      <c r="Q36" s="1000" t="s">
        <v>241</v>
      </c>
      <c r="R36" s="1001"/>
      <c r="S36" s="995"/>
      <c r="T36" s="996"/>
      <c r="U36" s="110"/>
    </row>
    <row r="37">
      <c r="A37" s="933"/>
      <c r="B37" s="1002"/>
      <c r="C37" s="994"/>
      <c r="D37" s="1003"/>
      <c r="E37" s="110" t="s">
        <v>549</v>
      </c>
      <c r="F37" s="997"/>
      <c r="G37" s="1004"/>
      <c r="H37" s="994"/>
      <c r="I37" s="1003"/>
      <c r="J37" s="110" t="s">
        <v>549</v>
      </c>
      <c r="K37" s="997"/>
      <c r="L37" s="1005"/>
      <c r="M37" s="994"/>
      <c r="N37" s="1003"/>
      <c r="O37" s="110" t="s">
        <v>549</v>
      </c>
      <c r="P37" s="110"/>
      <c r="Q37" s="1006" t="s">
        <v>233</v>
      </c>
      <c r="R37" s="1007"/>
      <c r="S37" s="1003"/>
      <c r="T37" s="110"/>
      <c r="U37" s="110"/>
    </row>
    <row r="38">
      <c r="A38" s="933"/>
      <c r="B38" s="1008"/>
      <c r="C38" s="1009"/>
      <c r="D38" s="1010"/>
      <c r="E38" s="110" t="s">
        <v>549</v>
      </c>
      <c r="F38" s="997"/>
      <c r="G38" s="1011"/>
      <c r="H38" s="1009"/>
      <c r="I38" s="1010"/>
      <c r="J38" s="110" t="s">
        <v>549</v>
      </c>
      <c r="K38" s="997"/>
      <c r="L38" s="1012"/>
      <c r="M38" s="994"/>
      <c r="N38" s="1010"/>
      <c r="O38" s="110" t="s">
        <v>549</v>
      </c>
      <c r="P38" s="110"/>
      <c r="Q38" s="1013" t="s">
        <v>244</v>
      </c>
      <c r="R38" s="1014" t="s">
        <v>177</v>
      </c>
      <c r="S38" s="1010" t="s">
        <v>559</v>
      </c>
      <c r="T38" s="110">
        <v>8.0</v>
      </c>
      <c r="U38" s="110"/>
    </row>
    <row r="39">
      <c r="A39" s="933"/>
      <c r="B39" s="1015"/>
      <c r="C39" s="1015"/>
      <c r="D39" s="1016"/>
      <c r="E39" s="1016"/>
      <c r="F39" s="1017"/>
      <c r="G39" s="933"/>
      <c r="H39" s="933"/>
      <c r="I39" s="110"/>
      <c r="J39" s="110"/>
      <c r="K39" s="1017"/>
      <c r="L39" s="933"/>
      <c r="M39" s="933"/>
      <c r="N39" s="110"/>
      <c r="O39" s="110"/>
      <c r="P39" s="110"/>
      <c r="Q39" s="110"/>
      <c r="R39" s="110"/>
      <c r="S39" s="110"/>
      <c r="T39" s="1017"/>
      <c r="U39" s="1017"/>
    </row>
    <row r="40">
      <c r="A40" s="933"/>
      <c r="B40" s="975" t="str">
        <f t="array" ref="B40:E51">Inventory!K3:N14</f>
        <v>Being Annihilator</v>
      </c>
      <c r="C40" s="120"/>
      <c r="D40" s="121"/>
      <c r="E40" s="110"/>
      <c r="F40" s="110"/>
      <c r="G40" s="976" t="str">
        <f t="array" ref="G40:J51">Inventory!K16:N27</f>
        <v>Negative Mass Projector</v>
      </c>
      <c r="H40" s="120"/>
      <c r="I40" s="121"/>
      <c r="J40" s="110"/>
      <c r="K40" s="110"/>
      <c r="L40" s="977" t="str">
        <f t="array" ref="L40:O51">Inventory!K29:N40</f>
        <v>Galaxy Compressor</v>
      </c>
      <c r="M40" s="120"/>
      <c r="N40" s="121"/>
      <c r="O40" s="110"/>
      <c r="P40" s="110"/>
      <c r="Q40" s="803" t="str">
        <f t="array" ref="Q40:T51">Inventory!K42:N53</f>
        <v>Dimension Core</v>
      </c>
      <c r="R40" s="120"/>
      <c r="S40" s="121"/>
      <c r="T40" s="110"/>
      <c r="U40" s="110"/>
    </row>
    <row r="41">
      <c r="A41" s="933"/>
      <c r="B41" s="125" t="s">
        <v>170</v>
      </c>
      <c r="C41" s="125" t="s">
        <v>134</v>
      </c>
      <c r="D41" s="126" t="s">
        <v>171</v>
      </c>
      <c r="E41" s="933"/>
      <c r="F41" s="110"/>
      <c r="G41" s="166" t="s">
        <v>170</v>
      </c>
      <c r="H41" s="166" t="s">
        <v>134</v>
      </c>
      <c r="I41" s="167" t="s">
        <v>171</v>
      </c>
      <c r="J41" s="933"/>
      <c r="K41" s="110"/>
      <c r="L41" s="185" t="s">
        <v>170</v>
      </c>
      <c r="M41" s="185" t="s">
        <v>134</v>
      </c>
      <c r="N41" s="186" t="s">
        <v>171</v>
      </c>
      <c r="O41" s="933"/>
      <c r="P41" s="110"/>
      <c r="Q41" s="978" t="s">
        <v>170</v>
      </c>
      <c r="R41" s="979" t="s">
        <v>134</v>
      </c>
      <c r="S41" s="980" t="s">
        <v>171</v>
      </c>
      <c r="T41" s="110"/>
      <c r="U41" s="110"/>
    </row>
    <row r="42">
      <c r="A42" s="933"/>
      <c r="B42" s="981" t="s">
        <v>174</v>
      </c>
      <c r="C42" s="982">
        <v>164.0</v>
      </c>
      <c r="D42" s="131">
        <v>9.04</v>
      </c>
      <c r="E42" s="933"/>
      <c r="F42" s="110"/>
      <c r="G42" s="983" t="s">
        <v>175</v>
      </c>
      <c r="H42" s="984">
        <v>100.0</v>
      </c>
      <c r="I42" s="173">
        <v>2.27</v>
      </c>
      <c r="J42" s="933"/>
      <c r="K42" s="110"/>
      <c r="L42" s="985" t="s">
        <v>173</v>
      </c>
      <c r="M42" s="986">
        <v>160.0</v>
      </c>
      <c r="N42" s="192">
        <v>1.665</v>
      </c>
      <c r="O42" s="933"/>
      <c r="P42" s="110"/>
      <c r="Q42" s="987" t="s">
        <v>174</v>
      </c>
      <c r="R42" s="988">
        <v>159.0</v>
      </c>
      <c r="S42" s="211">
        <v>10.9</v>
      </c>
      <c r="T42" s="110"/>
      <c r="U42" s="110"/>
    </row>
    <row r="43">
      <c r="A43" s="933"/>
      <c r="B43" s="989"/>
      <c r="C43" s="29"/>
      <c r="D43" s="136"/>
      <c r="E43" s="948"/>
      <c r="F43" s="110"/>
      <c r="G43" s="990"/>
      <c r="H43" s="29"/>
      <c r="I43" s="136"/>
      <c r="J43" s="948"/>
      <c r="K43" s="110"/>
      <c r="L43" s="991"/>
      <c r="M43" s="29"/>
      <c r="N43" s="136"/>
      <c r="O43" s="948"/>
      <c r="P43" s="110"/>
      <c r="Q43" s="992"/>
      <c r="R43" s="29"/>
      <c r="S43" s="136"/>
      <c r="T43" s="110"/>
      <c r="U43" s="110"/>
    </row>
    <row r="44">
      <c r="A44" s="933"/>
      <c r="B44" s="1018" t="s">
        <v>179</v>
      </c>
      <c r="C44" s="1007" t="s">
        <v>180</v>
      </c>
      <c r="D44" s="1003" t="s">
        <v>560</v>
      </c>
      <c r="E44" s="110">
        <v>3.0</v>
      </c>
      <c r="F44" s="997"/>
      <c r="G44" s="998"/>
      <c r="H44" s="994"/>
      <c r="I44" s="995"/>
      <c r="J44" s="996" t="s">
        <v>549</v>
      </c>
      <c r="K44" s="997"/>
      <c r="L44" s="999" t="s">
        <v>214</v>
      </c>
      <c r="M44" s="994" t="s">
        <v>175</v>
      </c>
      <c r="N44" s="995" t="s">
        <v>557</v>
      </c>
      <c r="O44" s="996">
        <v>0.08</v>
      </c>
      <c r="P44" s="110"/>
      <c r="Q44" s="1000" t="s">
        <v>230</v>
      </c>
      <c r="R44" s="1001" t="s">
        <v>180</v>
      </c>
      <c r="S44" s="995" t="s">
        <v>561</v>
      </c>
      <c r="T44" s="996">
        <v>0.12</v>
      </c>
      <c r="U44" s="110"/>
    </row>
    <row r="45">
      <c r="A45" s="933"/>
      <c r="B45" s="1002" t="s">
        <v>183</v>
      </c>
      <c r="C45" s="994" t="s">
        <v>180</v>
      </c>
      <c r="D45" s="1003" t="s">
        <v>560</v>
      </c>
      <c r="E45" s="110">
        <v>3.0</v>
      </c>
      <c r="F45" s="997"/>
      <c r="G45" s="177"/>
      <c r="H45" s="994"/>
      <c r="I45" s="995"/>
      <c r="J45" s="996" t="s">
        <v>549</v>
      </c>
      <c r="K45" s="997"/>
      <c r="L45" s="197" t="s">
        <v>216</v>
      </c>
      <c r="M45" s="994" t="s">
        <v>175</v>
      </c>
      <c r="N45" s="995" t="s">
        <v>554</v>
      </c>
      <c r="O45" s="996">
        <v>0.04</v>
      </c>
      <c r="P45" s="110"/>
      <c r="Q45" s="1000" t="s">
        <v>234</v>
      </c>
      <c r="R45" s="1001" t="s">
        <v>180</v>
      </c>
      <c r="S45" s="995" t="s">
        <v>562</v>
      </c>
      <c r="T45" s="996">
        <v>11.0</v>
      </c>
      <c r="U45" s="110"/>
    </row>
    <row r="46">
      <c r="A46" s="933"/>
      <c r="B46" s="1002" t="s">
        <v>184</v>
      </c>
      <c r="C46" s="994" t="s">
        <v>180</v>
      </c>
      <c r="D46" s="1003" t="s">
        <v>563</v>
      </c>
      <c r="E46" s="110">
        <v>12.0</v>
      </c>
      <c r="F46" s="997"/>
      <c r="G46" s="177"/>
      <c r="H46" s="994"/>
      <c r="I46" s="995"/>
      <c r="J46" s="996" t="s">
        <v>549</v>
      </c>
      <c r="K46" s="997"/>
      <c r="L46" s="197" t="s">
        <v>215</v>
      </c>
      <c r="M46" s="994" t="s">
        <v>175</v>
      </c>
      <c r="N46" s="995" t="s">
        <v>557</v>
      </c>
      <c r="O46" s="996">
        <v>0.08</v>
      </c>
      <c r="P46" s="110"/>
      <c r="Q46" s="1000" t="s">
        <v>235</v>
      </c>
      <c r="R46" s="1001" t="s">
        <v>180</v>
      </c>
      <c r="S46" s="995" t="s">
        <v>564</v>
      </c>
      <c r="T46" s="996">
        <v>15.0</v>
      </c>
      <c r="U46" s="110"/>
    </row>
    <row r="47">
      <c r="A47" s="933"/>
      <c r="B47" s="1002" t="s">
        <v>182</v>
      </c>
      <c r="C47" s="994" t="s">
        <v>180</v>
      </c>
      <c r="D47" s="1003" t="s">
        <v>565</v>
      </c>
      <c r="E47" s="110">
        <v>0.09</v>
      </c>
      <c r="F47" s="997"/>
      <c r="G47" s="177"/>
      <c r="H47" s="994"/>
      <c r="I47" s="995"/>
      <c r="J47" s="996" t="s">
        <v>549</v>
      </c>
      <c r="K47" s="997"/>
      <c r="L47" s="197"/>
      <c r="M47" s="994"/>
      <c r="N47" s="995"/>
      <c r="O47" s="996" t="s">
        <v>549</v>
      </c>
      <c r="P47" s="110"/>
      <c r="Q47" s="1000" t="s">
        <v>238</v>
      </c>
      <c r="R47" s="1001" t="s">
        <v>180</v>
      </c>
      <c r="S47" s="995" t="s">
        <v>560</v>
      </c>
      <c r="T47" s="996">
        <v>3.0</v>
      </c>
      <c r="U47" s="110"/>
    </row>
    <row r="48">
      <c r="A48" s="933"/>
      <c r="B48" s="1002"/>
      <c r="C48" s="994"/>
      <c r="D48" s="1003"/>
      <c r="E48" s="110" t="s">
        <v>549</v>
      </c>
      <c r="F48" s="997"/>
      <c r="G48" s="177"/>
      <c r="H48" s="994"/>
      <c r="I48" s="995"/>
      <c r="J48" s="996" t="s">
        <v>549</v>
      </c>
      <c r="K48" s="997"/>
      <c r="L48" s="197"/>
      <c r="M48" s="994"/>
      <c r="N48" s="995"/>
      <c r="O48" s="996" t="s">
        <v>549</v>
      </c>
      <c r="P48" s="110"/>
      <c r="Q48" s="1000" t="s">
        <v>240</v>
      </c>
      <c r="R48" s="1001" t="s">
        <v>175</v>
      </c>
      <c r="S48" s="995" t="s">
        <v>566</v>
      </c>
      <c r="T48" s="996">
        <v>50.0</v>
      </c>
      <c r="U48" s="110"/>
    </row>
    <row r="49">
      <c r="A49" s="933"/>
      <c r="B49" s="1002"/>
      <c r="C49" s="994"/>
      <c r="D49" s="1003"/>
      <c r="E49" s="110" t="s">
        <v>549</v>
      </c>
      <c r="F49" s="997"/>
      <c r="G49" s="177"/>
      <c r="H49" s="994"/>
      <c r="I49" s="995"/>
      <c r="J49" s="996" t="s">
        <v>549</v>
      </c>
      <c r="K49" s="997"/>
      <c r="L49" s="1005"/>
      <c r="M49" s="994"/>
      <c r="N49" s="1003"/>
      <c r="O49" s="110" t="s">
        <v>549</v>
      </c>
      <c r="P49" s="110"/>
      <c r="Q49" s="1000" t="s">
        <v>242</v>
      </c>
      <c r="R49" s="1001"/>
      <c r="S49" s="995"/>
      <c r="T49" s="996"/>
      <c r="U49" s="110"/>
    </row>
    <row r="50">
      <c r="A50" s="933"/>
      <c r="B50" s="1002"/>
      <c r="C50" s="994"/>
      <c r="D50" s="1003"/>
      <c r="E50" s="110" t="s">
        <v>549</v>
      </c>
      <c r="F50" s="997"/>
      <c r="G50" s="1004"/>
      <c r="H50" s="994"/>
      <c r="I50" s="1003"/>
      <c r="J50" s="110" t="s">
        <v>549</v>
      </c>
      <c r="K50" s="997"/>
      <c r="L50" s="1005"/>
      <c r="M50" s="994"/>
      <c r="N50" s="1003"/>
      <c r="O50" s="110" t="s">
        <v>549</v>
      </c>
      <c r="P50" s="110"/>
      <c r="Q50" s="1006" t="s">
        <v>243</v>
      </c>
      <c r="R50" s="1007"/>
      <c r="S50" s="1003"/>
      <c r="T50" s="110"/>
      <c r="U50" s="110"/>
    </row>
    <row r="51">
      <c r="A51" s="933"/>
      <c r="B51" s="1008"/>
      <c r="C51" s="1009"/>
      <c r="D51" s="1010"/>
      <c r="E51" s="110" t="s">
        <v>549</v>
      </c>
      <c r="F51" s="997"/>
      <c r="G51" s="1011"/>
      <c r="H51" s="994"/>
      <c r="I51" s="1010"/>
      <c r="J51" s="110" t="s">
        <v>549</v>
      </c>
      <c r="K51" s="997"/>
      <c r="L51" s="1012"/>
      <c r="M51" s="994"/>
      <c r="N51" s="1010"/>
      <c r="O51" s="110" t="s">
        <v>549</v>
      </c>
      <c r="P51" s="110"/>
      <c r="Q51" s="1013"/>
      <c r="R51" s="1014"/>
      <c r="S51" s="1010"/>
      <c r="T51" s="110" t="s">
        <v>549</v>
      </c>
      <c r="U51" s="110"/>
    </row>
    <row r="52">
      <c r="A52" s="933"/>
      <c r="B52" s="1015"/>
      <c r="C52" s="1015"/>
      <c r="D52" s="1016"/>
      <c r="E52" s="1016"/>
      <c r="F52" s="1017"/>
      <c r="G52" s="933"/>
      <c r="H52" s="933"/>
      <c r="I52" s="110"/>
      <c r="J52" s="110"/>
      <c r="K52" s="1017"/>
      <c r="L52" s="933"/>
      <c r="M52" s="933"/>
      <c r="N52" s="110"/>
      <c r="O52" s="110"/>
      <c r="P52" s="110"/>
      <c r="Q52" s="110"/>
      <c r="R52" s="110"/>
      <c r="S52" s="110"/>
      <c r="T52" s="1017"/>
      <c r="U52" s="1017"/>
    </row>
    <row r="53">
      <c r="A53" s="933"/>
      <c r="B53" s="975" t="str">
        <f t="array" ref="B53:E64">Inventory!P3:S14</f>
        <v>Death Penalty</v>
      </c>
      <c r="C53" s="120"/>
      <c r="D53" s="121"/>
      <c r="E53" s="110"/>
      <c r="F53" s="110"/>
      <c r="G53" s="976" t="str">
        <f t="array" ref="G53:J64">Inventory!P16:S27</f>
        <v>Space Displacer</v>
      </c>
      <c r="H53" s="120"/>
      <c r="I53" s="121"/>
      <c r="J53" s="110"/>
      <c r="K53" s="110"/>
      <c r="L53" s="977" t="str">
        <f t="array" ref="L53:O64">Inventory!P29:S40</f>
        <v>Singularity Harness</v>
      </c>
      <c r="M53" s="120"/>
      <c r="N53" s="121"/>
      <c r="O53" s="110"/>
      <c r="P53" s="110"/>
      <c r="Q53" s="803" t="str">
        <f t="array" ref="Q53:T64">Inventory!P42:S53</f>
        <v>Harmony Conductor</v>
      </c>
      <c r="R53" s="120"/>
      <c r="S53" s="121"/>
      <c r="T53" s="110"/>
      <c r="U53" s="110"/>
    </row>
    <row r="54">
      <c r="A54" s="933"/>
      <c r="B54" s="1019" t="s">
        <v>170</v>
      </c>
      <c r="C54" s="1019" t="s">
        <v>134</v>
      </c>
      <c r="D54" s="1020" t="s">
        <v>171</v>
      </c>
      <c r="E54" s="110"/>
      <c r="F54" s="110"/>
      <c r="G54" s="1021" t="s">
        <v>170</v>
      </c>
      <c r="H54" s="1021" t="s">
        <v>134</v>
      </c>
      <c r="I54" s="1022" t="s">
        <v>171</v>
      </c>
      <c r="J54" s="110"/>
      <c r="K54" s="110"/>
      <c r="L54" s="1023" t="s">
        <v>170</v>
      </c>
      <c r="M54" s="1023" t="s">
        <v>134</v>
      </c>
      <c r="N54" s="1024" t="s">
        <v>171</v>
      </c>
      <c r="O54" s="110"/>
      <c r="P54" s="110"/>
      <c r="Q54" s="978" t="s">
        <v>170</v>
      </c>
      <c r="R54" s="979" t="s">
        <v>134</v>
      </c>
      <c r="S54" s="980" t="s">
        <v>171</v>
      </c>
      <c r="T54" s="110"/>
      <c r="U54" s="110"/>
    </row>
    <row r="55">
      <c r="A55" s="933"/>
      <c r="B55" s="1025" t="s">
        <v>173</v>
      </c>
      <c r="C55" s="1026">
        <v>160.0</v>
      </c>
      <c r="D55" s="131">
        <v>8.19</v>
      </c>
      <c r="E55" s="110"/>
      <c r="F55" s="110"/>
      <c r="G55" s="1027" t="s">
        <v>195</v>
      </c>
      <c r="H55" s="1028">
        <v>163.0</v>
      </c>
      <c r="I55" s="173">
        <v>9.467</v>
      </c>
      <c r="J55" s="110"/>
      <c r="K55" s="110"/>
      <c r="L55" s="1029" t="s">
        <v>174</v>
      </c>
      <c r="M55" s="1030">
        <v>161.0</v>
      </c>
      <c r="N55" s="192">
        <v>1.68</v>
      </c>
      <c r="O55" s="110"/>
      <c r="P55" s="110"/>
      <c r="Q55" s="987" t="s">
        <v>228</v>
      </c>
      <c r="R55" s="988">
        <v>159.0</v>
      </c>
      <c r="S55" s="211">
        <v>12.88</v>
      </c>
      <c r="T55" s="110"/>
      <c r="U55" s="110"/>
    </row>
    <row r="56">
      <c r="A56" s="933"/>
      <c r="B56" s="1031"/>
      <c r="C56" s="29"/>
      <c r="D56" s="136"/>
      <c r="E56" s="110"/>
      <c r="F56" s="110"/>
      <c r="G56" s="1032"/>
      <c r="H56" s="29"/>
      <c r="I56" s="136"/>
      <c r="J56" s="110"/>
      <c r="K56" s="110"/>
      <c r="L56" s="1033"/>
      <c r="M56" s="29"/>
      <c r="N56" s="136"/>
      <c r="O56" s="110"/>
      <c r="P56" s="110"/>
      <c r="Q56" s="992"/>
      <c r="R56" s="29"/>
      <c r="S56" s="136"/>
      <c r="T56" s="110"/>
      <c r="U56" s="110"/>
    </row>
    <row r="57">
      <c r="A57" s="933"/>
      <c r="B57" s="993" t="s">
        <v>181</v>
      </c>
      <c r="C57" s="994" t="s">
        <v>180</v>
      </c>
      <c r="D57" s="995" t="s">
        <v>567</v>
      </c>
      <c r="E57" s="996">
        <v>0.1</v>
      </c>
      <c r="F57" s="997"/>
      <c r="G57" s="1034"/>
      <c r="H57" s="1007"/>
      <c r="I57" s="1003"/>
      <c r="J57" s="110" t="s">
        <v>549</v>
      </c>
      <c r="K57" s="997"/>
      <c r="L57" s="1035" t="s">
        <v>215</v>
      </c>
      <c r="M57" s="1007" t="s">
        <v>180</v>
      </c>
      <c r="N57" s="1003" t="s">
        <v>567</v>
      </c>
      <c r="O57" s="110">
        <v>0.1</v>
      </c>
      <c r="P57" s="110"/>
      <c r="Q57" s="1006"/>
      <c r="R57" s="1007"/>
      <c r="S57" s="1003"/>
      <c r="T57" s="110" t="s">
        <v>549</v>
      </c>
      <c r="U57" s="110"/>
    </row>
    <row r="58">
      <c r="A58" s="933"/>
      <c r="B58" s="993" t="s">
        <v>182</v>
      </c>
      <c r="C58" s="994" t="s">
        <v>180</v>
      </c>
      <c r="D58" s="995" t="s">
        <v>565</v>
      </c>
      <c r="E58" s="996">
        <v>0.09</v>
      </c>
      <c r="F58" s="997"/>
      <c r="G58" s="1034"/>
      <c r="H58" s="1007"/>
      <c r="I58" s="1003"/>
      <c r="J58" s="110" t="s">
        <v>549</v>
      </c>
      <c r="K58" s="997"/>
      <c r="L58" s="1035" t="s">
        <v>213</v>
      </c>
      <c r="M58" s="1007" t="s">
        <v>180</v>
      </c>
      <c r="N58" s="1003" t="s">
        <v>568</v>
      </c>
      <c r="O58" s="110">
        <v>0.5</v>
      </c>
      <c r="P58" s="110"/>
      <c r="Q58" s="1006"/>
      <c r="R58" s="1007"/>
      <c r="S58" s="1003"/>
      <c r="T58" s="110" t="s">
        <v>549</v>
      </c>
      <c r="U58" s="110"/>
    </row>
    <row r="59">
      <c r="A59" s="933"/>
      <c r="B59" s="993" t="s">
        <v>185</v>
      </c>
      <c r="C59" s="994" t="s">
        <v>180</v>
      </c>
      <c r="D59" s="995" t="s">
        <v>560</v>
      </c>
      <c r="E59" s="996">
        <v>3.0</v>
      </c>
      <c r="F59" s="997"/>
      <c r="G59" s="1034"/>
      <c r="H59" s="1007"/>
      <c r="I59" s="1003"/>
      <c r="J59" s="110" t="s">
        <v>549</v>
      </c>
      <c r="K59" s="997"/>
      <c r="L59" s="1035" t="s">
        <v>217</v>
      </c>
      <c r="M59" s="1007" t="s">
        <v>180</v>
      </c>
      <c r="N59" s="1003" t="s">
        <v>569</v>
      </c>
      <c r="O59" s="110">
        <v>0.06</v>
      </c>
      <c r="P59" s="110"/>
      <c r="Q59" s="1006"/>
      <c r="R59" s="1007"/>
      <c r="S59" s="1003"/>
      <c r="T59" s="110" t="s">
        <v>549</v>
      </c>
      <c r="U59" s="110"/>
    </row>
    <row r="60">
      <c r="A60" s="933"/>
      <c r="B60" s="993" t="s">
        <v>183</v>
      </c>
      <c r="C60" s="994" t="s">
        <v>180</v>
      </c>
      <c r="D60" s="995" t="s">
        <v>560</v>
      </c>
      <c r="E60" s="996">
        <v>3.0</v>
      </c>
      <c r="F60" s="997"/>
      <c r="G60" s="1034"/>
      <c r="H60" s="1007"/>
      <c r="I60" s="1003"/>
      <c r="J60" s="110" t="s">
        <v>549</v>
      </c>
      <c r="K60" s="997"/>
      <c r="L60" s="1035" t="s">
        <v>216</v>
      </c>
      <c r="M60" s="1007" t="s">
        <v>174</v>
      </c>
      <c r="N60" s="1003" t="s">
        <v>557</v>
      </c>
      <c r="O60" s="110">
        <v>0.08</v>
      </c>
      <c r="P60" s="110"/>
      <c r="Q60" s="1006"/>
      <c r="R60" s="1007"/>
      <c r="S60" s="1003"/>
      <c r="T60" s="110" t="s">
        <v>549</v>
      </c>
      <c r="U60" s="110"/>
    </row>
    <row r="61">
      <c r="A61" s="933"/>
      <c r="B61" s="993"/>
      <c r="C61" s="994"/>
      <c r="D61" s="995"/>
      <c r="E61" s="996" t="s">
        <v>549</v>
      </c>
      <c r="F61" s="997"/>
      <c r="G61" s="1034"/>
      <c r="H61" s="1007"/>
      <c r="I61" s="1003"/>
      <c r="J61" s="110" t="s">
        <v>549</v>
      </c>
      <c r="K61" s="997"/>
      <c r="L61" s="1035" t="s">
        <v>214</v>
      </c>
      <c r="M61" s="1007" t="s">
        <v>180</v>
      </c>
      <c r="N61" s="1003" t="s">
        <v>570</v>
      </c>
      <c r="O61" s="110">
        <v>0.11</v>
      </c>
      <c r="P61" s="110"/>
      <c r="Q61" s="1006"/>
      <c r="R61" s="1007"/>
      <c r="S61" s="1003"/>
      <c r="T61" s="110" t="s">
        <v>549</v>
      </c>
      <c r="U61" s="110"/>
    </row>
    <row r="62">
      <c r="A62" s="933"/>
      <c r="B62" s="993"/>
      <c r="C62" s="994"/>
      <c r="D62" s="995"/>
      <c r="E62" s="996" t="s">
        <v>549</v>
      </c>
      <c r="F62" s="997"/>
      <c r="G62" s="1034"/>
      <c r="H62" s="1007"/>
      <c r="I62" s="1003"/>
      <c r="J62" s="110" t="s">
        <v>549</v>
      </c>
      <c r="K62" s="997"/>
      <c r="L62" s="1035"/>
      <c r="M62" s="1007"/>
      <c r="N62" s="1003"/>
      <c r="O62" s="110" t="s">
        <v>549</v>
      </c>
      <c r="P62" s="110"/>
      <c r="Q62" s="1006"/>
      <c r="R62" s="1007"/>
      <c r="S62" s="1003"/>
      <c r="T62" s="110" t="s">
        <v>549</v>
      </c>
      <c r="U62" s="110"/>
    </row>
    <row r="63">
      <c r="A63" s="933"/>
      <c r="B63" s="1018"/>
      <c r="C63" s="994"/>
      <c r="D63" s="1003"/>
      <c r="E63" s="110" t="s">
        <v>549</v>
      </c>
      <c r="F63" s="997"/>
      <c r="G63" s="1034"/>
      <c r="H63" s="1007"/>
      <c r="I63" s="1003"/>
      <c r="J63" s="110" t="s">
        <v>549</v>
      </c>
      <c r="K63" s="997"/>
      <c r="L63" s="1035"/>
      <c r="M63" s="1007"/>
      <c r="N63" s="1003"/>
      <c r="O63" s="110" t="s">
        <v>549</v>
      </c>
      <c r="P63" s="110"/>
      <c r="Q63" s="1006"/>
      <c r="R63" s="1007"/>
      <c r="S63" s="1003"/>
      <c r="T63" s="110" t="s">
        <v>549</v>
      </c>
      <c r="U63" s="110"/>
    </row>
    <row r="64">
      <c r="A64" s="933"/>
      <c r="B64" s="1036"/>
      <c r="C64" s="994"/>
      <c r="D64" s="1010"/>
      <c r="E64" s="110" t="s">
        <v>549</v>
      </c>
      <c r="F64" s="997"/>
      <c r="G64" s="1037"/>
      <c r="H64" s="1014"/>
      <c r="I64" s="1010"/>
      <c r="J64" s="110" t="s">
        <v>549</v>
      </c>
      <c r="K64" s="997"/>
      <c r="L64" s="1038"/>
      <c r="M64" s="1014"/>
      <c r="N64" s="1010"/>
      <c r="O64" s="110" t="s">
        <v>549</v>
      </c>
      <c r="P64" s="110"/>
      <c r="Q64" s="1013"/>
      <c r="R64" s="1014"/>
      <c r="S64" s="1010"/>
      <c r="T64" s="110" t="s">
        <v>549</v>
      </c>
      <c r="U64" s="110"/>
    </row>
    <row r="65">
      <c r="A65" s="933"/>
      <c r="B65" s="1016"/>
      <c r="C65" s="1016"/>
      <c r="D65" s="1016"/>
      <c r="E65" s="1016"/>
      <c r="F65" s="1017"/>
      <c r="G65" s="110"/>
      <c r="H65" s="110"/>
      <c r="I65" s="110"/>
      <c r="J65" s="110"/>
      <c r="K65" s="1017"/>
      <c r="L65" s="110"/>
      <c r="M65" s="110"/>
      <c r="N65" s="110"/>
      <c r="O65" s="110"/>
      <c r="P65" s="110"/>
      <c r="Q65" s="110"/>
      <c r="R65" s="110"/>
      <c r="S65" s="110"/>
      <c r="T65" s="1017"/>
      <c r="U65" s="1017"/>
    </row>
    <row r="66">
      <c r="A66" s="933"/>
      <c r="B66" s="975" t="str">
        <f t="array" ref="B66:E77">Inventory!U3:X14</f>
        <v>Havoc Bringer</v>
      </c>
      <c r="C66" s="120"/>
      <c r="D66" s="121"/>
      <c r="E66" s="110"/>
      <c r="F66" s="110"/>
      <c r="G66" s="976" t="str">
        <f t="array" ref="G66:J77">Inventory!U16:X27</f>
        <v>Wormhole Redirector</v>
      </c>
      <c r="H66" s="120"/>
      <c r="I66" s="121"/>
      <c r="J66" s="110"/>
      <c r="K66" s="110"/>
      <c r="L66" s="977" t="str">
        <f t="array" ref="L66:O77">Inventory!U29:X40</f>
        <v>Pulsar Harvester</v>
      </c>
      <c r="M66" s="120"/>
      <c r="N66" s="121"/>
      <c r="O66" s="110"/>
      <c r="P66" s="110"/>
      <c r="Q66" s="803" t="str">
        <f t="array" ref="Q66:T77">Inventory!U42:X53</f>
        <v>Om Chip</v>
      </c>
      <c r="R66" s="120"/>
      <c r="S66" s="121"/>
      <c r="T66" s="110"/>
      <c r="U66" s="110"/>
    </row>
    <row r="67">
      <c r="A67" s="933"/>
      <c r="B67" s="1019" t="s">
        <v>170</v>
      </c>
      <c r="C67" s="1019" t="s">
        <v>134</v>
      </c>
      <c r="D67" s="1020" t="s">
        <v>171</v>
      </c>
      <c r="E67" s="110"/>
      <c r="F67" s="110"/>
      <c r="G67" s="1021" t="s">
        <v>170</v>
      </c>
      <c r="H67" s="1021" t="s">
        <v>134</v>
      </c>
      <c r="I67" s="1022" t="s">
        <v>171</v>
      </c>
      <c r="J67" s="110"/>
      <c r="K67" s="110"/>
      <c r="L67" s="1023" t="s">
        <v>170</v>
      </c>
      <c r="M67" s="1023" t="s">
        <v>134</v>
      </c>
      <c r="N67" s="1024" t="s">
        <v>171</v>
      </c>
      <c r="O67" s="110"/>
      <c r="P67" s="110"/>
      <c r="Q67" s="978" t="s">
        <v>170</v>
      </c>
      <c r="R67" s="979" t="s">
        <v>134</v>
      </c>
      <c r="S67" s="980" t="s">
        <v>171</v>
      </c>
      <c r="T67" s="110"/>
      <c r="U67" s="110"/>
    </row>
    <row r="68">
      <c r="A68" s="933"/>
      <c r="B68" s="1025" t="s">
        <v>174</v>
      </c>
      <c r="C68" s="1026">
        <v>164.0</v>
      </c>
      <c r="D68" s="131">
        <v>9.04</v>
      </c>
      <c r="E68" s="110"/>
      <c r="F68" s="110"/>
      <c r="G68" s="1027" t="s">
        <v>173</v>
      </c>
      <c r="H68" s="1028">
        <v>160.0</v>
      </c>
      <c r="I68" s="173">
        <v>8.19</v>
      </c>
      <c r="J68" s="110"/>
      <c r="K68" s="110"/>
      <c r="L68" s="1029" t="s">
        <v>196</v>
      </c>
      <c r="M68" s="1030">
        <v>161.0</v>
      </c>
      <c r="N68" s="192">
        <v>1.707</v>
      </c>
      <c r="O68" s="110"/>
      <c r="P68" s="110"/>
      <c r="Q68" s="987" t="s">
        <v>174</v>
      </c>
      <c r="R68" s="988">
        <v>159.0</v>
      </c>
      <c r="S68" s="211">
        <v>10.9</v>
      </c>
      <c r="T68" s="110"/>
      <c r="U68" s="110"/>
    </row>
    <row r="69">
      <c r="A69" s="933"/>
      <c r="B69" s="1031"/>
      <c r="C69" s="29"/>
      <c r="D69" s="136"/>
      <c r="E69" s="110"/>
      <c r="F69" s="110"/>
      <c r="G69" s="1032"/>
      <c r="H69" s="29"/>
      <c r="I69" s="136"/>
      <c r="J69" s="110"/>
      <c r="K69" s="110"/>
      <c r="L69" s="1033"/>
      <c r="M69" s="29"/>
      <c r="N69" s="136"/>
      <c r="O69" s="110"/>
      <c r="P69" s="110"/>
      <c r="Q69" s="992"/>
      <c r="R69" s="29"/>
      <c r="S69" s="136"/>
      <c r="T69" s="110"/>
      <c r="U69" s="110"/>
    </row>
    <row r="70">
      <c r="A70" s="933"/>
      <c r="B70" s="1018"/>
      <c r="C70" s="1007"/>
      <c r="D70" s="1003"/>
      <c r="E70" s="110" t="s">
        <v>549</v>
      </c>
      <c r="F70" s="997"/>
      <c r="G70" s="998" t="s">
        <v>198</v>
      </c>
      <c r="H70" s="994" t="s">
        <v>175</v>
      </c>
      <c r="I70" s="995" t="s">
        <v>571</v>
      </c>
      <c r="J70" s="996">
        <v>0.05</v>
      </c>
      <c r="K70" s="997"/>
      <c r="L70" s="1035" t="s">
        <v>215</v>
      </c>
      <c r="M70" s="1007" t="s">
        <v>174</v>
      </c>
      <c r="N70" s="1003" t="s">
        <v>561</v>
      </c>
      <c r="O70" s="110">
        <v>0.12</v>
      </c>
      <c r="P70" s="110"/>
      <c r="Q70" s="1006" t="s">
        <v>231</v>
      </c>
      <c r="R70" s="1007" t="s">
        <v>180</v>
      </c>
      <c r="S70" s="1003" t="s">
        <v>572</v>
      </c>
      <c r="T70" s="110">
        <v>7.0</v>
      </c>
      <c r="U70" s="110"/>
    </row>
    <row r="71">
      <c r="A71" s="933"/>
      <c r="B71" s="1018"/>
      <c r="C71" s="1007"/>
      <c r="D71" s="1003"/>
      <c r="E71" s="110" t="s">
        <v>549</v>
      </c>
      <c r="F71" s="997"/>
      <c r="G71" s="998" t="s">
        <v>201</v>
      </c>
      <c r="H71" s="994" t="s">
        <v>175</v>
      </c>
      <c r="I71" s="995" t="s">
        <v>573</v>
      </c>
      <c r="J71" s="996">
        <v>0.4</v>
      </c>
      <c r="K71" s="997"/>
      <c r="L71" s="1035" t="s">
        <v>216</v>
      </c>
      <c r="M71" s="1007" t="s">
        <v>174</v>
      </c>
      <c r="N71" s="1003" t="s">
        <v>557</v>
      </c>
      <c r="O71" s="110">
        <v>0.08</v>
      </c>
      <c r="P71" s="110"/>
      <c r="Q71" s="1006" t="s">
        <v>235</v>
      </c>
      <c r="R71" s="1007" t="s">
        <v>180</v>
      </c>
      <c r="S71" s="1003" t="s">
        <v>564</v>
      </c>
      <c r="T71" s="110">
        <v>15.0</v>
      </c>
      <c r="U71" s="110"/>
    </row>
    <row r="72">
      <c r="A72" s="933"/>
      <c r="B72" s="1018"/>
      <c r="C72" s="1007"/>
      <c r="D72" s="1003"/>
      <c r="E72" s="110" t="s">
        <v>549</v>
      </c>
      <c r="F72" s="997"/>
      <c r="G72" s="998" t="s">
        <v>199</v>
      </c>
      <c r="H72" s="994" t="s">
        <v>175</v>
      </c>
      <c r="I72" s="995" t="s">
        <v>574</v>
      </c>
      <c r="J72" s="996">
        <v>1.0</v>
      </c>
      <c r="K72" s="997"/>
      <c r="L72" s="1035" t="s">
        <v>213</v>
      </c>
      <c r="M72" s="1007" t="s">
        <v>174</v>
      </c>
      <c r="N72" s="1003" t="s">
        <v>575</v>
      </c>
      <c r="O72" s="110">
        <v>0.6</v>
      </c>
      <c r="P72" s="110"/>
      <c r="Q72" s="1006" t="s">
        <v>234</v>
      </c>
      <c r="R72" s="1007" t="s">
        <v>176</v>
      </c>
      <c r="S72" s="1003" t="s">
        <v>576</v>
      </c>
      <c r="T72" s="110">
        <v>3.0</v>
      </c>
      <c r="U72" s="110"/>
    </row>
    <row r="73">
      <c r="A73" s="933"/>
      <c r="B73" s="1018"/>
      <c r="C73" s="1007"/>
      <c r="D73" s="1003"/>
      <c r="E73" s="110" t="s">
        <v>549</v>
      </c>
      <c r="F73" s="997"/>
      <c r="G73" s="998"/>
      <c r="H73" s="994"/>
      <c r="I73" s="995"/>
      <c r="J73" s="996" t="s">
        <v>549</v>
      </c>
      <c r="K73" s="997"/>
      <c r="L73" s="1035" t="s">
        <v>217</v>
      </c>
      <c r="M73" s="1007" t="s">
        <v>174</v>
      </c>
      <c r="N73" s="1003" t="s">
        <v>557</v>
      </c>
      <c r="O73" s="110">
        <v>0.08</v>
      </c>
      <c r="P73" s="110"/>
      <c r="Q73" s="1006" t="s">
        <v>230</v>
      </c>
      <c r="R73" s="1007" t="s">
        <v>239</v>
      </c>
      <c r="S73" s="1003" t="s">
        <v>554</v>
      </c>
      <c r="T73" s="110">
        <v>0.04</v>
      </c>
      <c r="U73" s="110"/>
    </row>
    <row r="74">
      <c r="A74" s="933"/>
      <c r="B74" s="1018"/>
      <c r="C74" s="1007"/>
      <c r="D74" s="1003"/>
      <c r="E74" s="110" t="s">
        <v>549</v>
      </c>
      <c r="F74" s="997"/>
      <c r="G74" s="998"/>
      <c r="H74" s="994"/>
      <c r="I74" s="995"/>
      <c r="J74" s="996" t="s">
        <v>549</v>
      </c>
      <c r="K74" s="997"/>
      <c r="L74" s="1035" t="s">
        <v>214</v>
      </c>
      <c r="M74" s="1007" t="s">
        <v>176</v>
      </c>
      <c r="N74" s="1003" t="s">
        <v>571</v>
      </c>
      <c r="O74" s="110">
        <v>0.05</v>
      </c>
      <c r="P74" s="110"/>
      <c r="Q74" s="1006"/>
      <c r="R74" s="1007"/>
      <c r="S74" s="1003"/>
      <c r="T74" s="110" t="s">
        <v>549</v>
      </c>
      <c r="U74" s="110"/>
    </row>
    <row r="75">
      <c r="A75" s="933"/>
      <c r="B75" s="1018"/>
      <c r="C75" s="1007"/>
      <c r="D75" s="1003"/>
      <c r="E75" s="110" t="s">
        <v>549</v>
      </c>
      <c r="F75" s="997"/>
      <c r="G75" s="998"/>
      <c r="H75" s="994"/>
      <c r="I75" s="995"/>
      <c r="J75" s="996" t="s">
        <v>549</v>
      </c>
      <c r="K75" s="997"/>
      <c r="L75" s="1035"/>
      <c r="M75" s="1007"/>
      <c r="N75" s="1003"/>
      <c r="O75" s="110" t="s">
        <v>549</v>
      </c>
      <c r="P75" s="110"/>
      <c r="Q75" s="1006"/>
      <c r="R75" s="1007"/>
      <c r="S75" s="1003"/>
      <c r="T75" s="110" t="s">
        <v>549</v>
      </c>
      <c r="U75" s="110"/>
    </row>
    <row r="76">
      <c r="A76" s="933"/>
      <c r="B76" s="1018"/>
      <c r="C76" s="1007"/>
      <c r="D76" s="1003"/>
      <c r="E76" s="110" t="s">
        <v>549</v>
      </c>
      <c r="F76" s="997"/>
      <c r="G76" s="1034"/>
      <c r="H76" s="994"/>
      <c r="I76" s="1003"/>
      <c r="J76" s="110" t="s">
        <v>549</v>
      </c>
      <c r="K76" s="997"/>
      <c r="L76" s="1035"/>
      <c r="M76" s="1007"/>
      <c r="N76" s="1003"/>
      <c r="O76" s="110" t="s">
        <v>549</v>
      </c>
      <c r="P76" s="110"/>
      <c r="Q76" s="1006"/>
      <c r="R76" s="1007"/>
      <c r="S76" s="1003"/>
      <c r="T76" s="110" t="s">
        <v>549</v>
      </c>
      <c r="U76" s="110"/>
    </row>
    <row r="77">
      <c r="A77" s="933"/>
      <c r="B77" s="1036"/>
      <c r="C77" s="1014"/>
      <c r="D77" s="1010"/>
      <c r="E77" s="110" t="s">
        <v>549</v>
      </c>
      <c r="F77" s="997"/>
      <c r="G77" s="1037"/>
      <c r="H77" s="994"/>
      <c r="I77" s="1010"/>
      <c r="J77" s="110" t="s">
        <v>549</v>
      </c>
      <c r="K77" s="997"/>
      <c r="L77" s="1038"/>
      <c r="M77" s="1014"/>
      <c r="N77" s="1010"/>
      <c r="O77" s="110" t="s">
        <v>549</v>
      </c>
      <c r="P77" s="110"/>
      <c r="Q77" s="1013"/>
      <c r="R77" s="1014"/>
      <c r="S77" s="1010"/>
      <c r="T77" s="110" t="s">
        <v>549</v>
      </c>
      <c r="U77" s="110"/>
    </row>
    <row r="78">
      <c r="A78" s="933"/>
      <c r="B78" s="1016"/>
      <c r="C78" s="1016"/>
      <c r="D78" s="1016"/>
      <c r="E78" s="1016"/>
      <c r="F78" s="1017"/>
      <c r="G78" s="110"/>
      <c r="H78" s="110"/>
      <c r="I78" s="110"/>
      <c r="J78" s="110"/>
      <c r="K78" s="1017"/>
      <c r="L78" s="110"/>
      <c r="M78" s="110"/>
      <c r="N78" s="110"/>
      <c r="O78" s="110"/>
      <c r="P78" s="110"/>
      <c r="Q78" s="110"/>
      <c r="R78" s="110"/>
      <c r="S78" s="110"/>
      <c r="T78" s="1017"/>
      <c r="U78" s="1017"/>
    </row>
    <row r="79">
      <c r="A79" s="933"/>
      <c r="B79" s="975" t="str">
        <f t="array" ref="B79:E90">Inventory!Z3:AC14</f>
        <v>Shrink Ray</v>
      </c>
      <c r="C79" s="120"/>
      <c r="D79" s="121"/>
      <c r="E79" s="110"/>
      <c r="F79" s="110"/>
      <c r="G79" s="976" t="str">
        <f t="array" ref="G79:J90">Inventory!Z16:AC27</f>
        <v>Sharp Fortitude</v>
      </c>
      <c r="H79" s="120"/>
      <c r="I79" s="121"/>
      <c r="J79" s="110"/>
      <c r="K79" s="110"/>
      <c r="L79" s="977" t="str">
        <f t="array" ref="L79:O90">Inventory!Z29:AC40</f>
        <v>Project Funding</v>
      </c>
      <c r="M79" s="120"/>
      <c r="N79" s="121"/>
      <c r="O79" s="110"/>
      <c r="P79" s="110"/>
      <c r="Q79" s="803" t="str">
        <f t="array" ref="Q79:T90">Inventory!Z42:AC53</f>
        <v>Magnetic Hook</v>
      </c>
      <c r="R79" s="120"/>
      <c r="S79" s="121"/>
      <c r="T79" s="110"/>
      <c r="U79" s="110"/>
    </row>
    <row r="80">
      <c r="A80" s="933"/>
      <c r="B80" s="1019" t="s">
        <v>170</v>
      </c>
      <c r="C80" s="1019" t="s">
        <v>134</v>
      </c>
      <c r="D80" s="1020" t="s">
        <v>171</v>
      </c>
      <c r="E80" s="110"/>
      <c r="F80" s="110"/>
      <c r="G80" s="1021" t="s">
        <v>170</v>
      </c>
      <c r="H80" s="1021" t="s">
        <v>134</v>
      </c>
      <c r="I80" s="1022" t="s">
        <v>171</v>
      </c>
      <c r="J80" s="110"/>
      <c r="K80" s="110"/>
      <c r="L80" s="1023" t="s">
        <v>170</v>
      </c>
      <c r="M80" s="1023" t="s">
        <v>134</v>
      </c>
      <c r="N80" s="1024" t="s">
        <v>171</v>
      </c>
      <c r="O80" s="110"/>
      <c r="P80" s="110"/>
      <c r="Q80" s="978" t="s">
        <v>170</v>
      </c>
      <c r="R80" s="979" t="s">
        <v>134</v>
      </c>
      <c r="S80" s="980" t="s">
        <v>171</v>
      </c>
      <c r="T80" s="110"/>
      <c r="U80" s="110"/>
    </row>
    <row r="81">
      <c r="A81" s="933"/>
      <c r="B81" s="1025" t="s">
        <v>175</v>
      </c>
      <c r="C81" s="1026">
        <v>100.0</v>
      </c>
      <c r="D81" s="131">
        <v>2.27</v>
      </c>
      <c r="E81" s="110"/>
      <c r="F81" s="110"/>
      <c r="G81" s="1027" t="s">
        <v>174</v>
      </c>
      <c r="H81" s="1028">
        <v>163.0</v>
      </c>
      <c r="I81" s="173">
        <v>8.84</v>
      </c>
      <c r="J81" s="110"/>
      <c r="K81" s="110"/>
      <c r="L81" s="1029" t="s">
        <v>173</v>
      </c>
      <c r="M81" s="1030">
        <v>160.0</v>
      </c>
      <c r="N81" s="192">
        <v>1.665</v>
      </c>
      <c r="O81" s="110"/>
      <c r="P81" s="110"/>
      <c r="Q81" s="987" t="s">
        <v>174</v>
      </c>
      <c r="R81" s="988">
        <v>159.0</v>
      </c>
      <c r="S81" s="211">
        <v>10.9</v>
      </c>
      <c r="T81" s="110"/>
      <c r="U81" s="110"/>
    </row>
    <row r="82">
      <c r="A82" s="933"/>
      <c r="B82" s="1031"/>
      <c r="C82" s="29"/>
      <c r="D82" s="136"/>
      <c r="E82" s="110"/>
      <c r="F82" s="110"/>
      <c r="G82" s="1032"/>
      <c r="H82" s="29"/>
      <c r="I82" s="136"/>
      <c r="J82" s="110"/>
      <c r="K82" s="110"/>
      <c r="L82" s="1033"/>
      <c r="M82" s="29"/>
      <c r="N82" s="136"/>
      <c r="O82" s="110"/>
      <c r="P82" s="110"/>
      <c r="Q82" s="992"/>
      <c r="R82" s="29"/>
      <c r="S82" s="136"/>
      <c r="T82" s="110"/>
      <c r="U82" s="110"/>
    </row>
    <row r="83">
      <c r="A83" s="933"/>
      <c r="B83" s="1018"/>
      <c r="C83" s="1007"/>
      <c r="D83" s="1003"/>
      <c r="E83" s="110" t="s">
        <v>549</v>
      </c>
      <c r="F83" s="110"/>
      <c r="G83" s="998" t="s">
        <v>199</v>
      </c>
      <c r="H83" s="994" t="s">
        <v>174</v>
      </c>
      <c r="I83" s="995" t="s">
        <v>577</v>
      </c>
      <c r="J83" s="996">
        <v>4.0</v>
      </c>
      <c r="K83" s="110"/>
      <c r="L83" s="999" t="s">
        <v>216</v>
      </c>
      <c r="M83" s="994" t="s">
        <v>180</v>
      </c>
      <c r="N83" s="995" t="s">
        <v>569</v>
      </c>
      <c r="O83" s="996">
        <v>0.06</v>
      </c>
      <c r="P83" s="110"/>
      <c r="Q83" s="1006"/>
      <c r="R83" s="1007"/>
      <c r="S83" s="1003"/>
      <c r="T83" s="110" t="s">
        <v>549</v>
      </c>
      <c r="U83" s="110"/>
    </row>
    <row r="84">
      <c r="A84" s="933"/>
      <c r="B84" s="1018"/>
      <c r="C84" s="1007"/>
      <c r="D84" s="1003"/>
      <c r="E84" s="110" t="s">
        <v>549</v>
      </c>
      <c r="F84" s="110"/>
      <c r="G84" s="998" t="s">
        <v>202</v>
      </c>
      <c r="H84" s="994" t="s">
        <v>180</v>
      </c>
      <c r="I84" s="995" t="s">
        <v>578</v>
      </c>
      <c r="J84" s="996">
        <v>0.9</v>
      </c>
      <c r="K84" s="110"/>
      <c r="L84" s="1039" t="s">
        <v>217</v>
      </c>
      <c r="M84" s="994" t="s">
        <v>180</v>
      </c>
      <c r="N84" s="995" t="s">
        <v>569</v>
      </c>
      <c r="O84" s="996">
        <v>0.06</v>
      </c>
      <c r="P84" s="110"/>
      <c r="Q84" s="1006"/>
      <c r="R84" s="1007"/>
      <c r="S84" s="1003"/>
      <c r="T84" s="110" t="s">
        <v>549</v>
      </c>
      <c r="U84" s="110"/>
    </row>
    <row r="85">
      <c r="A85" s="933"/>
      <c r="B85" s="1018"/>
      <c r="C85" s="1007"/>
      <c r="D85" s="1003"/>
      <c r="E85" s="110" t="s">
        <v>549</v>
      </c>
      <c r="F85" s="110"/>
      <c r="G85" s="998" t="s">
        <v>198</v>
      </c>
      <c r="H85" s="994" t="s">
        <v>174</v>
      </c>
      <c r="I85" s="995" t="s">
        <v>557</v>
      </c>
      <c r="J85" s="996">
        <v>0.08</v>
      </c>
      <c r="K85" s="110"/>
      <c r="L85" s="1039" t="s">
        <v>215</v>
      </c>
      <c r="M85" s="994" t="s">
        <v>180</v>
      </c>
      <c r="N85" s="995" t="s">
        <v>567</v>
      </c>
      <c r="O85" s="996">
        <v>0.1</v>
      </c>
      <c r="P85" s="110"/>
      <c r="Q85" s="1006"/>
      <c r="R85" s="1007"/>
      <c r="S85" s="1003"/>
      <c r="T85" s="110" t="s">
        <v>549</v>
      </c>
      <c r="U85" s="110"/>
    </row>
    <row r="86">
      <c r="A86" s="933"/>
      <c r="B86" s="1018"/>
      <c r="C86" s="1007"/>
      <c r="D86" s="1003"/>
      <c r="E86" s="110" t="s">
        <v>549</v>
      </c>
      <c r="F86" s="110"/>
      <c r="G86" s="998" t="s">
        <v>201</v>
      </c>
      <c r="H86" s="994" t="s">
        <v>174</v>
      </c>
      <c r="I86" s="995" t="s">
        <v>579</v>
      </c>
      <c r="J86" s="996">
        <v>1.2</v>
      </c>
      <c r="K86" s="110"/>
      <c r="L86" s="1039" t="s">
        <v>218</v>
      </c>
      <c r="M86" s="994" t="s">
        <v>176</v>
      </c>
      <c r="N86" s="995" t="s">
        <v>569</v>
      </c>
      <c r="O86" s="996">
        <v>0.06</v>
      </c>
      <c r="P86" s="110"/>
      <c r="Q86" s="1006"/>
      <c r="R86" s="1007"/>
      <c r="S86" s="1003"/>
      <c r="T86" s="110" t="s">
        <v>549</v>
      </c>
      <c r="U86" s="110"/>
    </row>
    <row r="87">
      <c r="A87" s="933"/>
      <c r="B87" s="1018"/>
      <c r="C87" s="1007"/>
      <c r="D87" s="1003"/>
      <c r="E87" s="110" t="s">
        <v>549</v>
      </c>
      <c r="F87" s="110"/>
      <c r="G87" s="998" t="s">
        <v>204</v>
      </c>
      <c r="H87" s="994" t="s">
        <v>174</v>
      </c>
      <c r="I87" s="995" t="s">
        <v>567</v>
      </c>
      <c r="J87" s="996">
        <v>0.1</v>
      </c>
      <c r="K87" s="110"/>
      <c r="L87" s="1039" t="s">
        <v>214</v>
      </c>
      <c r="M87" s="994" t="s">
        <v>180</v>
      </c>
      <c r="N87" s="995" t="s">
        <v>570</v>
      </c>
      <c r="O87" s="996">
        <v>0.11</v>
      </c>
      <c r="P87" s="110"/>
      <c r="Q87" s="1006"/>
      <c r="R87" s="1007"/>
      <c r="S87" s="1003"/>
      <c r="T87" s="110" t="s">
        <v>549</v>
      </c>
      <c r="U87" s="110"/>
    </row>
    <row r="88">
      <c r="A88" s="933"/>
      <c r="B88" s="1018"/>
      <c r="C88" s="1007"/>
      <c r="D88" s="1003"/>
      <c r="E88" s="110" t="s">
        <v>549</v>
      </c>
      <c r="F88" s="110"/>
      <c r="G88" s="998" t="s">
        <v>197</v>
      </c>
      <c r="H88" s="994" t="s">
        <v>176</v>
      </c>
      <c r="I88" s="995" t="s">
        <v>552</v>
      </c>
      <c r="J88" s="996">
        <v>1.0</v>
      </c>
      <c r="K88" s="110"/>
      <c r="L88" s="1039"/>
      <c r="M88" s="994"/>
      <c r="N88" s="995"/>
      <c r="O88" s="996" t="s">
        <v>549</v>
      </c>
      <c r="P88" s="110"/>
      <c r="Q88" s="1006"/>
      <c r="R88" s="1007"/>
      <c r="S88" s="1003"/>
      <c r="T88" s="110" t="s">
        <v>549</v>
      </c>
      <c r="U88" s="110"/>
    </row>
    <row r="89">
      <c r="A89" s="933"/>
      <c r="B89" s="1018"/>
      <c r="C89" s="1007"/>
      <c r="D89" s="1003"/>
      <c r="E89" s="110" t="s">
        <v>549</v>
      </c>
      <c r="F89" s="110"/>
      <c r="G89" s="1034"/>
      <c r="H89" s="994"/>
      <c r="I89" s="1003"/>
      <c r="J89" s="110" t="s">
        <v>549</v>
      </c>
      <c r="K89" s="110"/>
      <c r="L89" s="1035"/>
      <c r="M89" s="994"/>
      <c r="N89" s="1003"/>
      <c r="O89" s="110" t="s">
        <v>549</v>
      </c>
      <c r="P89" s="110"/>
      <c r="Q89" s="1006"/>
      <c r="R89" s="1007"/>
      <c r="S89" s="1003"/>
      <c r="T89" s="110" t="s">
        <v>549</v>
      </c>
      <c r="U89" s="110"/>
    </row>
    <row r="90">
      <c r="A90" s="933"/>
      <c r="B90" s="1036"/>
      <c r="C90" s="1014"/>
      <c r="D90" s="1010"/>
      <c r="E90" s="110" t="s">
        <v>549</v>
      </c>
      <c r="F90" s="110"/>
      <c r="G90" s="1037"/>
      <c r="H90" s="994"/>
      <c r="I90" s="1010"/>
      <c r="J90" s="110" t="s">
        <v>549</v>
      </c>
      <c r="K90" s="110"/>
      <c r="L90" s="1038"/>
      <c r="M90" s="994"/>
      <c r="N90" s="1010"/>
      <c r="O90" s="110" t="s">
        <v>549</v>
      </c>
      <c r="P90" s="110"/>
      <c r="Q90" s="1013"/>
      <c r="R90" s="1014"/>
      <c r="S90" s="1010"/>
      <c r="T90" s="110" t="s">
        <v>549</v>
      </c>
      <c r="U90" s="110"/>
    </row>
    <row r="91">
      <c r="A91" s="933"/>
      <c r="B91" s="1016"/>
      <c r="C91" s="1016"/>
      <c r="D91" s="1016"/>
      <c r="E91" s="110"/>
      <c r="F91" s="110"/>
      <c r="G91" s="110"/>
      <c r="H91" s="110"/>
      <c r="I91" s="110"/>
      <c r="J91" s="110"/>
      <c r="K91" s="110"/>
      <c r="L91" s="110"/>
      <c r="M91" s="110"/>
      <c r="N91" s="110"/>
      <c r="O91" s="110"/>
      <c r="P91" s="110"/>
      <c r="Q91" s="110"/>
      <c r="R91" s="110"/>
      <c r="S91" s="110"/>
      <c r="T91" s="110"/>
      <c r="U91" s="110"/>
    </row>
    <row r="92">
      <c r="A92" s="933"/>
      <c r="B92" s="975" t="str">
        <f t="array" ref="B92:E103">Inventory!AE3:AH14</f>
        <v>Amplifying Strike</v>
      </c>
      <c r="C92" s="120"/>
      <c r="D92" s="121"/>
      <c r="E92" s="110"/>
      <c r="F92" s="110"/>
      <c r="G92" s="976" t="str">
        <f t="array" ref="G92:J103">Inventory!AE16:AH27</f>
        <v>Orbital Augment</v>
      </c>
      <c r="H92" s="120"/>
      <c r="I92" s="121"/>
      <c r="J92" s="110"/>
      <c r="K92" s="110"/>
      <c r="L92" s="977" t="str">
        <f t="array" ref="L92:O103">Inventory!AE29:AH40</f>
        <v>Restorative Bonus</v>
      </c>
      <c r="M92" s="120"/>
      <c r="N92" s="121"/>
      <c r="O92" s="110"/>
      <c r="P92" s="110"/>
      <c r="Q92" s="803" t="str">
        <f t="array" ref="Q92:T103">Inventory!AE42:AH53</f>
        <v>Primordial Collapse</v>
      </c>
      <c r="R92" s="120"/>
      <c r="S92" s="121"/>
      <c r="T92" s="110"/>
      <c r="U92" s="110"/>
    </row>
    <row r="93">
      <c r="A93" s="933"/>
      <c r="B93" s="1019" t="s">
        <v>170</v>
      </c>
      <c r="C93" s="1019" t="s">
        <v>134</v>
      </c>
      <c r="D93" s="1020" t="s">
        <v>171</v>
      </c>
      <c r="E93" s="110"/>
      <c r="F93" s="110"/>
      <c r="G93" s="1021" t="s">
        <v>170</v>
      </c>
      <c r="H93" s="1021" t="s">
        <v>134</v>
      </c>
      <c r="I93" s="1022" t="s">
        <v>171</v>
      </c>
      <c r="J93" s="110"/>
      <c r="K93" s="110"/>
      <c r="L93" s="1023" t="s">
        <v>170</v>
      </c>
      <c r="M93" s="1023" t="s">
        <v>134</v>
      </c>
      <c r="N93" s="1024" t="s">
        <v>171</v>
      </c>
      <c r="O93" s="110"/>
      <c r="P93" s="110"/>
      <c r="Q93" s="978" t="s">
        <v>170</v>
      </c>
      <c r="R93" s="979" t="s">
        <v>134</v>
      </c>
      <c r="S93" s="980" t="s">
        <v>171</v>
      </c>
      <c r="T93" s="110"/>
      <c r="U93" s="110"/>
    </row>
    <row r="94">
      <c r="A94" s="933"/>
      <c r="B94" s="1025" t="s">
        <v>174</v>
      </c>
      <c r="C94" s="1026">
        <v>164.0</v>
      </c>
      <c r="D94" s="131">
        <v>9.04</v>
      </c>
      <c r="E94" s="110"/>
      <c r="F94" s="110"/>
      <c r="G94" s="1027" t="s">
        <v>196</v>
      </c>
      <c r="H94" s="1028">
        <v>163.0</v>
      </c>
      <c r="I94" s="173">
        <v>9.154</v>
      </c>
      <c r="J94" s="110"/>
      <c r="K94" s="110"/>
      <c r="L94" s="1029" t="s">
        <v>173</v>
      </c>
      <c r="M94" s="1030">
        <v>160.0</v>
      </c>
      <c r="N94" s="192">
        <v>1.665</v>
      </c>
      <c r="O94" s="110"/>
      <c r="P94" s="110"/>
      <c r="Q94" s="987" t="s">
        <v>195</v>
      </c>
      <c r="R94" s="988">
        <v>159.0</v>
      </c>
      <c r="S94" s="211">
        <v>11.692</v>
      </c>
      <c r="T94" s="110"/>
      <c r="U94" s="110"/>
    </row>
    <row r="95">
      <c r="A95" s="933"/>
      <c r="B95" s="1031"/>
      <c r="C95" s="29"/>
      <c r="D95" s="136"/>
      <c r="E95" s="110"/>
      <c r="F95" s="110"/>
      <c r="G95" s="1032"/>
      <c r="H95" s="29"/>
      <c r="I95" s="136"/>
      <c r="J95" s="110"/>
      <c r="K95" s="110"/>
      <c r="L95" s="1033"/>
      <c r="M95" s="29"/>
      <c r="N95" s="136"/>
      <c r="O95" s="110"/>
      <c r="P95" s="110"/>
      <c r="Q95" s="992"/>
      <c r="R95" s="29"/>
      <c r="S95" s="136"/>
      <c r="T95" s="110"/>
      <c r="U95" s="110"/>
    </row>
    <row r="96">
      <c r="A96" s="933"/>
      <c r="B96" s="1018" t="s">
        <v>182</v>
      </c>
      <c r="C96" s="1007" t="s">
        <v>180</v>
      </c>
      <c r="D96" s="1003" t="s">
        <v>565</v>
      </c>
      <c r="E96" s="110">
        <v>0.09</v>
      </c>
      <c r="F96" s="110"/>
      <c r="G96" s="998" t="s">
        <v>198</v>
      </c>
      <c r="H96" s="994" t="s">
        <v>174</v>
      </c>
      <c r="I96" s="995" t="s">
        <v>557</v>
      </c>
      <c r="J96" s="996">
        <v>0.08</v>
      </c>
      <c r="K96" s="110"/>
      <c r="L96" s="999" t="s">
        <v>217</v>
      </c>
      <c r="M96" s="994" t="s">
        <v>180</v>
      </c>
      <c r="N96" s="995" t="s">
        <v>569</v>
      </c>
      <c r="O96" s="110">
        <v>0.06</v>
      </c>
      <c r="P96" s="110"/>
      <c r="Q96" s="1006" t="s">
        <v>232</v>
      </c>
      <c r="R96" s="1007" t="s">
        <v>174</v>
      </c>
      <c r="S96" s="1003" t="s">
        <v>580</v>
      </c>
      <c r="T96" s="110">
        <v>4.0</v>
      </c>
      <c r="U96" s="110"/>
    </row>
    <row r="97">
      <c r="A97" s="933"/>
      <c r="B97" s="1018" t="s">
        <v>179</v>
      </c>
      <c r="C97" s="1007" t="s">
        <v>180</v>
      </c>
      <c r="D97" s="1003" t="s">
        <v>560</v>
      </c>
      <c r="E97" s="110">
        <v>3.0</v>
      </c>
      <c r="F97" s="110"/>
      <c r="G97" s="998" t="s">
        <v>199</v>
      </c>
      <c r="H97" s="994" t="s">
        <v>174</v>
      </c>
      <c r="I97" s="995" t="s">
        <v>577</v>
      </c>
      <c r="J97" s="996">
        <v>4.0</v>
      </c>
      <c r="K97" s="110"/>
      <c r="L97" s="1039" t="s">
        <v>216</v>
      </c>
      <c r="M97" s="994" t="s">
        <v>180</v>
      </c>
      <c r="N97" s="995" t="s">
        <v>569</v>
      </c>
      <c r="O97" s="110">
        <v>0.06</v>
      </c>
      <c r="P97" s="110"/>
      <c r="Q97" s="1006" t="s">
        <v>236</v>
      </c>
      <c r="R97" s="1007" t="s">
        <v>174</v>
      </c>
      <c r="S97" s="1003" t="s">
        <v>581</v>
      </c>
      <c r="T97" s="110">
        <v>-4.0</v>
      </c>
      <c r="U97" s="110"/>
    </row>
    <row r="98">
      <c r="A98" s="933"/>
      <c r="B98" s="1018" t="s">
        <v>183</v>
      </c>
      <c r="C98" s="1007" t="s">
        <v>174</v>
      </c>
      <c r="D98" s="1003" t="s">
        <v>582</v>
      </c>
      <c r="E98" s="110">
        <v>4.0</v>
      </c>
      <c r="F98" s="110"/>
      <c r="G98" s="998" t="s">
        <v>201</v>
      </c>
      <c r="H98" s="994" t="s">
        <v>174</v>
      </c>
      <c r="I98" s="995" t="s">
        <v>579</v>
      </c>
      <c r="J98" s="996">
        <v>1.2</v>
      </c>
      <c r="K98" s="110"/>
      <c r="L98" s="1039" t="s">
        <v>215</v>
      </c>
      <c r="M98" s="994" t="s">
        <v>175</v>
      </c>
      <c r="N98" s="995" t="s">
        <v>557</v>
      </c>
      <c r="O98" s="110">
        <v>0.08</v>
      </c>
      <c r="P98" s="110"/>
      <c r="Q98" s="1006" t="s">
        <v>229</v>
      </c>
      <c r="R98" s="1007" t="s">
        <v>180</v>
      </c>
      <c r="S98" s="1003" t="s">
        <v>583</v>
      </c>
      <c r="T98" s="110">
        <v>2.0</v>
      </c>
      <c r="U98" s="110"/>
    </row>
    <row r="99">
      <c r="A99" s="933"/>
      <c r="B99" s="1018" t="s">
        <v>184</v>
      </c>
      <c r="C99" s="1007" t="s">
        <v>174</v>
      </c>
      <c r="D99" s="1003" t="s">
        <v>564</v>
      </c>
      <c r="E99" s="110">
        <v>15.0</v>
      </c>
      <c r="F99" s="110"/>
      <c r="G99" s="998" t="s">
        <v>204</v>
      </c>
      <c r="H99" s="994" t="s">
        <v>174</v>
      </c>
      <c r="I99" s="995" t="s">
        <v>567</v>
      </c>
      <c r="J99" s="996">
        <v>0.1</v>
      </c>
      <c r="K99" s="110"/>
      <c r="L99" s="1039" t="s">
        <v>214</v>
      </c>
      <c r="M99" s="994" t="s">
        <v>180</v>
      </c>
      <c r="N99" s="995" t="s">
        <v>570</v>
      </c>
      <c r="O99" s="110">
        <v>0.11</v>
      </c>
      <c r="P99" s="110"/>
      <c r="Q99" s="1006" t="s">
        <v>234</v>
      </c>
      <c r="R99" s="1007" t="s">
        <v>174</v>
      </c>
      <c r="S99" s="1003" t="s">
        <v>584</v>
      </c>
      <c r="T99" s="110">
        <v>15.0</v>
      </c>
      <c r="U99" s="110"/>
    </row>
    <row r="100">
      <c r="A100" s="933"/>
      <c r="B100" s="1018" t="s">
        <v>186</v>
      </c>
      <c r="C100" s="1007" t="s">
        <v>180</v>
      </c>
      <c r="D100" s="1003" t="s">
        <v>585</v>
      </c>
      <c r="E100" s="110">
        <v>5.0</v>
      </c>
      <c r="F100" s="110"/>
      <c r="G100" s="998"/>
      <c r="H100" s="994"/>
      <c r="I100" s="995"/>
      <c r="J100" s="996" t="s">
        <v>549</v>
      </c>
      <c r="K100" s="110"/>
      <c r="L100" s="1039"/>
      <c r="M100" s="994"/>
      <c r="N100" s="995"/>
      <c r="O100" s="110" t="s">
        <v>549</v>
      </c>
      <c r="P100" s="110"/>
      <c r="Q100" s="1006"/>
      <c r="R100" s="1007"/>
      <c r="S100" s="1003"/>
      <c r="T100" s="110" t="s">
        <v>549</v>
      </c>
      <c r="U100" s="110"/>
    </row>
    <row r="101">
      <c r="A101" s="933"/>
      <c r="B101" s="1018"/>
      <c r="C101" s="1007"/>
      <c r="D101" s="1003"/>
      <c r="E101" s="110" t="s">
        <v>549</v>
      </c>
      <c r="F101" s="110"/>
      <c r="G101" s="998"/>
      <c r="H101" s="994"/>
      <c r="I101" s="995"/>
      <c r="J101" s="996" t="s">
        <v>549</v>
      </c>
      <c r="K101" s="110"/>
      <c r="L101" s="1039"/>
      <c r="M101" s="994"/>
      <c r="N101" s="995"/>
      <c r="O101" s="110" t="s">
        <v>549</v>
      </c>
      <c r="P101" s="110"/>
      <c r="Q101" s="1006"/>
      <c r="R101" s="1007"/>
      <c r="S101" s="1003"/>
      <c r="T101" s="110" t="s">
        <v>549</v>
      </c>
      <c r="U101" s="110"/>
    </row>
    <row r="102">
      <c r="A102" s="933"/>
      <c r="B102" s="1018"/>
      <c r="C102" s="1007"/>
      <c r="D102" s="1003"/>
      <c r="E102" s="110" t="s">
        <v>549</v>
      </c>
      <c r="F102" s="110"/>
      <c r="G102" s="1034"/>
      <c r="H102" s="994"/>
      <c r="I102" s="1003"/>
      <c r="J102" s="110" t="s">
        <v>549</v>
      </c>
      <c r="K102" s="110"/>
      <c r="L102" s="1035"/>
      <c r="M102" s="994"/>
      <c r="N102" s="1003"/>
      <c r="O102" s="110" t="s">
        <v>549</v>
      </c>
      <c r="P102" s="110"/>
      <c r="Q102" s="1006"/>
      <c r="R102" s="1007"/>
      <c r="S102" s="1003"/>
      <c r="T102" s="110" t="s">
        <v>549</v>
      </c>
      <c r="U102" s="110"/>
    </row>
    <row r="103">
      <c r="A103" s="933"/>
      <c r="B103" s="1036"/>
      <c r="C103" s="1014"/>
      <c r="D103" s="1010"/>
      <c r="E103" s="110" t="s">
        <v>549</v>
      </c>
      <c r="F103" s="110"/>
      <c r="G103" s="1037"/>
      <c r="H103" s="994"/>
      <c r="I103" s="1010"/>
      <c r="J103" s="110" t="s">
        <v>549</v>
      </c>
      <c r="K103" s="110"/>
      <c r="L103" s="1038"/>
      <c r="M103" s="994"/>
      <c r="N103" s="1010"/>
      <c r="O103" s="110" t="s">
        <v>549</v>
      </c>
      <c r="P103" s="110"/>
      <c r="Q103" s="1013"/>
      <c r="R103" s="1014"/>
      <c r="S103" s="1010"/>
      <c r="T103" s="110" t="s">
        <v>549</v>
      </c>
      <c r="U103" s="110"/>
    </row>
    <row r="104">
      <c r="A104" s="933"/>
      <c r="B104" s="1016"/>
      <c r="C104" s="1016"/>
      <c r="D104" s="1016"/>
      <c r="E104" s="110"/>
      <c r="F104" s="110"/>
      <c r="G104" s="110"/>
      <c r="H104" s="110"/>
      <c r="I104" s="110"/>
      <c r="J104" s="110"/>
      <c r="K104" s="110"/>
      <c r="L104" s="110"/>
      <c r="M104" s="110"/>
      <c r="N104" s="110"/>
      <c r="O104" s="110"/>
      <c r="P104" s="110"/>
      <c r="Q104" s="110"/>
      <c r="R104" s="110"/>
      <c r="S104" s="110"/>
      <c r="T104" s="110"/>
      <c r="U104" s="110"/>
    </row>
    <row r="105">
      <c r="A105" s="933"/>
      <c r="B105" s="975" t="str">
        <f t="array" ref="B105:E116">Inventory!AJ3:AM14</f>
        <v>Any Other</v>
      </c>
      <c r="C105" s="120"/>
      <c r="D105" s="121"/>
      <c r="E105" s="110"/>
      <c r="F105" s="110"/>
      <c r="G105" s="976" t="str">
        <f t="array" ref="G105:J116">Inventory!AJ16:AM27</f>
        <v>Any Other</v>
      </c>
      <c r="H105" s="120"/>
      <c r="I105" s="121"/>
      <c r="J105" s="110"/>
      <c r="K105" s="110"/>
      <c r="L105" s="977" t="str">
        <f t="array" ref="L105:O116">Inventory!AJ29:AM40</f>
        <v>Any Other</v>
      </c>
      <c r="M105" s="120"/>
      <c r="N105" s="121"/>
      <c r="O105" s="110"/>
      <c r="P105" s="110"/>
      <c r="Q105" s="803" t="str">
        <f t="array" ref="Q105:T116">Inventory!AJ42:AM53</f>
        <v>Any Other</v>
      </c>
      <c r="R105" s="120"/>
      <c r="S105" s="121"/>
      <c r="T105" s="110"/>
      <c r="U105" s="110"/>
    </row>
    <row r="106">
      <c r="A106" s="933"/>
      <c r="B106" s="1019" t="s">
        <v>170</v>
      </c>
      <c r="C106" s="1019" t="s">
        <v>134</v>
      </c>
      <c r="D106" s="1020" t="s">
        <v>171</v>
      </c>
      <c r="E106" s="110"/>
      <c r="F106" s="110"/>
      <c r="G106" s="1021" t="s">
        <v>170</v>
      </c>
      <c r="H106" s="1021" t="s">
        <v>134</v>
      </c>
      <c r="I106" s="1022" t="s">
        <v>171</v>
      </c>
      <c r="J106" s="110"/>
      <c r="K106" s="110"/>
      <c r="L106" s="1023" t="s">
        <v>170</v>
      </c>
      <c r="M106" s="1023" t="s">
        <v>134</v>
      </c>
      <c r="N106" s="1024" t="s">
        <v>171</v>
      </c>
      <c r="O106" s="110"/>
      <c r="P106" s="110"/>
      <c r="Q106" s="978" t="s">
        <v>170</v>
      </c>
      <c r="R106" s="979" t="s">
        <v>134</v>
      </c>
      <c r="S106" s="980" t="s">
        <v>171</v>
      </c>
      <c r="T106" s="110"/>
      <c r="U106" s="110"/>
    </row>
    <row r="107">
      <c r="A107" s="933"/>
      <c r="B107" s="1025" t="s">
        <v>176</v>
      </c>
      <c r="C107" s="1026">
        <v>60.0</v>
      </c>
      <c r="D107" s="131">
        <v>1.37</v>
      </c>
      <c r="E107" s="110"/>
      <c r="F107" s="110"/>
      <c r="G107" s="1027" t="s">
        <v>176</v>
      </c>
      <c r="H107" s="1028">
        <v>60.0</v>
      </c>
      <c r="I107" s="173">
        <v>1.37</v>
      </c>
      <c r="J107" s="110"/>
      <c r="K107" s="110"/>
      <c r="L107" s="1029" t="s">
        <v>175</v>
      </c>
      <c r="M107" s="1030">
        <v>100.0</v>
      </c>
      <c r="N107" s="192">
        <v>1.275</v>
      </c>
      <c r="O107" s="110"/>
      <c r="P107" s="110"/>
      <c r="Q107" s="987" t="s">
        <v>176</v>
      </c>
      <c r="R107" s="988">
        <v>60.0</v>
      </c>
      <c r="S107" s="211">
        <v>2.17</v>
      </c>
      <c r="T107" s="110"/>
      <c r="U107" s="110"/>
    </row>
    <row r="108">
      <c r="A108" s="933"/>
      <c r="B108" s="1031"/>
      <c r="C108" s="29"/>
      <c r="D108" s="136"/>
      <c r="E108" s="110"/>
      <c r="F108" s="110"/>
      <c r="G108" s="1032"/>
      <c r="H108" s="29"/>
      <c r="I108" s="136"/>
      <c r="J108" s="110"/>
      <c r="K108" s="110"/>
      <c r="L108" s="1033"/>
      <c r="M108" s="29"/>
      <c r="N108" s="136"/>
      <c r="O108" s="110"/>
      <c r="P108" s="110"/>
      <c r="Q108" s="992"/>
      <c r="R108" s="29"/>
      <c r="S108" s="136"/>
      <c r="T108" s="110"/>
      <c r="U108" s="110"/>
    </row>
    <row r="109">
      <c r="A109" s="933"/>
      <c r="B109" s="1018"/>
      <c r="C109" s="1007"/>
      <c r="D109" s="1003"/>
      <c r="E109" s="110" t="s">
        <v>549</v>
      </c>
      <c r="F109" s="110"/>
      <c r="G109" s="1034"/>
      <c r="H109" s="1007"/>
      <c r="I109" s="1003"/>
      <c r="J109" s="110" t="s">
        <v>549</v>
      </c>
      <c r="K109" s="110"/>
      <c r="L109" s="1035" t="s">
        <v>216</v>
      </c>
      <c r="M109" s="1007" t="s">
        <v>175</v>
      </c>
      <c r="N109" s="1003" t="s">
        <v>554</v>
      </c>
      <c r="O109" s="110">
        <v>0.04</v>
      </c>
      <c r="P109" s="110"/>
      <c r="Q109" s="1006"/>
      <c r="R109" s="1007"/>
      <c r="S109" s="1003"/>
      <c r="T109" s="110" t="s">
        <v>549</v>
      </c>
      <c r="U109" s="110"/>
    </row>
    <row r="110">
      <c r="A110" s="933"/>
      <c r="B110" s="1018"/>
      <c r="C110" s="1007"/>
      <c r="D110" s="1003"/>
      <c r="E110" s="110" t="s">
        <v>549</v>
      </c>
      <c r="F110" s="110"/>
      <c r="G110" s="1034"/>
      <c r="H110" s="1007"/>
      <c r="I110" s="1003"/>
      <c r="J110" s="110" t="s">
        <v>549</v>
      </c>
      <c r="K110" s="110"/>
      <c r="L110" s="1035" t="s">
        <v>213</v>
      </c>
      <c r="M110" s="1007" t="s">
        <v>176</v>
      </c>
      <c r="N110" s="1003" t="s">
        <v>586</v>
      </c>
      <c r="O110" s="110">
        <v>0.3</v>
      </c>
      <c r="P110" s="110"/>
      <c r="Q110" s="1006"/>
      <c r="R110" s="1007"/>
      <c r="S110" s="1003"/>
      <c r="T110" s="110" t="s">
        <v>549</v>
      </c>
      <c r="U110" s="110"/>
    </row>
    <row r="111">
      <c r="A111" s="933"/>
      <c r="B111" s="1018"/>
      <c r="C111" s="1007"/>
      <c r="D111" s="1003"/>
      <c r="E111" s="110" t="s">
        <v>549</v>
      </c>
      <c r="F111" s="110"/>
      <c r="G111" s="1034"/>
      <c r="H111" s="1007"/>
      <c r="I111" s="1003"/>
      <c r="J111" s="110" t="s">
        <v>549</v>
      </c>
      <c r="K111" s="110"/>
      <c r="L111" s="1035" t="s">
        <v>215</v>
      </c>
      <c r="M111" s="1007" t="s">
        <v>175</v>
      </c>
      <c r="N111" s="1003" t="s">
        <v>557</v>
      </c>
      <c r="O111" s="110">
        <v>0.08</v>
      </c>
      <c r="P111" s="110"/>
      <c r="Q111" s="1006"/>
      <c r="R111" s="1007"/>
      <c r="S111" s="1003"/>
      <c r="T111" s="110" t="s">
        <v>549</v>
      </c>
      <c r="U111" s="110"/>
    </row>
    <row r="112">
      <c r="A112" s="933"/>
      <c r="B112" s="1018"/>
      <c r="C112" s="1007"/>
      <c r="D112" s="1003"/>
      <c r="E112" s="110" t="s">
        <v>549</v>
      </c>
      <c r="F112" s="110"/>
      <c r="G112" s="1034"/>
      <c r="H112" s="1007"/>
      <c r="I112" s="1003"/>
      <c r="J112" s="110" t="s">
        <v>549</v>
      </c>
      <c r="K112" s="110"/>
      <c r="L112" s="1035" t="s">
        <v>219</v>
      </c>
      <c r="M112" s="1007" t="s">
        <v>175</v>
      </c>
      <c r="N112" s="1003" t="s">
        <v>557</v>
      </c>
      <c r="O112" s="110">
        <v>0.08</v>
      </c>
      <c r="P112" s="110"/>
      <c r="Q112" s="1006"/>
      <c r="R112" s="1007"/>
      <c r="S112" s="1003"/>
      <c r="T112" s="110" t="s">
        <v>549</v>
      </c>
      <c r="U112" s="110"/>
    </row>
    <row r="113">
      <c r="A113" s="933"/>
      <c r="B113" s="1018"/>
      <c r="C113" s="1007"/>
      <c r="D113" s="1003"/>
      <c r="E113" s="110" t="s">
        <v>549</v>
      </c>
      <c r="F113" s="110"/>
      <c r="G113" s="1034"/>
      <c r="H113" s="1007"/>
      <c r="I113" s="1003"/>
      <c r="J113" s="110" t="s">
        <v>549</v>
      </c>
      <c r="K113" s="110"/>
      <c r="L113" s="1035"/>
      <c r="M113" s="1007"/>
      <c r="N113" s="1003"/>
      <c r="O113" s="110" t="s">
        <v>549</v>
      </c>
      <c r="P113" s="110"/>
      <c r="Q113" s="1006"/>
      <c r="R113" s="1007"/>
      <c r="S113" s="1003"/>
      <c r="T113" s="110" t="s">
        <v>549</v>
      </c>
      <c r="U113" s="110"/>
    </row>
    <row r="114">
      <c r="A114" s="933"/>
      <c r="B114" s="1018"/>
      <c r="C114" s="1007"/>
      <c r="D114" s="1003"/>
      <c r="E114" s="110" t="s">
        <v>549</v>
      </c>
      <c r="F114" s="110"/>
      <c r="G114" s="1034"/>
      <c r="H114" s="1007"/>
      <c r="I114" s="1003"/>
      <c r="J114" s="110" t="s">
        <v>549</v>
      </c>
      <c r="K114" s="110"/>
      <c r="L114" s="1035"/>
      <c r="M114" s="1007"/>
      <c r="N114" s="1003"/>
      <c r="O114" s="110" t="s">
        <v>549</v>
      </c>
      <c r="P114" s="110"/>
      <c r="Q114" s="1006"/>
      <c r="R114" s="1007"/>
      <c r="S114" s="1003"/>
      <c r="T114" s="110" t="s">
        <v>549</v>
      </c>
      <c r="U114" s="110"/>
    </row>
    <row r="115">
      <c r="A115" s="933"/>
      <c r="B115" s="1018"/>
      <c r="C115" s="1007"/>
      <c r="D115" s="1003"/>
      <c r="E115" s="110" t="s">
        <v>549</v>
      </c>
      <c r="F115" s="110"/>
      <c r="G115" s="1034"/>
      <c r="H115" s="1007"/>
      <c r="I115" s="1003"/>
      <c r="J115" s="110" t="s">
        <v>549</v>
      </c>
      <c r="K115" s="110"/>
      <c r="L115" s="1035"/>
      <c r="M115" s="1007"/>
      <c r="N115" s="1003"/>
      <c r="O115" s="110" t="s">
        <v>549</v>
      </c>
      <c r="P115" s="110"/>
      <c r="Q115" s="1006"/>
      <c r="R115" s="1007"/>
      <c r="S115" s="1003"/>
      <c r="T115" s="110" t="s">
        <v>549</v>
      </c>
      <c r="U115" s="110"/>
    </row>
    <row r="116">
      <c r="A116" s="933"/>
      <c r="B116" s="1036"/>
      <c r="C116" s="1014"/>
      <c r="D116" s="1010"/>
      <c r="E116" s="110" t="s">
        <v>549</v>
      </c>
      <c r="F116" s="110"/>
      <c r="G116" s="1037"/>
      <c r="H116" s="1014"/>
      <c r="I116" s="1010"/>
      <c r="J116" s="110" t="s">
        <v>549</v>
      </c>
      <c r="K116" s="110"/>
      <c r="L116" s="1038"/>
      <c r="M116" s="1014"/>
      <c r="N116" s="1010"/>
      <c r="O116" s="110" t="s">
        <v>549</v>
      </c>
      <c r="P116" s="110"/>
      <c r="Q116" s="1013"/>
      <c r="R116" s="1014"/>
      <c r="S116" s="1010"/>
      <c r="T116" s="110" t="s">
        <v>549</v>
      </c>
      <c r="U116" s="110"/>
    </row>
    <row r="117">
      <c r="A117" s="933"/>
      <c r="B117" s="1016"/>
      <c r="C117" s="1016"/>
      <c r="D117" s="1016"/>
      <c r="E117" s="110"/>
      <c r="F117" s="110"/>
      <c r="G117" s="110"/>
      <c r="H117" s="110"/>
      <c r="I117" s="110"/>
      <c r="J117" s="110"/>
      <c r="K117" s="110"/>
      <c r="L117" s="110"/>
      <c r="M117" s="110"/>
      <c r="N117" s="110"/>
      <c r="O117" s="110"/>
      <c r="P117" s="110"/>
      <c r="Q117" s="110"/>
      <c r="R117" s="110"/>
      <c r="S117" s="110"/>
      <c r="T117" s="110"/>
      <c r="U117" s="110"/>
    </row>
    <row r="118">
      <c r="A118" s="933"/>
      <c r="B118" s="975" t="str">
        <f t="array" ref="B118:E129">Inventory!AO3:AR14</f>
        <v>Any Other 2</v>
      </c>
      <c r="C118" s="120"/>
      <c r="D118" s="121"/>
      <c r="E118" s="110"/>
      <c r="F118" s="110"/>
      <c r="G118" s="976" t="str">
        <f t="array" ref="G118:J129">Inventory!AO16:AR27</f>
        <v>Any Other 2</v>
      </c>
      <c r="H118" s="120"/>
      <c r="I118" s="121"/>
      <c r="J118" s="110"/>
      <c r="K118" s="110"/>
      <c r="L118" s="977" t="str">
        <f t="array" ref="L118:O129">Inventory!AO29:AR40</f>
        <v>Any Other 2</v>
      </c>
      <c r="M118" s="120"/>
      <c r="N118" s="121"/>
      <c r="O118" s="110"/>
      <c r="P118" s="110"/>
      <c r="Q118" s="803" t="str">
        <f t="array" ref="Q118:T129">Inventory!AO42:AR53</f>
        <v>Any Other 2</v>
      </c>
      <c r="R118" s="120"/>
      <c r="S118" s="121"/>
      <c r="T118" s="110"/>
      <c r="U118" s="110"/>
    </row>
    <row r="119">
      <c r="A119" s="933"/>
      <c r="B119" s="1019" t="s">
        <v>170</v>
      </c>
      <c r="C119" s="1019" t="s">
        <v>134</v>
      </c>
      <c r="D119" s="1020" t="s">
        <v>171</v>
      </c>
      <c r="E119" s="110"/>
      <c r="F119" s="110"/>
      <c r="G119" s="1021" t="s">
        <v>170</v>
      </c>
      <c r="H119" s="1021" t="s">
        <v>134</v>
      </c>
      <c r="I119" s="1022" t="s">
        <v>171</v>
      </c>
      <c r="J119" s="110"/>
      <c r="K119" s="110"/>
      <c r="L119" s="1023" t="s">
        <v>170</v>
      </c>
      <c r="M119" s="1023" t="s">
        <v>134</v>
      </c>
      <c r="N119" s="1024" t="s">
        <v>171</v>
      </c>
      <c r="O119" s="110"/>
      <c r="P119" s="110"/>
      <c r="Q119" s="978" t="s">
        <v>170</v>
      </c>
      <c r="R119" s="979" t="s">
        <v>134</v>
      </c>
      <c r="S119" s="980" t="s">
        <v>171</v>
      </c>
      <c r="T119" s="110"/>
      <c r="U119" s="110"/>
    </row>
    <row r="120">
      <c r="A120" s="933"/>
      <c r="B120" s="1025" t="s">
        <v>177</v>
      </c>
      <c r="C120" s="1026">
        <v>20.0</v>
      </c>
      <c r="D120" s="131">
        <v>1.05</v>
      </c>
      <c r="E120" s="110"/>
      <c r="F120" s="110"/>
      <c r="G120" s="1027" t="s">
        <v>177</v>
      </c>
      <c r="H120" s="1028">
        <v>20.0</v>
      </c>
      <c r="I120" s="173">
        <v>1.05</v>
      </c>
      <c r="J120" s="110"/>
      <c r="K120" s="110"/>
      <c r="L120" s="1029" t="s">
        <v>177</v>
      </c>
      <c r="M120" s="1030">
        <v>20.0</v>
      </c>
      <c r="N120" s="192">
        <v>1.03</v>
      </c>
      <c r="O120" s="110"/>
      <c r="P120" s="110"/>
      <c r="Q120" s="987" t="s">
        <v>177</v>
      </c>
      <c r="R120" s="988">
        <v>20.0</v>
      </c>
      <c r="S120" s="211">
        <v>1.23</v>
      </c>
      <c r="T120" s="110"/>
      <c r="U120" s="110"/>
    </row>
    <row r="121">
      <c r="A121" s="933"/>
      <c r="B121" s="1031"/>
      <c r="C121" s="29"/>
      <c r="D121" s="136"/>
      <c r="E121" s="110"/>
      <c r="F121" s="110"/>
      <c r="G121" s="1032"/>
      <c r="H121" s="29"/>
      <c r="I121" s="136"/>
      <c r="J121" s="110"/>
      <c r="K121" s="110"/>
      <c r="L121" s="1033"/>
      <c r="M121" s="29"/>
      <c r="N121" s="136"/>
      <c r="O121" s="110"/>
      <c r="P121" s="110"/>
      <c r="Q121" s="992"/>
      <c r="R121" s="29"/>
      <c r="S121" s="136"/>
      <c r="T121" s="110"/>
      <c r="U121" s="110"/>
    </row>
    <row r="122">
      <c r="A122" s="933"/>
      <c r="B122" s="1018"/>
      <c r="C122" s="1007"/>
      <c r="D122" s="1003"/>
      <c r="E122" s="110" t="s">
        <v>549</v>
      </c>
      <c r="F122" s="110"/>
      <c r="G122" s="1034"/>
      <c r="H122" s="1007"/>
      <c r="I122" s="1003"/>
      <c r="J122" s="110" t="s">
        <v>549</v>
      </c>
      <c r="K122" s="110"/>
      <c r="L122" s="1035"/>
      <c r="M122" s="1007"/>
      <c r="N122" s="1003"/>
      <c r="O122" s="110" t="s">
        <v>549</v>
      </c>
      <c r="P122" s="110"/>
      <c r="Q122" s="1006"/>
      <c r="R122" s="1007"/>
      <c r="S122" s="1003"/>
      <c r="T122" s="110" t="s">
        <v>549</v>
      </c>
      <c r="U122" s="110"/>
    </row>
    <row r="123">
      <c r="A123" s="933"/>
      <c r="B123" s="1018"/>
      <c r="C123" s="1007"/>
      <c r="D123" s="1003"/>
      <c r="E123" s="110" t="s">
        <v>549</v>
      </c>
      <c r="F123" s="110"/>
      <c r="G123" s="1034"/>
      <c r="H123" s="1007"/>
      <c r="I123" s="1003"/>
      <c r="J123" s="110" t="s">
        <v>549</v>
      </c>
      <c r="K123" s="110"/>
      <c r="L123" s="1035"/>
      <c r="M123" s="1007"/>
      <c r="N123" s="1003"/>
      <c r="O123" s="110" t="s">
        <v>549</v>
      </c>
      <c r="P123" s="110"/>
      <c r="Q123" s="1006"/>
      <c r="R123" s="1007"/>
      <c r="S123" s="1003"/>
      <c r="T123" s="110" t="s">
        <v>549</v>
      </c>
      <c r="U123" s="110"/>
    </row>
    <row r="124">
      <c r="A124" s="933"/>
      <c r="B124" s="1018"/>
      <c r="C124" s="1007"/>
      <c r="D124" s="1003"/>
      <c r="E124" s="110" t="s">
        <v>549</v>
      </c>
      <c r="F124" s="110"/>
      <c r="G124" s="1034"/>
      <c r="H124" s="1007"/>
      <c r="I124" s="1003"/>
      <c r="J124" s="110" t="s">
        <v>549</v>
      </c>
      <c r="K124" s="110"/>
      <c r="L124" s="1035"/>
      <c r="M124" s="1007"/>
      <c r="N124" s="1003"/>
      <c r="O124" s="110" t="s">
        <v>549</v>
      </c>
      <c r="P124" s="110"/>
      <c r="Q124" s="1006"/>
      <c r="R124" s="1007"/>
      <c r="S124" s="1003"/>
      <c r="T124" s="110" t="s">
        <v>549</v>
      </c>
      <c r="U124" s="110"/>
    </row>
    <row r="125">
      <c r="A125" s="933"/>
      <c r="B125" s="1018"/>
      <c r="C125" s="1007"/>
      <c r="D125" s="1003"/>
      <c r="E125" s="110" t="s">
        <v>549</v>
      </c>
      <c r="F125" s="110"/>
      <c r="G125" s="1034"/>
      <c r="H125" s="1007"/>
      <c r="I125" s="1003"/>
      <c r="J125" s="110" t="s">
        <v>549</v>
      </c>
      <c r="K125" s="110"/>
      <c r="L125" s="1035"/>
      <c r="M125" s="1007"/>
      <c r="N125" s="1003"/>
      <c r="O125" s="110" t="s">
        <v>549</v>
      </c>
      <c r="P125" s="110"/>
      <c r="Q125" s="1006"/>
      <c r="R125" s="1007"/>
      <c r="S125" s="1003"/>
      <c r="T125" s="110" t="s">
        <v>549</v>
      </c>
      <c r="U125" s="110"/>
    </row>
    <row r="126">
      <c r="A126" s="933"/>
      <c r="B126" s="1018"/>
      <c r="C126" s="1007"/>
      <c r="D126" s="1003"/>
      <c r="E126" s="110" t="s">
        <v>549</v>
      </c>
      <c r="F126" s="110"/>
      <c r="G126" s="1034"/>
      <c r="H126" s="1007"/>
      <c r="I126" s="1003"/>
      <c r="J126" s="110" t="s">
        <v>549</v>
      </c>
      <c r="K126" s="110"/>
      <c r="L126" s="1035"/>
      <c r="M126" s="1007"/>
      <c r="N126" s="1003"/>
      <c r="O126" s="110" t="s">
        <v>549</v>
      </c>
      <c r="P126" s="110"/>
      <c r="Q126" s="1006"/>
      <c r="R126" s="1007"/>
      <c r="S126" s="1003"/>
      <c r="T126" s="110" t="s">
        <v>549</v>
      </c>
      <c r="U126" s="110"/>
    </row>
    <row r="127">
      <c r="A127" s="933"/>
      <c r="B127" s="1018"/>
      <c r="C127" s="1007"/>
      <c r="D127" s="1003"/>
      <c r="E127" s="110" t="s">
        <v>549</v>
      </c>
      <c r="F127" s="110"/>
      <c r="G127" s="1034"/>
      <c r="H127" s="1007"/>
      <c r="I127" s="1003"/>
      <c r="J127" s="110" t="s">
        <v>549</v>
      </c>
      <c r="K127" s="110"/>
      <c r="L127" s="1035"/>
      <c r="M127" s="1007"/>
      <c r="N127" s="1003"/>
      <c r="O127" s="110" t="s">
        <v>549</v>
      </c>
      <c r="P127" s="110"/>
      <c r="Q127" s="1006"/>
      <c r="R127" s="1007"/>
      <c r="S127" s="1003"/>
      <c r="T127" s="110" t="s">
        <v>549</v>
      </c>
      <c r="U127" s="110"/>
    </row>
    <row r="128">
      <c r="A128" s="933"/>
      <c r="B128" s="1018"/>
      <c r="C128" s="1007"/>
      <c r="D128" s="1003"/>
      <c r="E128" s="110" t="s">
        <v>549</v>
      </c>
      <c r="F128" s="110"/>
      <c r="G128" s="1034"/>
      <c r="H128" s="1007"/>
      <c r="I128" s="1003"/>
      <c r="J128" s="110" t="s">
        <v>549</v>
      </c>
      <c r="K128" s="110"/>
      <c r="L128" s="1035"/>
      <c r="M128" s="1007"/>
      <c r="N128" s="1003"/>
      <c r="O128" s="110" t="s">
        <v>549</v>
      </c>
      <c r="P128" s="110"/>
      <c r="Q128" s="1006"/>
      <c r="R128" s="1007"/>
      <c r="S128" s="1003"/>
      <c r="T128" s="110" t="s">
        <v>549</v>
      </c>
      <c r="U128" s="110"/>
    </row>
    <row r="129">
      <c r="A129" s="933"/>
      <c r="B129" s="1036"/>
      <c r="C129" s="1014"/>
      <c r="D129" s="1010"/>
      <c r="E129" s="110" t="s">
        <v>549</v>
      </c>
      <c r="F129" s="110"/>
      <c r="G129" s="1037"/>
      <c r="H129" s="1014"/>
      <c r="I129" s="1010"/>
      <c r="J129" s="110" t="s">
        <v>549</v>
      </c>
      <c r="K129" s="110"/>
      <c r="L129" s="1038"/>
      <c r="M129" s="1014"/>
      <c r="N129" s="1010"/>
      <c r="O129" s="110" t="s">
        <v>549</v>
      </c>
      <c r="P129" s="110"/>
      <c r="Q129" s="1013"/>
      <c r="R129" s="1014"/>
      <c r="S129" s="1010"/>
      <c r="T129" s="110" t="s">
        <v>549</v>
      </c>
      <c r="U129" s="110"/>
    </row>
    <row r="130">
      <c r="A130" s="933"/>
      <c r="B130" s="110"/>
      <c r="C130" s="110"/>
      <c r="D130" s="110"/>
      <c r="E130" s="110"/>
      <c r="F130" s="110"/>
      <c r="G130" s="110"/>
      <c r="H130" s="110"/>
      <c r="I130" s="110"/>
      <c r="J130" s="110"/>
      <c r="K130" s="110"/>
      <c r="L130" s="110"/>
      <c r="M130" s="110"/>
      <c r="N130" s="110"/>
      <c r="O130" s="110"/>
      <c r="P130" s="110"/>
      <c r="Q130" s="110"/>
      <c r="R130" s="110"/>
      <c r="S130" s="110"/>
      <c r="T130" s="110"/>
      <c r="U130" s="110"/>
    </row>
  </sheetData>
  <mergeCells count="128">
    <mergeCell ref="R8:S8"/>
    <mergeCell ref="R9:S9"/>
    <mergeCell ref="R13:S13"/>
    <mergeCell ref="Q15:S15"/>
    <mergeCell ref="R16:S16"/>
    <mergeCell ref="R17:S17"/>
    <mergeCell ref="Q19:S19"/>
    <mergeCell ref="R20:S20"/>
    <mergeCell ref="R21:S21"/>
    <mergeCell ref="Q40:S40"/>
    <mergeCell ref="Q43:S43"/>
    <mergeCell ref="Q53:S53"/>
    <mergeCell ref="Q56:S56"/>
    <mergeCell ref="Q66:S66"/>
    <mergeCell ref="Q118:S118"/>
    <mergeCell ref="Q121:S121"/>
    <mergeCell ref="Q69:S69"/>
    <mergeCell ref="Q79:S79"/>
    <mergeCell ref="Q82:S82"/>
    <mergeCell ref="Q92:S92"/>
    <mergeCell ref="Q95:S95"/>
    <mergeCell ref="Q105:S105"/>
    <mergeCell ref="Q108:S108"/>
    <mergeCell ref="R24:S24"/>
    <mergeCell ref="R25:S25"/>
    <mergeCell ref="G23:I23"/>
    <mergeCell ref="L23:N23"/>
    <mergeCell ref="Q23:S23"/>
    <mergeCell ref="H24:I24"/>
    <mergeCell ref="M24:N24"/>
    <mergeCell ref="H25:I25"/>
    <mergeCell ref="M25:N25"/>
    <mergeCell ref="C3:D3"/>
    <mergeCell ref="H3:I3"/>
    <mergeCell ref="M3:N3"/>
    <mergeCell ref="R3:S3"/>
    <mergeCell ref="G7:I7"/>
    <mergeCell ref="L7:N7"/>
    <mergeCell ref="Q7:S7"/>
    <mergeCell ref="B7:D7"/>
    <mergeCell ref="C8:D8"/>
    <mergeCell ref="H8:I8"/>
    <mergeCell ref="M8:N8"/>
    <mergeCell ref="C9:D9"/>
    <mergeCell ref="H9:I9"/>
    <mergeCell ref="M9:N9"/>
    <mergeCell ref="B11:D11"/>
    <mergeCell ref="G11:I11"/>
    <mergeCell ref="L11:N11"/>
    <mergeCell ref="Q11:S11"/>
    <mergeCell ref="H12:I12"/>
    <mergeCell ref="M12:N12"/>
    <mergeCell ref="R12:S12"/>
    <mergeCell ref="C12:D12"/>
    <mergeCell ref="C13:D13"/>
    <mergeCell ref="H13:I13"/>
    <mergeCell ref="M13:N13"/>
    <mergeCell ref="B15:D15"/>
    <mergeCell ref="L15:N15"/>
    <mergeCell ref="M16:N16"/>
    <mergeCell ref="M17:N17"/>
    <mergeCell ref="M20:N20"/>
    <mergeCell ref="M21:N21"/>
    <mergeCell ref="G15:I15"/>
    <mergeCell ref="H16:I16"/>
    <mergeCell ref="H17:I17"/>
    <mergeCell ref="G19:I19"/>
    <mergeCell ref="L19:N19"/>
    <mergeCell ref="H20:I20"/>
    <mergeCell ref="H21:I21"/>
    <mergeCell ref="C25:D25"/>
    <mergeCell ref="B27:D27"/>
    <mergeCell ref="G27:I27"/>
    <mergeCell ref="L27:N27"/>
    <mergeCell ref="Q27:S27"/>
    <mergeCell ref="G30:I30"/>
    <mergeCell ref="L30:N30"/>
    <mergeCell ref="Q30:S30"/>
    <mergeCell ref="G118:I118"/>
    <mergeCell ref="L118:N118"/>
    <mergeCell ref="B121:D121"/>
    <mergeCell ref="G121:I121"/>
    <mergeCell ref="L121:N121"/>
    <mergeCell ref="B105:D105"/>
    <mergeCell ref="G105:I105"/>
    <mergeCell ref="L105:N105"/>
    <mergeCell ref="B108:D108"/>
    <mergeCell ref="G108:I108"/>
    <mergeCell ref="L108:N108"/>
    <mergeCell ref="B118:D118"/>
    <mergeCell ref="G53:I53"/>
    <mergeCell ref="L53:N53"/>
    <mergeCell ref="G66:I66"/>
    <mergeCell ref="L66:N66"/>
    <mergeCell ref="B30:D30"/>
    <mergeCell ref="B40:D40"/>
    <mergeCell ref="G40:I40"/>
    <mergeCell ref="L40:N40"/>
    <mergeCell ref="B43:D43"/>
    <mergeCell ref="G43:I43"/>
    <mergeCell ref="L43:N43"/>
    <mergeCell ref="B53:D53"/>
    <mergeCell ref="B56:D56"/>
    <mergeCell ref="G56:I56"/>
    <mergeCell ref="L56:N56"/>
    <mergeCell ref="C16:D16"/>
    <mergeCell ref="C17:D17"/>
    <mergeCell ref="B19:D19"/>
    <mergeCell ref="C20:D20"/>
    <mergeCell ref="C21:D21"/>
    <mergeCell ref="B23:D23"/>
    <mergeCell ref="C24:D24"/>
    <mergeCell ref="B66:D66"/>
    <mergeCell ref="B69:D69"/>
    <mergeCell ref="G69:I69"/>
    <mergeCell ref="L69:N69"/>
    <mergeCell ref="B79:D79"/>
    <mergeCell ref="G79:I79"/>
    <mergeCell ref="L79:N79"/>
    <mergeCell ref="G95:I95"/>
    <mergeCell ref="L95:N95"/>
    <mergeCell ref="B82:D82"/>
    <mergeCell ref="G82:I82"/>
    <mergeCell ref="L82:N82"/>
    <mergeCell ref="B92:D92"/>
    <mergeCell ref="G92:I92"/>
    <mergeCell ref="L92:N92"/>
    <mergeCell ref="B95:D95"/>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2.0" topLeftCell="C1" activePane="topRight" state="frozen"/>
      <selection activeCell="D2" sqref="D2" pane="topRight"/>
    </sheetView>
  </sheetViews>
  <sheetFormatPr customHeight="1" defaultColWidth="14.43" defaultRowHeight="15.75" outlineLevelCol="1" outlineLevelRow="1"/>
  <cols>
    <col customWidth="1" min="1" max="1" width="3.0"/>
    <col customWidth="1" min="2" max="2" width="10.86"/>
    <col customWidth="1" min="3" max="3" width="12.43"/>
    <col customWidth="1" min="5" max="5" width="17.43"/>
    <col customWidth="1" min="6" max="9" width="19.29"/>
    <col collapsed="1" customWidth="1" min="10" max="10" width="36.86"/>
    <col hidden="1" min="11" max="18" width="14.43" outlineLevel="1"/>
  </cols>
  <sheetData>
    <row r="1">
      <c r="A1" s="933"/>
      <c r="B1" s="110"/>
      <c r="C1" s="110"/>
      <c r="D1" s="110"/>
      <c r="E1" s="110"/>
      <c r="F1" s="110"/>
      <c r="G1" s="110"/>
      <c r="H1" s="110"/>
      <c r="I1" s="110"/>
      <c r="J1" s="110"/>
      <c r="K1" s="110"/>
      <c r="L1" s="110"/>
      <c r="M1" s="110"/>
      <c r="N1" s="110"/>
      <c r="O1" s="110"/>
      <c r="P1" s="110"/>
      <c r="Q1" s="110"/>
      <c r="R1" s="110"/>
    </row>
    <row r="2">
      <c r="A2" s="110"/>
      <c r="B2" s="110"/>
      <c r="C2" s="1040" t="s">
        <v>587</v>
      </c>
      <c r="D2" s="572"/>
      <c r="E2" s="1041" t="s">
        <v>249</v>
      </c>
      <c r="F2" s="1042" t="s">
        <v>258</v>
      </c>
      <c r="G2" s="1043" t="s">
        <v>259</v>
      </c>
      <c r="H2" s="1044" t="s">
        <v>260</v>
      </c>
      <c r="I2" s="1045" t="s">
        <v>261</v>
      </c>
      <c r="J2" s="110"/>
      <c r="K2" s="110"/>
      <c r="L2" s="110"/>
      <c r="M2" s="110"/>
      <c r="N2" s="110"/>
      <c r="O2" s="110"/>
      <c r="P2" s="110"/>
      <c r="Q2" s="110"/>
      <c r="R2" s="110"/>
    </row>
    <row r="3">
      <c r="A3" s="110"/>
      <c r="B3" s="110"/>
      <c r="C3" s="1046">
        <f>'Master Sheet'!C9*1%</f>
        <v>0.3</v>
      </c>
      <c r="D3" s="365"/>
      <c r="E3" s="1047" t="s">
        <v>588</v>
      </c>
      <c r="F3" s="1048">
        <f t="array" ref="F3">index('Optimal Assist levels'!$B$28:$B$327,XMATCH(F10,'Optimal Assist levels'!$E$28:$E$327,-1,2))</f>
        <v>164</v>
      </c>
      <c r="G3" s="1049">
        <f t="array" ref="G3">index('Optimal Assist levels'!$B$28:$B$327,XMATCH(G10,'Optimal Assist levels'!$E$28:$E$327,-1,2))</f>
        <v>163</v>
      </c>
      <c r="H3" s="1050">
        <f t="array" ref="H3">index('Optimal Assist levels'!$B$28:$B$327,XMATCH(H10,'Optimal Assist levels'!$E$28:$E$327,-1,2))</f>
        <v>164</v>
      </c>
      <c r="I3" s="1051">
        <f t="array" ref="I3">index('Optimal Assist levels'!$B$28:$B$327,XMATCH(I10,'Optimal Assist levels'!$E$28:$E$327,-1,2))</f>
        <v>163</v>
      </c>
      <c r="J3" s="110"/>
      <c r="K3" s="110"/>
      <c r="L3" s="110"/>
      <c r="M3" s="110"/>
      <c r="N3" s="110"/>
      <c r="O3" s="110"/>
      <c r="P3" s="110"/>
      <c r="Q3" s="110"/>
      <c r="R3" s="110"/>
    </row>
    <row r="4">
      <c r="A4" s="110"/>
      <c r="B4" s="110"/>
      <c r="C4" s="110"/>
      <c r="D4" s="110"/>
      <c r="E4" s="1047" t="s">
        <v>589</v>
      </c>
      <c r="F4" s="1052">
        <f>IF(Presets!$E$2="Unlocked",Presets!E4+'Master Sheet'!C16*1%,0%)</f>
        <v>0</v>
      </c>
      <c r="G4" s="1053">
        <f>IF(Presets!$E$8="Unlocked",Presets!E10+'Master Sheet'!C17*1%,0%)</f>
        <v>0.01</v>
      </c>
      <c r="H4" s="1054">
        <f>IF(Presets!$E$14="Unlocked",Presets!E16+'Master Sheet'!C18*1%,0%)</f>
        <v>0.1</v>
      </c>
      <c r="I4" s="1055">
        <f>IF(Presets!$E$20="Unlocked",Presets!E22+'Master Sheet'!C19*1%,0%)</f>
        <v>0.1</v>
      </c>
      <c r="J4" s="110"/>
      <c r="K4" s="110"/>
      <c r="L4" s="110"/>
      <c r="M4" s="110"/>
      <c r="N4" s="110"/>
      <c r="O4" s="110"/>
      <c r="P4" s="110"/>
      <c r="Q4" s="110"/>
      <c r="R4" s="110"/>
    </row>
    <row r="5">
      <c r="A5" s="110"/>
      <c r="B5" s="110"/>
      <c r="C5" s="110"/>
      <c r="D5" s="110"/>
      <c r="E5" s="110"/>
      <c r="F5" s="110"/>
      <c r="G5" s="110"/>
      <c r="H5" s="110"/>
      <c r="I5" s="110"/>
      <c r="J5" s="110"/>
      <c r="K5" s="110"/>
      <c r="L5" s="110"/>
      <c r="M5" s="110"/>
      <c r="N5" s="110"/>
      <c r="O5" s="110"/>
      <c r="P5" s="110"/>
      <c r="Q5" s="110"/>
      <c r="R5" s="110"/>
    </row>
    <row r="6">
      <c r="A6" s="110"/>
      <c r="B6" s="110"/>
      <c r="C6" s="110"/>
      <c r="D6" s="13" t="s">
        <v>590</v>
      </c>
      <c r="J6" s="110"/>
      <c r="K6" s="110"/>
      <c r="L6" s="110"/>
      <c r="M6" s="110"/>
      <c r="N6" s="110"/>
      <c r="O6" s="110"/>
      <c r="P6" s="110"/>
      <c r="Q6" s="110"/>
      <c r="R6" s="110"/>
    </row>
    <row r="7">
      <c r="A7" s="110"/>
      <c r="B7" s="110"/>
      <c r="C7" s="110"/>
      <c r="D7" s="1056" t="s">
        <v>591</v>
      </c>
      <c r="E7" s="572"/>
      <c r="F7" s="1048">
        <f>Inventory!D5</f>
        <v>164</v>
      </c>
      <c r="G7" s="1057">
        <f>Inventory!D18</f>
        <v>163</v>
      </c>
      <c r="H7" s="1058">
        <f>Inventory!D31</f>
        <v>161</v>
      </c>
      <c r="I7" s="1059">
        <f>Inventory!D44</f>
        <v>159</v>
      </c>
      <c r="J7" s="110"/>
      <c r="K7" s="110"/>
      <c r="L7" s="110"/>
      <c r="M7" s="110"/>
      <c r="N7" s="110"/>
      <c r="O7" s="110"/>
      <c r="P7" s="110"/>
      <c r="Q7" s="110"/>
      <c r="R7" s="110"/>
    </row>
    <row r="8">
      <c r="A8" s="110"/>
      <c r="B8" s="110"/>
      <c r="C8" s="110"/>
      <c r="D8" s="1060" t="s">
        <v>262</v>
      </c>
      <c r="E8" s="365"/>
      <c r="F8" s="1061">
        <f>Inventory!D8</f>
        <v>0</v>
      </c>
      <c r="G8" s="1062">
        <f>Inventory!D21</f>
        <v>41</v>
      </c>
      <c r="H8" s="1063">
        <f>Inventory!D34</f>
        <v>97</v>
      </c>
      <c r="I8" s="1064">
        <f>Inventory!D47</f>
        <v>101</v>
      </c>
      <c r="J8" s="110"/>
      <c r="K8" s="110"/>
      <c r="L8" s="110"/>
      <c r="M8" s="110"/>
      <c r="N8" s="110"/>
      <c r="O8" s="110"/>
      <c r="P8" s="110"/>
      <c r="Q8" s="110"/>
      <c r="R8" s="110"/>
    </row>
    <row r="9">
      <c r="A9" s="110"/>
      <c r="B9" s="110"/>
      <c r="C9" s="110"/>
      <c r="D9" s="1065" t="s">
        <v>592</v>
      </c>
      <c r="E9" s="415"/>
      <c r="F9" s="1066"/>
      <c r="G9" s="1067"/>
      <c r="H9" s="1068"/>
      <c r="I9" s="1069"/>
      <c r="J9" s="110"/>
      <c r="K9" s="110"/>
      <c r="L9" s="110"/>
      <c r="M9" s="110"/>
      <c r="N9" s="110"/>
      <c r="O9" s="110"/>
      <c r="P9" s="110"/>
      <c r="Q9" s="110"/>
      <c r="R9" s="110"/>
    </row>
    <row r="10">
      <c r="A10" s="110"/>
      <c r="B10" s="110"/>
      <c r="C10" s="110"/>
      <c r="D10" s="1056" t="s">
        <v>593</v>
      </c>
      <c r="E10" s="572"/>
      <c r="F10" s="1070">
        <f t="array" ref="F10">index('Optimal Assist levels'!$E$28:$E$327,F7)
+index('Optimal Assist levels'!$E$28:$E$327,MAX(F8,1))
+F9</f>
        <v>125541</v>
      </c>
      <c r="G10" s="1071">
        <f t="array" ref="G10">index('Optimal Assist levels'!$E$28:$E$327,G7)
+index('Optimal Assist levels'!$E$28:$E$327,MAX(G8,1))
+G9</f>
        <v>122977</v>
      </c>
      <c r="H10" s="1072">
        <f t="array" ref="H10">index('Optimal Assist levels'!$E$28:$E$327,H7)
+index('Optimal Assist levels'!$E$28:$E$327,MAX(H8,1))
+H9</f>
        <v>128860</v>
      </c>
      <c r="I10" s="1073">
        <f t="array" ref="I10">index('Optimal Assist levels'!$E$28:$E$327,I7)
+index('Optimal Assist levels'!$E$28:$E$327,MAX(I8,1))
+I9</f>
        <v>124730</v>
      </c>
      <c r="J10" s="110"/>
      <c r="K10" s="110"/>
      <c r="L10" s="110"/>
      <c r="M10" s="110"/>
      <c r="N10" s="110"/>
      <c r="O10" s="110"/>
      <c r="P10" s="110"/>
      <c r="Q10" s="110"/>
      <c r="R10" s="110"/>
    </row>
    <row r="11">
      <c r="A11" s="110"/>
      <c r="B11" s="110"/>
      <c r="C11" s="110"/>
      <c r="D11" s="110"/>
      <c r="E11" s="110"/>
      <c r="F11" s="110"/>
      <c r="G11" s="110"/>
      <c r="H11" s="110"/>
      <c r="I11" s="110"/>
      <c r="J11" s="110"/>
      <c r="K11" s="110"/>
      <c r="L11" s="110"/>
      <c r="M11" s="110"/>
      <c r="N11" s="110"/>
      <c r="O11" s="110"/>
      <c r="P11" s="110"/>
      <c r="Q11" s="110"/>
      <c r="R11" s="110"/>
    </row>
    <row r="12">
      <c r="A12" s="110"/>
      <c r="B12" s="110"/>
      <c r="C12" s="110"/>
      <c r="D12" s="13" t="s">
        <v>594</v>
      </c>
      <c r="J12" s="110"/>
      <c r="K12" s="110"/>
      <c r="L12" s="110"/>
      <c r="M12" s="110"/>
      <c r="N12" s="110"/>
      <c r="O12" s="110"/>
      <c r="P12" s="110"/>
      <c r="Q12" s="110"/>
      <c r="R12" s="110"/>
    </row>
    <row r="13">
      <c r="A13" s="110"/>
      <c r="B13" s="110"/>
      <c r="C13" s="110"/>
      <c r="D13" s="1074" t="s">
        <v>595</v>
      </c>
      <c r="E13" s="1075" t="s">
        <v>170</v>
      </c>
      <c r="F13" s="1076" t="str">
        <f>IDS_MOD_CANNON_RARITY(IF($E$2="Tourney",Presets!$M4,Presets!$J4))</f>
        <v>Ancestral</v>
      </c>
      <c r="G13" s="1077" t="str">
        <f>IDS_MOD_ARMOR_RARITY(IF($E$2="Tourney",Presets!$M10,Presets!$J10))</f>
        <v>Ancestral</v>
      </c>
      <c r="H13" s="1078" t="str">
        <f>IDS_MOD_GENERATOR_RARITY(IF($E$2="Tourney",Presets!$M16,Presets!$J16))</f>
        <v>Mythic+</v>
      </c>
      <c r="I13" s="1079" t="str">
        <f>IDS_MOD_CORE_RARITY(IF($E$2="Tourney",Presets!$M22,Presets!$J22))</f>
        <v>Ancestral 2*</v>
      </c>
      <c r="J13" s="110"/>
      <c r="K13" s="110"/>
      <c r="L13" s="110"/>
      <c r="M13" s="110"/>
      <c r="N13" s="110"/>
      <c r="O13" s="110"/>
      <c r="P13" s="110"/>
      <c r="Q13" s="110"/>
      <c r="R13" s="110"/>
    </row>
    <row r="14">
      <c r="A14" s="110"/>
      <c r="B14" s="110"/>
      <c r="C14" s="110"/>
      <c r="D14" s="362"/>
      <c r="E14" s="1080" t="s">
        <v>596</v>
      </c>
      <c r="F14" s="1076">
        <f t="array" ref="F14">index('Optimal Assist levels'!$B$28:$B$327,XMATCH(max('Optimal Assist levels'!$N$28:$N$327),'Optimal Assist levels'!$N$28:$N$327,0,1))</f>
        <v>164</v>
      </c>
      <c r="G14" s="1077">
        <f t="array" ref="G14">index('Optimal Assist levels'!$B$28:$B$327,XMATCH(max('Optimal Assist levels'!$O$28:$O$327),'Optimal Assist levels'!$O$28:$O$327,0,1))</f>
        <v>163</v>
      </c>
      <c r="H14" s="1078">
        <f t="array" ref="H14">index('Optimal Assist levels'!$B$28:$B$327,XMATCH(max('Optimal Assist levels'!$P$28:$P$327),'Optimal Assist levels'!$P$28:$P$327,0,1))</f>
        <v>164</v>
      </c>
      <c r="I14" s="1079">
        <f t="array" ref="I14">index('Optimal Assist levels'!$B$28:$B$327,XMATCH(max('Optimal Assist levels'!$Q$28:$Q$327),'Optimal Assist levels'!$Q$28:$Q$327,0,1))</f>
        <v>151</v>
      </c>
      <c r="J14" s="110"/>
      <c r="K14" s="110"/>
      <c r="L14" s="110"/>
      <c r="M14" s="110"/>
      <c r="N14" s="110"/>
      <c r="O14" s="110"/>
      <c r="P14" s="110"/>
      <c r="Q14" s="110"/>
      <c r="R14" s="110"/>
    </row>
    <row r="15">
      <c r="A15" s="110"/>
      <c r="B15" s="110"/>
      <c r="C15" s="110"/>
      <c r="D15" s="362"/>
      <c r="E15" s="1081" t="s">
        <v>597</v>
      </c>
      <c r="F15" s="1076"/>
      <c r="G15" s="1077"/>
      <c r="H15" s="1078"/>
      <c r="I15" s="1079"/>
      <c r="J15" s="110"/>
      <c r="K15" s="110"/>
      <c r="L15" s="110"/>
      <c r="M15" s="110"/>
      <c r="N15" s="110"/>
      <c r="O15" s="110"/>
      <c r="P15" s="110"/>
      <c r="Q15" s="110"/>
      <c r="R15" s="110"/>
    </row>
    <row r="16">
      <c r="A16" s="110"/>
      <c r="B16" s="110"/>
      <c r="C16" s="110"/>
      <c r="D16" s="1074" t="s">
        <v>598</v>
      </c>
      <c r="E16" s="1080" t="s">
        <v>170</v>
      </c>
      <c r="F16" s="1076" t="str">
        <f>IDS_MOD_CANNON_RARITY(IF($E$2="Tourney",Presets!$M5,Presets!$J5))</f>
        <v/>
      </c>
      <c r="G16" s="1077" t="str">
        <f>IDS_MOD_ARMOR_RARITY(IF($E$2="Tourney",Presets!$M11,Presets!$J11))</f>
        <v>Mythic+</v>
      </c>
      <c r="H16" s="1078" t="str">
        <f>IDS_MOD_GENERATOR_RARITY(IF($E$2="Tourney",Presets!$M17,Presets!$J17))</f>
        <v>Mythic+</v>
      </c>
      <c r="I16" s="1079" t="str">
        <f>IDS_MOD_CORE_RARITY(IF($E$2="Tourney",Presets!$M23,Presets!$J23))</f>
        <v>Ancestral</v>
      </c>
      <c r="J16" s="110"/>
      <c r="K16" s="110"/>
      <c r="L16" s="110"/>
      <c r="M16" s="110"/>
      <c r="N16" s="110"/>
      <c r="O16" s="110"/>
      <c r="P16" s="110"/>
      <c r="Q16" s="110"/>
      <c r="R16" s="110"/>
    </row>
    <row r="17">
      <c r="A17" s="110"/>
      <c r="B17" s="110"/>
      <c r="C17" s="110"/>
      <c r="D17" s="362"/>
      <c r="E17" s="1082" t="s">
        <v>596</v>
      </c>
      <c r="F17" s="1076">
        <f t="array" ref="F17">let(
    assistShards,F10-index('Optimal Assist levels'!$E$28:$E$327,F14),
    INDEX('Optimal Assist levels'!$B$28:$B$327,XMATCH(assistShards,'Optimal Assist levels'!$E$28:$E$327,-1,2)))</f>
        <v>1</v>
      </c>
      <c r="G17" s="1077">
        <f t="array" ref="G17">let(
    assistShards,G10-index('Optimal Assist levels'!$E$28:$E$327,XMATCH(G14,'Optimal Assist levels'!$B$28:$B$327,0,2)),
    INDEX('Optimal Assist levels'!$B$28:$B$327,XMATCH(assistShards,'Optimal Assist levels'!$E$28:$E$327,-1,2)))</f>
        <v>41</v>
      </c>
      <c r="H17" s="1078">
        <f t="array" ref="H17">let(
    assistShards,H10-index('Optimal Assist levels'!$E$28:$E$327,XMATCH(H14,'Optimal Assist levels'!$B$28:$B$327,0,2)),
    INDEX('Optimal Assist levels'!$B$28:$B$327,XMATCH(assistShards,'Optimal Assist levels'!$E$28:$E$327,-1,2)))</f>
        <v>60</v>
      </c>
      <c r="I17" s="1079">
        <f t="array" ref="I17">let(
    assistShards,I10-index('Optimal Assist levels'!$E$28:$E$327,XMATCH(I14,'Optimal Assist levels'!$B$28:$B$327,0,2)),
    INDEX('Optimal Assist levels'!$B$28:$B$327,XMATCH(assistShards,'Optimal Assist levels'!$E$28:$E$327,-1,2)))</f>
        <v>125</v>
      </c>
      <c r="J17" s="110"/>
      <c r="K17" s="110"/>
      <c r="L17" s="110"/>
      <c r="M17" s="110"/>
      <c r="N17" s="110"/>
      <c r="O17" s="110"/>
      <c r="P17" s="110"/>
      <c r="Q17" s="110"/>
      <c r="R17" s="110"/>
    </row>
    <row r="18">
      <c r="A18" s="110"/>
      <c r="B18" s="933"/>
      <c r="C18" s="933"/>
      <c r="D18" s="923"/>
      <c r="E18" s="1081" t="s">
        <v>597</v>
      </c>
      <c r="F18" s="1076"/>
      <c r="G18" s="1077"/>
      <c r="H18" s="1078"/>
      <c r="I18" s="1079"/>
      <c r="J18" s="933"/>
      <c r="K18" s="933"/>
      <c r="L18" s="933"/>
      <c r="M18" s="933"/>
      <c r="N18" s="933"/>
      <c r="O18" s="933"/>
      <c r="P18" s="933"/>
      <c r="Q18" s="933"/>
      <c r="R18" s="933"/>
    </row>
    <row r="19">
      <c r="A19" s="110"/>
      <c r="B19" s="933"/>
      <c r="C19" s="933"/>
      <c r="D19" s="1083" t="s">
        <v>599</v>
      </c>
      <c r="F19" s="1084"/>
      <c r="G19" s="1085"/>
      <c r="H19" s="1085"/>
      <c r="I19" s="1085"/>
      <c r="J19" s="1085"/>
      <c r="K19" s="1085"/>
      <c r="L19" s="1085"/>
      <c r="M19" s="1085"/>
      <c r="N19" s="1085"/>
      <c r="O19" s="1085"/>
      <c r="P19" s="1085"/>
      <c r="Q19" s="1085"/>
      <c r="R19" s="1085"/>
    </row>
    <row r="20">
      <c r="A20" s="110"/>
      <c r="B20" s="933"/>
      <c r="C20" s="933"/>
      <c r="D20" s="933"/>
      <c r="E20" s="110"/>
      <c r="F20" s="1085"/>
      <c r="G20" s="1085"/>
      <c r="H20" s="1085"/>
      <c r="I20" s="1085"/>
      <c r="J20" s="1085"/>
      <c r="K20" s="1085"/>
      <c r="L20" s="1085"/>
      <c r="M20" s="1085"/>
      <c r="N20" s="1085"/>
      <c r="O20" s="1085"/>
      <c r="P20" s="1085"/>
      <c r="Q20" s="1085"/>
      <c r="R20" s="1085"/>
    </row>
    <row r="21">
      <c r="A21" s="110"/>
      <c r="B21" s="933"/>
      <c r="C21" s="933"/>
      <c r="D21" s="933"/>
      <c r="E21" s="110"/>
      <c r="F21" s="1085"/>
      <c r="G21" s="1085"/>
      <c r="H21" s="1085"/>
      <c r="I21" s="1085"/>
      <c r="J21" s="1085"/>
      <c r="K21" s="1085"/>
      <c r="L21" s="1085"/>
      <c r="M21" s="1085"/>
      <c r="N21" s="1085"/>
      <c r="O21" s="1085"/>
      <c r="P21" s="1085"/>
      <c r="Q21" s="1085"/>
      <c r="R21" s="1085"/>
    </row>
    <row r="22">
      <c r="A22" s="110"/>
      <c r="B22" s="933"/>
      <c r="C22" s="933"/>
      <c r="D22" s="13" t="s">
        <v>600</v>
      </c>
      <c r="J22" s="1085"/>
      <c r="K22" s="1085"/>
      <c r="L22" s="1085"/>
      <c r="M22" s="1085"/>
      <c r="N22" s="1085"/>
      <c r="O22" s="1085"/>
      <c r="P22" s="1085"/>
      <c r="Q22" s="1085"/>
      <c r="R22" s="1085"/>
    </row>
    <row r="23">
      <c r="A23" s="110"/>
      <c r="B23" s="933"/>
      <c r="C23" s="933"/>
      <c r="D23" s="1086" t="s">
        <v>601</v>
      </c>
      <c r="E23" s="1087" t="s">
        <v>602</v>
      </c>
      <c r="F23" s="1088">
        <f t="array" ref="F23">LET(
AtMax, F$3&lt;F$7,
Shards, F$10,
PrimeMulti, index('Optimal Assist levels'!$F$28:$I$327,F7,column()-5),
AssPer, F$4,
AssMulti, IF(F$16="",0,MODSTAT_CANNON(F$16,F$8)-1),
IF(AtMax,0,PrimeMulti * ((AssPer*AssMulti)+1)))</f>
        <v>9.04</v>
      </c>
      <c r="G23" s="1089">
        <f t="array" ref="G23">LET(
AtMax, G$3&lt;G$7,
Shards, G$10,
PrimeMulti, index('Optimal Assist levels'!$F$28:$I$327,G7,column()-5),
AssPer, G$4,
AssMulti, IF(G$16="",0,MODSTAT_ARMOR(G$16,G$8)-1),
IF(AtMax,0,PrimeMulti * ((AssPer*AssMulti)+1)))</f>
        <v>8.8751832</v>
      </c>
      <c r="H23" s="1090">
        <f t="array" ref="H23">LET(
AtMax, H$3&lt;H$7,
Shards, H$10,
PrimeMulti, index('Optimal Assist levels'!$F$28:$I$327,H7,column()-5),
AssPer, H$4,
AssMulti, IF(H$16="",0,MODSTAT_GENERATOR(H$16,H$8)-1),
IF(AtMax,0,PrimeMulti * ((AssPer*AssMulti)+1)))</f>
        <v>1.7207275</v>
      </c>
      <c r="I23" s="1091">
        <f t="array" ref="I23">LET(
AtMax, I$3&lt;I$7,
Shards, I$10,
PrimeMulti, index('Optimal Assist levels'!$F$28:$I$327,I7,column()-5),
AssPer, I$4,
AssMulti, IF(I$16="",0,MODSTAT_CORE(I$16,I$8)-1),
IF(AtMax,0,PrimeMulti * ((AssPer*AssMulti)+1)))</f>
        <v>15.351596</v>
      </c>
      <c r="J23" s="1085"/>
      <c r="K23" s="1085"/>
      <c r="L23" s="1085"/>
      <c r="M23" s="1085"/>
      <c r="N23" s="1085"/>
      <c r="O23" s="1085"/>
      <c r="P23" s="1085"/>
      <c r="Q23" s="1085"/>
      <c r="R23" s="1085"/>
    </row>
    <row r="24">
      <c r="A24" s="110"/>
      <c r="B24" s="933"/>
      <c r="C24" s="933"/>
      <c r="D24" s="1074" t="s">
        <v>603</v>
      </c>
      <c r="E24" s="1087" t="s">
        <v>602</v>
      </c>
      <c r="F24" s="1088">
        <f t="array" ref="F24">index('Optimal Assist levels'!$N$28:$Q$327,F14,COLUMN()-5)</f>
        <v>9.04</v>
      </c>
      <c r="G24" s="1089">
        <f t="array" ref="G24">index('Optimal Assist levels'!$N$28:$Q$327,G14,COLUMN()-5)</f>
        <v>8.8751832</v>
      </c>
      <c r="H24" s="1090">
        <f t="array" ref="H24">index('Optimal Assist levels'!$N$28:$Q$327,H14,COLUMN()-5)</f>
        <v>1.7297225</v>
      </c>
      <c r="I24" s="1091">
        <f t="array" ref="I24">index('Optimal Assist levels'!$N$28:$Q$327,I14,COLUMN()-5)</f>
        <v>15.8539</v>
      </c>
      <c r="J24" s="1085"/>
      <c r="K24" s="1085"/>
      <c r="L24" s="1085"/>
      <c r="M24" s="1085"/>
      <c r="N24" s="1085"/>
      <c r="O24" s="1085"/>
      <c r="P24" s="1085"/>
      <c r="Q24" s="1085"/>
      <c r="R24" s="1085"/>
    </row>
    <row r="25">
      <c r="A25" s="110"/>
      <c r="B25" s="933"/>
      <c r="C25" s="933"/>
      <c r="D25" s="923"/>
      <c r="E25" s="1092" t="s">
        <v>604</v>
      </c>
      <c r="F25" s="1093" t="str">
        <f t="shared" ref="F25:I25" si="1">IF(F24=F23,"Optimized!", F24/F23-1) </f>
        <v>Optimized!</v>
      </c>
      <c r="G25" s="1094" t="str">
        <f t="shared" si="1"/>
        <v>Optimized!</v>
      </c>
      <c r="H25" s="1095">
        <f t="shared" si="1"/>
        <v>0.005227440138</v>
      </c>
      <c r="I25" s="1096">
        <f t="shared" si="1"/>
        <v>0.0327199856</v>
      </c>
      <c r="J25" s="1085"/>
      <c r="K25" s="1085"/>
      <c r="L25" s="1085"/>
      <c r="M25" s="1085"/>
      <c r="N25" s="1085"/>
      <c r="O25" s="1085"/>
      <c r="P25" s="1085"/>
      <c r="Q25" s="1085"/>
      <c r="R25" s="1085"/>
    </row>
    <row r="26" ht="38.25" customHeight="1" collapsed="1">
      <c r="A26" s="110"/>
      <c r="B26" s="933"/>
      <c r="C26" s="933"/>
      <c r="D26" s="933"/>
      <c r="E26" s="110"/>
      <c r="F26" s="1085"/>
      <c r="G26" s="1085"/>
      <c r="H26" s="1085"/>
      <c r="I26" s="1085"/>
      <c r="J26" s="1085"/>
      <c r="K26" s="1085"/>
      <c r="L26" s="1085"/>
      <c r="M26" s="1085"/>
      <c r="N26" s="1085"/>
      <c r="O26" s="1085"/>
      <c r="P26" s="1085"/>
      <c r="Q26" s="1085"/>
      <c r="R26" s="1085"/>
    </row>
    <row r="27" ht="22.5" hidden="1" customHeight="1" outlineLevel="1">
      <c r="A27" s="1097"/>
      <c r="B27" s="1098" t="s">
        <v>134</v>
      </c>
      <c r="C27" s="1099" t="s">
        <v>605</v>
      </c>
      <c r="D27" s="1099" t="s">
        <v>606</v>
      </c>
      <c r="E27" s="1099" t="s">
        <v>607</v>
      </c>
      <c r="F27" s="1100" t="s">
        <v>608</v>
      </c>
      <c r="G27" s="1100" t="s">
        <v>609</v>
      </c>
      <c r="H27" s="1100" t="s">
        <v>610</v>
      </c>
      <c r="I27" s="1100" t="s">
        <v>611</v>
      </c>
      <c r="J27" s="1101" t="s">
        <v>612</v>
      </c>
      <c r="K27" s="1101" t="s">
        <v>613</v>
      </c>
      <c r="L27" s="1101" t="s">
        <v>614</v>
      </c>
      <c r="M27" s="1101" t="s">
        <v>615</v>
      </c>
      <c r="N27" s="1100" t="s">
        <v>616</v>
      </c>
      <c r="O27" s="1100" t="s">
        <v>617</v>
      </c>
      <c r="P27" s="1100" t="s">
        <v>618</v>
      </c>
      <c r="Q27" s="1102" t="s">
        <v>619</v>
      </c>
    </row>
    <row r="28" ht="22.5" hidden="1" customHeight="1" outlineLevel="1">
      <c r="A28" s="1097"/>
      <c r="B28" s="1103">
        <v>1.0</v>
      </c>
      <c r="C28" s="1104">
        <v>0.0</v>
      </c>
      <c r="D28" s="1104">
        <f t="shared" ref="D28:D327" si="2">ROUND(C28*(1-$C$3),0)</f>
        <v>0</v>
      </c>
      <c r="E28" s="1105">
        <f>D28</f>
        <v>0</v>
      </c>
      <c r="F28" s="1106">
        <f t="shared" ref="F28:F327" si="3">MODSTAT_CANNON($F$13,$B28)</f>
        <v>1.302</v>
      </c>
      <c r="G28" s="1106">
        <f t="shared" ref="G28:G327" si="4">MODSTAT_ARMOR($G$13,$B28)</f>
        <v>1.302</v>
      </c>
      <c r="H28" s="1106">
        <f t="shared" ref="H28:H327" si="5">MODSTAT_GENERATOR($H$13,$B28)</f>
        <v>1.036</v>
      </c>
      <c r="I28" s="1106">
        <f t="shared" ref="I28:I327" si="6">MODSTAT_CORE($I$13,$B28)</f>
        <v>1.443</v>
      </c>
      <c r="J28" s="1107">
        <f t="shared" ref="J28:J327" si="7">if(F$16=0,1,(MODSTAT_CANNON(F$16,$B28)-1)*F$4+1)</f>
        <v>1</v>
      </c>
      <c r="K28" s="1107">
        <f t="shared" ref="K28:K327" si="8">if(G$16=0,1,(MODSTAT_ARMOR(G$16,$B28)-1)*G$4+1)</f>
        <v>1.00252</v>
      </c>
      <c r="L28" s="1107">
        <f t="shared" ref="L28:L327" si="9">if(H$16=0,1,(MODSTAT_GENERATOR(H$16,$B28)-1)*H$4+1)</f>
        <v>1.0036</v>
      </c>
      <c r="M28" s="1107">
        <f t="shared" ref="M28:M327" si="10">if(I$16=0,1,(MODSTAT_CORE(I$16,$B28)-1)*I$4+1)</f>
        <v>1.041</v>
      </c>
      <c r="N28" s="1106">
        <f t="array" ref="N28">LET(
totalShards, F$10,
AtMax, OR(F$3&lt;$B28,totalShards&lt;$E28),
primeShards, $E28,
PrimeMulti, F28,
AssPer, F$4,
AssLevel, IF(AtMax,1,index(optimizer[Level],XMATCH(totalShards-primeShards,optimizer[Total discounted cost],-1,2))),
AssMulti,IF(F$16="",1,index(optimizer[cannonAssist],XMATCH(AssLevel,optimizer[Level],-1,2))),
TooLow, OR(AssLevel&lt;$F$18,$B28&lt;$F$15),
IF(OR(AtMax,TooLow), 0, PrimeMulti * (AssMulti)))</f>
        <v>1.302</v>
      </c>
      <c r="O28" s="1106">
        <f t="array" ref="O28">LET(
totalShards, G$10,
AtMax, OR(G$3&lt;$B28,totalShards&lt;$E28),
primeShards, $E28,
PrimeMulti, G28,
AssPer, G$4,
AssLevel, IF(AtMax,1,index(optimizer[Level],XMATCH(totalShards-primeShards,optimizer[Total discounted cost],-1,2))),
AssMulti,IF(G$16="",1,index(optimizer[armorAssist],XMATCH(AssLevel,optimizer[Level],-1,2))),
TooLow, OR(AssLevel&lt;$G$18,$B28&lt;$G$15),
IF(OR(AtMax,TooLow), 0, PrimeMulti * (AssMulti)))</f>
        <v>1.4034258</v>
      </c>
      <c r="P28" s="1106">
        <f t="array" ref="P28">LET(
totalShards, H$10,
AtMax, OR(H$3&lt;$B28,totalShards&lt;$E28),
primeShards, $E28,
PrimeMulti, H28,
AssPer, H$4,
AssLevel, IF(AtMax,1,index(optimizer[Level],XMATCH(totalShards-primeShards,optimizer[Total discounted cost],-1,2))),
AssMulti,IF(H$16="",1,index(optimizer[generatorAssist],XMATCH(AssLevel,optimizer[Level],-1,2))),
TooLow, OR(AssLevel&lt;$H$18,$B28&lt;$H$15),
IF(OR(AtMax,TooLow), 0, PrimeMulti * (AssMulti)))</f>
        <v>1.109038</v>
      </c>
      <c r="Q28" s="1108">
        <f t="array" ref="Q28">LET(
totalShards, I$10,
AtMax, OR(I$3&lt;$B28,totalShards&lt;$E28),
primeShards, $E28,
PrimeMulti, I28,
AssPer, I$4,
AssLevel, IF(AtMax,1,index(optimizer[Level],XMATCH(totalShards-primeShards,optimizer[Total discounted cost],-1,2))),
AssMulti,IF(I$16="",1,index(optimizer[coreAssist],XMATCH(AssLevel,optimizer[Level],-1,2))),
TooLow, OR(AssLevel&lt;$I$18,$B28&lt;$I$15),
IF(OR(AtMax,TooLow), 0, PrimeMulti * (AssMulti)))</f>
        <v>3.00144</v>
      </c>
    </row>
    <row r="29" ht="22.5" hidden="1" customHeight="1" outlineLevel="1">
      <c r="A29" s="1097"/>
      <c r="B29" s="1109">
        <v>2.0</v>
      </c>
      <c r="C29" s="1110">
        <v>7.0</v>
      </c>
      <c r="D29" s="1110">
        <f t="shared" si="2"/>
        <v>5</v>
      </c>
      <c r="E29" s="1111">
        <f t="shared" ref="E29:E327" si="11">D29+E28</f>
        <v>5</v>
      </c>
      <c r="F29" s="1112">
        <f t="shared" si="3"/>
        <v>1.304</v>
      </c>
      <c r="G29" s="1112">
        <f t="shared" si="4"/>
        <v>1.304</v>
      </c>
      <c r="H29" s="1112">
        <f t="shared" si="5"/>
        <v>1.037</v>
      </c>
      <c r="I29" s="1112">
        <f t="shared" si="6"/>
        <v>1.454</v>
      </c>
      <c r="J29" s="1113">
        <f t="shared" si="7"/>
        <v>1</v>
      </c>
      <c r="K29" s="1107">
        <f t="shared" si="8"/>
        <v>1.00254</v>
      </c>
      <c r="L29" s="1107">
        <f t="shared" si="9"/>
        <v>1.0037</v>
      </c>
      <c r="M29" s="1107">
        <f t="shared" si="10"/>
        <v>1.042</v>
      </c>
      <c r="N29" s="1106">
        <f t="array" ref="N29">LET(
totalShards, F$10,
AtMax, OR(F$3&lt;$B29,totalShards&lt;$E29),
primeShards, $E29,
PrimeMulti, F29,
AssPer, F$4,
AssLevel, IF(AtMax,1,index(optimizer[Level],XMATCH(totalShards-primeShards,optimizer[Total discounted cost],-1,2))),
AssMulti,IF(F$16="",1,index(optimizer[cannonAssist],XMATCH(AssLevel,optimizer[Level],-1,2))),
TooLow, OR(AssLevel&lt;$F$18,$B29&lt;$F$15),
IF(OR(AtMax,TooLow), 0, PrimeMulti * (AssMulti)))</f>
        <v>1.304</v>
      </c>
      <c r="O29" s="1112">
        <f t="array" ref="O29">LET(
totalShards, G$10,
AtMax, OR(G$3&lt;$B29,totalShards&lt;$E29),
primeShards, $E29,
PrimeMulti, G29,
AssPer, G$4,
AssLevel, IF(AtMax,1,index(optimizer[Level],XMATCH(totalShards-primeShards,optimizer[Total discounted cost],-1,2))),
AssMulti,IF(G$16="",1,index(optimizer[armorAssist],XMATCH(AssLevel,optimizer[Level],-1,2))),
TooLow, OR(AssLevel&lt;$G$18,$B29&lt;$G$15),
IF(OR(AtMax,TooLow), 0, PrimeMulti * (AssMulti)))</f>
        <v>1.4055816</v>
      </c>
      <c r="P29" s="1112">
        <f t="array" ref="P29">LET(
totalShards, H$10,
AtMax, OR(H$3&lt;$B29,totalShards&lt;$E29),
primeShards, $E29,
PrimeMulti, H29,
AssPer, H$4,
AssLevel, IF(AtMax,1,index(optimizer[Level],XMATCH(totalShards-primeShards,optimizer[Total discounted cost],-1,2))),
AssMulti,IF(H$16="",1,index(optimizer[generatorAssist],XMATCH(AssLevel,optimizer[Level],-1,2))),
TooLow, OR(AssLevel&lt;$H$18,$B29&lt;$H$15),
IF(OR(AtMax,TooLow), 0, PrimeMulti * (AssMulti)))</f>
        <v>1.1101085</v>
      </c>
      <c r="Q29" s="1114">
        <f t="array" ref="Q29">LET(
totalShards, I$10,
AtMax, OR(I$3&lt;$B29,totalShards&lt;$E29),
primeShards, $E29,
PrimeMulti, I29,
AssPer, I$4,
AssLevel, IF(AtMax,1,index(optimizer[Level],XMATCH(totalShards-primeShards,optimizer[Total discounted cost],-1,2))),
AssMulti,IF(I$16="",1,index(optimizer[coreAssist],XMATCH(AssLevel,optimizer[Level],-1,2))),
TooLow, OR(AssLevel&lt;$I$18,$B29&lt;$I$15),
IF(OR(AtMax,TooLow), 0, PrimeMulti * (AssMulti)))</f>
        <v>3.02432</v>
      </c>
    </row>
    <row r="30" ht="22.5" hidden="1" customHeight="1" outlineLevel="1">
      <c r="A30" s="1097"/>
      <c r="B30" s="1103">
        <v>3.0</v>
      </c>
      <c r="C30" s="1104">
        <v>7.0</v>
      </c>
      <c r="D30" s="1104">
        <f t="shared" si="2"/>
        <v>5</v>
      </c>
      <c r="E30" s="1105">
        <f t="shared" si="11"/>
        <v>10</v>
      </c>
      <c r="F30" s="1106">
        <f t="shared" si="3"/>
        <v>1.306</v>
      </c>
      <c r="G30" s="1106">
        <f t="shared" si="4"/>
        <v>1.306</v>
      </c>
      <c r="H30" s="1106">
        <f t="shared" si="5"/>
        <v>1.038</v>
      </c>
      <c r="I30" s="1106">
        <f t="shared" si="6"/>
        <v>1.464</v>
      </c>
      <c r="J30" s="1107">
        <f t="shared" si="7"/>
        <v>1</v>
      </c>
      <c r="K30" s="1107">
        <f t="shared" si="8"/>
        <v>1.00256</v>
      </c>
      <c r="L30" s="1107">
        <f t="shared" si="9"/>
        <v>1.0038</v>
      </c>
      <c r="M30" s="1107">
        <f t="shared" si="10"/>
        <v>1.043</v>
      </c>
      <c r="N30" s="1106">
        <f t="array" ref="N30">LET(
totalShards, F$10,
AtMax, OR(F$3&lt;$B30,totalShards&lt;$E30),
primeShards, $E30,
PrimeMulti, F30,
AssPer, F$4,
AssLevel, IF(AtMax,1,index(optimizer[Level],XMATCH(totalShards-primeShards,optimizer[Total discounted cost],-1,2))),
AssMulti,IF(F$16="",1,index(optimizer[cannonAssist],XMATCH(AssLevel,optimizer[Level],-1,2))),
TooLow, OR(AssLevel&lt;$F$18,$B30&lt;$F$15),
IF(OR(AtMax,TooLow), 0, PrimeMulti * (AssMulti)))</f>
        <v>1.306</v>
      </c>
      <c r="O30" s="1106">
        <f t="array" ref="O30">LET(
totalShards, G$10,
AtMax, OR(G$3&lt;$B30,totalShards&lt;$E30),
primeShards, $E30,
PrimeMulti, G30,
AssPer, G$4,
AssLevel, IF(AtMax,1,index(optimizer[Level],XMATCH(totalShards-primeShards,optimizer[Total discounted cost],-1,2))),
AssMulti,IF(G$16="",1,index(optimizer[armorAssist],XMATCH(AssLevel,optimizer[Level],-1,2))),
TooLow, OR(AssLevel&lt;$G$18,$B30&lt;$G$15),
IF(OR(AtMax,TooLow), 0, PrimeMulti * (AssMulti)))</f>
        <v>1.4077374</v>
      </c>
      <c r="P30" s="1106">
        <f t="array" ref="P30">LET(
totalShards, H$10,
AtMax, OR(H$3&lt;$B30,totalShards&lt;$E30),
primeShards, $E30,
PrimeMulti, H30,
AssPer, H$4,
AssLevel, IF(AtMax,1,index(optimizer[Level],XMATCH(totalShards-primeShards,optimizer[Total discounted cost],-1,2))),
AssMulti,IF(H$16="",1,index(optimizer[generatorAssist],XMATCH(AssLevel,optimizer[Level],-1,2))),
TooLow, OR(AssLevel&lt;$H$18,$B30&lt;$H$15),
IF(OR(AtMax,TooLow), 0, PrimeMulti * (AssMulti)))</f>
        <v>1.111179</v>
      </c>
      <c r="Q30" s="1108">
        <f t="array" ref="Q30">LET(
totalShards, I$10,
AtMax, OR(I$3&lt;$B30,totalShards&lt;$E30),
primeShards, $E30,
PrimeMulti, I30,
AssPer, I$4,
AssLevel, IF(AtMax,1,index(optimizer[Level],XMATCH(totalShards-primeShards,optimizer[Total discounted cost],-1,2))),
AssMulti,IF(I$16="",1,index(optimizer[coreAssist],XMATCH(AssLevel,optimizer[Level],-1,2))),
TooLow, OR(AssLevel&lt;$I$18,$B30&lt;$I$15),
IF(OR(AtMax,TooLow), 0, PrimeMulti * (AssMulti)))</f>
        <v>3.04512</v>
      </c>
    </row>
    <row r="31" ht="22.5" hidden="1" customHeight="1" outlineLevel="1">
      <c r="A31" s="1097"/>
      <c r="B31" s="1109">
        <v>4.0</v>
      </c>
      <c r="C31" s="1110">
        <v>7.0</v>
      </c>
      <c r="D31" s="1110">
        <f t="shared" si="2"/>
        <v>5</v>
      </c>
      <c r="E31" s="1111">
        <f t="shared" si="11"/>
        <v>15</v>
      </c>
      <c r="F31" s="1112">
        <f t="shared" si="3"/>
        <v>1.308</v>
      </c>
      <c r="G31" s="1112">
        <f t="shared" si="4"/>
        <v>1.308</v>
      </c>
      <c r="H31" s="1112">
        <f t="shared" si="5"/>
        <v>1.039</v>
      </c>
      <c r="I31" s="1112">
        <f t="shared" si="6"/>
        <v>1.475</v>
      </c>
      <c r="J31" s="1113">
        <f t="shared" si="7"/>
        <v>1</v>
      </c>
      <c r="K31" s="1107">
        <f t="shared" si="8"/>
        <v>1.00258</v>
      </c>
      <c r="L31" s="1107">
        <f t="shared" si="9"/>
        <v>1.0039</v>
      </c>
      <c r="M31" s="1107">
        <f t="shared" si="10"/>
        <v>1.044</v>
      </c>
      <c r="N31" s="1106">
        <f t="array" ref="N31">LET(
totalShards, F$10,
AtMax, OR(F$3&lt;$B31,totalShards&lt;$E31),
primeShards, $E31,
PrimeMulti, F31,
AssPer, F$4,
AssLevel, IF(AtMax,1,index(optimizer[Level],XMATCH(totalShards-primeShards,optimizer[Total discounted cost],-1,2))),
AssMulti,IF(F$16="",1,index(optimizer[cannonAssist],XMATCH(AssLevel,optimizer[Level],-1,2))),
TooLow, OR(AssLevel&lt;$F$18,$B31&lt;$F$15),
IF(OR(AtMax,TooLow), 0, PrimeMulti * (AssMulti)))</f>
        <v>1.308</v>
      </c>
      <c r="O31" s="1112">
        <f t="array" ref="O31">LET(
totalShards, G$10,
AtMax, OR(G$3&lt;$B31,totalShards&lt;$E31),
primeShards, $E31,
PrimeMulti, G31,
AssPer, G$4,
AssLevel, IF(AtMax,1,index(optimizer[Level],XMATCH(totalShards-primeShards,optimizer[Total discounted cost],-1,2))),
AssMulti,IF(G$16="",1,index(optimizer[armorAssist],XMATCH(AssLevel,optimizer[Level],-1,2))),
TooLow, OR(AssLevel&lt;$G$18,$B31&lt;$G$15),
IF(OR(AtMax,TooLow), 0, PrimeMulti * (AssMulti)))</f>
        <v>1.4098932</v>
      </c>
      <c r="P31" s="1112">
        <f t="array" ref="P31">LET(
totalShards, H$10,
AtMax, OR(H$3&lt;$B31,totalShards&lt;$E31),
primeShards, $E31,
PrimeMulti, H31,
AssPer, H$4,
AssLevel, IF(AtMax,1,index(optimizer[Level],XMATCH(totalShards-primeShards,optimizer[Total discounted cost],-1,2))),
AssMulti,IF(H$16="",1,index(optimizer[generatorAssist],XMATCH(AssLevel,optimizer[Level],-1,2))),
TooLow, OR(AssLevel&lt;$H$18,$B31&lt;$H$15),
IF(OR(AtMax,TooLow), 0, PrimeMulti * (AssMulti)))</f>
        <v>1.1122495</v>
      </c>
      <c r="Q31" s="1114">
        <f t="array" ref="Q31">LET(
totalShards, I$10,
AtMax, OR(I$3&lt;$B31,totalShards&lt;$E31),
primeShards, $E31,
PrimeMulti, I31,
AssPer, I$4,
AssLevel, IF(AtMax,1,index(optimizer[Level],XMATCH(totalShards-primeShards,optimizer[Total discounted cost],-1,2))),
AssMulti,IF(I$16="",1,index(optimizer[coreAssist],XMATCH(AssLevel,optimizer[Level],-1,2))),
TooLow, OR(AssLevel&lt;$I$18,$B31&lt;$I$15),
IF(OR(AtMax,TooLow), 0, PrimeMulti * (AssMulti)))</f>
        <v>3.068</v>
      </c>
    </row>
    <row r="32" ht="22.5" hidden="1" customHeight="1" outlineLevel="1">
      <c r="A32" s="1097"/>
      <c r="B32" s="1103">
        <v>5.0</v>
      </c>
      <c r="C32" s="1104">
        <v>7.0</v>
      </c>
      <c r="D32" s="1104">
        <f t="shared" si="2"/>
        <v>5</v>
      </c>
      <c r="E32" s="1105">
        <f t="shared" si="11"/>
        <v>20</v>
      </c>
      <c r="F32" s="1106">
        <f t="shared" si="3"/>
        <v>1.31</v>
      </c>
      <c r="G32" s="1106">
        <f t="shared" si="4"/>
        <v>1.31</v>
      </c>
      <c r="H32" s="1106">
        <f t="shared" si="5"/>
        <v>1.04</v>
      </c>
      <c r="I32" s="1106">
        <f t="shared" si="6"/>
        <v>1.486</v>
      </c>
      <c r="J32" s="1107">
        <f t="shared" si="7"/>
        <v>1</v>
      </c>
      <c r="K32" s="1107">
        <f t="shared" si="8"/>
        <v>1.0026</v>
      </c>
      <c r="L32" s="1107">
        <f t="shared" si="9"/>
        <v>1.004</v>
      </c>
      <c r="M32" s="1107">
        <f t="shared" si="10"/>
        <v>1.045</v>
      </c>
      <c r="N32" s="1106">
        <f t="array" ref="N32">LET(
totalShards, F$10,
AtMax, OR(F$3&lt;$B32,totalShards&lt;$E32),
primeShards, $E32,
PrimeMulti, F32,
AssPer, F$4,
AssLevel, IF(AtMax,1,index(optimizer[Level],XMATCH(totalShards-primeShards,optimizer[Total discounted cost],-1,2))),
AssMulti,IF(F$16="",1,index(optimizer[cannonAssist],XMATCH(AssLevel,optimizer[Level],-1,2))),
TooLow, OR(AssLevel&lt;$F$18,$B32&lt;$F$15),
IF(OR(AtMax,TooLow), 0, PrimeMulti * (AssMulti)))</f>
        <v>1.31</v>
      </c>
      <c r="O32" s="1106">
        <f t="array" ref="O32">LET(
totalShards, G$10,
AtMax, OR(G$3&lt;$B32,totalShards&lt;$E32),
primeShards, $E32,
PrimeMulti, G32,
AssPer, G$4,
AssLevel, IF(AtMax,1,index(optimizer[Level],XMATCH(totalShards-primeShards,optimizer[Total discounted cost],-1,2))),
AssMulti,IF(G$16="",1,index(optimizer[armorAssist],XMATCH(AssLevel,optimizer[Level],-1,2))),
TooLow, OR(AssLevel&lt;$G$18,$B32&lt;$G$15),
IF(OR(AtMax,TooLow), 0, PrimeMulti * (AssMulti)))</f>
        <v>1.412049</v>
      </c>
      <c r="P32" s="1106">
        <f t="array" ref="P32">LET(
totalShards, H$10,
AtMax, OR(H$3&lt;$B32,totalShards&lt;$E32),
primeShards, $E32,
PrimeMulti, H32,
AssPer, H$4,
AssLevel, IF(AtMax,1,index(optimizer[Level],XMATCH(totalShards-primeShards,optimizer[Total discounted cost],-1,2))),
AssMulti,IF(H$16="",1,index(optimizer[generatorAssist],XMATCH(AssLevel,optimizer[Level],-1,2))),
TooLow, OR(AssLevel&lt;$H$18,$B32&lt;$H$15),
IF(OR(AtMax,TooLow), 0, PrimeMulti * (AssMulti)))</f>
        <v>1.11332</v>
      </c>
      <c r="Q32" s="1108">
        <f t="array" ref="Q32">LET(
totalShards, I$10,
AtMax, OR(I$3&lt;$B32,totalShards&lt;$E32),
primeShards, $E32,
PrimeMulti, I32,
AssPer, I$4,
AssLevel, IF(AtMax,1,index(optimizer[Level],XMATCH(totalShards-primeShards,optimizer[Total discounted cost],-1,2))),
AssMulti,IF(I$16="",1,index(optimizer[coreAssist],XMATCH(AssLevel,optimizer[Level],-1,2))),
TooLow, OR(AssLevel&lt;$I$18,$B32&lt;$I$15),
IF(OR(AtMax,TooLow), 0, PrimeMulti * (AssMulti)))</f>
        <v>3.09088</v>
      </c>
    </row>
    <row r="33" ht="22.5" hidden="1" customHeight="1" outlineLevel="1">
      <c r="A33" s="1097"/>
      <c r="B33" s="1109">
        <v>6.0</v>
      </c>
      <c r="C33" s="1110">
        <v>12.0</v>
      </c>
      <c r="D33" s="1110">
        <f t="shared" si="2"/>
        <v>8</v>
      </c>
      <c r="E33" s="1111">
        <f t="shared" si="11"/>
        <v>28</v>
      </c>
      <c r="F33" s="1112">
        <f t="shared" si="3"/>
        <v>1.312</v>
      </c>
      <c r="G33" s="1112">
        <f t="shared" si="4"/>
        <v>1.312</v>
      </c>
      <c r="H33" s="1112">
        <f t="shared" si="5"/>
        <v>1.041</v>
      </c>
      <c r="I33" s="1112">
        <f t="shared" si="6"/>
        <v>1.497</v>
      </c>
      <c r="J33" s="1113">
        <f t="shared" si="7"/>
        <v>1</v>
      </c>
      <c r="K33" s="1107">
        <f t="shared" si="8"/>
        <v>1.00262</v>
      </c>
      <c r="L33" s="1107">
        <f t="shared" si="9"/>
        <v>1.0041</v>
      </c>
      <c r="M33" s="1107">
        <f t="shared" si="10"/>
        <v>1.046</v>
      </c>
      <c r="N33" s="1106">
        <f t="array" ref="N33">LET(
totalShards, F$10,
AtMax, OR(F$3&lt;$B33,totalShards&lt;$E33),
primeShards, $E33,
PrimeMulti, F33,
AssPer, F$4,
AssLevel, IF(AtMax,1,index(optimizer[Level],XMATCH(totalShards-primeShards,optimizer[Total discounted cost],-1,2))),
AssMulti,IF(F$16="",1,index(optimizer[cannonAssist],XMATCH(AssLevel,optimizer[Level],-1,2))),
TooLow, OR(AssLevel&lt;$F$18,$B33&lt;$F$15),
IF(OR(AtMax,TooLow), 0, PrimeMulti * (AssMulti)))</f>
        <v>1.312</v>
      </c>
      <c r="O33" s="1112">
        <f t="array" ref="O33">LET(
totalShards, G$10,
AtMax, OR(G$3&lt;$B33,totalShards&lt;$E33),
primeShards, $E33,
PrimeMulti, G33,
AssPer, G$4,
AssLevel, IF(AtMax,1,index(optimizer[Level],XMATCH(totalShards-primeShards,optimizer[Total discounted cost],-1,2))),
AssMulti,IF(G$16="",1,index(optimizer[armorAssist],XMATCH(AssLevel,optimizer[Level],-1,2))),
TooLow, OR(AssLevel&lt;$G$18,$B33&lt;$G$15),
IF(OR(AtMax,TooLow), 0, PrimeMulti * (AssMulti)))</f>
        <v>1.4142048</v>
      </c>
      <c r="P33" s="1112">
        <f t="array" ref="P33">LET(
totalShards, H$10,
AtMax, OR(H$3&lt;$B33,totalShards&lt;$E33),
primeShards, $E33,
PrimeMulti, H33,
AssPer, H$4,
AssLevel, IF(AtMax,1,index(optimizer[Level],XMATCH(totalShards-primeShards,optimizer[Total discounted cost],-1,2))),
AssMulti,IF(H$16="",1,index(optimizer[generatorAssist],XMATCH(AssLevel,optimizer[Level],-1,2))),
TooLow, OR(AssLevel&lt;$H$18,$B33&lt;$H$15),
IF(OR(AtMax,TooLow), 0, PrimeMulti * (AssMulti)))</f>
        <v>1.1143905</v>
      </c>
      <c r="Q33" s="1114">
        <f t="array" ref="Q33">LET(
totalShards, I$10,
AtMax, OR(I$3&lt;$B33,totalShards&lt;$E33),
primeShards, $E33,
PrimeMulti, I33,
AssPer, I$4,
AssLevel, IF(AtMax,1,index(optimizer[Level],XMATCH(totalShards-primeShards,optimizer[Total discounted cost],-1,2))),
AssMulti,IF(I$16="",1,index(optimizer[coreAssist],XMATCH(AssLevel,optimizer[Level],-1,2))),
TooLow, OR(AssLevel&lt;$I$18,$B33&lt;$I$15),
IF(OR(AtMax,TooLow), 0, PrimeMulti * (AssMulti)))</f>
        <v>3.11376</v>
      </c>
    </row>
    <row r="34" ht="22.5" hidden="1" customHeight="1" outlineLevel="1">
      <c r="A34" s="1097"/>
      <c r="B34" s="1103">
        <v>7.0</v>
      </c>
      <c r="C34" s="1104">
        <v>12.0</v>
      </c>
      <c r="D34" s="1104">
        <f t="shared" si="2"/>
        <v>8</v>
      </c>
      <c r="E34" s="1105">
        <f t="shared" si="11"/>
        <v>36</v>
      </c>
      <c r="F34" s="1106">
        <f t="shared" si="3"/>
        <v>1.314</v>
      </c>
      <c r="G34" s="1106">
        <f t="shared" si="4"/>
        <v>1.314</v>
      </c>
      <c r="H34" s="1106">
        <f t="shared" si="5"/>
        <v>1.042</v>
      </c>
      <c r="I34" s="1106">
        <f t="shared" si="6"/>
        <v>1.508</v>
      </c>
      <c r="J34" s="1107">
        <f t="shared" si="7"/>
        <v>1</v>
      </c>
      <c r="K34" s="1107">
        <f t="shared" si="8"/>
        <v>1.00264</v>
      </c>
      <c r="L34" s="1107">
        <f t="shared" si="9"/>
        <v>1.0042</v>
      </c>
      <c r="M34" s="1107">
        <f t="shared" si="10"/>
        <v>1.047</v>
      </c>
      <c r="N34" s="1106">
        <f t="array" ref="N34">LET(
totalShards, F$10,
AtMax, OR(F$3&lt;$B34,totalShards&lt;$E34),
primeShards, $E34,
PrimeMulti, F34,
AssPer, F$4,
AssLevel, IF(AtMax,1,index(optimizer[Level],XMATCH(totalShards-primeShards,optimizer[Total discounted cost],-1,2))),
AssMulti,IF(F$16="",1,index(optimizer[cannonAssist],XMATCH(AssLevel,optimizer[Level],-1,2))),
TooLow, OR(AssLevel&lt;$F$18,$B34&lt;$F$15),
IF(OR(AtMax,TooLow), 0, PrimeMulti * (AssMulti)))</f>
        <v>1.314</v>
      </c>
      <c r="O34" s="1106">
        <f t="array" ref="O34">LET(
totalShards, G$10,
AtMax, OR(G$3&lt;$B34,totalShards&lt;$E34),
primeShards, $E34,
PrimeMulti, G34,
AssPer, G$4,
AssLevel, IF(AtMax,1,index(optimizer[Level],XMATCH(totalShards-primeShards,optimizer[Total discounted cost],-1,2))),
AssMulti,IF(G$16="",1,index(optimizer[armorAssist],XMATCH(AssLevel,optimizer[Level],-1,2))),
TooLow, OR(AssLevel&lt;$G$18,$B34&lt;$G$15),
IF(OR(AtMax,TooLow), 0, PrimeMulti * (AssMulti)))</f>
        <v>1.4163606</v>
      </c>
      <c r="P34" s="1106">
        <f t="array" ref="P34">LET(
totalShards, H$10,
AtMax, OR(H$3&lt;$B34,totalShards&lt;$E34),
primeShards, $E34,
PrimeMulti, H34,
AssPer, H$4,
AssLevel, IF(AtMax,1,index(optimizer[Level],XMATCH(totalShards-primeShards,optimizer[Total discounted cost],-1,2))),
AssMulti,IF(H$16="",1,index(optimizer[generatorAssist],XMATCH(AssLevel,optimizer[Level],-1,2))),
TooLow, OR(AssLevel&lt;$H$18,$B34&lt;$H$15),
IF(OR(AtMax,TooLow), 0, PrimeMulti * (AssMulti)))</f>
        <v>1.115461</v>
      </c>
      <c r="Q34" s="1108">
        <f t="array" ref="Q34">LET(
totalShards, I$10,
AtMax, OR(I$3&lt;$B34,totalShards&lt;$E34),
primeShards, $E34,
PrimeMulti, I34,
AssPer, I$4,
AssLevel, IF(AtMax,1,index(optimizer[Level],XMATCH(totalShards-primeShards,optimizer[Total discounted cost],-1,2))),
AssMulti,IF(I$16="",1,index(optimizer[coreAssist],XMATCH(AssLevel,optimizer[Level],-1,2))),
TooLow, OR(AssLevel&lt;$I$18,$B34&lt;$I$15),
IF(OR(AtMax,TooLow), 0, PrimeMulti * (AssMulti)))</f>
        <v>3.13664</v>
      </c>
    </row>
    <row r="35" ht="22.5" hidden="1" customHeight="1" outlineLevel="1">
      <c r="A35" s="1097"/>
      <c r="B35" s="1109">
        <v>8.0</v>
      </c>
      <c r="C35" s="1110">
        <v>12.0</v>
      </c>
      <c r="D35" s="1110">
        <f t="shared" si="2"/>
        <v>8</v>
      </c>
      <c r="E35" s="1111">
        <f t="shared" si="11"/>
        <v>44</v>
      </c>
      <c r="F35" s="1112">
        <f t="shared" si="3"/>
        <v>1.316</v>
      </c>
      <c r="G35" s="1112">
        <f t="shared" si="4"/>
        <v>1.316</v>
      </c>
      <c r="H35" s="1112">
        <f t="shared" si="5"/>
        <v>1.043</v>
      </c>
      <c r="I35" s="1112">
        <f t="shared" si="6"/>
        <v>1.518</v>
      </c>
      <c r="J35" s="1113">
        <f t="shared" si="7"/>
        <v>1</v>
      </c>
      <c r="K35" s="1107">
        <f t="shared" si="8"/>
        <v>1.00266</v>
      </c>
      <c r="L35" s="1107">
        <f t="shared" si="9"/>
        <v>1.0043</v>
      </c>
      <c r="M35" s="1107">
        <f t="shared" si="10"/>
        <v>1.048</v>
      </c>
      <c r="N35" s="1106">
        <f t="array" ref="N35">LET(
totalShards, F$10,
AtMax, OR(F$3&lt;$B35,totalShards&lt;$E35),
primeShards, $E35,
PrimeMulti, F35,
AssPer, F$4,
AssLevel, IF(AtMax,1,index(optimizer[Level],XMATCH(totalShards-primeShards,optimizer[Total discounted cost],-1,2))),
AssMulti,IF(F$16="",1,index(optimizer[cannonAssist],XMATCH(AssLevel,optimizer[Level],-1,2))),
TooLow, OR(AssLevel&lt;$F$18,$B35&lt;$F$15),
IF(OR(AtMax,TooLow), 0, PrimeMulti * (AssMulti)))</f>
        <v>1.316</v>
      </c>
      <c r="O35" s="1112">
        <f t="array" ref="O35">LET(
totalShards, G$10,
AtMax, OR(G$3&lt;$B35,totalShards&lt;$E35),
primeShards, $E35,
PrimeMulti, G35,
AssPer, G$4,
AssLevel, IF(AtMax,1,index(optimizer[Level],XMATCH(totalShards-primeShards,optimizer[Total discounted cost],-1,2))),
AssMulti,IF(G$16="",1,index(optimizer[armorAssist],XMATCH(AssLevel,optimizer[Level],-1,2))),
TooLow, OR(AssLevel&lt;$G$18,$B35&lt;$G$15),
IF(OR(AtMax,TooLow), 0, PrimeMulti * (AssMulti)))</f>
        <v>1.4185164</v>
      </c>
      <c r="P35" s="1112">
        <f t="array" ref="P35">LET(
totalShards, H$10,
AtMax, OR(H$3&lt;$B35,totalShards&lt;$E35),
primeShards, $E35,
PrimeMulti, H35,
AssPer, H$4,
AssLevel, IF(AtMax,1,index(optimizer[Level],XMATCH(totalShards-primeShards,optimizer[Total discounted cost],-1,2))),
AssMulti,IF(H$16="",1,index(optimizer[generatorAssist],XMATCH(AssLevel,optimizer[Level],-1,2))),
TooLow, OR(AssLevel&lt;$H$18,$B35&lt;$H$15),
IF(OR(AtMax,TooLow), 0, PrimeMulti * (AssMulti)))</f>
        <v>1.1165315</v>
      </c>
      <c r="Q35" s="1114">
        <f t="array" ref="Q35">LET(
totalShards, I$10,
AtMax, OR(I$3&lt;$B35,totalShards&lt;$E35),
primeShards, $E35,
PrimeMulti, I35,
AssPer, I$4,
AssLevel, IF(AtMax,1,index(optimizer[Level],XMATCH(totalShards-primeShards,optimizer[Total discounted cost],-1,2))),
AssMulti,IF(I$16="",1,index(optimizer[coreAssist],XMATCH(AssLevel,optimizer[Level],-1,2))),
TooLow, OR(AssLevel&lt;$I$18,$B35&lt;$I$15),
IF(OR(AtMax,TooLow), 0, PrimeMulti * (AssMulti)))</f>
        <v>3.15744</v>
      </c>
    </row>
    <row r="36" ht="22.5" hidden="1" customHeight="1" outlineLevel="1">
      <c r="A36" s="1097"/>
      <c r="B36" s="1103">
        <v>9.0</v>
      </c>
      <c r="C36" s="1104">
        <v>12.0</v>
      </c>
      <c r="D36" s="1104">
        <f t="shared" si="2"/>
        <v>8</v>
      </c>
      <c r="E36" s="1105">
        <f t="shared" si="11"/>
        <v>52</v>
      </c>
      <c r="F36" s="1106">
        <f t="shared" si="3"/>
        <v>1.318</v>
      </c>
      <c r="G36" s="1106">
        <f t="shared" si="4"/>
        <v>1.318</v>
      </c>
      <c r="H36" s="1106">
        <f t="shared" si="5"/>
        <v>1.044</v>
      </c>
      <c r="I36" s="1106">
        <f t="shared" si="6"/>
        <v>1.529</v>
      </c>
      <c r="J36" s="1107">
        <f t="shared" si="7"/>
        <v>1</v>
      </c>
      <c r="K36" s="1107">
        <f t="shared" si="8"/>
        <v>1.00268</v>
      </c>
      <c r="L36" s="1107">
        <f t="shared" si="9"/>
        <v>1.0044</v>
      </c>
      <c r="M36" s="1107">
        <f t="shared" si="10"/>
        <v>1.049</v>
      </c>
      <c r="N36" s="1106">
        <f t="array" ref="N36">LET(
totalShards, F$10,
AtMax, OR(F$3&lt;$B36,totalShards&lt;$E36),
primeShards, $E36,
PrimeMulti, F36,
AssPer, F$4,
AssLevel, IF(AtMax,1,index(optimizer[Level],XMATCH(totalShards-primeShards,optimizer[Total discounted cost],-1,2))),
AssMulti,IF(F$16="",1,index(optimizer[cannonAssist],XMATCH(AssLevel,optimizer[Level],-1,2))),
TooLow, OR(AssLevel&lt;$F$18,$B36&lt;$F$15),
IF(OR(AtMax,TooLow), 0, PrimeMulti * (AssMulti)))</f>
        <v>1.318</v>
      </c>
      <c r="O36" s="1106">
        <f t="array" ref="O36">LET(
totalShards, G$10,
AtMax, OR(G$3&lt;$B36,totalShards&lt;$E36),
primeShards, $E36,
PrimeMulti, G36,
AssPer, G$4,
AssLevel, IF(AtMax,1,index(optimizer[Level],XMATCH(totalShards-primeShards,optimizer[Total discounted cost],-1,2))),
AssMulti,IF(G$16="",1,index(optimizer[armorAssist],XMATCH(AssLevel,optimizer[Level],-1,2))),
TooLow, OR(AssLevel&lt;$G$18,$B36&lt;$G$15),
IF(OR(AtMax,TooLow), 0, PrimeMulti * (AssMulti)))</f>
        <v>1.4206722</v>
      </c>
      <c r="P36" s="1106">
        <f t="array" ref="P36">LET(
totalShards, H$10,
AtMax, OR(H$3&lt;$B36,totalShards&lt;$E36),
primeShards, $E36,
PrimeMulti, H36,
AssPer, H$4,
AssLevel, IF(AtMax,1,index(optimizer[Level],XMATCH(totalShards-primeShards,optimizer[Total discounted cost],-1,2))),
AssMulti,IF(H$16="",1,index(optimizer[generatorAssist],XMATCH(AssLevel,optimizer[Level],-1,2))),
TooLow, OR(AssLevel&lt;$H$18,$B36&lt;$H$15),
IF(OR(AtMax,TooLow), 0, PrimeMulti * (AssMulti)))</f>
        <v>1.117602</v>
      </c>
      <c r="Q36" s="1108">
        <f t="array" ref="Q36">LET(
totalShards, I$10,
AtMax, OR(I$3&lt;$B36,totalShards&lt;$E36),
primeShards, $E36,
PrimeMulti, I36,
AssPer, I$4,
AssLevel, IF(AtMax,1,index(optimizer[Level],XMATCH(totalShards-primeShards,optimizer[Total discounted cost],-1,2))),
AssMulti,IF(I$16="",1,index(optimizer[coreAssist],XMATCH(AssLevel,optimizer[Level],-1,2))),
TooLow, OR(AssLevel&lt;$I$18,$B36&lt;$I$15),
IF(OR(AtMax,TooLow), 0, PrimeMulti * (AssMulti)))</f>
        <v>3.18032</v>
      </c>
    </row>
    <row r="37" ht="22.5" hidden="1" customHeight="1" outlineLevel="1">
      <c r="A37" s="1097"/>
      <c r="B37" s="1109">
        <v>10.0</v>
      </c>
      <c r="C37" s="1110">
        <v>12.0</v>
      </c>
      <c r="D37" s="1110">
        <f t="shared" si="2"/>
        <v>8</v>
      </c>
      <c r="E37" s="1111">
        <f t="shared" si="11"/>
        <v>60</v>
      </c>
      <c r="F37" s="1112">
        <f t="shared" si="3"/>
        <v>1.32</v>
      </c>
      <c r="G37" s="1112">
        <f t="shared" si="4"/>
        <v>1.32</v>
      </c>
      <c r="H37" s="1112">
        <f t="shared" si="5"/>
        <v>1.045</v>
      </c>
      <c r="I37" s="1112">
        <f t="shared" si="6"/>
        <v>1.54</v>
      </c>
      <c r="J37" s="1113">
        <f t="shared" si="7"/>
        <v>1</v>
      </c>
      <c r="K37" s="1107">
        <f t="shared" si="8"/>
        <v>1.0027</v>
      </c>
      <c r="L37" s="1107">
        <f t="shared" si="9"/>
        <v>1.0045</v>
      </c>
      <c r="M37" s="1107">
        <f t="shared" si="10"/>
        <v>1.05</v>
      </c>
      <c r="N37" s="1106">
        <f t="array" ref="N37">LET(
totalShards, F$10,
AtMax, OR(F$3&lt;$B37,totalShards&lt;$E37),
primeShards, $E37,
PrimeMulti, F37,
AssPer, F$4,
AssLevel, IF(AtMax,1,index(optimizer[Level],XMATCH(totalShards-primeShards,optimizer[Total discounted cost],-1,2))),
AssMulti,IF(F$16="",1,index(optimizer[cannonAssist],XMATCH(AssLevel,optimizer[Level],-1,2))),
TooLow, OR(AssLevel&lt;$F$18,$B37&lt;$F$15),
IF(OR(AtMax,TooLow), 0, PrimeMulti * (AssMulti)))</f>
        <v>1.32</v>
      </c>
      <c r="O37" s="1112">
        <f t="array" ref="O37">LET(
totalShards, G$10,
AtMax, OR(G$3&lt;$B37,totalShards&lt;$E37),
primeShards, $E37,
PrimeMulti, G37,
AssPer, G$4,
AssLevel, IF(AtMax,1,index(optimizer[Level],XMATCH(totalShards-primeShards,optimizer[Total discounted cost],-1,2))),
AssMulti,IF(G$16="",1,index(optimizer[armorAssist],XMATCH(AssLevel,optimizer[Level],-1,2))),
TooLow, OR(AssLevel&lt;$G$18,$B37&lt;$G$15),
IF(OR(AtMax,TooLow), 0, PrimeMulti * (AssMulti)))</f>
        <v>1.422828</v>
      </c>
      <c r="P37" s="1112">
        <f t="array" ref="P37">LET(
totalShards, H$10,
AtMax, OR(H$3&lt;$B37,totalShards&lt;$E37),
primeShards, $E37,
PrimeMulti, H37,
AssPer, H$4,
AssLevel, IF(AtMax,1,index(optimizer[Level],XMATCH(totalShards-primeShards,optimizer[Total discounted cost],-1,2))),
AssMulti,IF(H$16="",1,index(optimizer[generatorAssist],XMATCH(AssLevel,optimizer[Level],-1,2))),
TooLow, OR(AssLevel&lt;$H$18,$B37&lt;$H$15),
IF(OR(AtMax,TooLow), 0, PrimeMulti * (AssMulti)))</f>
        <v>1.1186725</v>
      </c>
      <c r="Q37" s="1114">
        <f t="array" ref="Q37">LET(
totalShards, I$10,
AtMax, OR(I$3&lt;$B37,totalShards&lt;$E37),
primeShards, $E37,
PrimeMulti, I37,
AssPer, I$4,
AssLevel, IF(AtMax,1,index(optimizer[Level],XMATCH(totalShards-primeShards,optimizer[Total discounted cost],-1,2))),
AssMulti,IF(I$16="",1,index(optimizer[coreAssist],XMATCH(AssLevel,optimizer[Level],-1,2))),
TooLow, OR(AssLevel&lt;$I$18,$B37&lt;$I$15),
IF(OR(AtMax,TooLow), 0, PrimeMulti * (AssMulti)))</f>
        <v>3.2032</v>
      </c>
    </row>
    <row r="38" ht="22.5" hidden="1" customHeight="1" outlineLevel="1">
      <c r="A38" s="1097"/>
      <c r="B38" s="1103">
        <v>11.0</v>
      </c>
      <c r="C38" s="1104">
        <v>20.0</v>
      </c>
      <c r="D38" s="1104">
        <f t="shared" si="2"/>
        <v>14</v>
      </c>
      <c r="E38" s="1105">
        <f t="shared" si="11"/>
        <v>74</v>
      </c>
      <c r="F38" s="1106">
        <f t="shared" si="3"/>
        <v>1.322</v>
      </c>
      <c r="G38" s="1106">
        <f t="shared" si="4"/>
        <v>1.322</v>
      </c>
      <c r="H38" s="1106">
        <f t="shared" si="5"/>
        <v>1.046</v>
      </c>
      <c r="I38" s="1106">
        <f t="shared" si="6"/>
        <v>1.551</v>
      </c>
      <c r="J38" s="1107">
        <f t="shared" si="7"/>
        <v>1</v>
      </c>
      <c r="K38" s="1107">
        <f t="shared" si="8"/>
        <v>1.00272</v>
      </c>
      <c r="L38" s="1107">
        <f t="shared" si="9"/>
        <v>1.0046</v>
      </c>
      <c r="M38" s="1107">
        <f t="shared" si="10"/>
        <v>1.051</v>
      </c>
      <c r="N38" s="1106">
        <f t="array" ref="N38">LET(
totalShards, F$10,
AtMax, OR(F$3&lt;$B38,totalShards&lt;$E38),
primeShards, $E38,
PrimeMulti, F38,
AssPer, F$4,
AssLevel, IF(AtMax,1,index(optimizer[Level],XMATCH(totalShards-primeShards,optimizer[Total discounted cost],-1,2))),
AssMulti,IF(F$16="",1,index(optimizer[cannonAssist],XMATCH(AssLevel,optimizer[Level],-1,2))),
TooLow, OR(AssLevel&lt;$F$18,$B38&lt;$F$15),
IF(OR(AtMax,TooLow), 0, PrimeMulti * (AssMulti)))</f>
        <v>1.322</v>
      </c>
      <c r="O38" s="1106">
        <f t="array" ref="O38">LET(
totalShards, G$10,
AtMax, OR(G$3&lt;$B38,totalShards&lt;$E38),
primeShards, $E38,
PrimeMulti, G38,
AssPer, G$4,
AssLevel, IF(AtMax,1,index(optimizer[Level],XMATCH(totalShards-primeShards,optimizer[Total discounted cost],-1,2))),
AssMulti,IF(G$16="",1,index(optimizer[armorAssist],XMATCH(AssLevel,optimizer[Level],-1,2))),
TooLow, OR(AssLevel&lt;$G$18,$B38&lt;$G$15),
IF(OR(AtMax,TooLow), 0, PrimeMulti * (AssMulti)))</f>
        <v>1.4249838</v>
      </c>
      <c r="P38" s="1106">
        <f t="array" ref="P38">LET(
totalShards, H$10,
AtMax, OR(H$3&lt;$B38,totalShards&lt;$E38),
primeShards, $E38,
PrimeMulti, H38,
AssPer, H$4,
AssLevel, IF(AtMax,1,index(optimizer[Level],XMATCH(totalShards-primeShards,optimizer[Total discounted cost],-1,2))),
AssMulti,IF(H$16="",1,index(optimizer[generatorAssist],XMATCH(AssLevel,optimizer[Level],-1,2))),
TooLow, OR(AssLevel&lt;$H$18,$B38&lt;$H$15),
IF(OR(AtMax,TooLow), 0, PrimeMulti * (AssMulti)))</f>
        <v>1.119743</v>
      </c>
      <c r="Q38" s="1108">
        <f t="array" ref="Q38">LET(
totalShards, I$10,
AtMax, OR(I$3&lt;$B38,totalShards&lt;$E38),
primeShards, $E38,
PrimeMulti, I38,
AssPer, I$4,
AssLevel, IF(AtMax,1,index(optimizer[Level],XMATCH(totalShards-primeShards,optimizer[Total discounted cost],-1,2))),
AssMulti,IF(I$16="",1,index(optimizer[coreAssist],XMATCH(AssLevel,optimizer[Level],-1,2))),
TooLow, OR(AssLevel&lt;$I$18,$B38&lt;$I$15),
IF(OR(AtMax,TooLow), 0, PrimeMulti * (AssMulti)))</f>
        <v>3.22608</v>
      </c>
    </row>
    <row r="39" ht="22.5" hidden="1" customHeight="1" outlineLevel="1">
      <c r="A39" s="1097"/>
      <c r="B39" s="1109">
        <v>12.0</v>
      </c>
      <c r="C39" s="1110">
        <v>20.0</v>
      </c>
      <c r="D39" s="1110">
        <f t="shared" si="2"/>
        <v>14</v>
      </c>
      <c r="E39" s="1111">
        <f t="shared" si="11"/>
        <v>88</v>
      </c>
      <c r="F39" s="1112">
        <f t="shared" si="3"/>
        <v>1.324</v>
      </c>
      <c r="G39" s="1112">
        <f t="shared" si="4"/>
        <v>1.324</v>
      </c>
      <c r="H39" s="1112">
        <f t="shared" si="5"/>
        <v>1.047</v>
      </c>
      <c r="I39" s="1112">
        <f t="shared" si="6"/>
        <v>1.562</v>
      </c>
      <c r="J39" s="1113">
        <f t="shared" si="7"/>
        <v>1</v>
      </c>
      <c r="K39" s="1107">
        <f t="shared" si="8"/>
        <v>1.00274</v>
      </c>
      <c r="L39" s="1107">
        <f t="shared" si="9"/>
        <v>1.0047</v>
      </c>
      <c r="M39" s="1107">
        <f t="shared" si="10"/>
        <v>1.052</v>
      </c>
      <c r="N39" s="1106">
        <f t="array" ref="N39">LET(
totalShards, F$10,
AtMax, OR(F$3&lt;$B39,totalShards&lt;$E39),
primeShards, $E39,
PrimeMulti, F39,
AssPer, F$4,
AssLevel, IF(AtMax,1,index(optimizer[Level],XMATCH(totalShards-primeShards,optimizer[Total discounted cost],-1,2))),
AssMulti,IF(F$16="",1,index(optimizer[cannonAssist],XMATCH(AssLevel,optimizer[Level],-1,2))),
TooLow, OR(AssLevel&lt;$F$18,$B39&lt;$F$15),
IF(OR(AtMax,TooLow), 0, PrimeMulti * (AssMulti)))</f>
        <v>1.324</v>
      </c>
      <c r="O39" s="1112">
        <f t="array" ref="O39">LET(
totalShards, G$10,
AtMax, OR(G$3&lt;$B39,totalShards&lt;$E39),
primeShards, $E39,
PrimeMulti, G39,
AssPer, G$4,
AssLevel, IF(AtMax,1,index(optimizer[Level],XMATCH(totalShards-primeShards,optimizer[Total discounted cost],-1,2))),
AssMulti,IF(G$16="",1,index(optimizer[armorAssist],XMATCH(AssLevel,optimizer[Level],-1,2))),
TooLow, OR(AssLevel&lt;$G$18,$B39&lt;$G$15),
IF(OR(AtMax,TooLow), 0, PrimeMulti * (AssMulti)))</f>
        <v>1.4271396</v>
      </c>
      <c r="P39" s="1112">
        <f t="array" ref="P39">LET(
totalShards, H$10,
AtMax, OR(H$3&lt;$B39,totalShards&lt;$E39),
primeShards, $E39,
PrimeMulti, H39,
AssPer, H$4,
AssLevel, IF(AtMax,1,index(optimizer[Level],XMATCH(totalShards-primeShards,optimizer[Total discounted cost],-1,2))),
AssMulti,IF(H$16="",1,index(optimizer[generatorAssist],XMATCH(AssLevel,optimizer[Level],-1,2))),
TooLow, OR(AssLevel&lt;$H$18,$B39&lt;$H$15),
IF(OR(AtMax,TooLow), 0, PrimeMulti * (AssMulti)))</f>
        <v>1.1208135</v>
      </c>
      <c r="Q39" s="1114">
        <f t="array" ref="Q39">LET(
totalShards, I$10,
AtMax, OR(I$3&lt;$B39,totalShards&lt;$E39),
primeShards, $E39,
PrimeMulti, I39,
AssPer, I$4,
AssLevel, IF(AtMax,1,index(optimizer[Level],XMATCH(totalShards-primeShards,optimizer[Total discounted cost],-1,2))),
AssMulti,IF(I$16="",1,index(optimizer[coreAssist],XMATCH(AssLevel,optimizer[Level],-1,2))),
TooLow, OR(AssLevel&lt;$I$18,$B39&lt;$I$15),
IF(OR(AtMax,TooLow), 0, PrimeMulti * (AssMulti)))</f>
        <v>3.24896</v>
      </c>
    </row>
    <row r="40" ht="22.5" hidden="1" customHeight="1" outlineLevel="1">
      <c r="A40" s="1097"/>
      <c r="B40" s="1103">
        <v>13.0</v>
      </c>
      <c r="C40" s="1104">
        <v>20.0</v>
      </c>
      <c r="D40" s="1104">
        <f t="shared" si="2"/>
        <v>14</v>
      </c>
      <c r="E40" s="1105">
        <f t="shared" si="11"/>
        <v>102</v>
      </c>
      <c r="F40" s="1106">
        <f t="shared" si="3"/>
        <v>1.326</v>
      </c>
      <c r="G40" s="1106">
        <f t="shared" si="4"/>
        <v>1.326</v>
      </c>
      <c r="H40" s="1106">
        <f t="shared" si="5"/>
        <v>1.048</v>
      </c>
      <c r="I40" s="1106">
        <f t="shared" si="6"/>
        <v>1.572</v>
      </c>
      <c r="J40" s="1107">
        <f t="shared" si="7"/>
        <v>1</v>
      </c>
      <c r="K40" s="1107">
        <f t="shared" si="8"/>
        <v>1.00276</v>
      </c>
      <c r="L40" s="1107">
        <f t="shared" si="9"/>
        <v>1.0048</v>
      </c>
      <c r="M40" s="1107">
        <f t="shared" si="10"/>
        <v>1.053</v>
      </c>
      <c r="N40" s="1106">
        <f t="array" ref="N40">LET(
totalShards, F$10,
AtMax, OR(F$3&lt;$B40,totalShards&lt;$E40),
primeShards, $E40,
PrimeMulti, F40,
AssPer, F$4,
AssLevel, IF(AtMax,1,index(optimizer[Level],XMATCH(totalShards-primeShards,optimizer[Total discounted cost],-1,2))),
AssMulti,IF(F$16="",1,index(optimizer[cannonAssist],XMATCH(AssLevel,optimizer[Level],-1,2))),
TooLow, OR(AssLevel&lt;$F$18,$B40&lt;$F$15),
IF(OR(AtMax,TooLow), 0, PrimeMulti * (AssMulti)))</f>
        <v>1.326</v>
      </c>
      <c r="O40" s="1106">
        <f t="array" ref="O40">LET(
totalShards, G$10,
AtMax, OR(G$3&lt;$B40,totalShards&lt;$E40),
primeShards, $E40,
PrimeMulti, G40,
AssPer, G$4,
AssLevel, IF(AtMax,1,index(optimizer[Level],XMATCH(totalShards-primeShards,optimizer[Total discounted cost],-1,2))),
AssMulti,IF(G$16="",1,index(optimizer[armorAssist],XMATCH(AssLevel,optimizer[Level],-1,2))),
TooLow, OR(AssLevel&lt;$G$18,$B40&lt;$G$15),
IF(OR(AtMax,TooLow), 0, PrimeMulti * (AssMulti)))</f>
        <v>1.4292954</v>
      </c>
      <c r="P40" s="1106">
        <f t="array" ref="P40">LET(
totalShards, H$10,
AtMax, OR(H$3&lt;$B40,totalShards&lt;$E40),
primeShards, $E40,
PrimeMulti, H40,
AssPer, H$4,
AssLevel, IF(AtMax,1,index(optimizer[Level],XMATCH(totalShards-primeShards,optimizer[Total discounted cost],-1,2))),
AssMulti,IF(H$16="",1,index(optimizer[generatorAssist],XMATCH(AssLevel,optimizer[Level],-1,2))),
TooLow, OR(AssLevel&lt;$H$18,$B40&lt;$H$15),
IF(OR(AtMax,TooLow), 0, PrimeMulti * (AssMulti)))</f>
        <v>1.121884</v>
      </c>
      <c r="Q40" s="1108">
        <f t="array" ref="Q40">LET(
totalShards, I$10,
AtMax, OR(I$3&lt;$B40,totalShards&lt;$E40),
primeShards, $E40,
PrimeMulti, I40,
AssPer, I$4,
AssLevel, IF(AtMax,1,index(optimizer[Level],XMATCH(totalShards-primeShards,optimizer[Total discounted cost],-1,2))),
AssMulti,IF(I$16="",1,index(optimizer[coreAssist],XMATCH(AssLevel,optimizer[Level],-1,2))),
TooLow, OR(AssLevel&lt;$I$18,$B40&lt;$I$15),
IF(OR(AtMax,TooLow), 0, PrimeMulti * (AssMulti)))</f>
        <v>3.26976</v>
      </c>
    </row>
    <row r="41" ht="22.5" hidden="1" customHeight="1" outlineLevel="1">
      <c r="A41" s="1097"/>
      <c r="B41" s="1109">
        <v>14.0</v>
      </c>
      <c r="C41" s="1110">
        <v>20.0</v>
      </c>
      <c r="D41" s="1110">
        <f t="shared" si="2"/>
        <v>14</v>
      </c>
      <c r="E41" s="1111">
        <f t="shared" si="11"/>
        <v>116</v>
      </c>
      <c r="F41" s="1112">
        <f t="shared" si="3"/>
        <v>1.328</v>
      </c>
      <c r="G41" s="1112">
        <f t="shared" si="4"/>
        <v>1.328</v>
      </c>
      <c r="H41" s="1112">
        <f t="shared" si="5"/>
        <v>1.049</v>
      </c>
      <c r="I41" s="1112">
        <f t="shared" si="6"/>
        <v>1.583</v>
      </c>
      <c r="J41" s="1113">
        <f t="shared" si="7"/>
        <v>1</v>
      </c>
      <c r="K41" s="1107">
        <f t="shared" si="8"/>
        <v>1.00278</v>
      </c>
      <c r="L41" s="1107">
        <f t="shared" si="9"/>
        <v>1.0049</v>
      </c>
      <c r="M41" s="1107">
        <f t="shared" si="10"/>
        <v>1.054</v>
      </c>
      <c r="N41" s="1106">
        <f t="array" ref="N41">LET(
totalShards, F$10,
AtMax, OR(F$3&lt;$B41,totalShards&lt;$E41),
primeShards, $E41,
PrimeMulti, F41,
AssPer, F$4,
AssLevel, IF(AtMax,1,index(optimizer[Level],XMATCH(totalShards-primeShards,optimizer[Total discounted cost],-1,2))),
AssMulti,IF(F$16="",1,index(optimizer[cannonAssist],XMATCH(AssLevel,optimizer[Level],-1,2))),
TooLow, OR(AssLevel&lt;$F$18,$B41&lt;$F$15),
IF(OR(AtMax,TooLow), 0, PrimeMulti * (AssMulti)))</f>
        <v>1.328</v>
      </c>
      <c r="O41" s="1112">
        <f t="array" ref="O41">LET(
totalShards, G$10,
AtMax, OR(G$3&lt;$B41,totalShards&lt;$E41),
primeShards, $E41,
PrimeMulti, G41,
AssPer, G$4,
AssLevel, IF(AtMax,1,index(optimizer[Level],XMATCH(totalShards-primeShards,optimizer[Total discounted cost],-1,2))),
AssMulti,IF(G$16="",1,index(optimizer[armorAssist],XMATCH(AssLevel,optimizer[Level],-1,2))),
TooLow, OR(AssLevel&lt;$G$18,$B41&lt;$G$15),
IF(OR(AtMax,TooLow), 0, PrimeMulti * (AssMulti)))</f>
        <v>1.4314512</v>
      </c>
      <c r="P41" s="1112">
        <f t="array" ref="P41">LET(
totalShards, H$10,
AtMax, OR(H$3&lt;$B41,totalShards&lt;$E41),
primeShards, $E41,
PrimeMulti, H41,
AssPer, H$4,
AssLevel, IF(AtMax,1,index(optimizer[Level],XMATCH(totalShards-primeShards,optimizer[Total discounted cost],-1,2))),
AssMulti,IF(H$16="",1,index(optimizer[generatorAssist],XMATCH(AssLevel,optimizer[Level],-1,2))),
TooLow, OR(AssLevel&lt;$H$18,$B41&lt;$H$15),
IF(OR(AtMax,TooLow), 0, PrimeMulti * (AssMulti)))</f>
        <v>1.1229545</v>
      </c>
      <c r="Q41" s="1114">
        <f t="array" ref="Q41">LET(
totalShards, I$10,
AtMax, OR(I$3&lt;$B41,totalShards&lt;$E41),
primeShards, $E41,
PrimeMulti, I41,
AssPer, I$4,
AssLevel, IF(AtMax,1,index(optimizer[Level],XMATCH(totalShards-primeShards,optimizer[Total discounted cost],-1,2))),
AssMulti,IF(I$16="",1,index(optimizer[coreAssist],XMATCH(AssLevel,optimizer[Level],-1,2))),
TooLow, OR(AssLevel&lt;$I$18,$B41&lt;$I$15),
IF(OR(AtMax,TooLow), 0, PrimeMulti * (AssMulti)))</f>
        <v>3.29264</v>
      </c>
    </row>
    <row r="42" ht="22.5" hidden="1" customHeight="1" outlineLevel="1">
      <c r="A42" s="1097"/>
      <c r="B42" s="1103">
        <v>15.0</v>
      </c>
      <c r="C42" s="1104">
        <v>20.0</v>
      </c>
      <c r="D42" s="1104">
        <f t="shared" si="2"/>
        <v>14</v>
      </c>
      <c r="E42" s="1105">
        <f t="shared" si="11"/>
        <v>130</v>
      </c>
      <c r="F42" s="1106">
        <f t="shared" si="3"/>
        <v>1.33</v>
      </c>
      <c r="G42" s="1106">
        <f t="shared" si="4"/>
        <v>1.33</v>
      </c>
      <c r="H42" s="1106">
        <f t="shared" si="5"/>
        <v>1.05</v>
      </c>
      <c r="I42" s="1106">
        <f t="shared" si="6"/>
        <v>1.594</v>
      </c>
      <c r="J42" s="1107">
        <f t="shared" si="7"/>
        <v>1</v>
      </c>
      <c r="K42" s="1107">
        <f t="shared" si="8"/>
        <v>1.0028</v>
      </c>
      <c r="L42" s="1107">
        <f t="shared" si="9"/>
        <v>1.005</v>
      </c>
      <c r="M42" s="1107">
        <f t="shared" si="10"/>
        <v>1.055</v>
      </c>
      <c r="N42" s="1106">
        <f t="array" ref="N42">LET(
totalShards, F$10,
AtMax, OR(F$3&lt;$B42,totalShards&lt;$E42),
primeShards, $E42,
PrimeMulti, F42,
AssPer, F$4,
AssLevel, IF(AtMax,1,index(optimizer[Level],XMATCH(totalShards-primeShards,optimizer[Total discounted cost],-1,2))),
AssMulti,IF(F$16="",1,index(optimizer[cannonAssist],XMATCH(AssLevel,optimizer[Level],-1,2))),
TooLow, OR(AssLevel&lt;$F$18,$B42&lt;$F$15),
IF(OR(AtMax,TooLow), 0, PrimeMulti * (AssMulti)))</f>
        <v>1.33</v>
      </c>
      <c r="O42" s="1106">
        <f t="array" ref="O42">LET(
totalShards, G$10,
AtMax, OR(G$3&lt;$B42,totalShards&lt;$E42),
primeShards, $E42,
PrimeMulti, G42,
AssPer, G$4,
AssLevel, IF(AtMax,1,index(optimizer[Level],XMATCH(totalShards-primeShards,optimizer[Total discounted cost],-1,2))),
AssMulti,IF(G$16="",1,index(optimizer[armorAssist],XMATCH(AssLevel,optimizer[Level],-1,2))),
TooLow, OR(AssLevel&lt;$G$18,$B42&lt;$G$15),
IF(OR(AtMax,TooLow), 0, PrimeMulti * (AssMulti)))</f>
        <v>1.433607</v>
      </c>
      <c r="P42" s="1106">
        <f t="array" ref="P42">LET(
totalShards, H$10,
AtMax, OR(H$3&lt;$B42,totalShards&lt;$E42),
primeShards, $E42,
PrimeMulti, H42,
AssPer, H$4,
AssLevel, IF(AtMax,1,index(optimizer[Level],XMATCH(totalShards-primeShards,optimizer[Total discounted cost],-1,2))),
AssMulti,IF(H$16="",1,index(optimizer[generatorAssist],XMATCH(AssLevel,optimizer[Level],-1,2))),
TooLow, OR(AssLevel&lt;$H$18,$B42&lt;$H$15),
IF(OR(AtMax,TooLow), 0, PrimeMulti * (AssMulti)))</f>
        <v>1.124025</v>
      </c>
      <c r="Q42" s="1108">
        <f t="array" ref="Q42">LET(
totalShards, I$10,
AtMax, OR(I$3&lt;$B42,totalShards&lt;$E42),
primeShards, $E42,
PrimeMulti, I42,
AssPer, I$4,
AssLevel, IF(AtMax,1,index(optimizer[Level],XMATCH(totalShards-primeShards,optimizer[Total discounted cost],-1,2))),
AssMulti,IF(I$16="",1,index(optimizer[coreAssist],XMATCH(AssLevel,optimizer[Level],-1,2))),
TooLow, OR(AssLevel&lt;$I$18,$B42&lt;$I$15),
IF(OR(AtMax,TooLow), 0, PrimeMulti * (AssMulti)))</f>
        <v>3.31552</v>
      </c>
    </row>
    <row r="43" ht="22.5" hidden="1" customHeight="1" outlineLevel="1">
      <c r="A43" s="1097"/>
      <c r="B43" s="1109">
        <v>16.0</v>
      </c>
      <c r="C43" s="1110">
        <v>25.0</v>
      </c>
      <c r="D43" s="1110">
        <f t="shared" si="2"/>
        <v>18</v>
      </c>
      <c r="E43" s="1111">
        <f t="shared" si="11"/>
        <v>148</v>
      </c>
      <c r="F43" s="1112">
        <f t="shared" si="3"/>
        <v>1.332</v>
      </c>
      <c r="G43" s="1112">
        <f t="shared" si="4"/>
        <v>1.332</v>
      </c>
      <c r="H43" s="1112">
        <f t="shared" si="5"/>
        <v>1.051</v>
      </c>
      <c r="I43" s="1112">
        <f t="shared" si="6"/>
        <v>1.605</v>
      </c>
      <c r="J43" s="1113">
        <f t="shared" si="7"/>
        <v>1</v>
      </c>
      <c r="K43" s="1107">
        <f t="shared" si="8"/>
        <v>1.00282</v>
      </c>
      <c r="L43" s="1107">
        <f t="shared" si="9"/>
        <v>1.0051</v>
      </c>
      <c r="M43" s="1107">
        <f t="shared" si="10"/>
        <v>1.056</v>
      </c>
      <c r="N43" s="1106">
        <f t="array" ref="N43">LET(
totalShards, F$10,
AtMax, OR(F$3&lt;$B43,totalShards&lt;$E43),
primeShards, $E43,
PrimeMulti, F43,
AssPer, F$4,
AssLevel, IF(AtMax,1,index(optimizer[Level],XMATCH(totalShards-primeShards,optimizer[Total discounted cost],-1,2))),
AssMulti,IF(F$16="",1,index(optimizer[cannonAssist],XMATCH(AssLevel,optimizer[Level],-1,2))),
TooLow, OR(AssLevel&lt;$F$18,$B43&lt;$F$15),
IF(OR(AtMax,TooLow), 0, PrimeMulti * (AssMulti)))</f>
        <v>1.332</v>
      </c>
      <c r="O43" s="1112">
        <f t="array" ref="O43">LET(
totalShards, G$10,
AtMax, OR(G$3&lt;$B43,totalShards&lt;$E43),
primeShards, $E43,
PrimeMulti, G43,
AssPer, G$4,
AssLevel, IF(AtMax,1,index(optimizer[Level],XMATCH(totalShards-primeShards,optimizer[Total discounted cost],-1,2))),
AssMulti,IF(G$16="",1,index(optimizer[armorAssist],XMATCH(AssLevel,optimizer[Level],-1,2))),
TooLow, OR(AssLevel&lt;$G$18,$B43&lt;$G$15),
IF(OR(AtMax,TooLow), 0, PrimeMulti * (AssMulti)))</f>
        <v>1.4357628</v>
      </c>
      <c r="P43" s="1112">
        <f t="array" ref="P43">LET(
totalShards, H$10,
AtMax, OR(H$3&lt;$B43,totalShards&lt;$E43),
primeShards, $E43,
PrimeMulti, H43,
AssPer, H$4,
AssLevel, IF(AtMax,1,index(optimizer[Level],XMATCH(totalShards-primeShards,optimizer[Total discounted cost],-1,2))),
AssMulti,IF(H$16="",1,index(optimizer[generatorAssist],XMATCH(AssLevel,optimizer[Level],-1,2))),
TooLow, OR(AssLevel&lt;$H$18,$B43&lt;$H$15),
IF(OR(AtMax,TooLow), 0, PrimeMulti * (AssMulti)))</f>
        <v>1.1250955</v>
      </c>
      <c r="Q43" s="1114">
        <f t="array" ref="Q43">LET(
totalShards, I$10,
AtMax, OR(I$3&lt;$B43,totalShards&lt;$E43),
primeShards, $E43,
PrimeMulti, I43,
AssPer, I$4,
AssLevel, IF(AtMax,1,index(optimizer[Level],XMATCH(totalShards-primeShards,optimizer[Total discounted cost],-1,2))),
AssMulti,IF(I$16="",1,index(optimizer[coreAssist],XMATCH(AssLevel,optimizer[Level],-1,2))),
TooLow, OR(AssLevel&lt;$I$18,$B43&lt;$I$15),
IF(OR(AtMax,TooLow), 0, PrimeMulti * (AssMulti)))</f>
        <v>3.3384</v>
      </c>
    </row>
    <row r="44" ht="22.5" hidden="1" customHeight="1" outlineLevel="1">
      <c r="A44" s="1097"/>
      <c r="B44" s="1103">
        <v>17.0</v>
      </c>
      <c r="C44" s="1104">
        <v>25.0</v>
      </c>
      <c r="D44" s="1104">
        <f t="shared" si="2"/>
        <v>18</v>
      </c>
      <c r="E44" s="1105">
        <f t="shared" si="11"/>
        <v>166</v>
      </c>
      <c r="F44" s="1106">
        <f t="shared" si="3"/>
        <v>1.334</v>
      </c>
      <c r="G44" s="1106">
        <f t="shared" si="4"/>
        <v>1.334</v>
      </c>
      <c r="H44" s="1106">
        <f t="shared" si="5"/>
        <v>1.052</v>
      </c>
      <c r="I44" s="1106">
        <f t="shared" si="6"/>
        <v>1.616</v>
      </c>
      <c r="J44" s="1107">
        <f t="shared" si="7"/>
        <v>1</v>
      </c>
      <c r="K44" s="1107">
        <f t="shared" si="8"/>
        <v>1.00284</v>
      </c>
      <c r="L44" s="1107">
        <f t="shared" si="9"/>
        <v>1.0052</v>
      </c>
      <c r="M44" s="1107">
        <f t="shared" si="10"/>
        <v>1.057</v>
      </c>
      <c r="N44" s="1106">
        <f t="array" ref="N44">LET(
totalShards, F$10,
AtMax, OR(F$3&lt;$B44,totalShards&lt;$E44),
primeShards, $E44,
PrimeMulti, F44,
AssPer, F$4,
AssLevel, IF(AtMax,1,index(optimizer[Level],XMATCH(totalShards-primeShards,optimizer[Total discounted cost],-1,2))),
AssMulti,IF(F$16="",1,index(optimizer[cannonAssist],XMATCH(AssLevel,optimizer[Level],-1,2))),
TooLow, OR(AssLevel&lt;$F$18,$B44&lt;$F$15),
IF(OR(AtMax,TooLow), 0, PrimeMulti * (AssMulti)))</f>
        <v>1.334</v>
      </c>
      <c r="O44" s="1106">
        <f t="array" ref="O44">LET(
totalShards, G$10,
AtMax, OR(G$3&lt;$B44,totalShards&lt;$E44),
primeShards, $E44,
PrimeMulti, G44,
AssPer, G$4,
AssLevel, IF(AtMax,1,index(optimizer[Level],XMATCH(totalShards-primeShards,optimizer[Total discounted cost],-1,2))),
AssMulti,IF(G$16="",1,index(optimizer[armorAssist],XMATCH(AssLevel,optimizer[Level],-1,2))),
TooLow, OR(AssLevel&lt;$G$18,$B44&lt;$G$15),
IF(OR(AtMax,TooLow), 0, PrimeMulti * (AssMulti)))</f>
        <v>1.4379186</v>
      </c>
      <c r="P44" s="1106">
        <f t="array" ref="P44">LET(
totalShards, H$10,
AtMax, OR(H$3&lt;$B44,totalShards&lt;$E44),
primeShards, $E44,
PrimeMulti, H44,
AssPer, H$4,
AssLevel, IF(AtMax,1,index(optimizer[Level],XMATCH(totalShards-primeShards,optimizer[Total discounted cost],-1,2))),
AssMulti,IF(H$16="",1,index(optimizer[generatorAssist],XMATCH(AssLevel,optimizer[Level],-1,2))),
TooLow, OR(AssLevel&lt;$H$18,$B44&lt;$H$15),
IF(OR(AtMax,TooLow), 0, PrimeMulti * (AssMulti)))</f>
        <v>1.126166</v>
      </c>
      <c r="Q44" s="1108">
        <f t="array" ref="Q44">LET(
totalShards, I$10,
AtMax, OR(I$3&lt;$B44,totalShards&lt;$E44),
primeShards, $E44,
PrimeMulti, I44,
AssPer, I$4,
AssLevel, IF(AtMax,1,index(optimizer[Level],XMATCH(totalShards-primeShards,optimizer[Total discounted cost],-1,2))),
AssMulti,IF(I$16="",1,index(optimizer[coreAssist],XMATCH(AssLevel,optimizer[Level],-1,2))),
TooLow, OR(AssLevel&lt;$I$18,$B44&lt;$I$15),
IF(OR(AtMax,TooLow), 0, PrimeMulti * (AssMulti)))</f>
        <v>3.36128</v>
      </c>
    </row>
    <row r="45" ht="22.5" hidden="1" customHeight="1" outlineLevel="1">
      <c r="A45" s="1097"/>
      <c r="B45" s="1109">
        <v>18.0</v>
      </c>
      <c r="C45" s="1110">
        <v>25.0</v>
      </c>
      <c r="D45" s="1110">
        <f t="shared" si="2"/>
        <v>18</v>
      </c>
      <c r="E45" s="1111">
        <f t="shared" si="11"/>
        <v>184</v>
      </c>
      <c r="F45" s="1112">
        <f t="shared" si="3"/>
        <v>1.336</v>
      </c>
      <c r="G45" s="1112">
        <f t="shared" si="4"/>
        <v>1.336</v>
      </c>
      <c r="H45" s="1112">
        <f t="shared" si="5"/>
        <v>1.053</v>
      </c>
      <c r="I45" s="1112">
        <f t="shared" si="6"/>
        <v>1.626</v>
      </c>
      <c r="J45" s="1113">
        <f t="shared" si="7"/>
        <v>1</v>
      </c>
      <c r="K45" s="1107">
        <f t="shared" si="8"/>
        <v>1.00286</v>
      </c>
      <c r="L45" s="1107">
        <f t="shared" si="9"/>
        <v>1.0053</v>
      </c>
      <c r="M45" s="1107">
        <f t="shared" si="10"/>
        <v>1.058</v>
      </c>
      <c r="N45" s="1106">
        <f t="array" ref="N45">LET(
totalShards, F$10,
AtMax, OR(F$3&lt;$B45,totalShards&lt;$E45),
primeShards, $E45,
PrimeMulti, F45,
AssPer, F$4,
AssLevel, IF(AtMax,1,index(optimizer[Level],XMATCH(totalShards-primeShards,optimizer[Total discounted cost],-1,2))),
AssMulti,IF(F$16="",1,index(optimizer[cannonAssist],XMATCH(AssLevel,optimizer[Level],-1,2))),
TooLow, OR(AssLevel&lt;$F$18,$B45&lt;$F$15),
IF(OR(AtMax,TooLow), 0, PrimeMulti * (AssMulti)))</f>
        <v>1.336</v>
      </c>
      <c r="O45" s="1112">
        <f t="array" ref="O45">LET(
totalShards, G$10,
AtMax, OR(G$3&lt;$B45,totalShards&lt;$E45),
primeShards, $E45,
PrimeMulti, G45,
AssPer, G$4,
AssLevel, IF(AtMax,1,index(optimizer[Level],XMATCH(totalShards-primeShards,optimizer[Total discounted cost],-1,2))),
AssMulti,IF(G$16="",1,index(optimizer[armorAssist],XMATCH(AssLevel,optimizer[Level],-1,2))),
TooLow, OR(AssLevel&lt;$G$18,$B45&lt;$G$15),
IF(OR(AtMax,TooLow), 0, PrimeMulti * (AssMulti)))</f>
        <v>1.4400744</v>
      </c>
      <c r="P45" s="1112">
        <f t="array" ref="P45">LET(
totalShards, H$10,
AtMax, OR(H$3&lt;$B45,totalShards&lt;$E45),
primeShards, $E45,
PrimeMulti, H45,
AssPer, H$4,
AssLevel, IF(AtMax,1,index(optimizer[Level],XMATCH(totalShards-primeShards,optimizer[Total discounted cost],-1,2))),
AssMulti,IF(H$16="",1,index(optimizer[generatorAssist],XMATCH(AssLevel,optimizer[Level],-1,2))),
TooLow, OR(AssLevel&lt;$H$18,$B45&lt;$H$15),
IF(OR(AtMax,TooLow), 0, PrimeMulti * (AssMulti)))</f>
        <v>1.1272365</v>
      </c>
      <c r="Q45" s="1114">
        <f t="array" ref="Q45">LET(
totalShards, I$10,
AtMax, OR(I$3&lt;$B45,totalShards&lt;$E45),
primeShards, $E45,
PrimeMulti, I45,
AssPer, I$4,
AssLevel, IF(AtMax,1,index(optimizer[Level],XMATCH(totalShards-primeShards,optimizer[Total discounted cost],-1,2))),
AssMulti,IF(I$16="",1,index(optimizer[coreAssist],XMATCH(AssLevel,optimizer[Level],-1,2))),
TooLow, OR(AssLevel&lt;$I$18,$B45&lt;$I$15),
IF(OR(AtMax,TooLow), 0, PrimeMulti * (AssMulti)))</f>
        <v>3.38208</v>
      </c>
    </row>
    <row r="46" ht="22.5" hidden="1" customHeight="1" outlineLevel="1">
      <c r="A46" s="1097"/>
      <c r="B46" s="1103">
        <v>19.0</v>
      </c>
      <c r="C46" s="1104">
        <v>25.0</v>
      </c>
      <c r="D46" s="1104">
        <f t="shared" si="2"/>
        <v>18</v>
      </c>
      <c r="E46" s="1105">
        <f t="shared" si="11"/>
        <v>202</v>
      </c>
      <c r="F46" s="1106">
        <f t="shared" si="3"/>
        <v>1.338</v>
      </c>
      <c r="G46" s="1106">
        <f t="shared" si="4"/>
        <v>1.338</v>
      </c>
      <c r="H46" s="1106">
        <f t="shared" si="5"/>
        <v>1.054</v>
      </c>
      <c r="I46" s="1106">
        <f t="shared" si="6"/>
        <v>1.637</v>
      </c>
      <c r="J46" s="1107">
        <f t="shared" si="7"/>
        <v>1</v>
      </c>
      <c r="K46" s="1107">
        <f t="shared" si="8"/>
        <v>1.00288</v>
      </c>
      <c r="L46" s="1107">
        <f t="shared" si="9"/>
        <v>1.0054</v>
      </c>
      <c r="M46" s="1107">
        <f t="shared" si="10"/>
        <v>1.059</v>
      </c>
      <c r="N46" s="1106">
        <f t="array" ref="N46">LET(
totalShards, F$10,
AtMax, OR(F$3&lt;$B46,totalShards&lt;$E46),
primeShards, $E46,
PrimeMulti, F46,
AssPer, F$4,
AssLevel, IF(AtMax,1,index(optimizer[Level],XMATCH(totalShards-primeShards,optimizer[Total discounted cost],-1,2))),
AssMulti,IF(F$16="",1,index(optimizer[cannonAssist],XMATCH(AssLevel,optimizer[Level],-1,2))),
TooLow, OR(AssLevel&lt;$F$18,$B46&lt;$F$15),
IF(OR(AtMax,TooLow), 0, PrimeMulti * (AssMulti)))</f>
        <v>1.338</v>
      </c>
      <c r="O46" s="1106">
        <f t="array" ref="O46">LET(
totalShards, G$10,
AtMax, OR(G$3&lt;$B46,totalShards&lt;$E46),
primeShards, $E46,
PrimeMulti, G46,
AssPer, G$4,
AssLevel, IF(AtMax,1,index(optimizer[Level],XMATCH(totalShards-primeShards,optimizer[Total discounted cost],-1,2))),
AssMulti,IF(G$16="",1,index(optimizer[armorAssist],XMATCH(AssLevel,optimizer[Level],-1,2))),
TooLow, OR(AssLevel&lt;$G$18,$B46&lt;$G$15),
IF(OR(AtMax,TooLow), 0, PrimeMulti * (AssMulti)))</f>
        <v>1.4422302</v>
      </c>
      <c r="P46" s="1106">
        <f t="array" ref="P46">LET(
totalShards, H$10,
AtMax, OR(H$3&lt;$B46,totalShards&lt;$E46),
primeShards, $E46,
PrimeMulti, H46,
AssPer, H$4,
AssLevel, IF(AtMax,1,index(optimizer[Level],XMATCH(totalShards-primeShards,optimizer[Total discounted cost],-1,2))),
AssMulti,IF(H$16="",1,index(optimizer[generatorAssist],XMATCH(AssLevel,optimizer[Level],-1,2))),
TooLow, OR(AssLevel&lt;$H$18,$B46&lt;$H$15),
IF(OR(AtMax,TooLow), 0, PrimeMulti * (AssMulti)))</f>
        <v>1.128307</v>
      </c>
      <c r="Q46" s="1108">
        <f t="array" ref="Q46">LET(
totalShards, I$10,
AtMax, OR(I$3&lt;$B46,totalShards&lt;$E46),
primeShards, $E46,
PrimeMulti, I46,
AssPer, I$4,
AssLevel, IF(AtMax,1,index(optimizer[Level],XMATCH(totalShards-primeShards,optimizer[Total discounted cost],-1,2))),
AssMulti,IF(I$16="",1,index(optimizer[coreAssist],XMATCH(AssLevel,optimizer[Level],-1,2))),
TooLow, OR(AssLevel&lt;$I$18,$B46&lt;$I$15),
IF(OR(AtMax,TooLow), 0, PrimeMulti * (AssMulti)))</f>
        <v>3.40496</v>
      </c>
    </row>
    <row r="47" ht="22.5" hidden="1" customHeight="1" outlineLevel="1">
      <c r="A47" s="1097"/>
      <c r="B47" s="1109">
        <v>20.0</v>
      </c>
      <c r="C47" s="1110">
        <v>25.0</v>
      </c>
      <c r="D47" s="1110">
        <f t="shared" si="2"/>
        <v>18</v>
      </c>
      <c r="E47" s="1111">
        <f t="shared" si="11"/>
        <v>220</v>
      </c>
      <c r="F47" s="1112">
        <f t="shared" si="3"/>
        <v>1.34</v>
      </c>
      <c r="G47" s="1112">
        <f t="shared" si="4"/>
        <v>1.34</v>
      </c>
      <c r="H47" s="1112">
        <f t="shared" si="5"/>
        <v>1.055</v>
      </c>
      <c r="I47" s="1112">
        <f t="shared" si="6"/>
        <v>1.648</v>
      </c>
      <c r="J47" s="1113">
        <f t="shared" si="7"/>
        <v>1</v>
      </c>
      <c r="K47" s="1107">
        <f t="shared" si="8"/>
        <v>1.0029</v>
      </c>
      <c r="L47" s="1107">
        <f t="shared" si="9"/>
        <v>1.0055</v>
      </c>
      <c r="M47" s="1107">
        <f t="shared" si="10"/>
        <v>1.06</v>
      </c>
      <c r="N47" s="1106">
        <f t="array" ref="N47">LET(
totalShards, F$10,
AtMax, OR(F$3&lt;$B47,totalShards&lt;$E47),
primeShards, $E47,
PrimeMulti, F47,
AssPer, F$4,
AssLevel, IF(AtMax,1,index(optimizer[Level],XMATCH(totalShards-primeShards,optimizer[Total discounted cost],-1,2))),
AssMulti,IF(F$16="",1,index(optimizer[cannonAssist],XMATCH(AssLevel,optimizer[Level],-1,2))),
TooLow, OR(AssLevel&lt;$F$18,$B47&lt;$F$15),
IF(OR(AtMax,TooLow), 0, PrimeMulti * (AssMulti)))</f>
        <v>1.34</v>
      </c>
      <c r="O47" s="1112">
        <f t="array" ref="O47">LET(
totalShards, G$10,
AtMax, OR(G$3&lt;$B47,totalShards&lt;$E47),
primeShards, $E47,
PrimeMulti, G47,
AssPer, G$4,
AssLevel, IF(AtMax,1,index(optimizer[Level],XMATCH(totalShards-primeShards,optimizer[Total discounted cost],-1,2))),
AssMulti,IF(G$16="",1,index(optimizer[armorAssist],XMATCH(AssLevel,optimizer[Level],-1,2))),
TooLow, OR(AssLevel&lt;$G$18,$B47&lt;$G$15),
IF(OR(AtMax,TooLow), 0, PrimeMulti * (AssMulti)))</f>
        <v>1.444386</v>
      </c>
      <c r="P47" s="1112">
        <f t="array" ref="P47">LET(
totalShards, H$10,
AtMax, OR(H$3&lt;$B47,totalShards&lt;$E47),
primeShards, $E47,
PrimeMulti, H47,
AssPer, H$4,
AssLevel, IF(AtMax,1,index(optimizer[Level],XMATCH(totalShards-primeShards,optimizer[Total discounted cost],-1,2))),
AssMulti,IF(H$16="",1,index(optimizer[generatorAssist],XMATCH(AssLevel,optimizer[Level],-1,2))),
TooLow, OR(AssLevel&lt;$H$18,$B47&lt;$H$15),
IF(OR(AtMax,TooLow), 0, PrimeMulti * (AssMulti)))</f>
        <v>1.1293775</v>
      </c>
      <c r="Q47" s="1114">
        <f t="array" ref="Q47">LET(
totalShards, I$10,
AtMax, OR(I$3&lt;$B47,totalShards&lt;$E47),
primeShards, $E47,
PrimeMulti, I47,
AssPer, I$4,
AssLevel, IF(AtMax,1,index(optimizer[Level],XMATCH(totalShards-primeShards,optimizer[Total discounted cost],-1,2))),
AssMulti,IF(I$16="",1,index(optimizer[coreAssist],XMATCH(AssLevel,optimizer[Level],-1,2))),
TooLow, OR(AssLevel&lt;$I$18,$B47&lt;$I$15),
IF(OR(AtMax,TooLow), 0, PrimeMulti * (AssMulti)))</f>
        <v>3.42784</v>
      </c>
    </row>
    <row r="48" ht="22.5" hidden="1" customHeight="1" outlineLevel="1">
      <c r="A48" s="1097"/>
      <c r="B48" s="1103">
        <v>21.0</v>
      </c>
      <c r="C48" s="1104">
        <v>40.0</v>
      </c>
      <c r="D48" s="1104">
        <f t="shared" si="2"/>
        <v>28</v>
      </c>
      <c r="E48" s="1105">
        <f t="shared" si="11"/>
        <v>248</v>
      </c>
      <c r="F48" s="1106">
        <f t="shared" si="3"/>
        <v>1.344</v>
      </c>
      <c r="G48" s="1106">
        <f t="shared" si="4"/>
        <v>1.344</v>
      </c>
      <c r="H48" s="1106">
        <f t="shared" si="5"/>
        <v>1.056</v>
      </c>
      <c r="I48" s="1106">
        <f t="shared" si="6"/>
        <v>1.664</v>
      </c>
      <c r="J48" s="1107">
        <f t="shared" si="7"/>
        <v>1</v>
      </c>
      <c r="K48" s="1107">
        <f t="shared" si="8"/>
        <v>1.00294</v>
      </c>
      <c r="L48" s="1107">
        <f t="shared" si="9"/>
        <v>1.0056</v>
      </c>
      <c r="M48" s="1107">
        <f t="shared" si="10"/>
        <v>1.0615</v>
      </c>
      <c r="N48" s="1106">
        <f t="array" ref="N48">LET(
totalShards, F$10,
AtMax, OR(F$3&lt;$B48,totalShards&lt;$E48),
primeShards, $E48,
PrimeMulti, F48,
AssPer, F$4,
AssLevel, IF(AtMax,1,index(optimizer[Level],XMATCH(totalShards-primeShards,optimizer[Total discounted cost],-1,2))),
AssMulti,IF(F$16="",1,index(optimizer[cannonAssist],XMATCH(AssLevel,optimizer[Level],-1,2))),
TooLow, OR(AssLevel&lt;$F$18,$B48&lt;$F$15),
IF(OR(AtMax,TooLow), 0, PrimeMulti * (AssMulti)))</f>
        <v>1.344</v>
      </c>
      <c r="O48" s="1106">
        <f t="array" ref="O48">LET(
totalShards, G$10,
AtMax, OR(G$3&lt;$B48,totalShards&lt;$E48),
primeShards, $E48,
PrimeMulti, G48,
AssPer, G$4,
AssLevel, IF(AtMax,1,index(optimizer[Level],XMATCH(totalShards-primeShards,optimizer[Total discounted cost],-1,2))),
AssMulti,IF(G$16="",1,index(optimizer[armorAssist],XMATCH(AssLevel,optimizer[Level],-1,2))),
TooLow, OR(AssLevel&lt;$G$18,$B48&lt;$G$15),
IF(OR(AtMax,TooLow), 0, PrimeMulti * (AssMulti)))</f>
        <v>1.4486976</v>
      </c>
      <c r="P48" s="1106">
        <f t="array" ref="P48">LET(
totalShards, H$10,
AtMax, OR(H$3&lt;$B48,totalShards&lt;$E48),
primeShards, $E48,
PrimeMulti, H48,
AssPer, H$4,
AssLevel, IF(AtMax,1,index(optimizer[Level],XMATCH(totalShards-primeShards,optimizer[Total discounted cost],-1,2))),
AssMulti,IF(H$16="",1,index(optimizer[generatorAssist],XMATCH(AssLevel,optimizer[Level],-1,2))),
TooLow, OR(AssLevel&lt;$H$18,$B48&lt;$H$15),
IF(OR(AtMax,TooLow), 0, PrimeMulti * (AssMulti)))</f>
        <v>1.130448</v>
      </c>
      <c r="Q48" s="1108">
        <f t="array" ref="Q48">LET(
totalShards, I$10,
AtMax, OR(I$3&lt;$B48,totalShards&lt;$E48),
primeShards, $E48,
PrimeMulti, I48,
AssPer, I$4,
AssLevel, IF(AtMax,1,index(optimizer[Level],XMATCH(totalShards-primeShards,optimizer[Total discounted cost],-1,2))),
AssMulti,IF(I$16="",1,index(optimizer[coreAssist],XMATCH(AssLevel,optimizer[Level],-1,2))),
TooLow, OR(AssLevel&lt;$I$18,$B48&lt;$I$15),
IF(OR(AtMax,TooLow), 0, PrimeMulti * (AssMulti)))</f>
        <v>3.46112</v>
      </c>
    </row>
    <row r="49" ht="22.5" hidden="1" customHeight="1" outlineLevel="1">
      <c r="A49" s="1097"/>
      <c r="B49" s="1109">
        <v>22.0</v>
      </c>
      <c r="C49" s="1110">
        <v>40.0</v>
      </c>
      <c r="D49" s="1110">
        <f t="shared" si="2"/>
        <v>28</v>
      </c>
      <c r="E49" s="1111">
        <f t="shared" si="11"/>
        <v>276</v>
      </c>
      <c r="F49" s="1112">
        <f t="shared" si="3"/>
        <v>1.348</v>
      </c>
      <c r="G49" s="1112">
        <f t="shared" si="4"/>
        <v>1.348</v>
      </c>
      <c r="H49" s="1112">
        <f t="shared" si="5"/>
        <v>1.057</v>
      </c>
      <c r="I49" s="1112">
        <f t="shared" si="6"/>
        <v>1.68</v>
      </c>
      <c r="J49" s="1113">
        <f t="shared" si="7"/>
        <v>1</v>
      </c>
      <c r="K49" s="1107">
        <f t="shared" si="8"/>
        <v>1.00298</v>
      </c>
      <c r="L49" s="1107">
        <f t="shared" si="9"/>
        <v>1.0057</v>
      </c>
      <c r="M49" s="1107">
        <f t="shared" si="10"/>
        <v>1.063</v>
      </c>
      <c r="N49" s="1106">
        <f t="array" ref="N49">LET(
totalShards, F$10,
AtMax, OR(F$3&lt;$B49,totalShards&lt;$E49),
primeShards, $E49,
PrimeMulti, F49,
AssPer, F$4,
AssLevel, IF(AtMax,1,index(optimizer[Level],XMATCH(totalShards-primeShards,optimizer[Total discounted cost],-1,2))),
AssMulti,IF(F$16="",1,index(optimizer[cannonAssist],XMATCH(AssLevel,optimizer[Level],-1,2))),
TooLow, OR(AssLevel&lt;$F$18,$B49&lt;$F$15),
IF(OR(AtMax,TooLow), 0, PrimeMulti * (AssMulti)))</f>
        <v>1.348</v>
      </c>
      <c r="O49" s="1112">
        <f t="array" ref="O49">LET(
totalShards, G$10,
AtMax, OR(G$3&lt;$B49,totalShards&lt;$E49),
primeShards, $E49,
PrimeMulti, G49,
AssPer, G$4,
AssLevel, IF(AtMax,1,index(optimizer[Level],XMATCH(totalShards-primeShards,optimizer[Total discounted cost],-1,2))),
AssMulti,IF(G$16="",1,index(optimizer[armorAssist],XMATCH(AssLevel,optimizer[Level],-1,2))),
TooLow, OR(AssLevel&lt;$G$18,$B49&lt;$G$15),
IF(OR(AtMax,TooLow), 0, PrimeMulti * (AssMulti)))</f>
        <v>1.4530092</v>
      </c>
      <c r="P49" s="1112">
        <f t="array" ref="P49">LET(
totalShards, H$10,
AtMax, OR(H$3&lt;$B49,totalShards&lt;$E49),
primeShards, $E49,
PrimeMulti, H49,
AssPer, H$4,
AssLevel, IF(AtMax,1,index(optimizer[Level],XMATCH(totalShards-primeShards,optimizer[Total discounted cost],-1,2))),
AssMulti,IF(H$16="",1,index(optimizer[generatorAssist],XMATCH(AssLevel,optimizer[Level],-1,2))),
TooLow, OR(AssLevel&lt;$H$18,$B49&lt;$H$15),
IF(OR(AtMax,TooLow), 0, PrimeMulti * (AssMulti)))</f>
        <v>1.1315185</v>
      </c>
      <c r="Q49" s="1114">
        <f t="array" ref="Q49">LET(
totalShards, I$10,
AtMax, OR(I$3&lt;$B49,totalShards&lt;$E49),
primeShards, $E49,
PrimeMulti, I49,
AssPer, I$4,
AssLevel, IF(AtMax,1,index(optimizer[Level],XMATCH(totalShards-primeShards,optimizer[Total discounted cost],-1,2))),
AssMulti,IF(I$16="",1,index(optimizer[coreAssist],XMATCH(AssLevel,optimizer[Level],-1,2))),
TooLow, OR(AssLevel&lt;$I$18,$B49&lt;$I$15),
IF(OR(AtMax,TooLow), 0, PrimeMulti * (AssMulti)))</f>
        <v>3.4944</v>
      </c>
    </row>
    <row r="50" ht="22.5" hidden="1" customHeight="1" outlineLevel="1">
      <c r="A50" s="1097"/>
      <c r="B50" s="1103">
        <v>23.0</v>
      </c>
      <c r="C50" s="1104">
        <v>40.0</v>
      </c>
      <c r="D50" s="1104">
        <f t="shared" si="2"/>
        <v>28</v>
      </c>
      <c r="E50" s="1105">
        <f t="shared" si="11"/>
        <v>304</v>
      </c>
      <c r="F50" s="1106">
        <f t="shared" si="3"/>
        <v>1.352</v>
      </c>
      <c r="G50" s="1106">
        <f t="shared" si="4"/>
        <v>1.352</v>
      </c>
      <c r="H50" s="1106">
        <f t="shared" si="5"/>
        <v>1.058</v>
      </c>
      <c r="I50" s="1106">
        <f t="shared" si="6"/>
        <v>1.697</v>
      </c>
      <c r="J50" s="1107">
        <f t="shared" si="7"/>
        <v>1</v>
      </c>
      <c r="K50" s="1107">
        <f t="shared" si="8"/>
        <v>1.00302</v>
      </c>
      <c r="L50" s="1107">
        <f t="shared" si="9"/>
        <v>1.0058</v>
      </c>
      <c r="M50" s="1107">
        <f t="shared" si="10"/>
        <v>1.0645</v>
      </c>
      <c r="N50" s="1106">
        <f t="array" ref="N50">LET(
totalShards, F$10,
AtMax, OR(F$3&lt;$B50,totalShards&lt;$E50),
primeShards, $E50,
PrimeMulti, F50,
AssPer, F$4,
AssLevel, IF(AtMax,1,index(optimizer[Level],XMATCH(totalShards-primeShards,optimizer[Total discounted cost],-1,2))),
AssMulti,IF(F$16="",1,index(optimizer[cannonAssist],XMATCH(AssLevel,optimizer[Level],-1,2))),
TooLow, OR(AssLevel&lt;$F$18,$B50&lt;$F$15),
IF(OR(AtMax,TooLow), 0, PrimeMulti * (AssMulti)))</f>
        <v>1.352</v>
      </c>
      <c r="O50" s="1106">
        <f t="array" ref="O50">LET(
totalShards, G$10,
AtMax, OR(G$3&lt;$B50,totalShards&lt;$E50),
primeShards, $E50,
PrimeMulti, G50,
AssPer, G$4,
AssLevel, IF(AtMax,1,index(optimizer[Level],XMATCH(totalShards-primeShards,optimizer[Total discounted cost],-1,2))),
AssMulti,IF(G$16="",1,index(optimizer[armorAssist],XMATCH(AssLevel,optimizer[Level],-1,2))),
TooLow, OR(AssLevel&lt;$G$18,$B50&lt;$G$15),
IF(OR(AtMax,TooLow), 0, PrimeMulti * (AssMulti)))</f>
        <v>1.4573208</v>
      </c>
      <c r="P50" s="1106">
        <f t="array" ref="P50">LET(
totalShards, H$10,
AtMax, OR(H$3&lt;$B50,totalShards&lt;$E50),
primeShards, $E50,
PrimeMulti, H50,
AssPer, H$4,
AssLevel, IF(AtMax,1,index(optimizer[Level],XMATCH(totalShards-primeShards,optimizer[Total discounted cost],-1,2))),
AssMulti,IF(H$16="",1,index(optimizer[generatorAssist],XMATCH(AssLevel,optimizer[Level],-1,2))),
TooLow, OR(AssLevel&lt;$H$18,$B50&lt;$H$15),
IF(OR(AtMax,TooLow), 0, PrimeMulti * (AssMulti)))</f>
        <v>1.132589</v>
      </c>
      <c r="Q50" s="1108">
        <f t="array" ref="Q50">LET(
totalShards, I$10,
AtMax, OR(I$3&lt;$B50,totalShards&lt;$E50),
primeShards, $E50,
PrimeMulti, I50,
AssPer, I$4,
AssLevel, IF(AtMax,1,index(optimizer[Level],XMATCH(totalShards-primeShards,optimizer[Total discounted cost],-1,2))),
AssMulti,IF(I$16="",1,index(optimizer[coreAssist],XMATCH(AssLevel,optimizer[Level],-1,2))),
TooLow, OR(AssLevel&lt;$I$18,$B50&lt;$I$15),
IF(OR(AtMax,TooLow), 0, PrimeMulti * (AssMulti)))</f>
        <v>3.52976</v>
      </c>
    </row>
    <row r="51" ht="22.5" hidden="1" customHeight="1" outlineLevel="1">
      <c r="A51" s="1097"/>
      <c r="B51" s="1109">
        <v>24.0</v>
      </c>
      <c r="C51" s="1110">
        <v>40.0</v>
      </c>
      <c r="D51" s="1110">
        <f t="shared" si="2"/>
        <v>28</v>
      </c>
      <c r="E51" s="1111">
        <f t="shared" si="11"/>
        <v>332</v>
      </c>
      <c r="F51" s="1112">
        <f t="shared" si="3"/>
        <v>1.356</v>
      </c>
      <c r="G51" s="1112">
        <f t="shared" si="4"/>
        <v>1.356</v>
      </c>
      <c r="H51" s="1112">
        <f t="shared" si="5"/>
        <v>1.059</v>
      </c>
      <c r="I51" s="1112">
        <f t="shared" si="6"/>
        <v>1.713</v>
      </c>
      <c r="J51" s="1113">
        <f t="shared" si="7"/>
        <v>1</v>
      </c>
      <c r="K51" s="1107">
        <f t="shared" si="8"/>
        <v>1.00306</v>
      </c>
      <c r="L51" s="1107">
        <f t="shared" si="9"/>
        <v>1.0059</v>
      </c>
      <c r="M51" s="1107">
        <f t="shared" si="10"/>
        <v>1.066</v>
      </c>
      <c r="N51" s="1106">
        <f t="array" ref="N51">LET(
totalShards, F$10,
AtMax, OR(F$3&lt;$B51,totalShards&lt;$E51),
primeShards, $E51,
PrimeMulti, F51,
AssPer, F$4,
AssLevel, IF(AtMax,1,index(optimizer[Level],XMATCH(totalShards-primeShards,optimizer[Total discounted cost],-1,2))),
AssMulti,IF(F$16="",1,index(optimizer[cannonAssist],XMATCH(AssLevel,optimizer[Level],-1,2))),
TooLow, OR(AssLevel&lt;$F$18,$B51&lt;$F$15),
IF(OR(AtMax,TooLow), 0, PrimeMulti * (AssMulti)))</f>
        <v>1.356</v>
      </c>
      <c r="O51" s="1112">
        <f t="array" ref="O51">LET(
totalShards, G$10,
AtMax, OR(G$3&lt;$B51,totalShards&lt;$E51),
primeShards, $E51,
PrimeMulti, G51,
AssPer, G$4,
AssLevel, IF(AtMax,1,index(optimizer[Level],XMATCH(totalShards-primeShards,optimizer[Total discounted cost],-1,2))),
AssMulti,IF(G$16="",1,index(optimizer[armorAssist],XMATCH(AssLevel,optimizer[Level],-1,2))),
TooLow, OR(AssLevel&lt;$G$18,$B51&lt;$G$15),
IF(OR(AtMax,TooLow), 0, PrimeMulti * (AssMulti)))</f>
        <v>1.4616324</v>
      </c>
      <c r="P51" s="1112">
        <f t="array" ref="P51">LET(
totalShards, H$10,
AtMax, OR(H$3&lt;$B51,totalShards&lt;$E51),
primeShards, $E51,
PrimeMulti, H51,
AssPer, H$4,
AssLevel, IF(AtMax,1,index(optimizer[Level],XMATCH(totalShards-primeShards,optimizer[Total discounted cost],-1,2))),
AssMulti,IF(H$16="",1,index(optimizer[generatorAssist],XMATCH(AssLevel,optimizer[Level],-1,2))),
TooLow, OR(AssLevel&lt;$H$18,$B51&lt;$H$15),
IF(OR(AtMax,TooLow), 0, PrimeMulti * (AssMulti)))</f>
        <v>1.1336595</v>
      </c>
      <c r="Q51" s="1114">
        <f t="array" ref="Q51">LET(
totalShards, I$10,
AtMax, OR(I$3&lt;$B51,totalShards&lt;$E51),
primeShards, $E51,
PrimeMulti, I51,
AssPer, I$4,
AssLevel, IF(AtMax,1,index(optimizer[Level],XMATCH(totalShards-primeShards,optimizer[Total discounted cost],-1,2))),
AssMulti,IF(I$16="",1,index(optimizer[coreAssist],XMATCH(AssLevel,optimizer[Level],-1,2))),
TooLow, OR(AssLevel&lt;$I$18,$B51&lt;$I$15),
IF(OR(AtMax,TooLow), 0, PrimeMulti * (AssMulti)))</f>
        <v>3.56304</v>
      </c>
    </row>
    <row r="52" ht="22.5" hidden="1" customHeight="1" outlineLevel="1">
      <c r="A52" s="1097"/>
      <c r="B52" s="1103">
        <v>25.0</v>
      </c>
      <c r="C52" s="1104">
        <v>40.0</v>
      </c>
      <c r="D52" s="1104">
        <f t="shared" si="2"/>
        <v>28</v>
      </c>
      <c r="E52" s="1105">
        <f t="shared" si="11"/>
        <v>360</v>
      </c>
      <c r="F52" s="1106">
        <f t="shared" si="3"/>
        <v>1.36</v>
      </c>
      <c r="G52" s="1106">
        <f t="shared" si="4"/>
        <v>1.36</v>
      </c>
      <c r="H52" s="1106">
        <f t="shared" si="5"/>
        <v>1.06</v>
      </c>
      <c r="I52" s="1106">
        <f t="shared" si="6"/>
        <v>1.729</v>
      </c>
      <c r="J52" s="1107">
        <f t="shared" si="7"/>
        <v>1</v>
      </c>
      <c r="K52" s="1107">
        <f t="shared" si="8"/>
        <v>1.0031</v>
      </c>
      <c r="L52" s="1107">
        <f t="shared" si="9"/>
        <v>1.006</v>
      </c>
      <c r="M52" s="1107">
        <f t="shared" si="10"/>
        <v>1.0675</v>
      </c>
      <c r="N52" s="1106">
        <f t="array" ref="N52">LET(
totalShards, F$10,
AtMax, OR(F$3&lt;$B52,totalShards&lt;$E52),
primeShards, $E52,
PrimeMulti, F52,
AssPer, F$4,
AssLevel, IF(AtMax,1,index(optimizer[Level],XMATCH(totalShards-primeShards,optimizer[Total discounted cost],-1,2))),
AssMulti,IF(F$16="",1,index(optimizer[cannonAssist],XMATCH(AssLevel,optimizer[Level],-1,2))),
TooLow, OR(AssLevel&lt;$F$18,$B52&lt;$F$15),
IF(OR(AtMax,TooLow), 0, PrimeMulti * (AssMulti)))</f>
        <v>1.36</v>
      </c>
      <c r="O52" s="1106">
        <f t="array" ref="O52">LET(
totalShards, G$10,
AtMax, OR(G$3&lt;$B52,totalShards&lt;$E52),
primeShards, $E52,
PrimeMulti, G52,
AssPer, G$4,
AssLevel, IF(AtMax,1,index(optimizer[Level],XMATCH(totalShards-primeShards,optimizer[Total discounted cost],-1,2))),
AssMulti,IF(G$16="",1,index(optimizer[armorAssist],XMATCH(AssLevel,optimizer[Level],-1,2))),
TooLow, OR(AssLevel&lt;$G$18,$B52&lt;$G$15),
IF(OR(AtMax,TooLow), 0, PrimeMulti * (AssMulti)))</f>
        <v>1.465944</v>
      </c>
      <c r="P52" s="1106">
        <f t="array" ref="P52">LET(
totalShards, H$10,
AtMax, OR(H$3&lt;$B52,totalShards&lt;$E52),
primeShards, $E52,
PrimeMulti, H52,
AssPer, H$4,
AssLevel, IF(AtMax,1,index(optimizer[Level],XMATCH(totalShards-primeShards,optimizer[Total discounted cost],-1,2))),
AssMulti,IF(H$16="",1,index(optimizer[generatorAssist],XMATCH(AssLevel,optimizer[Level],-1,2))),
TooLow, OR(AssLevel&lt;$H$18,$B52&lt;$H$15),
IF(OR(AtMax,TooLow), 0, PrimeMulti * (AssMulti)))</f>
        <v>1.13473</v>
      </c>
      <c r="Q52" s="1108">
        <f t="array" ref="Q52">LET(
totalShards, I$10,
AtMax, OR(I$3&lt;$B52,totalShards&lt;$E52),
primeShards, $E52,
PrimeMulti, I52,
AssPer, I$4,
AssLevel, IF(AtMax,1,index(optimizer[Level],XMATCH(totalShards-primeShards,optimizer[Total discounted cost],-1,2))),
AssMulti,IF(I$16="",1,index(optimizer[coreAssist],XMATCH(AssLevel,optimizer[Level],-1,2))),
TooLow, OR(AssLevel&lt;$I$18,$B52&lt;$I$15),
IF(OR(AtMax,TooLow), 0, PrimeMulti * (AssMulti)))</f>
        <v>3.59632</v>
      </c>
    </row>
    <row r="53" ht="22.5" hidden="1" customHeight="1" outlineLevel="1">
      <c r="A53" s="1097"/>
      <c r="B53" s="1109">
        <v>26.0</v>
      </c>
      <c r="C53" s="1110">
        <v>50.0</v>
      </c>
      <c r="D53" s="1110">
        <f t="shared" si="2"/>
        <v>35</v>
      </c>
      <c r="E53" s="1111">
        <f t="shared" si="11"/>
        <v>395</v>
      </c>
      <c r="F53" s="1112">
        <f t="shared" si="3"/>
        <v>1.364</v>
      </c>
      <c r="G53" s="1112">
        <f t="shared" si="4"/>
        <v>1.364</v>
      </c>
      <c r="H53" s="1112">
        <f t="shared" si="5"/>
        <v>1.061</v>
      </c>
      <c r="I53" s="1112">
        <f t="shared" si="6"/>
        <v>1.745</v>
      </c>
      <c r="J53" s="1113">
        <f t="shared" si="7"/>
        <v>1</v>
      </c>
      <c r="K53" s="1107">
        <f t="shared" si="8"/>
        <v>1.00314</v>
      </c>
      <c r="L53" s="1107">
        <f t="shared" si="9"/>
        <v>1.0061</v>
      </c>
      <c r="M53" s="1107">
        <f t="shared" si="10"/>
        <v>1.069</v>
      </c>
      <c r="N53" s="1106">
        <f t="array" ref="N53">LET(
totalShards, F$10,
AtMax, OR(F$3&lt;$B53,totalShards&lt;$E53),
primeShards, $E53,
PrimeMulti, F53,
AssPer, F$4,
AssLevel, IF(AtMax,1,index(optimizer[Level],XMATCH(totalShards-primeShards,optimizer[Total discounted cost],-1,2))),
AssMulti,IF(F$16="",1,index(optimizer[cannonAssist],XMATCH(AssLevel,optimizer[Level],-1,2))),
TooLow, OR(AssLevel&lt;$F$18,$B53&lt;$F$15),
IF(OR(AtMax,TooLow), 0, PrimeMulti * (AssMulti)))</f>
        <v>1.364</v>
      </c>
      <c r="O53" s="1112">
        <f t="array" ref="O53">LET(
totalShards, G$10,
AtMax, OR(G$3&lt;$B53,totalShards&lt;$E53),
primeShards, $E53,
PrimeMulti, G53,
AssPer, G$4,
AssLevel, IF(AtMax,1,index(optimizer[Level],XMATCH(totalShards-primeShards,optimizer[Total discounted cost],-1,2))),
AssMulti,IF(G$16="",1,index(optimizer[armorAssist],XMATCH(AssLevel,optimizer[Level],-1,2))),
TooLow, OR(AssLevel&lt;$G$18,$B53&lt;$G$15),
IF(OR(AtMax,TooLow), 0, PrimeMulti * (AssMulti)))</f>
        <v>1.4702556</v>
      </c>
      <c r="P53" s="1112">
        <f t="array" ref="P53">LET(
totalShards, H$10,
AtMax, OR(H$3&lt;$B53,totalShards&lt;$E53),
primeShards, $E53,
PrimeMulti, H53,
AssPer, H$4,
AssLevel, IF(AtMax,1,index(optimizer[Level],XMATCH(totalShards-primeShards,optimizer[Total discounted cost],-1,2))),
AssMulti,IF(H$16="",1,index(optimizer[generatorAssist],XMATCH(AssLevel,optimizer[Level],-1,2))),
TooLow, OR(AssLevel&lt;$H$18,$B53&lt;$H$15),
IF(OR(AtMax,TooLow), 0, PrimeMulti * (AssMulti)))</f>
        <v>1.1358005</v>
      </c>
      <c r="Q53" s="1114">
        <f t="array" ref="Q53">LET(
totalShards, I$10,
AtMax, OR(I$3&lt;$B53,totalShards&lt;$E53),
primeShards, $E53,
PrimeMulti, I53,
AssPer, I$4,
AssLevel, IF(AtMax,1,index(optimizer[Level],XMATCH(totalShards-primeShards,optimizer[Total discounted cost],-1,2))),
AssMulti,IF(I$16="",1,index(optimizer[coreAssist],XMATCH(AssLevel,optimizer[Level],-1,2))),
TooLow, OR(AssLevel&lt;$I$18,$B53&lt;$I$15),
IF(OR(AtMax,TooLow), 0, PrimeMulti * (AssMulti)))</f>
        <v>3.6296</v>
      </c>
    </row>
    <row r="54" ht="22.5" hidden="1" customHeight="1" outlineLevel="1">
      <c r="A54" s="1097"/>
      <c r="B54" s="1103">
        <v>27.0</v>
      </c>
      <c r="C54" s="1104">
        <v>50.0</v>
      </c>
      <c r="D54" s="1104">
        <f t="shared" si="2"/>
        <v>35</v>
      </c>
      <c r="E54" s="1105">
        <f t="shared" si="11"/>
        <v>430</v>
      </c>
      <c r="F54" s="1106">
        <f t="shared" si="3"/>
        <v>1.368</v>
      </c>
      <c r="G54" s="1106">
        <f t="shared" si="4"/>
        <v>1.368</v>
      </c>
      <c r="H54" s="1106">
        <f t="shared" si="5"/>
        <v>1.062</v>
      </c>
      <c r="I54" s="1106">
        <f t="shared" si="6"/>
        <v>1.761</v>
      </c>
      <c r="J54" s="1107">
        <f t="shared" si="7"/>
        <v>1</v>
      </c>
      <c r="K54" s="1107">
        <f t="shared" si="8"/>
        <v>1.00318</v>
      </c>
      <c r="L54" s="1107">
        <f t="shared" si="9"/>
        <v>1.0062</v>
      </c>
      <c r="M54" s="1107">
        <f t="shared" si="10"/>
        <v>1.0705</v>
      </c>
      <c r="N54" s="1106">
        <f t="array" ref="N54">LET(
totalShards, F$10,
AtMax, OR(F$3&lt;$B54,totalShards&lt;$E54),
primeShards, $E54,
PrimeMulti, F54,
AssPer, F$4,
AssLevel, IF(AtMax,1,index(optimizer[Level],XMATCH(totalShards-primeShards,optimizer[Total discounted cost],-1,2))),
AssMulti,IF(F$16="",1,index(optimizer[cannonAssist],XMATCH(AssLevel,optimizer[Level],-1,2))),
TooLow, OR(AssLevel&lt;$F$18,$B54&lt;$F$15),
IF(OR(AtMax,TooLow), 0, PrimeMulti * (AssMulti)))</f>
        <v>1.368</v>
      </c>
      <c r="O54" s="1106">
        <f t="array" ref="O54">LET(
totalShards, G$10,
AtMax, OR(G$3&lt;$B54,totalShards&lt;$E54),
primeShards, $E54,
PrimeMulti, G54,
AssPer, G$4,
AssLevel, IF(AtMax,1,index(optimizer[Level],XMATCH(totalShards-primeShards,optimizer[Total discounted cost],-1,2))),
AssMulti,IF(G$16="",1,index(optimizer[armorAssist],XMATCH(AssLevel,optimizer[Level],-1,2))),
TooLow, OR(AssLevel&lt;$G$18,$B54&lt;$G$15),
IF(OR(AtMax,TooLow), 0, PrimeMulti * (AssMulti)))</f>
        <v>1.4745672</v>
      </c>
      <c r="P54" s="1106">
        <f t="array" ref="P54">LET(
totalShards, H$10,
AtMax, OR(H$3&lt;$B54,totalShards&lt;$E54),
primeShards, $E54,
PrimeMulti, H54,
AssPer, H$4,
AssLevel, IF(AtMax,1,index(optimizer[Level],XMATCH(totalShards-primeShards,optimizer[Total discounted cost],-1,2))),
AssMulti,IF(H$16="",1,index(optimizer[generatorAssist],XMATCH(AssLevel,optimizer[Level],-1,2))),
TooLow, OR(AssLevel&lt;$H$18,$B54&lt;$H$15),
IF(OR(AtMax,TooLow), 0, PrimeMulti * (AssMulti)))</f>
        <v>1.136871</v>
      </c>
      <c r="Q54" s="1108">
        <f t="array" ref="Q54">LET(
totalShards, I$10,
AtMax, OR(I$3&lt;$B54,totalShards&lt;$E54),
primeShards, $E54,
PrimeMulti, I54,
AssPer, I$4,
AssLevel, IF(AtMax,1,index(optimizer[Level],XMATCH(totalShards-primeShards,optimizer[Total discounted cost],-1,2))),
AssMulti,IF(I$16="",1,index(optimizer[coreAssist],XMATCH(AssLevel,optimizer[Level],-1,2))),
TooLow, OR(AssLevel&lt;$I$18,$B54&lt;$I$15),
IF(OR(AtMax,TooLow), 0, PrimeMulti * (AssMulti)))</f>
        <v>3.66288</v>
      </c>
    </row>
    <row r="55" ht="22.5" hidden="1" customHeight="1" outlineLevel="1">
      <c r="A55" s="1097"/>
      <c r="B55" s="1109">
        <v>28.0</v>
      </c>
      <c r="C55" s="1110">
        <v>50.0</v>
      </c>
      <c r="D55" s="1110">
        <f t="shared" si="2"/>
        <v>35</v>
      </c>
      <c r="E55" s="1111">
        <f t="shared" si="11"/>
        <v>465</v>
      </c>
      <c r="F55" s="1112">
        <f t="shared" si="3"/>
        <v>1.372</v>
      </c>
      <c r="G55" s="1112">
        <f t="shared" si="4"/>
        <v>1.372</v>
      </c>
      <c r="H55" s="1112">
        <f t="shared" si="5"/>
        <v>1.063</v>
      </c>
      <c r="I55" s="1112">
        <f t="shared" si="6"/>
        <v>1.778</v>
      </c>
      <c r="J55" s="1113">
        <f t="shared" si="7"/>
        <v>1</v>
      </c>
      <c r="K55" s="1107">
        <f t="shared" si="8"/>
        <v>1.00322</v>
      </c>
      <c r="L55" s="1107">
        <f t="shared" si="9"/>
        <v>1.0063</v>
      </c>
      <c r="M55" s="1107">
        <f t="shared" si="10"/>
        <v>1.072</v>
      </c>
      <c r="N55" s="1106">
        <f t="array" ref="N55">LET(
totalShards, F$10,
AtMax, OR(F$3&lt;$B55,totalShards&lt;$E55),
primeShards, $E55,
PrimeMulti, F55,
AssPer, F$4,
AssLevel, IF(AtMax,1,index(optimizer[Level],XMATCH(totalShards-primeShards,optimizer[Total discounted cost],-1,2))),
AssMulti,IF(F$16="",1,index(optimizer[cannonAssist],XMATCH(AssLevel,optimizer[Level],-1,2))),
TooLow, OR(AssLevel&lt;$F$18,$B55&lt;$F$15),
IF(OR(AtMax,TooLow), 0, PrimeMulti * (AssMulti)))</f>
        <v>1.372</v>
      </c>
      <c r="O55" s="1112">
        <f t="array" ref="O55">LET(
totalShards, G$10,
AtMax, OR(G$3&lt;$B55,totalShards&lt;$E55),
primeShards, $E55,
PrimeMulti, G55,
AssPer, G$4,
AssLevel, IF(AtMax,1,index(optimizer[Level],XMATCH(totalShards-primeShards,optimizer[Total discounted cost],-1,2))),
AssMulti,IF(G$16="",1,index(optimizer[armorAssist],XMATCH(AssLevel,optimizer[Level],-1,2))),
TooLow, OR(AssLevel&lt;$G$18,$B55&lt;$G$15),
IF(OR(AtMax,TooLow), 0, PrimeMulti * (AssMulti)))</f>
        <v>1.4788788</v>
      </c>
      <c r="P55" s="1112">
        <f t="array" ref="P55">LET(
totalShards, H$10,
AtMax, OR(H$3&lt;$B55,totalShards&lt;$E55),
primeShards, $E55,
PrimeMulti, H55,
AssPer, H$4,
AssLevel, IF(AtMax,1,index(optimizer[Level],XMATCH(totalShards-primeShards,optimizer[Total discounted cost],-1,2))),
AssMulti,IF(H$16="",1,index(optimizer[generatorAssist],XMATCH(AssLevel,optimizer[Level],-1,2))),
TooLow, OR(AssLevel&lt;$H$18,$B55&lt;$H$15),
IF(OR(AtMax,TooLow), 0, PrimeMulti * (AssMulti)))</f>
        <v>1.1379415</v>
      </c>
      <c r="Q55" s="1114">
        <f t="array" ref="Q55">LET(
totalShards, I$10,
AtMax, OR(I$3&lt;$B55,totalShards&lt;$E55),
primeShards, $E55,
PrimeMulti, I55,
AssPer, I$4,
AssLevel, IF(AtMax,1,index(optimizer[Level],XMATCH(totalShards-primeShards,optimizer[Total discounted cost],-1,2))),
AssMulti,IF(I$16="",1,index(optimizer[coreAssist],XMATCH(AssLevel,optimizer[Level],-1,2))),
TooLow, OR(AssLevel&lt;$I$18,$B55&lt;$I$15),
IF(OR(AtMax,TooLow), 0, PrimeMulti * (AssMulti)))</f>
        <v>3.69824</v>
      </c>
    </row>
    <row r="56" ht="22.5" hidden="1" customHeight="1" outlineLevel="1">
      <c r="A56" s="1097"/>
      <c r="B56" s="1103">
        <v>29.0</v>
      </c>
      <c r="C56" s="1104">
        <v>50.0</v>
      </c>
      <c r="D56" s="1104">
        <f t="shared" si="2"/>
        <v>35</v>
      </c>
      <c r="E56" s="1105">
        <f t="shared" si="11"/>
        <v>500</v>
      </c>
      <c r="F56" s="1106">
        <f t="shared" si="3"/>
        <v>1.376</v>
      </c>
      <c r="G56" s="1106">
        <f t="shared" si="4"/>
        <v>1.376</v>
      </c>
      <c r="H56" s="1106">
        <f t="shared" si="5"/>
        <v>1.064</v>
      </c>
      <c r="I56" s="1106">
        <f t="shared" si="6"/>
        <v>1.794</v>
      </c>
      <c r="J56" s="1107">
        <f t="shared" si="7"/>
        <v>1</v>
      </c>
      <c r="K56" s="1107">
        <f t="shared" si="8"/>
        <v>1.00326</v>
      </c>
      <c r="L56" s="1107">
        <f t="shared" si="9"/>
        <v>1.0064</v>
      </c>
      <c r="M56" s="1107">
        <f t="shared" si="10"/>
        <v>1.0735</v>
      </c>
      <c r="N56" s="1106">
        <f t="array" ref="N56">LET(
totalShards, F$10,
AtMax, OR(F$3&lt;$B56,totalShards&lt;$E56),
primeShards, $E56,
PrimeMulti, F56,
AssPer, F$4,
AssLevel, IF(AtMax,1,index(optimizer[Level],XMATCH(totalShards-primeShards,optimizer[Total discounted cost],-1,2))),
AssMulti,IF(F$16="",1,index(optimizer[cannonAssist],XMATCH(AssLevel,optimizer[Level],-1,2))),
TooLow, OR(AssLevel&lt;$F$18,$B56&lt;$F$15),
IF(OR(AtMax,TooLow), 0, PrimeMulti * (AssMulti)))</f>
        <v>1.376</v>
      </c>
      <c r="O56" s="1106">
        <f t="array" ref="O56">LET(
totalShards, G$10,
AtMax, OR(G$3&lt;$B56,totalShards&lt;$E56),
primeShards, $E56,
PrimeMulti, G56,
AssPer, G$4,
AssLevel, IF(AtMax,1,index(optimizer[Level],XMATCH(totalShards-primeShards,optimizer[Total discounted cost],-1,2))),
AssMulti,IF(G$16="",1,index(optimizer[armorAssist],XMATCH(AssLevel,optimizer[Level],-1,2))),
TooLow, OR(AssLevel&lt;$G$18,$B56&lt;$G$15),
IF(OR(AtMax,TooLow), 0, PrimeMulti * (AssMulti)))</f>
        <v>1.4831904</v>
      </c>
      <c r="P56" s="1106">
        <f t="array" ref="P56">LET(
totalShards, H$10,
AtMax, OR(H$3&lt;$B56,totalShards&lt;$E56),
primeShards, $E56,
PrimeMulti, H56,
AssPer, H$4,
AssLevel, IF(AtMax,1,index(optimizer[Level],XMATCH(totalShards-primeShards,optimizer[Total discounted cost],-1,2))),
AssMulti,IF(H$16="",1,index(optimizer[generatorAssist],XMATCH(AssLevel,optimizer[Level],-1,2))),
TooLow, OR(AssLevel&lt;$H$18,$B56&lt;$H$15),
IF(OR(AtMax,TooLow), 0, PrimeMulti * (AssMulti)))</f>
        <v>1.139012</v>
      </c>
      <c r="Q56" s="1108">
        <f t="array" ref="Q56">LET(
totalShards, I$10,
AtMax, OR(I$3&lt;$B56,totalShards&lt;$E56),
primeShards, $E56,
PrimeMulti, I56,
AssPer, I$4,
AssLevel, IF(AtMax,1,index(optimizer[Level],XMATCH(totalShards-primeShards,optimizer[Total discounted cost],-1,2))),
AssMulti,IF(I$16="",1,index(optimizer[coreAssist],XMATCH(AssLevel,optimizer[Level],-1,2))),
TooLow, OR(AssLevel&lt;$I$18,$B56&lt;$I$15),
IF(OR(AtMax,TooLow), 0, PrimeMulti * (AssMulti)))</f>
        <v>3.73152</v>
      </c>
    </row>
    <row r="57" ht="22.5" hidden="1" customHeight="1" outlineLevel="1">
      <c r="A57" s="1097"/>
      <c r="B57" s="1109">
        <v>30.0</v>
      </c>
      <c r="C57" s="1110">
        <v>50.0</v>
      </c>
      <c r="D57" s="1110">
        <f t="shared" si="2"/>
        <v>35</v>
      </c>
      <c r="E57" s="1111">
        <f t="shared" si="11"/>
        <v>535</v>
      </c>
      <c r="F57" s="1112">
        <f t="shared" si="3"/>
        <v>1.38</v>
      </c>
      <c r="G57" s="1112">
        <f t="shared" si="4"/>
        <v>1.38</v>
      </c>
      <c r="H57" s="1112">
        <f t="shared" si="5"/>
        <v>1.065</v>
      </c>
      <c r="I57" s="1112">
        <f t="shared" si="6"/>
        <v>1.81</v>
      </c>
      <c r="J57" s="1113">
        <f t="shared" si="7"/>
        <v>1</v>
      </c>
      <c r="K57" s="1107">
        <f t="shared" si="8"/>
        <v>1.0033</v>
      </c>
      <c r="L57" s="1107">
        <f t="shared" si="9"/>
        <v>1.0065</v>
      </c>
      <c r="M57" s="1107">
        <f t="shared" si="10"/>
        <v>1.075</v>
      </c>
      <c r="N57" s="1106">
        <f t="array" ref="N57">LET(
totalShards, F$10,
AtMax, OR(F$3&lt;$B57,totalShards&lt;$E57),
primeShards, $E57,
PrimeMulti, F57,
AssPer, F$4,
AssLevel, IF(AtMax,1,index(optimizer[Level],XMATCH(totalShards-primeShards,optimizer[Total discounted cost],-1,2))),
AssMulti,IF(F$16="",1,index(optimizer[cannonAssist],XMATCH(AssLevel,optimizer[Level],-1,2))),
TooLow, OR(AssLevel&lt;$F$18,$B57&lt;$F$15),
IF(OR(AtMax,TooLow), 0, PrimeMulti * (AssMulti)))</f>
        <v>1.38</v>
      </c>
      <c r="O57" s="1112">
        <f t="array" ref="O57">LET(
totalShards, G$10,
AtMax, OR(G$3&lt;$B57,totalShards&lt;$E57),
primeShards, $E57,
PrimeMulti, G57,
AssPer, G$4,
AssLevel, IF(AtMax,1,index(optimizer[Level],XMATCH(totalShards-primeShards,optimizer[Total discounted cost],-1,2))),
AssMulti,IF(G$16="",1,index(optimizer[armorAssist],XMATCH(AssLevel,optimizer[Level],-1,2))),
TooLow, OR(AssLevel&lt;$G$18,$B57&lt;$G$15),
IF(OR(AtMax,TooLow), 0, PrimeMulti * (AssMulti)))</f>
        <v>1.487502</v>
      </c>
      <c r="P57" s="1112">
        <f t="array" ref="P57">LET(
totalShards, H$10,
AtMax, OR(H$3&lt;$B57,totalShards&lt;$E57),
primeShards, $E57,
PrimeMulti, H57,
AssPer, H$4,
AssLevel, IF(AtMax,1,index(optimizer[Level],XMATCH(totalShards-primeShards,optimizer[Total discounted cost],-1,2))),
AssMulti,IF(H$16="",1,index(optimizer[generatorAssist],XMATCH(AssLevel,optimizer[Level],-1,2))),
TooLow, OR(AssLevel&lt;$H$18,$B57&lt;$H$15),
IF(OR(AtMax,TooLow), 0, PrimeMulti * (AssMulti)))</f>
        <v>1.1400825</v>
      </c>
      <c r="Q57" s="1114">
        <f t="array" ref="Q57">LET(
totalShards, I$10,
AtMax, OR(I$3&lt;$B57,totalShards&lt;$E57),
primeShards, $E57,
PrimeMulti, I57,
AssPer, I$4,
AssLevel, IF(AtMax,1,index(optimizer[Level],XMATCH(totalShards-primeShards,optimizer[Total discounted cost],-1,2))),
AssMulti,IF(I$16="",1,index(optimizer[coreAssist],XMATCH(AssLevel,optimizer[Level],-1,2))),
TooLow, OR(AssLevel&lt;$I$18,$B57&lt;$I$15),
IF(OR(AtMax,TooLow), 0, PrimeMulti * (AssMulti)))</f>
        <v>3.7648</v>
      </c>
    </row>
    <row r="58" ht="22.5" hidden="1" customHeight="1" outlineLevel="1">
      <c r="A58" s="1097"/>
      <c r="B58" s="1103">
        <v>31.0</v>
      </c>
      <c r="C58" s="1104">
        <v>75.0</v>
      </c>
      <c r="D58" s="1104">
        <f t="shared" si="2"/>
        <v>53</v>
      </c>
      <c r="E58" s="1105">
        <f t="shared" si="11"/>
        <v>588</v>
      </c>
      <c r="F58" s="1106">
        <f t="shared" si="3"/>
        <v>1.386</v>
      </c>
      <c r="G58" s="1106">
        <f t="shared" si="4"/>
        <v>1.386</v>
      </c>
      <c r="H58" s="1106">
        <f t="shared" si="5"/>
        <v>1.067</v>
      </c>
      <c r="I58" s="1106">
        <f t="shared" si="6"/>
        <v>1.832</v>
      </c>
      <c r="J58" s="1107">
        <f t="shared" si="7"/>
        <v>1</v>
      </c>
      <c r="K58" s="1107">
        <f t="shared" si="8"/>
        <v>1.00336</v>
      </c>
      <c r="L58" s="1107">
        <f t="shared" si="9"/>
        <v>1.0067</v>
      </c>
      <c r="M58" s="1107">
        <f t="shared" si="10"/>
        <v>1.077</v>
      </c>
      <c r="N58" s="1106">
        <f t="array" ref="N58">LET(
totalShards, F$10,
AtMax, OR(F$3&lt;$B58,totalShards&lt;$E58),
primeShards, $E58,
PrimeMulti, F58,
AssPer, F$4,
AssLevel, IF(AtMax,1,index(optimizer[Level],XMATCH(totalShards-primeShards,optimizer[Total discounted cost],-1,2))),
AssMulti,IF(F$16="",1,index(optimizer[cannonAssist],XMATCH(AssLevel,optimizer[Level],-1,2))),
TooLow, OR(AssLevel&lt;$F$18,$B58&lt;$F$15),
IF(OR(AtMax,TooLow), 0, PrimeMulti * (AssMulti)))</f>
        <v>1.386</v>
      </c>
      <c r="O58" s="1106">
        <f t="array" ref="O58">LET(
totalShards, G$10,
AtMax, OR(G$3&lt;$B58,totalShards&lt;$E58),
primeShards, $E58,
PrimeMulti, G58,
AssPer, G$4,
AssLevel, IF(AtMax,1,index(optimizer[Level],XMATCH(totalShards-primeShards,optimizer[Total discounted cost],-1,2))),
AssMulti,IF(G$16="",1,index(optimizer[armorAssist],XMATCH(AssLevel,optimizer[Level],-1,2))),
TooLow, OR(AssLevel&lt;$G$18,$B58&lt;$G$15),
IF(OR(AtMax,TooLow), 0, PrimeMulti * (AssMulti)))</f>
        <v>1.4939694</v>
      </c>
      <c r="P58" s="1106">
        <f t="array" ref="P58">LET(
totalShards, H$10,
AtMax, OR(H$3&lt;$B58,totalShards&lt;$E58),
primeShards, $E58,
PrimeMulti, H58,
AssPer, H$4,
AssLevel, IF(AtMax,1,index(optimizer[Level],XMATCH(totalShards-primeShards,optimizer[Total discounted cost],-1,2))),
AssMulti,IF(H$16="",1,index(optimizer[generatorAssist],XMATCH(AssLevel,optimizer[Level],-1,2))),
TooLow, OR(AssLevel&lt;$H$18,$B58&lt;$H$15),
IF(OR(AtMax,TooLow), 0, PrimeMulti * (AssMulti)))</f>
        <v>1.1422235</v>
      </c>
      <c r="Q58" s="1108">
        <f t="array" ref="Q58">LET(
totalShards, I$10,
AtMax, OR(I$3&lt;$B58,totalShards&lt;$E58),
primeShards, $E58,
PrimeMulti, I58,
AssPer, I$4,
AssLevel, IF(AtMax,1,index(optimizer[Level],XMATCH(totalShards-primeShards,optimizer[Total discounted cost],-1,2))),
AssMulti,IF(I$16="",1,index(optimizer[coreAssist],XMATCH(AssLevel,optimizer[Level],-1,2))),
TooLow, OR(AssLevel&lt;$I$18,$B58&lt;$I$15),
IF(OR(AtMax,TooLow), 0, PrimeMulti * (AssMulti)))</f>
        <v>3.81056</v>
      </c>
    </row>
    <row r="59" ht="22.5" hidden="1" customHeight="1" outlineLevel="1">
      <c r="A59" s="1097"/>
      <c r="B59" s="1109">
        <v>32.0</v>
      </c>
      <c r="C59" s="1110">
        <v>75.0</v>
      </c>
      <c r="D59" s="1110">
        <f t="shared" si="2"/>
        <v>53</v>
      </c>
      <c r="E59" s="1111">
        <f t="shared" si="11"/>
        <v>641</v>
      </c>
      <c r="F59" s="1112">
        <f t="shared" si="3"/>
        <v>1.392</v>
      </c>
      <c r="G59" s="1112">
        <f t="shared" si="4"/>
        <v>1.392</v>
      </c>
      <c r="H59" s="1112">
        <f t="shared" si="5"/>
        <v>1.069</v>
      </c>
      <c r="I59" s="1112">
        <f t="shared" si="6"/>
        <v>1.853</v>
      </c>
      <c r="J59" s="1113">
        <f t="shared" si="7"/>
        <v>1</v>
      </c>
      <c r="K59" s="1107">
        <f t="shared" si="8"/>
        <v>1.00342</v>
      </c>
      <c r="L59" s="1107">
        <f t="shared" si="9"/>
        <v>1.0069</v>
      </c>
      <c r="M59" s="1107">
        <f t="shared" si="10"/>
        <v>1.079</v>
      </c>
      <c r="N59" s="1106">
        <f t="array" ref="N59">LET(
totalShards, F$10,
AtMax, OR(F$3&lt;$B59,totalShards&lt;$E59),
primeShards, $E59,
PrimeMulti, F59,
AssPer, F$4,
AssLevel, IF(AtMax,1,index(optimizer[Level],XMATCH(totalShards-primeShards,optimizer[Total discounted cost],-1,2))),
AssMulti,IF(F$16="",1,index(optimizer[cannonAssist],XMATCH(AssLevel,optimizer[Level],-1,2))),
TooLow, OR(AssLevel&lt;$F$18,$B59&lt;$F$15),
IF(OR(AtMax,TooLow), 0, PrimeMulti * (AssMulti)))</f>
        <v>1.392</v>
      </c>
      <c r="O59" s="1112">
        <f t="array" ref="O59">LET(
totalShards, G$10,
AtMax, OR(G$3&lt;$B59,totalShards&lt;$E59),
primeShards, $E59,
PrimeMulti, G59,
AssPer, G$4,
AssLevel, IF(AtMax,1,index(optimizer[Level],XMATCH(totalShards-primeShards,optimizer[Total discounted cost],-1,2))),
AssMulti,IF(G$16="",1,index(optimizer[armorAssist],XMATCH(AssLevel,optimizer[Level],-1,2))),
TooLow, OR(AssLevel&lt;$G$18,$B59&lt;$G$15),
IF(OR(AtMax,TooLow), 0, PrimeMulti * (AssMulti)))</f>
        <v>1.5004368</v>
      </c>
      <c r="P59" s="1112">
        <f t="array" ref="P59">LET(
totalShards, H$10,
AtMax, OR(H$3&lt;$B59,totalShards&lt;$E59),
primeShards, $E59,
PrimeMulti, H59,
AssPer, H$4,
AssLevel, IF(AtMax,1,index(optimizer[Level],XMATCH(totalShards-primeShards,optimizer[Total discounted cost],-1,2))),
AssMulti,IF(H$16="",1,index(optimizer[generatorAssist],XMATCH(AssLevel,optimizer[Level],-1,2))),
TooLow, OR(AssLevel&lt;$H$18,$B59&lt;$H$15),
IF(OR(AtMax,TooLow), 0, PrimeMulti * (AssMulti)))</f>
        <v>1.1443645</v>
      </c>
      <c r="Q59" s="1114">
        <f t="array" ref="Q59">LET(
totalShards, I$10,
AtMax, OR(I$3&lt;$B59,totalShards&lt;$E59),
primeShards, $E59,
PrimeMulti, I59,
AssPer, I$4,
AssLevel, IF(AtMax,1,index(optimizer[Level],XMATCH(totalShards-primeShards,optimizer[Total discounted cost],-1,2))),
AssMulti,IF(I$16="",1,index(optimizer[coreAssist],XMATCH(AssLevel,optimizer[Level],-1,2))),
TooLow, OR(AssLevel&lt;$I$18,$B59&lt;$I$15),
IF(OR(AtMax,TooLow), 0, PrimeMulti * (AssMulti)))</f>
        <v>3.85424</v>
      </c>
    </row>
    <row r="60" ht="22.5" hidden="1" customHeight="1" outlineLevel="1">
      <c r="A60" s="1097"/>
      <c r="B60" s="1103">
        <v>33.0</v>
      </c>
      <c r="C60" s="1104">
        <v>75.0</v>
      </c>
      <c r="D60" s="1104">
        <f t="shared" si="2"/>
        <v>53</v>
      </c>
      <c r="E60" s="1105">
        <f t="shared" si="11"/>
        <v>694</v>
      </c>
      <c r="F60" s="1106">
        <f t="shared" si="3"/>
        <v>1.398</v>
      </c>
      <c r="G60" s="1106">
        <f t="shared" si="4"/>
        <v>1.398</v>
      </c>
      <c r="H60" s="1106">
        <f t="shared" si="5"/>
        <v>1.071</v>
      </c>
      <c r="I60" s="1106">
        <f t="shared" si="6"/>
        <v>1.875</v>
      </c>
      <c r="J60" s="1107">
        <f t="shared" si="7"/>
        <v>1</v>
      </c>
      <c r="K60" s="1107">
        <f t="shared" si="8"/>
        <v>1.00348</v>
      </c>
      <c r="L60" s="1107">
        <f t="shared" si="9"/>
        <v>1.0071</v>
      </c>
      <c r="M60" s="1107">
        <f t="shared" si="10"/>
        <v>1.081</v>
      </c>
      <c r="N60" s="1106">
        <f t="array" ref="N60">LET(
totalShards, F$10,
AtMax, OR(F$3&lt;$B60,totalShards&lt;$E60),
primeShards, $E60,
PrimeMulti, F60,
AssPer, F$4,
AssLevel, IF(AtMax,1,index(optimizer[Level],XMATCH(totalShards-primeShards,optimizer[Total discounted cost],-1,2))),
AssMulti,IF(F$16="",1,index(optimizer[cannonAssist],XMATCH(AssLevel,optimizer[Level],-1,2))),
TooLow, OR(AssLevel&lt;$F$18,$B60&lt;$F$15),
IF(OR(AtMax,TooLow), 0, PrimeMulti * (AssMulti)))</f>
        <v>1.398</v>
      </c>
      <c r="O60" s="1106">
        <f t="array" ref="O60">LET(
totalShards, G$10,
AtMax, OR(G$3&lt;$B60,totalShards&lt;$E60),
primeShards, $E60,
PrimeMulti, G60,
AssPer, G$4,
AssLevel, IF(AtMax,1,index(optimizer[Level],XMATCH(totalShards-primeShards,optimizer[Total discounted cost],-1,2))),
AssMulti,IF(G$16="",1,index(optimizer[armorAssist],XMATCH(AssLevel,optimizer[Level],-1,2))),
TooLow, OR(AssLevel&lt;$G$18,$B60&lt;$G$15),
IF(OR(AtMax,TooLow), 0, PrimeMulti * (AssMulti)))</f>
        <v>1.5069042</v>
      </c>
      <c r="P60" s="1106">
        <f t="array" ref="P60">LET(
totalShards, H$10,
AtMax, OR(H$3&lt;$B60,totalShards&lt;$E60),
primeShards, $E60,
PrimeMulti, H60,
AssPer, H$4,
AssLevel, IF(AtMax,1,index(optimizer[Level],XMATCH(totalShards-primeShards,optimizer[Total discounted cost],-1,2))),
AssMulti,IF(H$16="",1,index(optimizer[generatorAssist],XMATCH(AssLevel,optimizer[Level],-1,2))),
TooLow, OR(AssLevel&lt;$H$18,$B60&lt;$H$15),
IF(OR(AtMax,TooLow), 0, PrimeMulti * (AssMulti)))</f>
        <v>1.1465055</v>
      </c>
      <c r="Q60" s="1108">
        <f t="array" ref="Q60">LET(
totalShards, I$10,
AtMax, OR(I$3&lt;$B60,totalShards&lt;$E60),
primeShards, $E60,
PrimeMulti, I60,
AssPer, I$4,
AssLevel, IF(AtMax,1,index(optimizer[Level],XMATCH(totalShards-primeShards,optimizer[Total discounted cost],-1,2))),
AssMulti,IF(I$16="",1,index(optimizer[coreAssist],XMATCH(AssLevel,optimizer[Level],-1,2))),
TooLow, OR(AssLevel&lt;$I$18,$B60&lt;$I$15),
IF(OR(AtMax,TooLow), 0, PrimeMulti * (AssMulti)))</f>
        <v>3.9</v>
      </c>
    </row>
    <row r="61" ht="22.5" hidden="1" customHeight="1" outlineLevel="1">
      <c r="A61" s="1097"/>
      <c r="B61" s="1109">
        <v>34.0</v>
      </c>
      <c r="C61" s="1110">
        <v>75.0</v>
      </c>
      <c r="D61" s="1110">
        <f t="shared" si="2"/>
        <v>53</v>
      </c>
      <c r="E61" s="1111">
        <f t="shared" si="11"/>
        <v>747</v>
      </c>
      <c r="F61" s="1112">
        <f t="shared" si="3"/>
        <v>1.404</v>
      </c>
      <c r="G61" s="1112">
        <f t="shared" si="4"/>
        <v>1.404</v>
      </c>
      <c r="H61" s="1112">
        <f t="shared" si="5"/>
        <v>1.073</v>
      </c>
      <c r="I61" s="1112">
        <f t="shared" si="6"/>
        <v>1.896</v>
      </c>
      <c r="J61" s="1113">
        <f t="shared" si="7"/>
        <v>1</v>
      </c>
      <c r="K61" s="1107">
        <f t="shared" si="8"/>
        <v>1.00354</v>
      </c>
      <c r="L61" s="1107">
        <f t="shared" si="9"/>
        <v>1.0073</v>
      </c>
      <c r="M61" s="1107">
        <f t="shared" si="10"/>
        <v>1.083</v>
      </c>
      <c r="N61" s="1106">
        <f t="array" ref="N61">LET(
totalShards, F$10,
AtMax, OR(F$3&lt;$B61,totalShards&lt;$E61),
primeShards, $E61,
PrimeMulti, F61,
AssPer, F$4,
AssLevel, IF(AtMax,1,index(optimizer[Level],XMATCH(totalShards-primeShards,optimizer[Total discounted cost],-1,2))),
AssMulti,IF(F$16="",1,index(optimizer[cannonAssist],XMATCH(AssLevel,optimizer[Level],-1,2))),
TooLow, OR(AssLevel&lt;$F$18,$B61&lt;$F$15),
IF(OR(AtMax,TooLow), 0, PrimeMulti * (AssMulti)))</f>
        <v>1.404</v>
      </c>
      <c r="O61" s="1112">
        <f t="array" ref="O61">LET(
totalShards, G$10,
AtMax, OR(G$3&lt;$B61,totalShards&lt;$E61),
primeShards, $E61,
PrimeMulti, G61,
AssPer, G$4,
AssLevel, IF(AtMax,1,index(optimizer[Level],XMATCH(totalShards-primeShards,optimizer[Total discounted cost],-1,2))),
AssMulti,IF(G$16="",1,index(optimizer[armorAssist],XMATCH(AssLevel,optimizer[Level],-1,2))),
TooLow, OR(AssLevel&lt;$G$18,$B61&lt;$G$15),
IF(OR(AtMax,TooLow), 0, PrimeMulti * (AssMulti)))</f>
        <v>1.5133716</v>
      </c>
      <c r="P61" s="1112">
        <f t="array" ref="P61">LET(
totalShards, H$10,
AtMax, OR(H$3&lt;$B61,totalShards&lt;$E61),
primeShards, $E61,
PrimeMulti, H61,
AssPer, H$4,
AssLevel, IF(AtMax,1,index(optimizer[Level],XMATCH(totalShards-primeShards,optimizer[Total discounted cost],-1,2))),
AssMulti,IF(H$16="",1,index(optimizer[generatorAssist],XMATCH(AssLevel,optimizer[Level],-1,2))),
TooLow, OR(AssLevel&lt;$H$18,$B61&lt;$H$15),
IF(OR(AtMax,TooLow), 0, PrimeMulti * (AssMulti)))</f>
        <v>1.1486465</v>
      </c>
      <c r="Q61" s="1114">
        <f t="array" ref="Q61">LET(
totalShards, I$10,
AtMax, OR(I$3&lt;$B61,totalShards&lt;$E61),
primeShards, $E61,
PrimeMulti, I61,
AssPer, I$4,
AssLevel, IF(AtMax,1,index(optimizer[Level],XMATCH(totalShards-primeShards,optimizer[Total discounted cost],-1,2))),
AssMulti,IF(I$16="",1,index(optimizer[coreAssist],XMATCH(AssLevel,optimizer[Level],-1,2))),
TooLow, OR(AssLevel&lt;$I$18,$B61&lt;$I$15),
IF(OR(AtMax,TooLow), 0, PrimeMulti * (AssMulti)))</f>
        <v>3.94368</v>
      </c>
    </row>
    <row r="62" ht="22.5" hidden="1" customHeight="1" outlineLevel="1">
      <c r="A62" s="1097"/>
      <c r="B62" s="1103">
        <v>35.0</v>
      </c>
      <c r="C62" s="1104">
        <v>75.0</v>
      </c>
      <c r="D62" s="1104">
        <f t="shared" si="2"/>
        <v>53</v>
      </c>
      <c r="E62" s="1105">
        <f t="shared" si="11"/>
        <v>800</v>
      </c>
      <c r="F62" s="1106">
        <f t="shared" si="3"/>
        <v>1.41</v>
      </c>
      <c r="G62" s="1106">
        <f t="shared" si="4"/>
        <v>1.41</v>
      </c>
      <c r="H62" s="1106">
        <f t="shared" si="5"/>
        <v>1.075</v>
      </c>
      <c r="I62" s="1106">
        <f t="shared" si="6"/>
        <v>1.918</v>
      </c>
      <c r="J62" s="1107">
        <f t="shared" si="7"/>
        <v>1</v>
      </c>
      <c r="K62" s="1107">
        <f t="shared" si="8"/>
        <v>1.0036</v>
      </c>
      <c r="L62" s="1107">
        <f t="shared" si="9"/>
        <v>1.0075</v>
      </c>
      <c r="M62" s="1107">
        <f t="shared" si="10"/>
        <v>1.085</v>
      </c>
      <c r="N62" s="1106">
        <f t="array" ref="N62">LET(
totalShards, F$10,
AtMax, OR(F$3&lt;$B62,totalShards&lt;$E62),
primeShards, $E62,
PrimeMulti, F62,
AssPer, F$4,
AssLevel, IF(AtMax,1,index(optimizer[Level],XMATCH(totalShards-primeShards,optimizer[Total discounted cost],-1,2))),
AssMulti,IF(F$16="",1,index(optimizer[cannonAssist],XMATCH(AssLevel,optimizer[Level],-1,2))),
TooLow, OR(AssLevel&lt;$F$18,$B62&lt;$F$15),
IF(OR(AtMax,TooLow), 0, PrimeMulti * (AssMulti)))</f>
        <v>1.41</v>
      </c>
      <c r="O62" s="1106">
        <f t="array" ref="O62">LET(
totalShards, G$10,
AtMax, OR(G$3&lt;$B62,totalShards&lt;$E62),
primeShards, $E62,
PrimeMulti, G62,
AssPer, G$4,
AssLevel, IF(AtMax,1,index(optimizer[Level],XMATCH(totalShards-primeShards,optimizer[Total discounted cost],-1,2))),
AssMulti,IF(G$16="",1,index(optimizer[armorAssist],XMATCH(AssLevel,optimizer[Level],-1,2))),
TooLow, OR(AssLevel&lt;$G$18,$B62&lt;$G$15),
IF(OR(AtMax,TooLow), 0, PrimeMulti * (AssMulti)))</f>
        <v>1.519839</v>
      </c>
      <c r="P62" s="1106">
        <f t="array" ref="P62">LET(
totalShards, H$10,
AtMax, OR(H$3&lt;$B62,totalShards&lt;$E62),
primeShards, $E62,
PrimeMulti, H62,
AssPer, H$4,
AssLevel, IF(AtMax,1,index(optimizer[Level],XMATCH(totalShards-primeShards,optimizer[Total discounted cost],-1,2))),
AssMulti,IF(H$16="",1,index(optimizer[generatorAssist],XMATCH(AssLevel,optimizer[Level],-1,2))),
TooLow, OR(AssLevel&lt;$H$18,$B62&lt;$H$15),
IF(OR(AtMax,TooLow), 0, PrimeMulti * (AssMulti)))</f>
        <v>1.1507875</v>
      </c>
      <c r="Q62" s="1108">
        <f t="array" ref="Q62">LET(
totalShards, I$10,
AtMax, OR(I$3&lt;$B62,totalShards&lt;$E62),
primeShards, $E62,
PrimeMulti, I62,
AssPer, I$4,
AssLevel, IF(AtMax,1,index(optimizer[Level],XMATCH(totalShards-primeShards,optimizer[Total discounted cost],-1,2))),
AssMulti,IF(I$16="",1,index(optimizer[coreAssist],XMATCH(AssLevel,optimizer[Level],-1,2))),
TooLow, OR(AssLevel&lt;$I$18,$B62&lt;$I$15),
IF(OR(AtMax,TooLow), 0, PrimeMulti * (AssMulti)))</f>
        <v>3.98944</v>
      </c>
    </row>
    <row r="63" ht="22.5" hidden="1" customHeight="1" outlineLevel="1">
      <c r="A63" s="1097"/>
      <c r="B63" s="1109">
        <v>36.0</v>
      </c>
      <c r="C63" s="1110">
        <v>90.0</v>
      </c>
      <c r="D63" s="1110">
        <f t="shared" si="2"/>
        <v>63</v>
      </c>
      <c r="E63" s="1111">
        <f t="shared" si="11"/>
        <v>863</v>
      </c>
      <c r="F63" s="1112">
        <f t="shared" si="3"/>
        <v>1.416</v>
      </c>
      <c r="G63" s="1112">
        <f t="shared" si="4"/>
        <v>1.416</v>
      </c>
      <c r="H63" s="1112">
        <f t="shared" si="5"/>
        <v>1.077</v>
      </c>
      <c r="I63" s="1112">
        <f t="shared" si="6"/>
        <v>1.94</v>
      </c>
      <c r="J63" s="1113">
        <f t="shared" si="7"/>
        <v>1</v>
      </c>
      <c r="K63" s="1107">
        <f t="shared" si="8"/>
        <v>1.00366</v>
      </c>
      <c r="L63" s="1107">
        <f t="shared" si="9"/>
        <v>1.0077</v>
      </c>
      <c r="M63" s="1107">
        <f t="shared" si="10"/>
        <v>1.087</v>
      </c>
      <c r="N63" s="1106">
        <f t="array" ref="N63">LET(
totalShards, F$10,
AtMax, OR(F$3&lt;$B63,totalShards&lt;$E63),
primeShards, $E63,
PrimeMulti, F63,
AssPer, F$4,
AssLevel, IF(AtMax,1,index(optimizer[Level],XMATCH(totalShards-primeShards,optimizer[Total discounted cost],-1,2))),
AssMulti,IF(F$16="",1,index(optimizer[cannonAssist],XMATCH(AssLevel,optimizer[Level],-1,2))),
TooLow, OR(AssLevel&lt;$F$18,$B63&lt;$F$15),
IF(OR(AtMax,TooLow), 0, PrimeMulti * (AssMulti)))</f>
        <v>1.416</v>
      </c>
      <c r="O63" s="1112">
        <f t="array" ref="O63">LET(
totalShards, G$10,
AtMax, OR(G$3&lt;$B63,totalShards&lt;$E63),
primeShards, $E63,
PrimeMulti, G63,
AssPer, G$4,
AssLevel, IF(AtMax,1,index(optimizer[Level],XMATCH(totalShards-primeShards,optimizer[Total discounted cost],-1,2))),
AssMulti,IF(G$16="",1,index(optimizer[armorAssist],XMATCH(AssLevel,optimizer[Level],-1,2))),
TooLow, OR(AssLevel&lt;$G$18,$B63&lt;$G$15),
IF(OR(AtMax,TooLow), 0, PrimeMulti * (AssMulti)))</f>
        <v>1.5263064</v>
      </c>
      <c r="P63" s="1112">
        <f t="array" ref="P63">LET(
totalShards, H$10,
AtMax, OR(H$3&lt;$B63,totalShards&lt;$E63),
primeShards, $E63,
PrimeMulti, H63,
AssPer, H$4,
AssLevel, IF(AtMax,1,index(optimizer[Level],XMATCH(totalShards-primeShards,optimizer[Total discounted cost],-1,2))),
AssMulti,IF(H$16="",1,index(optimizer[generatorAssist],XMATCH(AssLevel,optimizer[Level],-1,2))),
TooLow, OR(AssLevel&lt;$H$18,$B63&lt;$H$15),
IF(OR(AtMax,TooLow), 0, PrimeMulti * (AssMulti)))</f>
        <v>1.1529285</v>
      </c>
      <c r="Q63" s="1114">
        <f t="array" ref="Q63">LET(
totalShards, I$10,
AtMax, OR(I$3&lt;$B63,totalShards&lt;$E63),
primeShards, $E63,
PrimeMulti, I63,
AssPer, I$4,
AssLevel, IF(AtMax,1,index(optimizer[Level],XMATCH(totalShards-primeShards,optimizer[Total discounted cost],-1,2))),
AssMulti,IF(I$16="",1,index(optimizer[coreAssist],XMATCH(AssLevel,optimizer[Level],-1,2))),
TooLow, OR(AssLevel&lt;$I$18,$B63&lt;$I$15),
IF(OR(AtMax,TooLow), 0, PrimeMulti * (AssMulti)))</f>
        <v>4.0352</v>
      </c>
    </row>
    <row r="64" ht="22.5" hidden="1" customHeight="1" outlineLevel="1">
      <c r="A64" s="1097"/>
      <c r="B64" s="1103">
        <v>37.0</v>
      </c>
      <c r="C64" s="1104">
        <v>90.0</v>
      </c>
      <c r="D64" s="1104">
        <f t="shared" si="2"/>
        <v>63</v>
      </c>
      <c r="E64" s="1105">
        <f t="shared" si="11"/>
        <v>926</v>
      </c>
      <c r="F64" s="1106">
        <f t="shared" si="3"/>
        <v>1.422</v>
      </c>
      <c r="G64" s="1106">
        <f t="shared" si="4"/>
        <v>1.422</v>
      </c>
      <c r="H64" s="1106">
        <f t="shared" si="5"/>
        <v>1.079</v>
      </c>
      <c r="I64" s="1106">
        <f t="shared" si="6"/>
        <v>1.961</v>
      </c>
      <c r="J64" s="1107">
        <f t="shared" si="7"/>
        <v>1</v>
      </c>
      <c r="K64" s="1107">
        <f t="shared" si="8"/>
        <v>1.00372</v>
      </c>
      <c r="L64" s="1107">
        <f t="shared" si="9"/>
        <v>1.0079</v>
      </c>
      <c r="M64" s="1107">
        <f t="shared" si="10"/>
        <v>1.089</v>
      </c>
      <c r="N64" s="1106">
        <f t="array" ref="N64">LET(
totalShards, F$10,
AtMax, OR(F$3&lt;$B64,totalShards&lt;$E64),
primeShards, $E64,
PrimeMulti, F64,
AssPer, F$4,
AssLevel, IF(AtMax,1,index(optimizer[Level],XMATCH(totalShards-primeShards,optimizer[Total discounted cost],-1,2))),
AssMulti,IF(F$16="",1,index(optimizer[cannonAssist],XMATCH(AssLevel,optimizer[Level],-1,2))),
TooLow, OR(AssLevel&lt;$F$18,$B64&lt;$F$15),
IF(OR(AtMax,TooLow), 0, PrimeMulti * (AssMulti)))</f>
        <v>1.422</v>
      </c>
      <c r="O64" s="1106">
        <f t="array" ref="O64">LET(
totalShards, G$10,
AtMax, OR(G$3&lt;$B64,totalShards&lt;$E64),
primeShards, $E64,
PrimeMulti, G64,
AssPer, G$4,
AssLevel, IF(AtMax,1,index(optimizer[Level],XMATCH(totalShards-primeShards,optimizer[Total discounted cost],-1,2))),
AssMulti,IF(G$16="",1,index(optimizer[armorAssist],XMATCH(AssLevel,optimizer[Level],-1,2))),
TooLow, OR(AssLevel&lt;$G$18,$B64&lt;$G$15),
IF(OR(AtMax,TooLow), 0, PrimeMulti * (AssMulti)))</f>
        <v>1.5327738</v>
      </c>
      <c r="P64" s="1106">
        <f t="array" ref="P64">LET(
totalShards, H$10,
AtMax, OR(H$3&lt;$B64,totalShards&lt;$E64),
primeShards, $E64,
PrimeMulti, H64,
AssPer, H$4,
AssLevel, IF(AtMax,1,index(optimizer[Level],XMATCH(totalShards-primeShards,optimizer[Total discounted cost],-1,2))),
AssMulti,IF(H$16="",1,index(optimizer[generatorAssist],XMATCH(AssLevel,optimizer[Level],-1,2))),
TooLow, OR(AssLevel&lt;$H$18,$B64&lt;$H$15),
IF(OR(AtMax,TooLow), 0, PrimeMulti * (AssMulti)))</f>
        <v>1.1550695</v>
      </c>
      <c r="Q64" s="1108">
        <f t="array" ref="Q64">LET(
totalShards, I$10,
AtMax, OR(I$3&lt;$B64,totalShards&lt;$E64),
primeShards, $E64,
PrimeMulti, I64,
AssPer, I$4,
AssLevel, IF(AtMax,1,index(optimizer[Level],XMATCH(totalShards-primeShards,optimizer[Total discounted cost],-1,2))),
AssMulti,IF(I$16="",1,index(optimizer[coreAssist],XMATCH(AssLevel,optimizer[Level],-1,2))),
TooLow, OR(AssLevel&lt;$I$18,$B64&lt;$I$15),
IF(OR(AtMax,TooLow), 0, PrimeMulti * (AssMulti)))</f>
        <v>4.07888</v>
      </c>
    </row>
    <row r="65" ht="22.5" hidden="1" customHeight="1" outlineLevel="1">
      <c r="A65" s="1097"/>
      <c r="B65" s="1109">
        <v>38.0</v>
      </c>
      <c r="C65" s="1110">
        <v>90.0</v>
      </c>
      <c r="D65" s="1110">
        <f t="shared" si="2"/>
        <v>63</v>
      </c>
      <c r="E65" s="1111">
        <f t="shared" si="11"/>
        <v>989</v>
      </c>
      <c r="F65" s="1112">
        <f t="shared" si="3"/>
        <v>1.428</v>
      </c>
      <c r="G65" s="1112">
        <f t="shared" si="4"/>
        <v>1.428</v>
      </c>
      <c r="H65" s="1112">
        <f t="shared" si="5"/>
        <v>1.081</v>
      </c>
      <c r="I65" s="1112">
        <f t="shared" si="6"/>
        <v>1.983</v>
      </c>
      <c r="J65" s="1113">
        <f t="shared" si="7"/>
        <v>1</v>
      </c>
      <c r="K65" s="1107">
        <f t="shared" si="8"/>
        <v>1.00378</v>
      </c>
      <c r="L65" s="1107">
        <f t="shared" si="9"/>
        <v>1.0081</v>
      </c>
      <c r="M65" s="1107">
        <f t="shared" si="10"/>
        <v>1.091</v>
      </c>
      <c r="N65" s="1106">
        <f t="array" ref="N65">LET(
totalShards, F$10,
AtMax, OR(F$3&lt;$B65,totalShards&lt;$E65),
primeShards, $E65,
PrimeMulti, F65,
AssPer, F$4,
AssLevel, IF(AtMax,1,index(optimizer[Level],XMATCH(totalShards-primeShards,optimizer[Total discounted cost],-1,2))),
AssMulti,IF(F$16="",1,index(optimizer[cannonAssist],XMATCH(AssLevel,optimizer[Level],-1,2))),
TooLow, OR(AssLevel&lt;$F$18,$B65&lt;$F$15),
IF(OR(AtMax,TooLow), 0, PrimeMulti * (AssMulti)))</f>
        <v>1.428</v>
      </c>
      <c r="O65" s="1112">
        <f t="array" ref="O65">LET(
totalShards, G$10,
AtMax, OR(G$3&lt;$B65,totalShards&lt;$E65),
primeShards, $E65,
PrimeMulti, G65,
AssPer, G$4,
AssLevel, IF(AtMax,1,index(optimizer[Level],XMATCH(totalShards-primeShards,optimizer[Total discounted cost],-1,2))),
AssMulti,IF(G$16="",1,index(optimizer[armorAssist],XMATCH(AssLevel,optimizer[Level],-1,2))),
TooLow, OR(AssLevel&lt;$G$18,$B65&lt;$G$15),
IF(OR(AtMax,TooLow), 0, PrimeMulti * (AssMulti)))</f>
        <v>1.5392412</v>
      </c>
      <c r="P65" s="1112">
        <f t="array" ref="P65">LET(
totalShards, H$10,
AtMax, OR(H$3&lt;$B65,totalShards&lt;$E65),
primeShards, $E65,
PrimeMulti, H65,
AssPer, H$4,
AssLevel, IF(AtMax,1,index(optimizer[Level],XMATCH(totalShards-primeShards,optimizer[Total discounted cost],-1,2))),
AssMulti,IF(H$16="",1,index(optimizer[generatorAssist],XMATCH(AssLevel,optimizer[Level],-1,2))),
TooLow, OR(AssLevel&lt;$H$18,$B65&lt;$H$15),
IF(OR(AtMax,TooLow), 0, PrimeMulti * (AssMulti)))</f>
        <v>1.1572105</v>
      </c>
      <c r="Q65" s="1114">
        <f t="array" ref="Q65">LET(
totalShards, I$10,
AtMax, OR(I$3&lt;$B65,totalShards&lt;$E65),
primeShards, $E65,
PrimeMulti, I65,
AssPer, I$4,
AssLevel, IF(AtMax,1,index(optimizer[Level],XMATCH(totalShards-primeShards,optimizer[Total discounted cost],-1,2))),
AssMulti,IF(I$16="",1,index(optimizer[coreAssist],XMATCH(AssLevel,optimizer[Level],-1,2))),
TooLow, OR(AssLevel&lt;$I$18,$B65&lt;$I$15),
IF(OR(AtMax,TooLow), 0, PrimeMulti * (AssMulti)))</f>
        <v>4.12464</v>
      </c>
    </row>
    <row r="66" ht="22.5" hidden="1" customHeight="1" outlineLevel="1">
      <c r="A66" s="1097"/>
      <c r="B66" s="1103">
        <v>39.0</v>
      </c>
      <c r="C66" s="1104">
        <v>90.0</v>
      </c>
      <c r="D66" s="1104">
        <f t="shared" si="2"/>
        <v>63</v>
      </c>
      <c r="E66" s="1105">
        <f t="shared" si="11"/>
        <v>1052</v>
      </c>
      <c r="F66" s="1106">
        <f t="shared" si="3"/>
        <v>1.434</v>
      </c>
      <c r="G66" s="1106">
        <f t="shared" si="4"/>
        <v>1.434</v>
      </c>
      <c r="H66" s="1106">
        <f t="shared" si="5"/>
        <v>1.083</v>
      </c>
      <c r="I66" s="1106">
        <f t="shared" si="6"/>
        <v>2.004</v>
      </c>
      <c r="J66" s="1107">
        <f t="shared" si="7"/>
        <v>1</v>
      </c>
      <c r="K66" s="1107">
        <f t="shared" si="8"/>
        <v>1.00384</v>
      </c>
      <c r="L66" s="1107">
        <f t="shared" si="9"/>
        <v>1.0083</v>
      </c>
      <c r="M66" s="1107">
        <f t="shared" si="10"/>
        <v>1.093</v>
      </c>
      <c r="N66" s="1106">
        <f t="array" ref="N66">LET(
totalShards, F$10,
AtMax, OR(F$3&lt;$B66,totalShards&lt;$E66),
primeShards, $E66,
PrimeMulti, F66,
AssPer, F$4,
AssLevel, IF(AtMax,1,index(optimizer[Level],XMATCH(totalShards-primeShards,optimizer[Total discounted cost],-1,2))),
AssMulti,IF(F$16="",1,index(optimizer[cannonAssist],XMATCH(AssLevel,optimizer[Level],-1,2))),
TooLow, OR(AssLevel&lt;$F$18,$B66&lt;$F$15),
IF(OR(AtMax,TooLow), 0, PrimeMulti * (AssMulti)))</f>
        <v>1.434</v>
      </c>
      <c r="O66" s="1106">
        <f t="array" ref="O66">LET(
totalShards, G$10,
AtMax, OR(G$3&lt;$B66,totalShards&lt;$E66),
primeShards, $E66,
PrimeMulti, G66,
AssPer, G$4,
AssLevel, IF(AtMax,1,index(optimizer[Level],XMATCH(totalShards-primeShards,optimizer[Total discounted cost],-1,2))),
AssMulti,IF(G$16="",1,index(optimizer[armorAssist],XMATCH(AssLevel,optimizer[Level],-1,2))),
TooLow, OR(AssLevel&lt;$G$18,$B66&lt;$G$15),
IF(OR(AtMax,TooLow), 0, PrimeMulti * (AssMulti)))</f>
        <v>1.5457086</v>
      </c>
      <c r="P66" s="1106">
        <f t="array" ref="P66">LET(
totalShards, H$10,
AtMax, OR(H$3&lt;$B66,totalShards&lt;$E66),
primeShards, $E66,
PrimeMulti, H66,
AssPer, H$4,
AssLevel, IF(AtMax,1,index(optimizer[Level],XMATCH(totalShards-primeShards,optimizer[Total discounted cost],-1,2))),
AssMulti,IF(H$16="",1,index(optimizer[generatorAssist],XMATCH(AssLevel,optimizer[Level],-1,2))),
TooLow, OR(AssLevel&lt;$H$18,$B66&lt;$H$15),
IF(OR(AtMax,TooLow), 0, PrimeMulti * (AssMulti)))</f>
        <v>1.1593515</v>
      </c>
      <c r="Q66" s="1108">
        <f t="array" ref="Q66">LET(
totalShards, I$10,
AtMax, OR(I$3&lt;$B66,totalShards&lt;$E66),
primeShards, $E66,
PrimeMulti, I66,
AssPer, I$4,
AssLevel, IF(AtMax,1,index(optimizer[Level],XMATCH(totalShards-primeShards,optimizer[Total discounted cost],-1,2))),
AssMulti,IF(I$16="",1,index(optimizer[coreAssist],XMATCH(AssLevel,optimizer[Level],-1,2))),
TooLow, OR(AssLevel&lt;$I$18,$B66&lt;$I$15),
IF(OR(AtMax,TooLow), 0, PrimeMulti * (AssMulti)))</f>
        <v>4.16832</v>
      </c>
    </row>
    <row r="67" ht="22.5" hidden="1" customHeight="1" outlineLevel="1">
      <c r="A67" s="1097"/>
      <c r="B67" s="1109">
        <v>40.0</v>
      </c>
      <c r="C67" s="1110">
        <v>90.0</v>
      </c>
      <c r="D67" s="1110">
        <f t="shared" si="2"/>
        <v>63</v>
      </c>
      <c r="E67" s="1111">
        <f t="shared" si="11"/>
        <v>1115</v>
      </c>
      <c r="F67" s="1112">
        <f t="shared" si="3"/>
        <v>1.44</v>
      </c>
      <c r="G67" s="1112">
        <f t="shared" si="4"/>
        <v>1.44</v>
      </c>
      <c r="H67" s="1112">
        <f t="shared" si="5"/>
        <v>1.085</v>
      </c>
      <c r="I67" s="1112">
        <f t="shared" si="6"/>
        <v>2.026</v>
      </c>
      <c r="J67" s="1113">
        <f t="shared" si="7"/>
        <v>1</v>
      </c>
      <c r="K67" s="1107">
        <f t="shared" si="8"/>
        <v>1.0039</v>
      </c>
      <c r="L67" s="1107">
        <f t="shared" si="9"/>
        <v>1.0085</v>
      </c>
      <c r="M67" s="1107">
        <f t="shared" si="10"/>
        <v>1.095</v>
      </c>
      <c r="N67" s="1106">
        <f t="array" ref="N67">LET(
totalShards, F$10,
AtMax, OR(F$3&lt;$B67,totalShards&lt;$E67),
primeShards, $E67,
PrimeMulti, F67,
AssPer, F$4,
AssLevel, IF(AtMax,1,index(optimizer[Level],XMATCH(totalShards-primeShards,optimizer[Total discounted cost],-1,2))),
AssMulti,IF(F$16="",1,index(optimizer[cannonAssist],XMATCH(AssLevel,optimizer[Level],-1,2))),
TooLow, OR(AssLevel&lt;$F$18,$B67&lt;$F$15),
IF(OR(AtMax,TooLow), 0, PrimeMulti * (AssMulti)))</f>
        <v>1.44</v>
      </c>
      <c r="O67" s="1112">
        <f t="array" ref="O67">LET(
totalShards, G$10,
AtMax, OR(G$3&lt;$B67,totalShards&lt;$E67),
primeShards, $E67,
PrimeMulti, G67,
AssPer, G$4,
AssLevel, IF(AtMax,1,index(optimizer[Level],XMATCH(totalShards-primeShards,optimizer[Total discounted cost],-1,2))),
AssMulti,IF(G$16="",1,index(optimizer[armorAssist],XMATCH(AssLevel,optimizer[Level],-1,2))),
TooLow, OR(AssLevel&lt;$G$18,$B67&lt;$G$15),
IF(OR(AtMax,TooLow), 0, PrimeMulti * (AssMulti)))</f>
        <v>1.552176</v>
      </c>
      <c r="P67" s="1112">
        <f t="array" ref="P67">LET(
totalShards, H$10,
AtMax, OR(H$3&lt;$B67,totalShards&lt;$E67),
primeShards, $E67,
PrimeMulti, H67,
AssPer, H$4,
AssLevel, IF(AtMax,1,index(optimizer[Level],XMATCH(totalShards-primeShards,optimizer[Total discounted cost],-1,2))),
AssMulti,IF(H$16="",1,index(optimizer[generatorAssist],XMATCH(AssLevel,optimizer[Level],-1,2))),
TooLow, OR(AssLevel&lt;$H$18,$B67&lt;$H$15),
IF(OR(AtMax,TooLow), 0, PrimeMulti * (AssMulti)))</f>
        <v>1.1614925</v>
      </c>
      <c r="Q67" s="1114">
        <f t="array" ref="Q67">LET(
totalShards, I$10,
AtMax, OR(I$3&lt;$B67,totalShards&lt;$E67),
primeShards, $E67,
PrimeMulti, I67,
AssPer, I$4,
AssLevel, IF(AtMax,1,index(optimizer[Level],XMATCH(totalShards-primeShards,optimizer[Total discounted cost],-1,2))),
AssMulti,IF(I$16="",1,index(optimizer[coreAssist],XMATCH(AssLevel,optimizer[Level],-1,2))),
TooLow, OR(AssLevel&lt;$I$18,$B67&lt;$I$15),
IF(OR(AtMax,TooLow), 0, PrimeMulti * (AssMulti)))</f>
        <v>4.21408</v>
      </c>
    </row>
    <row r="68" ht="22.5" hidden="1" customHeight="1" outlineLevel="1">
      <c r="A68" s="1097"/>
      <c r="B68" s="1103">
        <v>41.0</v>
      </c>
      <c r="C68" s="1104">
        <v>120.0</v>
      </c>
      <c r="D68" s="1104">
        <f t="shared" si="2"/>
        <v>84</v>
      </c>
      <c r="E68" s="1105">
        <f t="shared" si="11"/>
        <v>1199</v>
      </c>
      <c r="F68" s="1106">
        <f t="shared" si="3"/>
        <v>1.448</v>
      </c>
      <c r="G68" s="1106">
        <f t="shared" si="4"/>
        <v>1.448</v>
      </c>
      <c r="H68" s="1106">
        <f t="shared" si="5"/>
        <v>1.088</v>
      </c>
      <c r="I68" s="1106">
        <f t="shared" si="6"/>
        <v>2.053</v>
      </c>
      <c r="J68" s="1107">
        <f t="shared" si="7"/>
        <v>1</v>
      </c>
      <c r="K68" s="1107">
        <f t="shared" si="8"/>
        <v>1.00398</v>
      </c>
      <c r="L68" s="1107">
        <f t="shared" si="9"/>
        <v>1.0088</v>
      </c>
      <c r="M68" s="1107">
        <f t="shared" si="10"/>
        <v>1.0975</v>
      </c>
      <c r="N68" s="1106">
        <f t="array" ref="N68">LET(
totalShards, F$10,
AtMax, OR(F$3&lt;$B68,totalShards&lt;$E68),
primeShards, $E68,
PrimeMulti, F68,
AssPer, F$4,
AssLevel, IF(AtMax,1,index(optimizer[Level],XMATCH(totalShards-primeShards,optimizer[Total discounted cost],-1,2))),
AssMulti,IF(F$16="",1,index(optimizer[cannonAssist],XMATCH(AssLevel,optimizer[Level],-1,2))),
TooLow, OR(AssLevel&lt;$F$18,$B68&lt;$F$15),
IF(OR(AtMax,TooLow), 0, PrimeMulti * (AssMulti)))</f>
        <v>1.448</v>
      </c>
      <c r="O68" s="1106">
        <f t="array" ref="O68">LET(
totalShards, G$10,
AtMax, OR(G$3&lt;$B68,totalShards&lt;$E68),
primeShards, $E68,
PrimeMulti, G68,
AssPer, G$4,
AssLevel, IF(AtMax,1,index(optimizer[Level],XMATCH(totalShards-primeShards,optimizer[Total discounted cost],-1,2))),
AssMulti,IF(G$16="",1,index(optimizer[armorAssist],XMATCH(AssLevel,optimizer[Level],-1,2))),
TooLow, OR(AssLevel&lt;$G$18,$B68&lt;$G$15),
IF(OR(AtMax,TooLow), 0, PrimeMulti * (AssMulti)))</f>
        <v>1.5607992</v>
      </c>
      <c r="P68" s="1106">
        <f t="array" ref="P68">LET(
totalShards, H$10,
AtMax, OR(H$3&lt;$B68,totalShards&lt;$E68),
primeShards, $E68,
PrimeMulti, H68,
AssPer, H$4,
AssLevel, IF(AtMax,1,index(optimizer[Level],XMATCH(totalShards-primeShards,optimizer[Total discounted cost],-1,2))),
AssMulti,IF(H$16="",1,index(optimizer[generatorAssist],XMATCH(AssLevel,optimizer[Level],-1,2))),
TooLow, OR(AssLevel&lt;$H$18,$B68&lt;$H$15),
IF(OR(AtMax,TooLow), 0, PrimeMulti * (AssMulti)))</f>
        <v>1.164704</v>
      </c>
      <c r="Q68" s="1108">
        <f t="array" ref="Q68">LET(
totalShards, I$10,
AtMax, OR(I$3&lt;$B68,totalShards&lt;$E68),
primeShards, $E68,
PrimeMulti, I68,
AssPer, I$4,
AssLevel, IF(AtMax,1,index(optimizer[Level],XMATCH(totalShards-primeShards,optimizer[Total discounted cost],-1,2))),
AssMulti,IF(I$16="",1,index(optimizer[coreAssist],XMATCH(AssLevel,optimizer[Level],-1,2))),
TooLow, OR(AssLevel&lt;$I$18,$B68&lt;$I$15),
IF(OR(AtMax,TooLow), 0, PrimeMulti * (AssMulti)))</f>
        <v>4.27024</v>
      </c>
    </row>
    <row r="69" ht="22.5" hidden="1" customHeight="1" outlineLevel="1">
      <c r="A69" s="1097"/>
      <c r="B69" s="1109">
        <v>42.0</v>
      </c>
      <c r="C69" s="1110">
        <v>120.0</v>
      </c>
      <c r="D69" s="1110">
        <f t="shared" si="2"/>
        <v>84</v>
      </c>
      <c r="E69" s="1111">
        <f t="shared" si="11"/>
        <v>1283</v>
      </c>
      <c r="F69" s="1112">
        <f t="shared" si="3"/>
        <v>1.456</v>
      </c>
      <c r="G69" s="1112">
        <f t="shared" si="4"/>
        <v>1.456</v>
      </c>
      <c r="H69" s="1112">
        <f t="shared" si="5"/>
        <v>1.091</v>
      </c>
      <c r="I69" s="1112">
        <f t="shared" si="6"/>
        <v>2.08</v>
      </c>
      <c r="J69" s="1113">
        <f t="shared" si="7"/>
        <v>1</v>
      </c>
      <c r="K69" s="1107">
        <f t="shared" si="8"/>
        <v>1.00406</v>
      </c>
      <c r="L69" s="1107">
        <f t="shared" si="9"/>
        <v>1.0091</v>
      </c>
      <c r="M69" s="1107">
        <f t="shared" si="10"/>
        <v>1.1</v>
      </c>
      <c r="N69" s="1106">
        <f t="array" ref="N69">LET(
totalShards, F$10,
AtMax, OR(F$3&lt;$B69,totalShards&lt;$E69),
primeShards, $E69,
PrimeMulti, F69,
AssPer, F$4,
AssLevel, IF(AtMax,1,index(optimizer[Level],XMATCH(totalShards-primeShards,optimizer[Total discounted cost],-1,2))),
AssMulti,IF(F$16="",1,index(optimizer[cannonAssist],XMATCH(AssLevel,optimizer[Level],-1,2))),
TooLow, OR(AssLevel&lt;$F$18,$B69&lt;$F$15),
IF(OR(AtMax,TooLow), 0, PrimeMulti * (AssMulti)))</f>
        <v>1.456</v>
      </c>
      <c r="O69" s="1112">
        <f t="array" ref="O69">LET(
totalShards, G$10,
AtMax, OR(G$3&lt;$B69,totalShards&lt;$E69),
primeShards, $E69,
PrimeMulti, G69,
AssPer, G$4,
AssLevel, IF(AtMax,1,index(optimizer[Level],XMATCH(totalShards-primeShards,optimizer[Total discounted cost],-1,2))),
AssMulti,IF(G$16="",1,index(optimizer[armorAssist],XMATCH(AssLevel,optimizer[Level],-1,2))),
TooLow, OR(AssLevel&lt;$G$18,$B69&lt;$G$15),
IF(OR(AtMax,TooLow), 0, PrimeMulti * (AssMulti)))</f>
        <v>1.5665104</v>
      </c>
      <c r="P69" s="1112">
        <f t="array" ref="P69">LET(
totalShards, H$10,
AtMax, OR(H$3&lt;$B69,totalShards&lt;$E69),
primeShards, $E69,
PrimeMulti, H69,
AssPer, H$4,
AssLevel, IF(AtMax,1,index(optimizer[Level],XMATCH(totalShards-primeShards,optimizer[Total discounted cost],-1,2))),
AssMulti,IF(H$16="",1,index(optimizer[generatorAssist],XMATCH(AssLevel,optimizer[Level],-1,2))),
TooLow, OR(AssLevel&lt;$H$18,$B69&lt;$H$15),
IF(OR(AtMax,TooLow), 0, PrimeMulti * (AssMulti)))</f>
        <v>1.1679155</v>
      </c>
      <c r="Q69" s="1114">
        <f t="array" ref="Q69">LET(
totalShards, I$10,
AtMax, OR(I$3&lt;$B69,totalShards&lt;$E69),
primeShards, $E69,
PrimeMulti, I69,
AssPer, I$4,
AssLevel, IF(AtMax,1,index(optimizer[Level],XMATCH(totalShards-primeShards,optimizer[Total discounted cost],-1,2))),
AssMulti,IF(I$16="",1,index(optimizer[coreAssist],XMATCH(AssLevel,optimizer[Level],-1,2))),
TooLow, OR(AssLevel&lt;$I$18,$B69&lt;$I$15),
IF(OR(AtMax,TooLow), 0, PrimeMulti * (AssMulti)))</f>
        <v>4.3264</v>
      </c>
    </row>
    <row r="70" ht="22.5" hidden="1" customHeight="1" outlineLevel="1">
      <c r="A70" s="1097"/>
      <c r="B70" s="1103">
        <v>43.0</v>
      </c>
      <c r="C70" s="1104">
        <v>120.0</v>
      </c>
      <c r="D70" s="1104">
        <f t="shared" si="2"/>
        <v>84</v>
      </c>
      <c r="E70" s="1105">
        <f t="shared" si="11"/>
        <v>1367</v>
      </c>
      <c r="F70" s="1106">
        <f t="shared" si="3"/>
        <v>1.464</v>
      </c>
      <c r="G70" s="1106">
        <f t="shared" si="4"/>
        <v>1.464</v>
      </c>
      <c r="H70" s="1106">
        <f t="shared" si="5"/>
        <v>1.094</v>
      </c>
      <c r="I70" s="1106">
        <f t="shared" si="6"/>
        <v>2.107</v>
      </c>
      <c r="J70" s="1107">
        <f t="shared" si="7"/>
        <v>1</v>
      </c>
      <c r="K70" s="1107">
        <f t="shared" si="8"/>
        <v>1.00414</v>
      </c>
      <c r="L70" s="1107">
        <f t="shared" si="9"/>
        <v>1.0094</v>
      </c>
      <c r="M70" s="1107">
        <f t="shared" si="10"/>
        <v>1.1025</v>
      </c>
      <c r="N70" s="1106">
        <f t="array" ref="N70">LET(
totalShards, F$10,
AtMax, OR(F$3&lt;$B70,totalShards&lt;$E70),
primeShards, $E70,
PrimeMulti, F70,
AssPer, F$4,
AssLevel, IF(AtMax,1,index(optimizer[Level],XMATCH(totalShards-primeShards,optimizer[Total discounted cost],-1,2))),
AssMulti,IF(F$16="",1,index(optimizer[cannonAssist],XMATCH(AssLevel,optimizer[Level],-1,2))),
TooLow, OR(AssLevel&lt;$F$18,$B70&lt;$F$15),
IF(OR(AtMax,TooLow), 0, PrimeMulti * (AssMulti)))</f>
        <v>1.464</v>
      </c>
      <c r="O70" s="1106">
        <f t="array" ref="O70">LET(
totalShards, G$10,
AtMax, OR(G$3&lt;$B70,totalShards&lt;$E70),
primeShards, $E70,
PrimeMulti, G70,
AssPer, G$4,
AssLevel, IF(AtMax,1,index(optimizer[Level],XMATCH(totalShards-primeShards,optimizer[Total discounted cost],-1,2))),
AssMulti,IF(G$16="",1,index(optimizer[armorAssist],XMATCH(AssLevel,optimizer[Level],-1,2))),
TooLow, OR(AssLevel&lt;$G$18,$B70&lt;$G$15),
IF(OR(AtMax,TooLow), 0, PrimeMulti * (AssMulti)))</f>
        <v>1.5751176</v>
      </c>
      <c r="P70" s="1106">
        <f t="array" ref="P70">LET(
totalShards, H$10,
AtMax, OR(H$3&lt;$B70,totalShards&lt;$E70),
primeShards, $E70,
PrimeMulti, H70,
AssPer, H$4,
AssLevel, IF(AtMax,1,index(optimizer[Level],XMATCH(totalShards-primeShards,optimizer[Total discounted cost],-1,2))),
AssMulti,IF(H$16="",1,index(optimizer[generatorAssist],XMATCH(AssLevel,optimizer[Level],-1,2))),
TooLow, OR(AssLevel&lt;$H$18,$B70&lt;$H$15),
IF(OR(AtMax,TooLow), 0, PrimeMulti * (AssMulti)))</f>
        <v>1.171127</v>
      </c>
      <c r="Q70" s="1108">
        <f t="array" ref="Q70">LET(
totalShards, I$10,
AtMax, OR(I$3&lt;$B70,totalShards&lt;$E70),
primeShards, $E70,
PrimeMulti, I70,
AssPer, I$4,
AssLevel, IF(AtMax,1,index(optimizer[Level],XMATCH(totalShards-primeShards,optimizer[Total discounted cost],-1,2))),
AssMulti,IF(I$16="",1,index(optimizer[coreAssist],XMATCH(AssLevel,optimizer[Level],-1,2))),
TooLow, OR(AssLevel&lt;$I$18,$B70&lt;$I$15),
IF(OR(AtMax,TooLow), 0, PrimeMulti * (AssMulti)))</f>
        <v>4.38256</v>
      </c>
    </row>
    <row r="71" ht="22.5" hidden="1" customHeight="1" outlineLevel="1">
      <c r="A71" s="1097"/>
      <c r="B71" s="1109">
        <v>44.0</v>
      </c>
      <c r="C71" s="1110">
        <v>120.0</v>
      </c>
      <c r="D71" s="1110">
        <f t="shared" si="2"/>
        <v>84</v>
      </c>
      <c r="E71" s="1111">
        <f t="shared" si="11"/>
        <v>1451</v>
      </c>
      <c r="F71" s="1112">
        <f t="shared" si="3"/>
        <v>1.472</v>
      </c>
      <c r="G71" s="1112">
        <f t="shared" si="4"/>
        <v>1.472</v>
      </c>
      <c r="H71" s="1112">
        <f t="shared" si="5"/>
        <v>1.097</v>
      </c>
      <c r="I71" s="1112">
        <f t="shared" si="6"/>
        <v>2.134</v>
      </c>
      <c r="J71" s="1113">
        <f t="shared" si="7"/>
        <v>1</v>
      </c>
      <c r="K71" s="1107">
        <f t="shared" si="8"/>
        <v>1.00422</v>
      </c>
      <c r="L71" s="1107">
        <f t="shared" si="9"/>
        <v>1.0097</v>
      </c>
      <c r="M71" s="1107">
        <f t="shared" si="10"/>
        <v>1.105</v>
      </c>
      <c r="N71" s="1106">
        <f t="array" ref="N71">LET(
totalShards, F$10,
AtMax, OR(F$3&lt;$B71,totalShards&lt;$E71),
primeShards, $E71,
PrimeMulti, F71,
AssPer, F$4,
AssLevel, IF(AtMax,1,index(optimizer[Level],XMATCH(totalShards-primeShards,optimizer[Total discounted cost],-1,2))),
AssMulti,IF(F$16="",1,index(optimizer[cannonAssist],XMATCH(AssLevel,optimizer[Level],-1,2))),
TooLow, OR(AssLevel&lt;$F$18,$B71&lt;$F$15),
IF(OR(AtMax,TooLow), 0, PrimeMulti * (AssMulti)))</f>
        <v>1.472</v>
      </c>
      <c r="O71" s="1112">
        <f t="array" ref="O71">LET(
totalShards, G$10,
AtMax, OR(G$3&lt;$B71,totalShards&lt;$E71),
primeShards, $E71,
PrimeMulti, G71,
AssPer, G$4,
AssLevel, IF(AtMax,1,index(optimizer[Level],XMATCH(totalShards-primeShards,optimizer[Total discounted cost],-1,2))),
AssMulti,IF(G$16="",1,index(optimizer[armorAssist],XMATCH(AssLevel,optimizer[Level],-1,2))),
TooLow, OR(AssLevel&lt;$G$18,$B71&lt;$G$15),
IF(OR(AtMax,TooLow), 0, PrimeMulti * (AssMulti)))</f>
        <v>1.5837248</v>
      </c>
      <c r="P71" s="1112">
        <f t="array" ref="P71">LET(
totalShards, H$10,
AtMax, OR(H$3&lt;$B71,totalShards&lt;$E71),
primeShards, $E71,
PrimeMulti, H71,
AssPer, H$4,
AssLevel, IF(AtMax,1,index(optimizer[Level],XMATCH(totalShards-primeShards,optimizer[Total discounted cost],-1,2))),
AssMulti,IF(H$16="",1,index(optimizer[generatorAssist],XMATCH(AssLevel,optimizer[Level],-1,2))),
TooLow, OR(AssLevel&lt;$H$18,$B71&lt;$H$15),
IF(OR(AtMax,TooLow), 0, PrimeMulti * (AssMulti)))</f>
        <v>1.1743385</v>
      </c>
      <c r="Q71" s="1114">
        <f t="array" ref="Q71">LET(
totalShards, I$10,
AtMax, OR(I$3&lt;$B71,totalShards&lt;$E71),
primeShards, $E71,
PrimeMulti, I71,
AssPer, I$4,
AssLevel, IF(AtMax,1,index(optimizer[Level],XMATCH(totalShards-primeShards,optimizer[Total discounted cost],-1,2))),
AssMulti,IF(I$16="",1,index(optimizer[coreAssist],XMATCH(AssLevel,optimizer[Level],-1,2))),
TooLow, OR(AssLevel&lt;$I$18,$B71&lt;$I$15),
IF(OR(AtMax,TooLow), 0, PrimeMulti * (AssMulti)))</f>
        <v>4.43872</v>
      </c>
    </row>
    <row r="72" ht="22.5" hidden="1" customHeight="1" outlineLevel="1">
      <c r="A72" s="1097"/>
      <c r="B72" s="1103">
        <v>45.0</v>
      </c>
      <c r="C72" s="1104">
        <v>120.0</v>
      </c>
      <c r="D72" s="1104">
        <f t="shared" si="2"/>
        <v>84</v>
      </c>
      <c r="E72" s="1105">
        <f t="shared" si="11"/>
        <v>1535</v>
      </c>
      <c r="F72" s="1106">
        <f t="shared" si="3"/>
        <v>1.48</v>
      </c>
      <c r="G72" s="1106">
        <f t="shared" si="4"/>
        <v>1.48</v>
      </c>
      <c r="H72" s="1106">
        <f t="shared" si="5"/>
        <v>1.1</v>
      </c>
      <c r="I72" s="1106">
        <f t="shared" si="6"/>
        <v>2.161</v>
      </c>
      <c r="J72" s="1107">
        <f t="shared" si="7"/>
        <v>1</v>
      </c>
      <c r="K72" s="1107">
        <f t="shared" si="8"/>
        <v>1.0043</v>
      </c>
      <c r="L72" s="1107">
        <f t="shared" si="9"/>
        <v>1.01</v>
      </c>
      <c r="M72" s="1107">
        <f t="shared" si="10"/>
        <v>1.1075</v>
      </c>
      <c r="N72" s="1106">
        <f t="array" ref="N72">LET(
totalShards, F$10,
AtMax, OR(F$3&lt;$B72,totalShards&lt;$E72),
primeShards, $E72,
PrimeMulti, F72,
AssPer, F$4,
AssLevel, IF(AtMax,1,index(optimizer[Level],XMATCH(totalShards-primeShards,optimizer[Total discounted cost],-1,2))),
AssMulti,IF(F$16="",1,index(optimizer[cannonAssist],XMATCH(AssLevel,optimizer[Level],-1,2))),
TooLow, OR(AssLevel&lt;$F$18,$B72&lt;$F$15),
IF(OR(AtMax,TooLow), 0, PrimeMulti * (AssMulti)))</f>
        <v>1.48</v>
      </c>
      <c r="O72" s="1106">
        <f t="array" ref="O72">LET(
totalShards, G$10,
AtMax, OR(G$3&lt;$B72,totalShards&lt;$E72),
primeShards, $E72,
PrimeMulti, G72,
AssPer, G$4,
AssLevel, IF(AtMax,1,index(optimizer[Level],XMATCH(totalShards-primeShards,optimizer[Total discounted cost],-1,2))),
AssMulti,IF(G$16="",1,index(optimizer[armorAssist],XMATCH(AssLevel,optimizer[Level],-1,2))),
TooLow, OR(AssLevel&lt;$G$18,$B72&lt;$G$15),
IF(OR(AtMax,TooLow), 0, PrimeMulti * (AssMulti)))</f>
        <v>1.592332</v>
      </c>
      <c r="P72" s="1106">
        <f t="array" ref="P72">LET(
totalShards, H$10,
AtMax, OR(H$3&lt;$B72,totalShards&lt;$E72),
primeShards, $E72,
PrimeMulti, H72,
AssPer, H$4,
AssLevel, IF(AtMax,1,index(optimizer[Level],XMATCH(totalShards-primeShards,optimizer[Total discounted cost],-1,2))),
AssMulti,IF(H$16="",1,index(optimizer[generatorAssist],XMATCH(AssLevel,optimizer[Level],-1,2))),
TooLow, OR(AssLevel&lt;$H$18,$B72&lt;$H$15),
IF(OR(AtMax,TooLow), 0, PrimeMulti * (AssMulti)))</f>
        <v>1.17755</v>
      </c>
      <c r="Q72" s="1108">
        <f t="array" ref="Q72">LET(
totalShards, I$10,
AtMax, OR(I$3&lt;$B72,totalShards&lt;$E72),
primeShards, $E72,
PrimeMulti, I72,
AssPer, I$4,
AssLevel, IF(AtMax,1,index(optimizer[Level],XMATCH(totalShards-primeShards,optimizer[Total discounted cost],-1,2))),
AssMulti,IF(I$16="",1,index(optimizer[coreAssist],XMATCH(AssLevel,optimizer[Level],-1,2))),
TooLow, OR(AssLevel&lt;$I$18,$B72&lt;$I$15),
IF(OR(AtMax,TooLow), 0, PrimeMulti * (AssMulti)))</f>
        <v>4.49488</v>
      </c>
    </row>
    <row r="73" ht="22.5" hidden="1" customHeight="1" outlineLevel="1">
      <c r="A73" s="1097"/>
      <c r="B73" s="1109">
        <v>46.0</v>
      </c>
      <c r="C73" s="1110">
        <v>120.0</v>
      </c>
      <c r="D73" s="1110">
        <f t="shared" si="2"/>
        <v>84</v>
      </c>
      <c r="E73" s="1111">
        <f t="shared" si="11"/>
        <v>1619</v>
      </c>
      <c r="F73" s="1112">
        <f t="shared" si="3"/>
        <v>1.488</v>
      </c>
      <c r="G73" s="1112">
        <f t="shared" si="4"/>
        <v>1.488</v>
      </c>
      <c r="H73" s="1112">
        <f t="shared" si="5"/>
        <v>1.103</v>
      </c>
      <c r="I73" s="1112">
        <f t="shared" si="6"/>
        <v>2.188</v>
      </c>
      <c r="J73" s="1113">
        <f t="shared" si="7"/>
        <v>1</v>
      </c>
      <c r="K73" s="1107">
        <f t="shared" si="8"/>
        <v>1.00438</v>
      </c>
      <c r="L73" s="1107">
        <f t="shared" si="9"/>
        <v>1.0103</v>
      </c>
      <c r="M73" s="1107">
        <f t="shared" si="10"/>
        <v>1.11</v>
      </c>
      <c r="N73" s="1106">
        <f t="array" ref="N73">LET(
totalShards, F$10,
AtMax, OR(F$3&lt;$B73,totalShards&lt;$E73),
primeShards, $E73,
PrimeMulti, F73,
AssPer, F$4,
AssLevel, IF(AtMax,1,index(optimizer[Level],XMATCH(totalShards-primeShards,optimizer[Total discounted cost],-1,2))),
AssMulti,IF(F$16="",1,index(optimizer[cannonAssist],XMATCH(AssLevel,optimizer[Level],-1,2))),
TooLow, OR(AssLevel&lt;$F$18,$B73&lt;$F$15),
IF(OR(AtMax,TooLow), 0, PrimeMulti * (AssMulti)))</f>
        <v>1.488</v>
      </c>
      <c r="O73" s="1112">
        <f t="array" ref="O73">LET(
totalShards, G$10,
AtMax, OR(G$3&lt;$B73,totalShards&lt;$E73),
primeShards, $E73,
PrimeMulti, G73,
AssPer, G$4,
AssLevel, IF(AtMax,1,index(optimizer[Level],XMATCH(totalShards-primeShards,optimizer[Total discounted cost],-1,2))),
AssMulti,IF(G$16="",1,index(optimizer[armorAssist],XMATCH(AssLevel,optimizer[Level],-1,2))),
TooLow, OR(AssLevel&lt;$G$18,$B73&lt;$G$15),
IF(OR(AtMax,TooLow), 0, PrimeMulti * (AssMulti)))</f>
        <v>1.6009392</v>
      </c>
      <c r="P73" s="1112">
        <f t="array" ref="P73">LET(
totalShards, H$10,
AtMax, OR(H$3&lt;$B73,totalShards&lt;$E73),
primeShards, $E73,
PrimeMulti, H73,
AssPer, H$4,
AssLevel, IF(AtMax,1,index(optimizer[Level],XMATCH(totalShards-primeShards,optimizer[Total discounted cost],-1,2))),
AssMulti,IF(H$16="",1,index(optimizer[generatorAssist],XMATCH(AssLevel,optimizer[Level],-1,2))),
TooLow, OR(AssLevel&lt;$H$18,$B73&lt;$H$15),
IF(OR(AtMax,TooLow), 0, PrimeMulti * (AssMulti)))</f>
        <v>1.1807615</v>
      </c>
      <c r="Q73" s="1114">
        <f t="array" ref="Q73">LET(
totalShards, I$10,
AtMax, OR(I$3&lt;$B73,totalShards&lt;$E73),
primeShards, $E73,
PrimeMulti, I73,
AssPer, I$4,
AssLevel, IF(AtMax,1,index(optimizer[Level],XMATCH(totalShards-primeShards,optimizer[Total discounted cost],-1,2))),
AssMulti,IF(I$16="",1,index(optimizer[coreAssist],XMATCH(AssLevel,optimizer[Level],-1,2))),
TooLow, OR(AssLevel&lt;$I$18,$B73&lt;$I$15),
IF(OR(AtMax,TooLow), 0, PrimeMulti * (AssMulti)))</f>
        <v>4.55104</v>
      </c>
    </row>
    <row r="74" ht="22.5" hidden="1" customHeight="1" outlineLevel="1">
      <c r="A74" s="1097"/>
      <c r="B74" s="1103">
        <v>47.0</v>
      </c>
      <c r="C74" s="1104">
        <v>120.0</v>
      </c>
      <c r="D74" s="1104">
        <f t="shared" si="2"/>
        <v>84</v>
      </c>
      <c r="E74" s="1105">
        <f t="shared" si="11"/>
        <v>1703</v>
      </c>
      <c r="F74" s="1106">
        <f t="shared" si="3"/>
        <v>1.496</v>
      </c>
      <c r="G74" s="1106">
        <f t="shared" si="4"/>
        <v>1.496</v>
      </c>
      <c r="H74" s="1106">
        <f t="shared" si="5"/>
        <v>1.106</v>
      </c>
      <c r="I74" s="1106">
        <f t="shared" si="6"/>
        <v>2.215</v>
      </c>
      <c r="J74" s="1107">
        <f t="shared" si="7"/>
        <v>1</v>
      </c>
      <c r="K74" s="1107">
        <f t="shared" si="8"/>
        <v>1.00446</v>
      </c>
      <c r="L74" s="1107">
        <f t="shared" si="9"/>
        <v>1.0106</v>
      </c>
      <c r="M74" s="1107">
        <f t="shared" si="10"/>
        <v>1.1125</v>
      </c>
      <c r="N74" s="1106">
        <f t="array" ref="N74">LET(
totalShards, F$10,
AtMax, OR(F$3&lt;$B74,totalShards&lt;$E74),
primeShards, $E74,
PrimeMulti, F74,
AssPer, F$4,
AssLevel, IF(AtMax,1,index(optimizer[Level],XMATCH(totalShards-primeShards,optimizer[Total discounted cost],-1,2))),
AssMulti,IF(F$16="",1,index(optimizer[cannonAssist],XMATCH(AssLevel,optimizer[Level],-1,2))),
TooLow, OR(AssLevel&lt;$F$18,$B74&lt;$F$15),
IF(OR(AtMax,TooLow), 0, PrimeMulti * (AssMulti)))</f>
        <v>1.496</v>
      </c>
      <c r="O74" s="1106">
        <f t="array" ref="O74">LET(
totalShards, G$10,
AtMax, OR(G$3&lt;$B74,totalShards&lt;$E74),
primeShards, $E74,
PrimeMulti, G74,
AssPer, G$4,
AssLevel, IF(AtMax,1,index(optimizer[Level],XMATCH(totalShards-primeShards,optimizer[Total discounted cost],-1,2))),
AssMulti,IF(G$16="",1,index(optimizer[armorAssist],XMATCH(AssLevel,optimizer[Level],-1,2))),
TooLow, OR(AssLevel&lt;$G$18,$B74&lt;$G$15),
IF(OR(AtMax,TooLow), 0, PrimeMulti * (AssMulti)))</f>
        <v>1.6095464</v>
      </c>
      <c r="P74" s="1106">
        <f t="array" ref="P74">LET(
totalShards, H$10,
AtMax, OR(H$3&lt;$B74,totalShards&lt;$E74),
primeShards, $E74,
PrimeMulti, H74,
AssPer, H$4,
AssLevel, IF(AtMax,1,index(optimizer[Level],XMATCH(totalShards-primeShards,optimizer[Total discounted cost],-1,2))),
AssMulti,IF(H$16="",1,index(optimizer[generatorAssist],XMATCH(AssLevel,optimizer[Level],-1,2))),
TooLow, OR(AssLevel&lt;$H$18,$B74&lt;$H$15),
IF(OR(AtMax,TooLow), 0, PrimeMulti * (AssMulti)))</f>
        <v>1.183973</v>
      </c>
      <c r="Q74" s="1108">
        <f t="array" ref="Q74">LET(
totalShards, I$10,
AtMax, OR(I$3&lt;$B74,totalShards&lt;$E74),
primeShards, $E74,
PrimeMulti, I74,
AssPer, I$4,
AssLevel, IF(AtMax,1,index(optimizer[Level],XMATCH(totalShards-primeShards,optimizer[Total discounted cost],-1,2))),
AssMulti,IF(I$16="",1,index(optimizer[coreAssist],XMATCH(AssLevel,optimizer[Level],-1,2))),
TooLow, OR(AssLevel&lt;$I$18,$B74&lt;$I$15),
IF(OR(AtMax,TooLow), 0, PrimeMulti * (AssMulti)))</f>
        <v>4.6072</v>
      </c>
    </row>
    <row r="75" ht="22.5" hidden="1" customHeight="1" outlineLevel="1">
      <c r="A75" s="1097"/>
      <c r="B75" s="1109">
        <v>48.0</v>
      </c>
      <c r="C75" s="1110">
        <v>120.0</v>
      </c>
      <c r="D75" s="1110">
        <f t="shared" si="2"/>
        <v>84</v>
      </c>
      <c r="E75" s="1111">
        <f t="shared" si="11"/>
        <v>1787</v>
      </c>
      <c r="F75" s="1112">
        <f t="shared" si="3"/>
        <v>1.504</v>
      </c>
      <c r="G75" s="1112">
        <f t="shared" si="4"/>
        <v>1.504</v>
      </c>
      <c r="H75" s="1112">
        <f t="shared" si="5"/>
        <v>1.109</v>
      </c>
      <c r="I75" s="1112">
        <f t="shared" si="6"/>
        <v>2.242</v>
      </c>
      <c r="J75" s="1113">
        <f t="shared" si="7"/>
        <v>1</v>
      </c>
      <c r="K75" s="1107">
        <f t="shared" si="8"/>
        <v>1.00454</v>
      </c>
      <c r="L75" s="1107">
        <f t="shared" si="9"/>
        <v>1.0109</v>
      </c>
      <c r="M75" s="1107">
        <f t="shared" si="10"/>
        <v>1.115</v>
      </c>
      <c r="N75" s="1106">
        <f t="array" ref="N75">LET(
totalShards, F$10,
AtMax, OR(F$3&lt;$B75,totalShards&lt;$E75),
primeShards, $E75,
PrimeMulti, F75,
AssPer, F$4,
AssLevel, IF(AtMax,1,index(optimizer[Level],XMATCH(totalShards-primeShards,optimizer[Total discounted cost],-1,2))),
AssMulti,IF(F$16="",1,index(optimizer[cannonAssist],XMATCH(AssLevel,optimizer[Level],-1,2))),
TooLow, OR(AssLevel&lt;$F$18,$B75&lt;$F$15),
IF(OR(AtMax,TooLow), 0, PrimeMulti * (AssMulti)))</f>
        <v>1.504</v>
      </c>
      <c r="O75" s="1112">
        <f t="array" ref="O75">LET(
totalShards, G$10,
AtMax, OR(G$3&lt;$B75,totalShards&lt;$E75),
primeShards, $E75,
PrimeMulti, G75,
AssPer, G$4,
AssLevel, IF(AtMax,1,index(optimizer[Level],XMATCH(totalShards-primeShards,optimizer[Total discounted cost],-1,2))),
AssMulti,IF(G$16="",1,index(optimizer[armorAssist],XMATCH(AssLevel,optimizer[Level],-1,2))),
TooLow, OR(AssLevel&lt;$G$18,$B75&lt;$G$15),
IF(OR(AtMax,TooLow), 0, PrimeMulti * (AssMulti)))</f>
        <v>1.6181536</v>
      </c>
      <c r="P75" s="1112">
        <f t="array" ref="P75">LET(
totalShards, H$10,
AtMax, OR(H$3&lt;$B75,totalShards&lt;$E75),
primeShards, $E75,
PrimeMulti, H75,
AssPer, H$4,
AssLevel, IF(AtMax,1,index(optimizer[Level],XMATCH(totalShards-primeShards,optimizer[Total discounted cost],-1,2))),
AssMulti,IF(H$16="",1,index(optimizer[generatorAssist],XMATCH(AssLevel,optimizer[Level],-1,2))),
TooLow, OR(AssLevel&lt;$H$18,$B75&lt;$H$15),
IF(OR(AtMax,TooLow), 0, PrimeMulti * (AssMulti)))</f>
        <v>1.1871845</v>
      </c>
      <c r="Q75" s="1114">
        <f t="array" ref="Q75">LET(
totalShards, I$10,
AtMax, OR(I$3&lt;$B75,totalShards&lt;$E75),
primeShards, $E75,
PrimeMulti, I75,
AssPer, I$4,
AssLevel, IF(AtMax,1,index(optimizer[Level],XMATCH(totalShards-primeShards,optimizer[Total discounted cost],-1,2))),
AssMulti,IF(I$16="",1,index(optimizer[coreAssist],XMATCH(AssLevel,optimizer[Level],-1,2))),
TooLow, OR(AssLevel&lt;$I$18,$B75&lt;$I$15),
IF(OR(AtMax,TooLow), 0, PrimeMulti * (AssMulti)))</f>
        <v>4.66336</v>
      </c>
    </row>
    <row r="76" ht="22.5" hidden="1" customHeight="1" outlineLevel="1">
      <c r="A76" s="1097"/>
      <c r="B76" s="1103">
        <v>49.0</v>
      </c>
      <c r="C76" s="1104">
        <v>120.0</v>
      </c>
      <c r="D76" s="1104">
        <f t="shared" si="2"/>
        <v>84</v>
      </c>
      <c r="E76" s="1105">
        <f t="shared" si="11"/>
        <v>1871</v>
      </c>
      <c r="F76" s="1106">
        <f t="shared" si="3"/>
        <v>1.512</v>
      </c>
      <c r="G76" s="1106">
        <f t="shared" si="4"/>
        <v>1.512</v>
      </c>
      <c r="H76" s="1106">
        <f t="shared" si="5"/>
        <v>1.112</v>
      </c>
      <c r="I76" s="1106">
        <f t="shared" si="6"/>
        <v>2.269</v>
      </c>
      <c r="J76" s="1107">
        <f t="shared" si="7"/>
        <v>1</v>
      </c>
      <c r="K76" s="1107">
        <f t="shared" si="8"/>
        <v>1.00462</v>
      </c>
      <c r="L76" s="1107">
        <f t="shared" si="9"/>
        <v>1.0112</v>
      </c>
      <c r="M76" s="1107">
        <f t="shared" si="10"/>
        <v>1.1175</v>
      </c>
      <c r="N76" s="1106">
        <f t="array" ref="N76">LET(
totalShards, F$10,
AtMax, OR(F$3&lt;$B76,totalShards&lt;$E76),
primeShards, $E76,
PrimeMulti, F76,
AssPer, F$4,
AssLevel, IF(AtMax,1,index(optimizer[Level],XMATCH(totalShards-primeShards,optimizer[Total discounted cost],-1,2))),
AssMulti,IF(F$16="",1,index(optimizer[cannonAssist],XMATCH(AssLevel,optimizer[Level],-1,2))),
TooLow, OR(AssLevel&lt;$F$18,$B76&lt;$F$15),
IF(OR(AtMax,TooLow), 0, PrimeMulti * (AssMulti)))</f>
        <v>1.512</v>
      </c>
      <c r="O76" s="1106">
        <f t="array" ref="O76">LET(
totalShards, G$10,
AtMax, OR(G$3&lt;$B76,totalShards&lt;$E76),
primeShards, $E76,
PrimeMulti, G76,
AssPer, G$4,
AssLevel, IF(AtMax,1,index(optimizer[Level],XMATCH(totalShards-primeShards,optimizer[Total discounted cost],-1,2))),
AssMulti,IF(G$16="",1,index(optimizer[armorAssist],XMATCH(AssLevel,optimizer[Level],-1,2))),
TooLow, OR(AssLevel&lt;$G$18,$B76&lt;$G$15),
IF(OR(AtMax,TooLow), 0, PrimeMulti * (AssMulti)))</f>
        <v>1.6267608</v>
      </c>
      <c r="P76" s="1106">
        <f t="array" ref="P76">LET(
totalShards, H$10,
AtMax, OR(H$3&lt;$B76,totalShards&lt;$E76),
primeShards, $E76,
PrimeMulti, H76,
AssPer, H$4,
AssLevel, IF(AtMax,1,index(optimizer[Level],XMATCH(totalShards-primeShards,optimizer[Total discounted cost],-1,2))),
AssMulti,IF(H$16="",1,index(optimizer[generatorAssist],XMATCH(AssLevel,optimizer[Level],-1,2))),
TooLow, OR(AssLevel&lt;$H$18,$B76&lt;$H$15),
IF(OR(AtMax,TooLow), 0, PrimeMulti * (AssMulti)))</f>
        <v>1.190396</v>
      </c>
      <c r="Q76" s="1108">
        <f t="array" ref="Q76">LET(
totalShards, I$10,
AtMax, OR(I$3&lt;$B76,totalShards&lt;$E76),
primeShards, $E76,
PrimeMulti, I76,
AssPer, I$4,
AssLevel, IF(AtMax,1,index(optimizer[Level],XMATCH(totalShards-primeShards,optimizer[Total discounted cost],-1,2))),
AssMulti,IF(I$16="",1,index(optimizer[coreAssist],XMATCH(AssLevel,optimizer[Level],-1,2))),
TooLow, OR(AssLevel&lt;$I$18,$B76&lt;$I$15),
IF(OR(AtMax,TooLow), 0, PrimeMulti * (AssMulti)))</f>
        <v>4.71952</v>
      </c>
    </row>
    <row r="77" ht="22.5" hidden="1" customHeight="1" outlineLevel="1">
      <c r="A77" s="1097"/>
      <c r="B77" s="1109">
        <v>50.0</v>
      </c>
      <c r="C77" s="1110">
        <v>120.0</v>
      </c>
      <c r="D77" s="1110">
        <f t="shared" si="2"/>
        <v>84</v>
      </c>
      <c r="E77" s="1111">
        <f t="shared" si="11"/>
        <v>1955</v>
      </c>
      <c r="F77" s="1112">
        <f t="shared" si="3"/>
        <v>1.52</v>
      </c>
      <c r="G77" s="1112">
        <f t="shared" si="4"/>
        <v>1.52</v>
      </c>
      <c r="H77" s="1112">
        <f t="shared" si="5"/>
        <v>1.115</v>
      </c>
      <c r="I77" s="1112">
        <f t="shared" si="6"/>
        <v>2.296</v>
      </c>
      <c r="J77" s="1113">
        <f t="shared" si="7"/>
        <v>1</v>
      </c>
      <c r="K77" s="1107">
        <f t="shared" si="8"/>
        <v>1.0047</v>
      </c>
      <c r="L77" s="1107">
        <f t="shared" si="9"/>
        <v>1.0115</v>
      </c>
      <c r="M77" s="1107">
        <f t="shared" si="10"/>
        <v>1.12</v>
      </c>
      <c r="N77" s="1106">
        <f t="array" ref="N77">LET(
totalShards, F$10,
AtMax, OR(F$3&lt;$B77,totalShards&lt;$E77),
primeShards, $E77,
PrimeMulti, F77,
AssPer, F$4,
AssLevel, IF(AtMax,1,index(optimizer[Level],XMATCH(totalShards-primeShards,optimizer[Total discounted cost],-1,2))),
AssMulti,IF(F$16="",1,index(optimizer[cannonAssist],XMATCH(AssLevel,optimizer[Level],-1,2))),
TooLow, OR(AssLevel&lt;$F$18,$B77&lt;$F$15),
IF(OR(AtMax,TooLow), 0, PrimeMulti * (AssMulti)))</f>
        <v>1.52</v>
      </c>
      <c r="O77" s="1112">
        <f t="array" ref="O77">LET(
totalShards, G$10,
AtMax, OR(G$3&lt;$B77,totalShards&lt;$E77),
primeShards, $E77,
PrimeMulti, G77,
AssPer, G$4,
AssLevel, IF(AtMax,1,index(optimizer[Level],XMATCH(totalShards-primeShards,optimizer[Total discounted cost],-1,2))),
AssMulti,IF(G$16="",1,index(optimizer[armorAssist],XMATCH(AssLevel,optimizer[Level],-1,2))),
TooLow, OR(AssLevel&lt;$G$18,$B77&lt;$G$15),
IF(OR(AtMax,TooLow), 0, PrimeMulti * (AssMulti)))</f>
        <v>1.635368</v>
      </c>
      <c r="P77" s="1112">
        <f t="array" ref="P77">LET(
totalShards, H$10,
AtMax, OR(H$3&lt;$B77,totalShards&lt;$E77),
primeShards, $E77,
PrimeMulti, H77,
AssPer, H$4,
AssLevel, IF(AtMax,1,index(optimizer[Level],XMATCH(totalShards-primeShards,optimizer[Total discounted cost],-1,2))),
AssMulti,IF(H$16="",1,index(optimizer[generatorAssist],XMATCH(AssLevel,optimizer[Level],-1,2))),
TooLow, OR(AssLevel&lt;$H$18,$B77&lt;$H$15),
IF(OR(AtMax,TooLow), 0, PrimeMulti * (AssMulti)))</f>
        <v>1.1936075</v>
      </c>
      <c r="Q77" s="1114">
        <f t="array" ref="Q77">LET(
totalShards, I$10,
AtMax, OR(I$3&lt;$B77,totalShards&lt;$E77),
primeShards, $E77,
PrimeMulti, I77,
AssPer, I$4,
AssLevel, IF(AtMax,1,index(optimizer[Level],XMATCH(totalShards-primeShards,optimizer[Total discounted cost],-1,2))),
AssMulti,IF(I$16="",1,index(optimizer[coreAssist],XMATCH(AssLevel,optimizer[Level],-1,2))),
TooLow, OR(AssLevel&lt;$I$18,$B77&lt;$I$15),
IF(OR(AtMax,TooLow), 0, PrimeMulti * (AssMulti)))</f>
        <v>4.77568</v>
      </c>
    </row>
    <row r="78" ht="22.5" hidden="1" customHeight="1" outlineLevel="1">
      <c r="A78" s="1097"/>
      <c r="B78" s="1103">
        <v>51.0</v>
      </c>
      <c r="C78" s="1104">
        <v>180.0</v>
      </c>
      <c r="D78" s="1104">
        <f t="shared" si="2"/>
        <v>126</v>
      </c>
      <c r="E78" s="1105">
        <f t="shared" si="11"/>
        <v>2081</v>
      </c>
      <c r="F78" s="1106">
        <f t="shared" si="3"/>
        <v>1.528</v>
      </c>
      <c r="G78" s="1106">
        <f t="shared" si="4"/>
        <v>1.528</v>
      </c>
      <c r="H78" s="1106">
        <f t="shared" si="5"/>
        <v>1.118</v>
      </c>
      <c r="I78" s="1106">
        <f t="shared" si="6"/>
        <v>2.323</v>
      </c>
      <c r="J78" s="1107">
        <f t="shared" si="7"/>
        <v>1</v>
      </c>
      <c r="K78" s="1107">
        <f t="shared" si="8"/>
        <v>1.00478</v>
      </c>
      <c r="L78" s="1107">
        <f t="shared" si="9"/>
        <v>1.0118</v>
      </c>
      <c r="M78" s="1107">
        <f t="shared" si="10"/>
        <v>1.1225</v>
      </c>
      <c r="N78" s="1106">
        <f t="array" ref="N78">LET(
totalShards, F$10,
AtMax, OR(F$3&lt;$B78,totalShards&lt;$E78),
primeShards, $E78,
PrimeMulti, F78,
AssPer, F$4,
AssLevel, IF(AtMax,1,index(optimizer[Level],XMATCH(totalShards-primeShards,optimizer[Total discounted cost],-1,2))),
AssMulti,IF(F$16="",1,index(optimizer[cannonAssist],XMATCH(AssLevel,optimizer[Level],-1,2))),
TooLow, OR(AssLevel&lt;$F$18,$B78&lt;$F$15),
IF(OR(AtMax,TooLow), 0, PrimeMulti * (AssMulti)))</f>
        <v>1.528</v>
      </c>
      <c r="O78" s="1106">
        <f t="array" ref="O78">LET(
totalShards, G$10,
AtMax, OR(G$3&lt;$B78,totalShards&lt;$E78),
primeShards, $E78,
PrimeMulti, G78,
AssPer, G$4,
AssLevel, IF(AtMax,1,index(optimizer[Level],XMATCH(totalShards-primeShards,optimizer[Total discounted cost],-1,2))),
AssMulti,IF(G$16="",1,index(optimizer[armorAssist],XMATCH(AssLevel,optimizer[Level],-1,2))),
TooLow, OR(AssLevel&lt;$G$18,$B78&lt;$G$15),
IF(OR(AtMax,TooLow), 0, PrimeMulti * (AssMulti)))</f>
        <v>1.6439752</v>
      </c>
      <c r="P78" s="1106">
        <f t="array" ref="P78">LET(
totalShards, H$10,
AtMax, OR(H$3&lt;$B78,totalShards&lt;$E78),
primeShards, $E78,
PrimeMulti, H78,
AssPer, H$4,
AssLevel, IF(AtMax,1,index(optimizer[Level],XMATCH(totalShards-primeShards,optimizer[Total discounted cost],-1,2))),
AssMulti,IF(H$16="",1,index(optimizer[generatorAssist],XMATCH(AssLevel,optimizer[Level],-1,2))),
TooLow, OR(AssLevel&lt;$H$18,$B78&lt;$H$15),
IF(OR(AtMax,TooLow), 0, PrimeMulti * (AssMulti)))</f>
        <v>1.196819</v>
      </c>
      <c r="Q78" s="1108">
        <f t="array" ref="Q78">LET(
totalShards, I$10,
AtMax, OR(I$3&lt;$B78,totalShards&lt;$E78),
primeShards, $E78,
PrimeMulti, I78,
AssPer, I$4,
AssLevel, IF(AtMax,1,index(optimizer[Level],XMATCH(totalShards-primeShards,optimizer[Total discounted cost],-1,2))),
AssMulti,IF(I$16="",1,index(optimizer[coreAssist],XMATCH(AssLevel,optimizer[Level],-1,2))),
TooLow, OR(AssLevel&lt;$I$18,$B78&lt;$I$15),
IF(OR(AtMax,TooLow), 0, PrimeMulti * (AssMulti)))</f>
        <v>4.83184</v>
      </c>
    </row>
    <row r="79" ht="22.5" hidden="1" customHeight="1" outlineLevel="1">
      <c r="A79" s="1097"/>
      <c r="B79" s="1109">
        <v>52.0</v>
      </c>
      <c r="C79" s="1110">
        <v>180.0</v>
      </c>
      <c r="D79" s="1110">
        <f t="shared" si="2"/>
        <v>126</v>
      </c>
      <c r="E79" s="1111">
        <f t="shared" si="11"/>
        <v>2207</v>
      </c>
      <c r="F79" s="1112">
        <f t="shared" si="3"/>
        <v>1.536</v>
      </c>
      <c r="G79" s="1112">
        <f t="shared" si="4"/>
        <v>1.536</v>
      </c>
      <c r="H79" s="1112">
        <f t="shared" si="5"/>
        <v>1.121</v>
      </c>
      <c r="I79" s="1112">
        <f t="shared" si="6"/>
        <v>2.35</v>
      </c>
      <c r="J79" s="1113">
        <f t="shared" si="7"/>
        <v>1</v>
      </c>
      <c r="K79" s="1107">
        <f t="shared" si="8"/>
        <v>1.00486</v>
      </c>
      <c r="L79" s="1107">
        <f t="shared" si="9"/>
        <v>1.0121</v>
      </c>
      <c r="M79" s="1107">
        <f t="shared" si="10"/>
        <v>1.125</v>
      </c>
      <c r="N79" s="1106">
        <f t="array" ref="N79">LET(
totalShards, F$10,
AtMax, OR(F$3&lt;$B79,totalShards&lt;$E79),
primeShards, $E79,
PrimeMulti, F79,
AssPer, F$4,
AssLevel, IF(AtMax,1,index(optimizer[Level],XMATCH(totalShards-primeShards,optimizer[Total discounted cost],-1,2))),
AssMulti,IF(F$16="",1,index(optimizer[cannonAssist],XMATCH(AssLevel,optimizer[Level],-1,2))),
TooLow, OR(AssLevel&lt;$F$18,$B79&lt;$F$15),
IF(OR(AtMax,TooLow), 0, PrimeMulti * (AssMulti)))</f>
        <v>1.536</v>
      </c>
      <c r="O79" s="1112">
        <f t="array" ref="O79">LET(
totalShards, G$10,
AtMax, OR(G$3&lt;$B79,totalShards&lt;$E79),
primeShards, $E79,
PrimeMulti, G79,
AssPer, G$4,
AssLevel, IF(AtMax,1,index(optimizer[Level],XMATCH(totalShards-primeShards,optimizer[Total discounted cost],-1,2))),
AssMulti,IF(G$16="",1,index(optimizer[armorAssist],XMATCH(AssLevel,optimizer[Level],-1,2))),
TooLow, OR(AssLevel&lt;$G$18,$B79&lt;$G$15),
IF(OR(AtMax,TooLow), 0, PrimeMulti * (AssMulti)))</f>
        <v>1.6525824</v>
      </c>
      <c r="P79" s="1112">
        <f t="array" ref="P79">LET(
totalShards, H$10,
AtMax, OR(H$3&lt;$B79,totalShards&lt;$E79),
primeShards, $E79,
PrimeMulti, H79,
AssPer, H$4,
AssLevel, IF(AtMax,1,index(optimizer[Level],XMATCH(totalShards-primeShards,optimizer[Total discounted cost],-1,2))),
AssMulti,IF(H$16="",1,index(optimizer[generatorAssist],XMATCH(AssLevel,optimizer[Level],-1,2))),
TooLow, OR(AssLevel&lt;$H$18,$B79&lt;$H$15),
IF(OR(AtMax,TooLow), 0, PrimeMulti * (AssMulti)))</f>
        <v>1.2000305</v>
      </c>
      <c r="Q79" s="1114">
        <f t="array" ref="Q79">LET(
totalShards, I$10,
AtMax, OR(I$3&lt;$B79,totalShards&lt;$E79),
primeShards, $E79,
PrimeMulti, I79,
AssPer, I$4,
AssLevel, IF(AtMax,1,index(optimizer[Level],XMATCH(totalShards-primeShards,optimizer[Total discounted cost],-1,2))),
AssMulti,IF(I$16="",1,index(optimizer[coreAssist],XMATCH(AssLevel,optimizer[Level],-1,2))),
TooLow, OR(AssLevel&lt;$I$18,$B79&lt;$I$15),
IF(OR(AtMax,TooLow), 0, PrimeMulti * (AssMulti)))</f>
        <v>4.888</v>
      </c>
    </row>
    <row r="80" ht="22.5" hidden="1" customHeight="1" outlineLevel="1">
      <c r="A80" s="1097"/>
      <c r="B80" s="1103">
        <v>53.0</v>
      </c>
      <c r="C80" s="1104">
        <v>180.0</v>
      </c>
      <c r="D80" s="1104">
        <f t="shared" si="2"/>
        <v>126</v>
      </c>
      <c r="E80" s="1105">
        <f t="shared" si="11"/>
        <v>2333</v>
      </c>
      <c r="F80" s="1106">
        <f t="shared" si="3"/>
        <v>1.544</v>
      </c>
      <c r="G80" s="1106">
        <f t="shared" si="4"/>
        <v>1.544</v>
      </c>
      <c r="H80" s="1106">
        <f t="shared" si="5"/>
        <v>1.124</v>
      </c>
      <c r="I80" s="1106">
        <f t="shared" si="6"/>
        <v>2.377</v>
      </c>
      <c r="J80" s="1107">
        <f t="shared" si="7"/>
        <v>1</v>
      </c>
      <c r="K80" s="1107">
        <f t="shared" si="8"/>
        <v>1.00494</v>
      </c>
      <c r="L80" s="1107">
        <f t="shared" si="9"/>
        <v>1.0124</v>
      </c>
      <c r="M80" s="1107">
        <f t="shared" si="10"/>
        <v>1.1275</v>
      </c>
      <c r="N80" s="1106">
        <f t="array" ref="N80">LET(
totalShards, F$10,
AtMax, OR(F$3&lt;$B80,totalShards&lt;$E80),
primeShards, $E80,
PrimeMulti, F80,
AssPer, F$4,
AssLevel, IF(AtMax,1,index(optimizer[Level],XMATCH(totalShards-primeShards,optimizer[Total discounted cost],-1,2))),
AssMulti,IF(F$16="",1,index(optimizer[cannonAssist],XMATCH(AssLevel,optimizer[Level],-1,2))),
TooLow, OR(AssLevel&lt;$F$18,$B80&lt;$F$15),
IF(OR(AtMax,TooLow), 0, PrimeMulti * (AssMulti)))</f>
        <v>1.544</v>
      </c>
      <c r="O80" s="1106">
        <f t="array" ref="O80">LET(
totalShards, G$10,
AtMax, OR(G$3&lt;$B80,totalShards&lt;$E80),
primeShards, $E80,
PrimeMulti, G80,
AssPer, G$4,
AssLevel, IF(AtMax,1,index(optimizer[Level],XMATCH(totalShards-primeShards,optimizer[Total discounted cost],-1,2))),
AssMulti,IF(G$16="",1,index(optimizer[armorAssist],XMATCH(AssLevel,optimizer[Level],-1,2))),
TooLow, OR(AssLevel&lt;$G$18,$B80&lt;$G$15),
IF(OR(AtMax,TooLow), 0, PrimeMulti * (AssMulti)))</f>
        <v>1.6611896</v>
      </c>
      <c r="P80" s="1106">
        <f t="array" ref="P80">LET(
totalShards, H$10,
AtMax, OR(H$3&lt;$B80,totalShards&lt;$E80),
primeShards, $E80,
PrimeMulti, H80,
AssPer, H$4,
AssLevel, IF(AtMax,1,index(optimizer[Level],XMATCH(totalShards-primeShards,optimizer[Total discounted cost],-1,2))),
AssMulti,IF(H$16="",1,index(optimizer[generatorAssist],XMATCH(AssLevel,optimizer[Level],-1,2))),
TooLow, OR(AssLevel&lt;$H$18,$B80&lt;$H$15),
IF(OR(AtMax,TooLow), 0, PrimeMulti * (AssMulti)))</f>
        <v>1.203242</v>
      </c>
      <c r="Q80" s="1108">
        <f t="array" ref="Q80">LET(
totalShards, I$10,
AtMax, OR(I$3&lt;$B80,totalShards&lt;$E80),
primeShards, $E80,
PrimeMulti, I80,
AssPer, I$4,
AssLevel, IF(AtMax,1,index(optimizer[Level],XMATCH(totalShards-primeShards,optimizer[Total discounted cost],-1,2))),
AssMulti,IF(I$16="",1,index(optimizer[coreAssist],XMATCH(AssLevel,optimizer[Level],-1,2))),
TooLow, OR(AssLevel&lt;$I$18,$B80&lt;$I$15),
IF(OR(AtMax,TooLow), 0, PrimeMulti * (AssMulti)))</f>
        <v>4.94416</v>
      </c>
    </row>
    <row r="81" ht="22.5" hidden="1" customHeight="1" outlineLevel="1">
      <c r="A81" s="1097"/>
      <c r="B81" s="1109">
        <v>54.0</v>
      </c>
      <c r="C81" s="1110">
        <v>180.0</v>
      </c>
      <c r="D81" s="1110">
        <f t="shared" si="2"/>
        <v>126</v>
      </c>
      <c r="E81" s="1111">
        <f t="shared" si="11"/>
        <v>2459</v>
      </c>
      <c r="F81" s="1112">
        <f t="shared" si="3"/>
        <v>1.552</v>
      </c>
      <c r="G81" s="1112">
        <f t="shared" si="4"/>
        <v>1.552</v>
      </c>
      <c r="H81" s="1112">
        <f t="shared" si="5"/>
        <v>1.127</v>
      </c>
      <c r="I81" s="1112">
        <f t="shared" si="6"/>
        <v>2.404</v>
      </c>
      <c r="J81" s="1113">
        <f t="shared" si="7"/>
        <v>1</v>
      </c>
      <c r="K81" s="1107">
        <f t="shared" si="8"/>
        <v>1.00502</v>
      </c>
      <c r="L81" s="1107">
        <f t="shared" si="9"/>
        <v>1.0127</v>
      </c>
      <c r="M81" s="1107">
        <f t="shared" si="10"/>
        <v>1.13</v>
      </c>
      <c r="N81" s="1106">
        <f t="array" ref="N81">LET(
totalShards, F$10,
AtMax, OR(F$3&lt;$B81,totalShards&lt;$E81),
primeShards, $E81,
PrimeMulti, F81,
AssPer, F$4,
AssLevel, IF(AtMax,1,index(optimizer[Level],XMATCH(totalShards-primeShards,optimizer[Total discounted cost],-1,2))),
AssMulti,IF(F$16="",1,index(optimizer[cannonAssist],XMATCH(AssLevel,optimizer[Level],-1,2))),
TooLow, OR(AssLevel&lt;$F$18,$B81&lt;$F$15),
IF(OR(AtMax,TooLow), 0, PrimeMulti * (AssMulti)))</f>
        <v>1.552</v>
      </c>
      <c r="O81" s="1112">
        <f t="array" ref="O81">LET(
totalShards, G$10,
AtMax, OR(G$3&lt;$B81,totalShards&lt;$E81),
primeShards, $E81,
PrimeMulti, G81,
AssPer, G$4,
AssLevel, IF(AtMax,1,index(optimizer[Level],XMATCH(totalShards-primeShards,optimizer[Total discounted cost],-1,2))),
AssMulti,IF(G$16="",1,index(optimizer[armorAssist],XMATCH(AssLevel,optimizer[Level],-1,2))),
TooLow, OR(AssLevel&lt;$G$18,$B81&lt;$G$15),
IF(OR(AtMax,TooLow), 0, PrimeMulti * (AssMulti)))</f>
        <v>1.6697968</v>
      </c>
      <c r="P81" s="1112">
        <f t="array" ref="P81">LET(
totalShards, H$10,
AtMax, OR(H$3&lt;$B81,totalShards&lt;$E81),
primeShards, $E81,
PrimeMulti, H81,
AssPer, H$4,
AssLevel, IF(AtMax,1,index(optimizer[Level],XMATCH(totalShards-primeShards,optimizer[Total discounted cost],-1,2))),
AssMulti,IF(H$16="",1,index(optimizer[generatorAssist],XMATCH(AssLevel,optimizer[Level],-1,2))),
TooLow, OR(AssLevel&lt;$H$18,$B81&lt;$H$15),
IF(OR(AtMax,TooLow), 0, PrimeMulti * (AssMulti)))</f>
        <v>1.2064535</v>
      </c>
      <c r="Q81" s="1114">
        <f t="array" ref="Q81">LET(
totalShards, I$10,
AtMax, OR(I$3&lt;$B81,totalShards&lt;$E81),
primeShards, $E81,
PrimeMulti, I81,
AssPer, I$4,
AssLevel, IF(AtMax,1,index(optimizer[Level],XMATCH(totalShards-primeShards,optimizer[Total discounted cost],-1,2))),
AssMulti,IF(I$16="",1,index(optimizer[coreAssist],XMATCH(AssLevel,optimizer[Level],-1,2))),
TooLow, OR(AssLevel&lt;$I$18,$B81&lt;$I$15),
IF(OR(AtMax,TooLow), 0, PrimeMulti * (AssMulti)))</f>
        <v>5.00032</v>
      </c>
    </row>
    <row r="82" ht="22.5" hidden="1" customHeight="1" outlineLevel="1">
      <c r="A82" s="1097"/>
      <c r="B82" s="1103">
        <v>55.0</v>
      </c>
      <c r="C82" s="1104">
        <v>180.0</v>
      </c>
      <c r="D82" s="1104">
        <f t="shared" si="2"/>
        <v>126</v>
      </c>
      <c r="E82" s="1105">
        <f t="shared" si="11"/>
        <v>2585</v>
      </c>
      <c r="F82" s="1106">
        <f t="shared" si="3"/>
        <v>1.56</v>
      </c>
      <c r="G82" s="1106">
        <f t="shared" si="4"/>
        <v>1.56</v>
      </c>
      <c r="H82" s="1106">
        <f t="shared" si="5"/>
        <v>1.13</v>
      </c>
      <c r="I82" s="1106">
        <f t="shared" si="6"/>
        <v>2.431</v>
      </c>
      <c r="J82" s="1107">
        <f t="shared" si="7"/>
        <v>1</v>
      </c>
      <c r="K82" s="1107">
        <f t="shared" si="8"/>
        <v>1.0051</v>
      </c>
      <c r="L82" s="1107">
        <f t="shared" si="9"/>
        <v>1.013</v>
      </c>
      <c r="M82" s="1107">
        <f t="shared" si="10"/>
        <v>1.1325</v>
      </c>
      <c r="N82" s="1106">
        <f t="array" ref="N82">LET(
totalShards, F$10,
AtMax, OR(F$3&lt;$B82,totalShards&lt;$E82),
primeShards, $E82,
PrimeMulti, F82,
AssPer, F$4,
AssLevel, IF(AtMax,1,index(optimizer[Level],XMATCH(totalShards-primeShards,optimizer[Total discounted cost],-1,2))),
AssMulti,IF(F$16="",1,index(optimizer[cannonAssist],XMATCH(AssLevel,optimizer[Level],-1,2))),
TooLow, OR(AssLevel&lt;$F$18,$B82&lt;$F$15),
IF(OR(AtMax,TooLow), 0, PrimeMulti * (AssMulti)))</f>
        <v>1.56</v>
      </c>
      <c r="O82" s="1106">
        <f t="array" ref="O82">LET(
totalShards, G$10,
AtMax, OR(G$3&lt;$B82,totalShards&lt;$E82),
primeShards, $E82,
PrimeMulti, G82,
AssPer, G$4,
AssLevel, IF(AtMax,1,index(optimizer[Level],XMATCH(totalShards-primeShards,optimizer[Total discounted cost],-1,2))),
AssMulti,IF(G$16="",1,index(optimizer[armorAssist],XMATCH(AssLevel,optimizer[Level],-1,2))),
TooLow, OR(AssLevel&lt;$G$18,$B82&lt;$G$15),
IF(OR(AtMax,TooLow), 0, PrimeMulti * (AssMulti)))</f>
        <v>1.678404</v>
      </c>
      <c r="P82" s="1106">
        <f t="array" ref="P82">LET(
totalShards, H$10,
AtMax, OR(H$3&lt;$B82,totalShards&lt;$E82),
primeShards, $E82,
PrimeMulti, H82,
AssPer, H$4,
AssLevel, IF(AtMax,1,index(optimizer[Level],XMATCH(totalShards-primeShards,optimizer[Total discounted cost],-1,2))),
AssMulti,IF(H$16="",1,index(optimizer[generatorAssist],XMATCH(AssLevel,optimizer[Level],-1,2))),
TooLow, OR(AssLevel&lt;$H$18,$B82&lt;$H$15),
IF(OR(AtMax,TooLow), 0, PrimeMulti * (AssMulti)))</f>
        <v>1.209665</v>
      </c>
      <c r="Q82" s="1108">
        <f t="array" ref="Q82">LET(
totalShards, I$10,
AtMax, OR(I$3&lt;$B82,totalShards&lt;$E82),
primeShards, $E82,
PrimeMulti, I82,
AssPer, I$4,
AssLevel, IF(AtMax,1,index(optimizer[Level],XMATCH(totalShards-primeShards,optimizer[Total discounted cost],-1,2))),
AssMulti,IF(I$16="",1,index(optimizer[coreAssist],XMATCH(AssLevel,optimizer[Level],-1,2))),
TooLow, OR(AssLevel&lt;$I$18,$B82&lt;$I$15),
IF(OR(AtMax,TooLow), 0, PrimeMulti * (AssMulti)))</f>
        <v>5.05648</v>
      </c>
    </row>
    <row r="83" ht="22.5" hidden="1" customHeight="1" outlineLevel="1">
      <c r="A83" s="1097"/>
      <c r="B83" s="1109">
        <v>56.0</v>
      </c>
      <c r="C83" s="1110">
        <v>180.0</v>
      </c>
      <c r="D83" s="1110">
        <f t="shared" si="2"/>
        <v>126</v>
      </c>
      <c r="E83" s="1111">
        <f t="shared" si="11"/>
        <v>2711</v>
      </c>
      <c r="F83" s="1112">
        <f t="shared" si="3"/>
        <v>1.568</v>
      </c>
      <c r="G83" s="1112">
        <f t="shared" si="4"/>
        <v>1.568</v>
      </c>
      <c r="H83" s="1112">
        <f t="shared" si="5"/>
        <v>1.133</v>
      </c>
      <c r="I83" s="1112">
        <f t="shared" si="6"/>
        <v>2.458</v>
      </c>
      <c r="J83" s="1113">
        <f t="shared" si="7"/>
        <v>1</v>
      </c>
      <c r="K83" s="1107">
        <f t="shared" si="8"/>
        <v>1.00518</v>
      </c>
      <c r="L83" s="1107">
        <f t="shared" si="9"/>
        <v>1.0133</v>
      </c>
      <c r="M83" s="1107">
        <f t="shared" si="10"/>
        <v>1.135</v>
      </c>
      <c r="N83" s="1106">
        <f t="array" ref="N83">LET(
totalShards, F$10,
AtMax, OR(F$3&lt;$B83,totalShards&lt;$E83),
primeShards, $E83,
PrimeMulti, F83,
AssPer, F$4,
AssLevel, IF(AtMax,1,index(optimizer[Level],XMATCH(totalShards-primeShards,optimizer[Total discounted cost],-1,2))),
AssMulti,IF(F$16="",1,index(optimizer[cannonAssist],XMATCH(AssLevel,optimizer[Level],-1,2))),
TooLow, OR(AssLevel&lt;$F$18,$B83&lt;$F$15),
IF(OR(AtMax,TooLow), 0, PrimeMulti * (AssMulti)))</f>
        <v>1.568</v>
      </c>
      <c r="O83" s="1112">
        <f t="array" ref="O83">LET(
totalShards, G$10,
AtMax, OR(G$3&lt;$B83,totalShards&lt;$E83),
primeShards, $E83,
PrimeMulti, G83,
AssPer, G$4,
AssLevel, IF(AtMax,1,index(optimizer[Level],XMATCH(totalShards-primeShards,optimizer[Total discounted cost],-1,2))),
AssMulti,IF(G$16="",1,index(optimizer[armorAssist],XMATCH(AssLevel,optimizer[Level],-1,2))),
TooLow, OR(AssLevel&lt;$G$18,$B83&lt;$G$15),
IF(OR(AtMax,TooLow), 0, PrimeMulti * (AssMulti)))</f>
        <v>1.6870112</v>
      </c>
      <c r="P83" s="1112">
        <f t="array" ref="P83">LET(
totalShards, H$10,
AtMax, OR(H$3&lt;$B83,totalShards&lt;$E83),
primeShards, $E83,
PrimeMulti, H83,
AssPer, H$4,
AssLevel, IF(AtMax,1,index(optimizer[Level],XMATCH(totalShards-primeShards,optimizer[Total discounted cost],-1,2))),
AssMulti,IF(H$16="",1,index(optimizer[generatorAssist],XMATCH(AssLevel,optimizer[Level],-1,2))),
TooLow, OR(AssLevel&lt;$H$18,$B83&lt;$H$15),
IF(OR(AtMax,TooLow), 0, PrimeMulti * (AssMulti)))</f>
        <v>1.2128765</v>
      </c>
      <c r="Q83" s="1114">
        <f t="array" ref="Q83">LET(
totalShards, I$10,
AtMax, OR(I$3&lt;$B83,totalShards&lt;$E83),
primeShards, $E83,
PrimeMulti, I83,
AssPer, I$4,
AssLevel, IF(AtMax,1,index(optimizer[Level],XMATCH(totalShards-primeShards,optimizer[Total discounted cost],-1,2))),
AssMulti,IF(I$16="",1,index(optimizer[coreAssist],XMATCH(AssLevel,optimizer[Level],-1,2))),
TooLow, OR(AssLevel&lt;$I$18,$B83&lt;$I$15),
IF(OR(AtMax,TooLow), 0, PrimeMulti * (AssMulti)))</f>
        <v>5.11264</v>
      </c>
    </row>
    <row r="84" ht="22.5" hidden="1" customHeight="1" outlineLevel="1">
      <c r="A84" s="1097"/>
      <c r="B84" s="1103">
        <v>57.0</v>
      </c>
      <c r="C84" s="1104">
        <v>180.0</v>
      </c>
      <c r="D84" s="1104">
        <f t="shared" si="2"/>
        <v>126</v>
      </c>
      <c r="E84" s="1105">
        <f t="shared" si="11"/>
        <v>2837</v>
      </c>
      <c r="F84" s="1106">
        <f t="shared" si="3"/>
        <v>1.576</v>
      </c>
      <c r="G84" s="1106">
        <f t="shared" si="4"/>
        <v>1.576</v>
      </c>
      <c r="H84" s="1106">
        <f t="shared" si="5"/>
        <v>1.136</v>
      </c>
      <c r="I84" s="1106">
        <f t="shared" si="6"/>
        <v>2.485</v>
      </c>
      <c r="J84" s="1107">
        <f t="shared" si="7"/>
        <v>1</v>
      </c>
      <c r="K84" s="1107">
        <f t="shared" si="8"/>
        <v>1.00526</v>
      </c>
      <c r="L84" s="1107">
        <f t="shared" si="9"/>
        <v>1.0136</v>
      </c>
      <c r="M84" s="1107">
        <f t="shared" si="10"/>
        <v>1.1375</v>
      </c>
      <c r="N84" s="1106">
        <f t="array" ref="N84">LET(
totalShards, F$10,
AtMax, OR(F$3&lt;$B84,totalShards&lt;$E84),
primeShards, $E84,
PrimeMulti, F84,
AssPer, F$4,
AssLevel, IF(AtMax,1,index(optimizer[Level],XMATCH(totalShards-primeShards,optimizer[Total discounted cost],-1,2))),
AssMulti,IF(F$16="",1,index(optimizer[cannonAssist],XMATCH(AssLevel,optimizer[Level],-1,2))),
TooLow, OR(AssLevel&lt;$F$18,$B84&lt;$F$15),
IF(OR(AtMax,TooLow), 0, PrimeMulti * (AssMulti)))</f>
        <v>1.576</v>
      </c>
      <c r="O84" s="1106">
        <f t="array" ref="O84">LET(
totalShards, G$10,
AtMax, OR(G$3&lt;$B84,totalShards&lt;$E84),
primeShards, $E84,
PrimeMulti, G84,
AssPer, G$4,
AssLevel, IF(AtMax,1,index(optimizer[Level],XMATCH(totalShards-primeShards,optimizer[Total discounted cost],-1,2))),
AssMulti,IF(G$16="",1,index(optimizer[armorAssist],XMATCH(AssLevel,optimizer[Level],-1,2))),
TooLow, OR(AssLevel&lt;$G$18,$B84&lt;$G$15),
IF(OR(AtMax,TooLow), 0, PrimeMulti * (AssMulti)))</f>
        <v>1.6956184</v>
      </c>
      <c r="P84" s="1106">
        <f t="array" ref="P84">LET(
totalShards, H$10,
AtMax, OR(H$3&lt;$B84,totalShards&lt;$E84),
primeShards, $E84,
PrimeMulti, H84,
AssPer, H$4,
AssLevel, IF(AtMax,1,index(optimizer[Level],XMATCH(totalShards-primeShards,optimizer[Total discounted cost],-1,2))),
AssMulti,IF(H$16="",1,index(optimizer[generatorAssist],XMATCH(AssLevel,optimizer[Level],-1,2))),
TooLow, OR(AssLevel&lt;$H$18,$B84&lt;$H$15),
IF(OR(AtMax,TooLow), 0, PrimeMulti * (AssMulti)))</f>
        <v>1.216088</v>
      </c>
      <c r="Q84" s="1108">
        <f t="array" ref="Q84">LET(
totalShards, I$10,
AtMax, OR(I$3&lt;$B84,totalShards&lt;$E84),
primeShards, $E84,
PrimeMulti, I84,
AssPer, I$4,
AssLevel, IF(AtMax,1,index(optimizer[Level],XMATCH(totalShards-primeShards,optimizer[Total discounted cost],-1,2))),
AssMulti,IF(I$16="",1,index(optimizer[coreAssist],XMATCH(AssLevel,optimizer[Level],-1,2))),
TooLow, OR(AssLevel&lt;$I$18,$B84&lt;$I$15),
IF(OR(AtMax,TooLow), 0, PrimeMulti * (AssMulti)))</f>
        <v>5.1688</v>
      </c>
    </row>
    <row r="85" ht="22.5" hidden="1" customHeight="1" outlineLevel="1">
      <c r="A85" s="1097"/>
      <c r="B85" s="1109">
        <v>58.0</v>
      </c>
      <c r="C85" s="1110">
        <v>180.0</v>
      </c>
      <c r="D85" s="1110">
        <f t="shared" si="2"/>
        <v>126</v>
      </c>
      <c r="E85" s="1111">
        <f t="shared" si="11"/>
        <v>2963</v>
      </c>
      <c r="F85" s="1112">
        <f t="shared" si="3"/>
        <v>1.584</v>
      </c>
      <c r="G85" s="1112">
        <f t="shared" si="4"/>
        <v>1.584</v>
      </c>
      <c r="H85" s="1112">
        <f t="shared" si="5"/>
        <v>1.139</v>
      </c>
      <c r="I85" s="1112">
        <f t="shared" si="6"/>
        <v>2.512</v>
      </c>
      <c r="J85" s="1113">
        <f t="shared" si="7"/>
        <v>1</v>
      </c>
      <c r="K85" s="1107">
        <f t="shared" si="8"/>
        <v>1.00534</v>
      </c>
      <c r="L85" s="1107">
        <f t="shared" si="9"/>
        <v>1.0139</v>
      </c>
      <c r="M85" s="1107">
        <f t="shared" si="10"/>
        <v>1.14</v>
      </c>
      <c r="N85" s="1106">
        <f t="array" ref="N85">LET(
totalShards, F$10,
AtMax, OR(F$3&lt;$B85,totalShards&lt;$E85),
primeShards, $E85,
PrimeMulti, F85,
AssPer, F$4,
AssLevel, IF(AtMax,1,index(optimizer[Level],XMATCH(totalShards-primeShards,optimizer[Total discounted cost],-1,2))),
AssMulti,IF(F$16="",1,index(optimizer[cannonAssist],XMATCH(AssLevel,optimizer[Level],-1,2))),
TooLow, OR(AssLevel&lt;$F$18,$B85&lt;$F$15),
IF(OR(AtMax,TooLow), 0, PrimeMulti * (AssMulti)))</f>
        <v>1.584</v>
      </c>
      <c r="O85" s="1112">
        <f t="array" ref="O85">LET(
totalShards, G$10,
AtMax, OR(G$3&lt;$B85,totalShards&lt;$E85),
primeShards, $E85,
PrimeMulti, G85,
AssPer, G$4,
AssLevel, IF(AtMax,1,index(optimizer[Level],XMATCH(totalShards-primeShards,optimizer[Total discounted cost],-1,2))),
AssMulti,IF(G$16="",1,index(optimizer[armorAssist],XMATCH(AssLevel,optimizer[Level],-1,2))),
TooLow, OR(AssLevel&lt;$G$18,$B85&lt;$G$15),
IF(OR(AtMax,TooLow), 0, PrimeMulti * (AssMulti)))</f>
        <v>1.7042256</v>
      </c>
      <c r="P85" s="1112">
        <f t="array" ref="P85">LET(
totalShards, H$10,
AtMax, OR(H$3&lt;$B85,totalShards&lt;$E85),
primeShards, $E85,
PrimeMulti, H85,
AssPer, H$4,
AssLevel, IF(AtMax,1,index(optimizer[Level],XMATCH(totalShards-primeShards,optimizer[Total discounted cost],-1,2))),
AssMulti,IF(H$16="",1,index(optimizer[generatorAssist],XMATCH(AssLevel,optimizer[Level],-1,2))),
TooLow, OR(AssLevel&lt;$H$18,$B85&lt;$H$15),
IF(OR(AtMax,TooLow), 0, PrimeMulti * (AssMulti)))</f>
        <v>1.2192995</v>
      </c>
      <c r="Q85" s="1114">
        <f t="array" ref="Q85">LET(
totalShards, I$10,
AtMax, OR(I$3&lt;$B85,totalShards&lt;$E85),
primeShards, $E85,
PrimeMulti, I85,
AssPer, I$4,
AssLevel, IF(AtMax,1,index(optimizer[Level],XMATCH(totalShards-primeShards,optimizer[Total discounted cost],-1,2))),
AssMulti,IF(I$16="",1,index(optimizer[coreAssist],XMATCH(AssLevel,optimizer[Level],-1,2))),
TooLow, OR(AssLevel&lt;$I$18,$B85&lt;$I$15),
IF(OR(AtMax,TooLow), 0, PrimeMulti * (AssMulti)))</f>
        <v>5.16216</v>
      </c>
    </row>
    <row r="86" ht="22.5" hidden="1" customHeight="1" outlineLevel="1">
      <c r="A86" s="1097"/>
      <c r="B86" s="1103">
        <v>59.0</v>
      </c>
      <c r="C86" s="1104">
        <v>180.0</v>
      </c>
      <c r="D86" s="1104">
        <f t="shared" si="2"/>
        <v>126</v>
      </c>
      <c r="E86" s="1105">
        <f t="shared" si="11"/>
        <v>3089</v>
      </c>
      <c r="F86" s="1106">
        <f t="shared" si="3"/>
        <v>1.592</v>
      </c>
      <c r="G86" s="1106">
        <f t="shared" si="4"/>
        <v>1.592</v>
      </c>
      <c r="H86" s="1106">
        <f t="shared" si="5"/>
        <v>1.142</v>
      </c>
      <c r="I86" s="1106">
        <f t="shared" si="6"/>
        <v>2.539</v>
      </c>
      <c r="J86" s="1107">
        <f t="shared" si="7"/>
        <v>1</v>
      </c>
      <c r="K86" s="1107">
        <f t="shared" si="8"/>
        <v>1.00542</v>
      </c>
      <c r="L86" s="1107">
        <f t="shared" si="9"/>
        <v>1.0142</v>
      </c>
      <c r="M86" s="1107">
        <f t="shared" si="10"/>
        <v>1.1425</v>
      </c>
      <c r="N86" s="1106">
        <f t="array" ref="N86">LET(
totalShards, F$10,
AtMax, OR(F$3&lt;$B86,totalShards&lt;$E86),
primeShards, $E86,
PrimeMulti, F86,
AssPer, F$4,
AssLevel, IF(AtMax,1,index(optimizer[Level],XMATCH(totalShards-primeShards,optimizer[Total discounted cost],-1,2))),
AssMulti,IF(F$16="",1,index(optimizer[cannonAssist],XMATCH(AssLevel,optimizer[Level],-1,2))),
TooLow, OR(AssLevel&lt;$F$18,$B86&lt;$F$15),
IF(OR(AtMax,TooLow), 0, PrimeMulti * (AssMulti)))</f>
        <v>1.592</v>
      </c>
      <c r="O86" s="1106">
        <f t="array" ref="O86">LET(
totalShards, G$10,
AtMax, OR(G$3&lt;$B86,totalShards&lt;$E86),
primeShards, $E86,
PrimeMulti, G86,
AssPer, G$4,
AssLevel, IF(AtMax,1,index(optimizer[Level],XMATCH(totalShards-primeShards,optimizer[Total discounted cost],-1,2))),
AssMulti,IF(G$16="",1,index(optimizer[armorAssist],XMATCH(AssLevel,optimizer[Level],-1,2))),
TooLow, OR(AssLevel&lt;$G$18,$B86&lt;$G$15),
IF(OR(AtMax,TooLow), 0, PrimeMulti * (AssMulti)))</f>
        <v>1.7128328</v>
      </c>
      <c r="P86" s="1106">
        <f t="array" ref="P86">LET(
totalShards, H$10,
AtMax, OR(H$3&lt;$B86,totalShards&lt;$E86),
primeShards, $E86,
PrimeMulti, H86,
AssPer, H$4,
AssLevel, IF(AtMax,1,index(optimizer[Level],XMATCH(totalShards-primeShards,optimizer[Total discounted cost],-1,2))),
AssMulti,IF(H$16="",1,index(optimizer[generatorAssist],XMATCH(AssLevel,optimizer[Level],-1,2))),
TooLow, OR(AssLevel&lt;$H$18,$B86&lt;$H$15),
IF(OR(AtMax,TooLow), 0, PrimeMulti * (AssMulti)))</f>
        <v>1.222511</v>
      </c>
      <c r="Q86" s="1108">
        <f t="array" ref="Q86">LET(
totalShards, I$10,
AtMax, OR(I$3&lt;$B86,totalShards&lt;$E86),
primeShards, $E86,
PrimeMulti, I86,
AssPer, I$4,
AssLevel, IF(AtMax,1,index(optimizer[Level],XMATCH(totalShards-primeShards,optimizer[Total discounted cost],-1,2))),
AssMulti,IF(I$16="",1,index(optimizer[coreAssist],XMATCH(AssLevel,optimizer[Level],-1,2))),
TooLow, OR(AssLevel&lt;$I$18,$B86&lt;$I$15),
IF(OR(AtMax,TooLow), 0, PrimeMulti * (AssMulti)))</f>
        <v>5.217645</v>
      </c>
    </row>
    <row r="87" ht="22.5" hidden="1" customHeight="1" outlineLevel="1">
      <c r="A87" s="1097"/>
      <c r="B87" s="1109">
        <v>60.0</v>
      </c>
      <c r="C87" s="1110">
        <v>180.0</v>
      </c>
      <c r="D87" s="1110">
        <f t="shared" si="2"/>
        <v>126</v>
      </c>
      <c r="E87" s="1111">
        <f t="shared" si="11"/>
        <v>3215</v>
      </c>
      <c r="F87" s="1112">
        <f t="shared" si="3"/>
        <v>1.6</v>
      </c>
      <c r="G87" s="1112">
        <f t="shared" si="4"/>
        <v>1.6</v>
      </c>
      <c r="H87" s="1112">
        <f t="shared" si="5"/>
        <v>1.145</v>
      </c>
      <c r="I87" s="1112">
        <f t="shared" si="6"/>
        <v>2.566</v>
      </c>
      <c r="J87" s="1113">
        <f t="shared" si="7"/>
        <v>1</v>
      </c>
      <c r="K87" s="1107">
        <f t="shared" si="8"/>
        <v>1.0055</v>
      </c>
      <c r="L87" s="1107">
        <f t="shared" si="9"/>
        <v>1.0145</v>
      </c>
      <c r="M87" s="1107">
        <f t="shared" si="10"/>
        <v>1.145</v>
      </c>
      <c r="N87" s="1106">
        <f t="array" ref="N87">LET(
totalShards, F$10,
AtMax, OR(F$3&lt;$B87,totalShards&lt;$E87),
primeShards, $E87,
PrimeMulti, F87,
AssPer, F$4,
AssLevel, IF(AtMax,1,index(optimizer[Level],XMATCH(totalShards-primeShards,optimizer[Total discounted cost],-1,2))),
AssMulti,IF(F$16="",1,index(optimizer[cannonAssist],XMATCH(AssLevel,optimizer[Level],-1,2))),
TooLow, OR(AssLevel&lt;$F$18,$B87&lt;$F$15),
IF(OR(AtMax,TooLow), 0, PrimeMulti * (AssMulti)))</f>
        <v>1.6</v>
      </c>
      <c r="O87" s="1112">
        <f t="array" ref="O87">LET(
totalShards, G$10,
AtMax, OR(G$3&lt;$B87,totalShards&lt;$E87),
primeShards, $E87,
PrimeMulti, G87,
AssPer, G$4,
AssLevel, IF(AtMax,1,index(optimizer[Level],XMATCH(totalShards-primeShards,optimizer[Total discounted cost],-1,2))),
AssMulti,IF(G$16="",1,index(optimizer[armorAssist],XMATCH(AssLevel,optimizer[Level],-1,2))),
TooLow, OR(AssLevel&lt;$G$18,$B87&lt;$G$15),
IF(OR(AtMax,TooLow), 0, PrimeMulti * (AssMulti)))</f>
        <v>1.72144</v>
      </c>
      <c r="P87" s="1112">
        <f t="array" ref="P87">LET(
totalShards, H$10,
AtMax, OR(H$3&lt;$B87,totalShards&lt;$E87),
primeShards, $E87,
PrimeMulti, H87,
AssPer, H$4,
AssLevel, IF(AtMax,1,index(optimizer[Level],XMATCH(totalShards-primeShards,optimizer[Total discounted cost],-1,2))),
AssMulti,IF(H$16="",1,index(optimizer[generatorAssist],XMATCH(AssLevel,optimizer[Level],-1,2))),
TooLow, OR(AssLevel&lt;$H$18,$B87&lt;$H$15),
IF(OR(AtMax,TooLow), 0, PrimeMulti * (AssMulti)))</f>
        <v>1.2257225</v>
      </c>
      <c r="Q87" s="1114">
        <f t="array" ref="Q87">LET(
totalShards, I$10,
AtMax, OR(I$3&lt;$B87,totalShards&lt;$E87),
primeShards, $E87,
PrimeMulti, I87,
AssPer, I$4,
AssLevel, IF(AtMax,1,index(optimizer[Level],XMATCH(totalShards-primeShards,optimizer[Total discounted cost],-1,2))),
AssMulti,IF(I$16="",1,index(optimizer[coreAssist],XMATCH(AssLevel,optimizer[Level],-1,2))),
TooLow, OR(AssLevel&lt;$I$18,$B87&lt;$I$15),
IF(OR(AtMax,TooLow), 0, PrimeMulti * (AssMulti)))</f>
        <v>5.27313</v>
      </c>
    </row>
    <row r="88" ht="22.5" hidden="1" customHeight="1" outlineLevel="1">
      <c r="A88" s="1097"/>
      <c r="B88" s="1103">
        <v>61.0</v>
      </c>
      <c r="C88" s="1104">
        <v>250.0</v>
      </c>
      <c r="D88" s="1104">
        <f t="shared" si="2"/>
        <v>175</v>
      </c>
      <c r="E88" s="1105">
        <f t="shared" si="11"/>
        <v>3390</v>
      </c>
      <c r="F88" s="1106">
        <f t="shared" si="3"/>
        <v>1.612</v>
      </c>
      <c r="G88" s="1106">
        <f t="shared" si="4"/>
        <v>1.612</v>
      </c>
      <c r="H88" s="1106">
        <f t="shared" si="5"/>
        <v>1.148</v>
      </c>
      <c r="I88" s="1106">
        <f t="shared" si="6"/>
        <v>2.598</v>
      </c>
      <c r="J88" s="1107">
        <f t="shared" si="7"/>
        <v>1</v>
      </c>
      <c r="K88" s="1107">
        <f t="shared" si="8"/>
        <v>1.00562</v>
      </c>
      <c r="L88" s="1107">
        <f t="shared" si="9"/>
        <v>1.0148</v>
      </c>
      <c r="M88" s="1107">
        <f t="shared" si="10"/>
        <v>1.148</v>
      </c>
      <c r="N88" s="1106">
        <f t="array" ref="N88">LET(
totalShards, F$10,
AtMax, OR(F$3&lt;$B88,totalShards&lt;$E88),
primeShards, $E88,
PrimeMulti, F88,
AssPer, F$4,
AssLevel, IF(AtMax,1,index(optimizer[Level],XMATCH(totalShards-primeShards,optimizer[Total discounted cost],-1,2))),
AssMulti,IF(F$16="",1,index(optimizer[cannonAssist],XMATCH(AssLevel,optimizer[Level],-1,2))),
TooLow, OR(AssLevel&lt;$F$18,$B88&lt;$F$15),
IF(OR(AtMax,TooLow), 0, PrimeMulti * (AssMulti)))</f>
        <v>1.612</v>
      </c>
      <c r="O88" s="1106">
        <f t="array" ref="O88">LET(
totalShards, G$10,
AtMax, OR(G$3&lt;$B88,totalShards&lt;$E88),
primeShards, $E88,
PrimeMulti, G88,
AssPer, G$4,
AssLevel, IF(AtMax,1,index(optimizer[Level],XMATCH(totalShards-primeShards,optimizer[Total discounted cost],-1,2))),
AssMulti,IF(G$16="",1,index(optimizer[armorAssist],XMATCH(AssLevel,optimizer[Level],-1,2))),
TooLow, OR(AssLevel&lt;$G$18,$B88&lt;$G$15),
IF(OR(AtMax,TooLow), 0, PrimeMulti * (AssMulti)))</f>
        <v>1.7343508</v>
      </c>
      <c r="P88" s="1106">
        <f t="array" ref="P88">LET(
totalShards, H$10,
AtMax, OR(H$3&lt;$B88,totalShards&lt;$E88),
primeShards, $E88,
PrimeMulti, H88,
AssPer, H$4,
AssLevel, IF(AtMax,1,index(optimizer[Level],XMATCH(totalShards-primeShards,optimizer[Total discounted cost],-1,2))),
AssMulti,IF(H$16="",1,index(optimizer[generatorAssist],XMATCH(AssLevel,optimizer[Level],-1,2))),
TooLow, OR(AssLevel&lt;$H$18,$B88&lt;$H$15),
IF(OR(AtMax,TooLow), 0, PrimeMulti * (AssMulti)))</f>
        <v>1.227786</v>
      </c>
      <c r="Q88" s="1108">
        <f t="array" ref="Q88">LET(
totalShards, I$10,
AtMax, OR(I$3&lt;$B88,totalShards&lt;$E88),
primeShards, $E88,
PrimeMulti, I88,
AssPer, I$4,
AssLevel, IF(AtMax,1,index(optimizer[Level],XMATCH(totalShards-primeShards,optimizer[Total discounted cost],-1,2))),
AssMulti,IF(I$16="",1,index(optimizer[coreAssist],XMATCH(AssLevel,optimizer[Level],-1,2))),
TooLow, OR(AssLevel&lt;$I$18,$B88&lt;$I$15),
IF(OR(AtMax,TooLow), 0, PrimeMulti * (AssMulti)))</f>
        <v>5.33889</v>
      </c>
    </row>
    <row r="89" ht="22.5" hidden="1" customHeight="1" outlineLevel="1">
      <c r="A89" s="1097"/>
      <c r="B89" s="1109">
        <v>62.0</v>
      </c>
      <c r="C89" s="1110">
        <v>250.0</v>
      </c>
      <c r="D89" s="1110">
        <f t="shared" si="2"/>
        <v>175</v>
      </c>
      <c r="E89" s="1111">
        <f t="shared" si="11"/>
        <v>3565</v>
      </c>
      <c r="F89" s="1112">
        <f t="shared" si="3"/>
        <v>1.624</v>
      </c>
      <c r="G89" s="1112">
        <f t="shared" si="4"/>
        <v>1.624</v>
      </c>
      <c r="H89" s="1112">
        <f t="shared" si="5"/>
        <v>1.151</v>
      </c>
      <c r="I89" s="1112">
        <f t="shared" si="6"/>
        <v>2.631</v>
      </c>
      <c r="J89" s="1113">
        <f t="shared" si="7"/>
        <v>1</v>
      </c>
      <c r="K89" s="1107">
        <f t="shared" si="8"/>
        <v>1.00574</v>
      </c>
      <c r="L89" s="1107">
        <f t="shared" si="9"/>
        <v>1.0151</v>
      </c>
      <c r="M89" s="1107">
        <f t="shared" si="10"/>
        <v>1.151</v>
      </c>
      <c r="N89" s="1106">
        <f t="array" ref="N89">LET(
totalShards, F$10,
AtMax, OR(F$3&lt;$B89,totalShards&lt;$E89),
primeShards, $E89,
PrimeMulti, F89,
AssPer, F$4,
AssLevel, IF(AtMax,1,index(optimizer[Level],XMATCH(totalShards-primeShards,optimizer[Total discounted cost],-1,2))),
AssMulti,IF(F$16="",1,index(optimizer[cannonAssist],XMATCH(AssLevel,optimizer[Level],-1,2))),
TooLow, OR(AssLevel&lt;$F$18,$B89&lt;$F$15),
IF(OR(AtMax,TooLow), 0, PrimeMulti * (AssMulti)))</f>
        <v>1.624</v>
      </c>
      <c r="O89" s="1112">
        <f t="array" ref="O89">LET(
totalShards, G$10,
AtMax, OR(G$3&lt;$B89,totalShards&lt;$E89),
primeShards, $E89,
PrimeMulti, G89,
AssPer, G$4,
AssLevel, IF(AtMax,1,index(optimizer[Level],XMATCH(totalShards-primeShards,optimizer[Total discounted cost],-1,2))),
AssMulti,IF(G$16="",1,index(optimizer[armorAssist],XMATCH(AssLevel,optimizer[Level],-1,2))),
TooLow, OR(AssLevel&lt;$G$18,$B89&lt;$G$15),
IF(OR(AtMax,TooLow), 0, PrimeMulti * (AssMulti)))</f>
        <v>1.7472616</v>
      </c>
      <c r="P89" s="1112">
        <f t="array" ref="P89">LET(
totalShards, H$10,
AtMax, OR(H$3&lt;$B89,totalShards&lt;$E89),
primeShards, $E89,
PrimeMulti, H89,
AssPer, H$4,
AssLevel, IF(AtMax,1,index(optimizer[Level],XMATCH(totalShards-primeShards,optimizer[Total discounted cost],-1,2))),
AssMulti,IF(H$16="",1,index(optimizer[generatorAssist],XMATCH(AssLevel,optimizer[Level],-1,2))),
TooLow, OR(AssLevel&lt;$H$18,$B89&lt;$H$15),
IF(OR(AtMax,TooLow), 0, PrimeMulti * (AssMulti)))</f>
        <v>1.2309945</v>
      </c>
      <c r="Q89" s="1114">
        <f t="array" ref="Q89">LET(
totalShards, I$10,
AtMax, OR(I$3&lt;$B89,totalShards&lt;$E89),
primeShards, $E89,
PrimeMulti, I89,
AssPer, I$4,
AssLevel, IF(AtMax,1,index(optimizer[Level],XMATCH(totalShards-primeShards,optimizer[Total discounted cost],-1,2))),
AssMulti,IF(I$16="",1,index(optimizer[coreAssist],XMATCH(AssLevel,optimizer[Level],-1,2))),
TooLow, OR(AssLevel&lt;$I$18,$B89&lt;$I$15),
IF(OR(AtMax,TooLow), 0, PrimeMulti * (AssMulti)))</f>
        <v>5.406705</v>
      </c>
    </row>
    <row r="90" ht="22.5" hidden="1" customHeight="1" outlineLevel="1">
      <c r="A90" s="1097"/>
      <c r="B90" s="1103">
        <v>63.0</v>
      </c>
      <c r="C90" s="1104">
        <v>250.0</v>
      </c>
      <c r="D90" s="1104">
        <f t="shared" si="2"/>
        <v>175</v>
      </c>
      <c r="E90" s="1105">
        <f t="shared" si="11"/>
        <v>3740</v>
      </c>
      <c r="F90" s="1106">
        <f t="shared" si="3"/>
        <v>1.636</v>
      </c>
      <c r="G90" s="1106">
        <f t="shared" si="4"/>
        <v>1.636</v>
      </c>
      <c r="H90" s="1106">
        <f t="shared" si="5"/>
        <v>1.154</v>
      </c>
      <c r="I90" s="1106">
        <f t="shared" si="6"/>
        <v>2.663</v>
      </c>
      <c r="J90" s="1107">
        <f t="shared" si="7"/>
        <v>1</v>
      </c>
      <c r="K90" s="1107">
        <f t="shared" si="8"/>
        <v>1.00586</v>
      </c>
      <c r="L90" s="1107">
        <f t="shared" si="9"/>
        <v>1.0154</v>
      </c>
      <c r="M90" s="1107">
        <f t="shared" si="10"/>
        <v>1.154</v>
      </c>
      <c r="N90" s="1106">
        <f t="array" ref="N90">LET(
totalShards, F$10,
AtMax, OR(F$3&lt;$B90,totalShards&lt;$E90),
primeShards, $E90,
PrimeMulti, F90,
AssPer, F$4,
AssLevel, IF(AtMax,1,index(optimizer[Level],XMATCH(totalShards-primeShards,optimizer[Total discounted cost],-1,2))),
AssMulti,IF(F$16="",1,index(optimizer[cannonAssist],XMATCH(AssLevel,optimizer[Level],-1,2))),
TooLow, OR(AssLevel&lt;$F$18,$B90&lt;$F$15),
IF(OR(AtMax,TooLow), 0, PrimeMulti * (AssMulti)))</f>
        <v>1.636</v>
      </c>
      <c r="O90" s="1106">
        <f t="array" ref="O90">LET(
totalShards, G$10,
AtMax, OR(G$3&lt;$B90,totalShards&lt;$E90),
primeShards, $E90,
PrimeMulti, G90,
AssPer, G$4,
AssLevel, IF(AtMax,1,index(optimizer[Level],XMATCH(totalShards-primeShards,optimizer[Total discounted cost],-1,2))),
AssMulti,IF(G$16="",1,index(optimizer[armorAssist],XMATCH(AssLevel,optimizer[Level],-1,2))),
TooLow, OR(AssLevel&lt;$G$18,$B90&lt;$G$15),
IF(OR(AtMax,TooLow), 0, PrimeMulti * (AssMulti)))</f>
        <v>1.7601724</v>
      </c>
      <c r="P90" s="1106">
        <f t="array" ref="P90">LET(
totalShards, H$10,
AtMax, OR(H$3&lt;$B90,totalShards&lt;$E90),
primeShards, $E90,
PrimeMulti, H90,
AssPer, H$4,
AssLevel, IF(AtMax,1,index(optimizer[Level],XMATCH(totalShards-primeShards,optimizer[Total discounted cost],-1,2))),
AssMulti,IF(H$16="",1,index(optimizer[generatorAssist],XMATCH(AssLevel,optimizer[Level],-1,2))),
TooLow, OR(AssLevel&lt;$H$18,$B90&lt;$H$15),
IF(OR(AtMax,TooLow), 0, PrimeMulti * (AssMulti)))</f>
        <v>1.234203</v>
      </c>
      <c r="Q90" s="1108">
        <f t="array" ref="Q90">LET(
totalShards, I$10,
AtMax, OR(I$3&lt;$B90,totalShards&lt;$E90),
primeShards, $E90,
PrimeMulti, I90,
AssPer, I$4,
AssLevel, IF(AtMax,1,index(optimizer[Level],XMATCH(totalShards-primeShards,optimizer[Total discounted cost],-1,2))),
AssMulti,IF(I$16="",1,index(optimizer[coreAssist],XMATCH(AssLevel,optimizer[Level],-1,2))),
TooLow, OR(AssLevel&lt;$I$18,$B90&lt;$I$15),
IF(OR(AtMax,TooLow), 0, PrimeMulti * (AssMulti)))</f>
        <v>5.472465</v>
      </c>
    </row>
    <row r="91" ht="22.5" hidden="1" customHeight="1" outlineLevel="1">
      <c r="A91" s="1097"/>
      <c r="B91" s="1109">
        <v>64.0</v>
      </c>
      <c r="C91" s="1110">
        <v>250.0</v>
      </c>
      <c r="D91" s="1110">
        <f t="shared" si="2"/>
        <v>175</v>
      </c>
      <c r="E91" s="1111">
        <f t="shared" si="11"/>
        <v>3915</v>
      </c>
      <c r="F91" s="1112">
        <f t="shared" si="3"/>
        <v>1.648</v>
      </c>
      <c r="G91" s="1112">
        <f t="shared" si="4"/>
        <v>1.648</v>
      </c>
      <c r="H91" s="1112">
        <f t="shared" si="5"/>
        <v>1.157</v>
      </c>
      <c r="I91" s="1112">
        <f t="shared" si="6"/>
        <v>2.696</v>
      </c>
      <c r="J91" s="1113">
        <f t="shared" si="7"/>
        <v>1</v>
      </c>
      <c r="K91" s="1107">
        <f t="shared" si="8"/>
        <v>1.00598</v>
      </c>
      <c r="L91" s="1107">
        <f t="shared" si="9"/>
        <v>1.0157</v>
      </c>
      <c r="M91" s="1107">
        <f t="shared" si="10"/>
        <v>1.157</v>
      </c>
      <c r="N91" s="1106">
        <f t="array" ref="N91">LET(
totalShards, F$10,
AtMax, OR(F$3&lt;$B91,totalShards&lt;$E91),
primeShards, $E91,
PrimeMulti, F91,
AssPer, F$4,
AssLevel, IF(AtMax,1,index(optimizer[Level],XMATCH(totalShards-primeShards,optimizer[Total discounted cost],-1,2))),
AssMulti,IF(F$16="",1,index(optimizer[cannonAssist],XMATCH(AssLevel,optimizer[Level],-1,2))),
TooLow, OR(AssLevel&lt;$F$18,$B91&lt;$F$15),
IF(OR(AtMax,TooLow), 0, PrimeMulti * (AssMulti)))</f>
        <v>1.648</v>
      </c>
      <c r="O91" s="1112">
        <f t="array" ref="O91">LET(
totalShards, G$10,
AtMax, OR(G$3&lt;$B91,totalShards&lt;$E91),
primeShards, $E91,
PrimeMulti, G91,
AssPer, G$4,
AssLevel, IF(AtMax,1,index(optimizer[Level],XMATCH(totalShards-primeShards,optimizer[Total discounted cost],-1,2))),
AssMulti,IF(G$16="",1,index(optimizer[armorAssist],XMATCH(AssLevel,optimizer[Level],-1,2))),
TooLow, OR(AssLevel&lt;$G$18,$B91&lt;$G$15),
IF(OR(AtMax,TooLow), 0, PrimeMulti * (AssMulti)))</f>
        <v>1.7730832</v>
      </c>
      <c r="P91" s="1112">
        <f t="array" ref="P91">LET(
totalShards, H$10,
AtMax, OR(H$3&lt;$B91,totalShards&lt;$E91),
primeShards, $E91,
PrimeMulti, H91,
AssPer, H$4,
AssLevel, IF(AtMax,1,index(optimizer[Level],XMATCH(totalShards-primeShards,optimizer[Total discounted cost],-1,2))),
AssMulti,IF(H$16="",1,index(optimizer[generatorAssist],XMATCH(AssLevel,optimizer[Level],-1,2))),
TooLow, OR(AssLevel&lt;$H$18,$B91&lt;$H$15),
IF(OR(AtMax,TooLow), 0, PrimeMulti * (AssMulti)))</f>
        <v>1.2374115</v>
      </c>
      <c r="Q91" s="1114">
        <f t="array" ref="Q91">LET(
totalShards, I$10,
AtMax, OR(I$3&lt;$B91,totalShards&lt;$E91),
primeShards, $E91,
PrimeMulti, I91,
AssPer, I$4,
AssLevel, IF(AtMax,1,index(optimizer[Level],XMATCH(totalShards-primeShards,optimizer[Total discounted cost],-1,2))),
AssMulti,IF(I$16="",1,index(optimizer[coreAssist],XMATCH(AssLevel,optimizer[Level],-1,2))),
TooLow, OR(AssLevel&lt;$I$18,$B91&lt;$I$15),
IF(OR(AtMax,TooLow), 0, PrimeMulti * (AssMulti)))</f>
        <v>5.54028</v>
      </c>
    </row>
    <row r="92" ht="22.5" hidden="1" customHeight="1" outlineLevel="1">
      <c r="A92" s="1097"/>
      <c r="B92" s="1103">
        <v>65.0</v>
      </c>
      <c r="C92" s="1104">
        <v>250.0</v>
      </c>
      <c r="D92" s="1104">
        <f t="shared" si="2"/>
        <v>175</v>
      </c>
      <c r="E92" s="1105">
        <f t="shared" si="11"/>
        <v>4090</v>
      </c>
      <c r="F92" s="1106">
        <f t="shared" si="3"/>
        <v>1.66</v>
      </c>
      <c r="G92" s="1106">
        <f t="shared" si="4"/>
        <v>1.66</v>
      </c>
      <c r="H92" s="1106">
        <f t="shared" si="5"/>
        <v>1.16</v>
      </c>
      <c r="I92" s="1106">
        <f t="shared" si="6"/>
        <v>2.728</v>
      </c>
      <c r="J92" s="1107">
        <f t="shared" si="7"/>
        <v>1</v>
      </c>
      <c r="K92" s="1107">
        <f t="shared" si="8"/>
        <v>1.0061</v>
      </c>
      <c r="L92" s="1107">
        <f t="shared" si="9"/>
        <v>1.016</v>
      </c>
      <c r="M92" s="1107">
        <f t="shared" si="10"/>
        <v>1.16</v>
      </c>
      <c r="N92" s="1106">
        <f t="array" ref="N92">LET(
totalShards, F$10,
AtMax, OR(F$3&lt;$B92,totalShards&lt;$E92),
primeShards, $E92,
PrimeMulti, F92,
AssPer, F$4,
AssLevel, IF(AtMax,1,index(optimizer[Level],XMATCH(totalShards-primeShards,optimizer[Total discounted cost],-1,2))),
AssMulti,IF(F$16="",1,index(optimizer[cannonAssist],XMATCH(AssLevel,optimizer[Level],-1,2))),
TooLow, OR(AssLevel&lt;$F$18,$B92&lt;$F$15),
IF(OR(AtMax,TooLow), 0, PrimeMulti * (AssMulti)))</f>
        <v>1.66</v>
      </c>
      <c r="O92" s="1106">
        <f t="array" ref="O92">LET(
totalShards, G$10,
AtMax, OR(G$3&lt;$B92,totalShards&lt;$E92),
primeShards, $E92,
PrimeMulti, G92,
AssPer, G$4,
AssLevel, IF(AtMax,1,index(optimizer[Level],XMATCH(totalShards-primeShards,optimizer[Total discounted cost],-1,2))),
AssMulti,IF(G$16="",1,index(optimizer[armorAssist],XMATCH(AssLevel,optimizer[Level],-1,2))),
TooLow, OR(AssLevel&lt;$G$18,$B92&lt;$G$15),
IF(OR(AtMax,TooLow), 0, PrimeMulti * (AssMulti)))</f>
        <v>1.785994</v>
      </c>
      <c r="P92" s="1106">
        <f t="array" ref="P92">LET(
totalShards, H$10,
AtMax, OR(H$3&lt;$B92,totalShards&lt;$E92),
primeShards, $E92,
PrimeMulti, H92,
AssPer, H$4,
AssLevel, IF(AtMax,1,index(optimizer[Level],XMATCH(totalShards-primeShards,optimizer[Total discounted cost],-1,2))),
AssMulti,IF(H$16="",1,index(optimizer[generatorAssist],XMATCH(AssLevel,optimizer[Level],-1,2))),
TooLow, OR(AssLevel&lt;$H$18,$B92&lt;$H$15),
IF(OR(AtMax,TooLow), 0, PrimeMulti * (AssMulti)))</f>
        <v>1.24062</v>
      </c>
      <c r="Q92" s="1108">
        <f t="array" ref="Q92">LET(
totalShards, I$10,
AtMax, OR(I$3&lt;$B92,totalShards&lt;$E92),
primeShards, $E92,
PrimeMulti, I92,
AssPer, I$4,
AssLevel, IF(AtMax,1,index(optimizer[Level],XMATCH(totalShards-primeShards,optimizer[Total discounted cost],-1,2))),
AssMulti,IF(I$16="",1,index(optimizer[coreAssist],XMATCH(AssLevel,optimizer[Level],-1,2))),
TooLow, OR(AssLevel&lt;$I$18,$B92&lt;$I$15),
IF(OR(AtMax,TooLow), 0, PrimeMulti * (AssMulti)))</f>
        <v>5.60604</v>
      </c>
    </row>
    <row r="93" ht="22.5" hidden="1" customHeight="1" outlineLevel="1">
      <c r="A93" s="1097"/>
      <c r="B93" s="1109">
        <v>66.0</v>
      </c>
      <c r="C93" s="1110">
        <v>250.0</v>
      </c>
      <c r="D93" s="1110">
        <f t="shared" si="2"/>
        <v>175</v>
      </c>
      <c r="E93" s="1111">
        <f t="shared" si="11"/>
        <v>4265</v>
      </c>
      <c r="F93" s="1112">
        <f t="shared" si="3"/>
        <v>1.672</v>
      </c>
      <c r="G93" s="1112">
        <f t="shared" si="4"/>
        <v>1.672</v>
      </c>
      <c r="H93" s="1112">
        <f t="shared" si="5"/>
        <v>1.163</v>
      </c>
      <c r="I93" s="1112">
        <f t="shared" si="6"/>
        <v>2.76</v>
      </c>
      <c r="J93" s="1113">
        <f t="shared" si="7"/>
        <v>1</v>
      </c>
      <c r="K93" s="1107">
        <f t="shared" si="8"/>
        <v>1.00622</v>
      </c>
      <c r="L93" s="1107">
        <f t="shared" si="9"/>
        <v>1.0163</v>
      </c>
      <c r="M93" s="1107">
        <f t="shared" si="10"/>
        <v>1.163</v>
      </c>
      <c r="N93" s="1106">
        <f t="array" ref="N93">LET(
totalShards, F$10,
AtMax, OR(F$3&lt;$B93,totalShards&lt;$E93),
primeShards, $E93,
PrimeMulti, F93,
AssPer, F$4,
AssLevel, IF(AtMax,1,index(optimizer[Level],XMATCH(totalShards-primeShards,optimizer[Total discounted cost],-1,2))),
AssMulti,IF(F$16="",1,index(optimizer[cannonAssist],XMATCH(AssLevel,optimizer[Level],-1,2))),
TooLow, OR(AssLevel&lt;$F$18,$B93&lt;$F$15),
IF(OR(AtMax,TooLow), 0, PrimeMulti * (AssMulti)))</f>
        <v>1.672</v>
      </c>
      <c r="O93" s="1112">
        <f t="array" ref="O93">LET(
totalShards, G$10,
AtMax, OR(G$3&lt;$B93,totalShards&lt;$E93),
primeShards, $E93,
PrimeMulti, G93,
AssPer, G$4,
AssLevel, IF(AtMax,1,index(optimizer[Level],XMATCH(totalShards-primeShards,optimizer[Total discounted cost],-1,2))),
AssMulti,IF(G$16="",1,index(optimizer[armorAssist],XMATCH(AssLevel,optimizer[Level],-1,2))),
TooLow, OR(AssLevel&lt;$G$18,$B93&lt;$G$15),
IF(OR(AtMax,TooLow), 0, PrimeMulti * (AssMulti)))</f>
        <v>1.7989048</v>
      </c>
      <c r="P93" s="1112">
        <f t="array" ref="P93">LET(
totalShards, H$10,
AtMax, OR(H$3&lt;$B93,totalShards&lt;$E93),
primeShards, $E93,
PrimeMulti, H93,
AssPer, H$4,
AssLevel, IF(AtMax,1,index(optimizer[Level],XMATCH(totalShards-primeShards,optimizer[Total discounted cost],-1,2))),
AssMulti,IF(H$16="",1,index(optimizer[generatorAssist],XMATCH(AssLevel,optimizer[Level],-1,2))),
TooLow, OR(AssLevel&lt;$H$18,$B93&lt;$H$15),
IF(OR(AtMax,TooLow), 0, PrimeMulti * (AssMulti)))</f>
        <v>1.2438285</v>
      </c>
      <c r="Q93" s="1114">
        <f t="array" ref="Q93">LET(
totalShards, I$10,
AtMax, OR(I$3&lt;$B93,totalShards&lt;$E93),
primeShards, $E93,
PrimeMulti, I93,
AssPer, I$4,
AssLevel, IF(AtMax,1,index(optimizer[Level],XMATCH(totalShards-primeShards,optimizer[Total discounted cost],-1,2))),
AssMulti,IF(I$16="",1,index(optimizer[coreAssist],XMATCH(AssLevel,optimizer[Level],-1,2))),
TooLow, OR(AssLevel&lt;$I$18,$B93&lt;$I$15),
IF(OR(AtMax,TooLow), 0, PrimeMulti * (AssMulti)))</f>
        <v>5.6718</v>
      </c>
    </row>
    <row r="94" ht="22.5" hidden="1" customHeight="1" outlineLevel="1">
      <c r="A94" s="1097"/>
      <c r="B94" s="1103">
        <v>67.0</v>
      </c>
      <c r="C94" s="1104">
        <v>250.0</v>
      </c>
      <c r="D94" s="1104">
        <f t="shared" si="2"/>
        <v>175</v>
      </c>
      <c r="E94" s="1105">
        <f t="shared" si="11"/>
        <v>4440</v>
      </c>
      <c r="F94" s="1106">
        <f t="shared" si="3"/>
        <v>1.684</v>
      </c>
      <c r="G94" s="1106">
        <f t="shared" si="4"/>
        <v>1.684</v>
      </c>
      <c r="H94" s="1106">
        <f t="shared" si="5"/>
        <v>1.166</v>
      </c>
      <c r="I94" s="1106">
        <f t="shared" si="6"/>
        <v>2.793</v>
      </c>
      <c r="J94" s="1107">
        <f t="shared" si="7"/>
        <v>1</v>
      </c>
      <c r="K94" s="1107">
        <f t="shared" si="8"/>
        <v>1.00634</v>
      </c>
      <c r="L94" s="1107">
        <f t="shared" si="9"/>
        <v>1.0166</v>
      </c>
      <c r="M94" s="1107">
        <f t="shared" si="10"/>
        <v>1.166</v>
      </c>
      <c r="N94" s="1106">
        <f t="array" ref="N94">LET(
totalShards, F$10,
AtMax, OR(F$3&lt;$B94,totalShards&lt;$E94),
primeShards, $E94,
PrimeMulti, F94,
AssPer, F$4,
AssLevel, IF(AtMax,1,index(optimizer[Level],XMATCH(totalShards-primeShards,optimizer[Total discounted cost],-1,2))),
AssMulti,IF(F$16="",1,index(optimizer[cannonAssist],XMATCH(AssLevel,optimizer[Level],-1,2))),
TooLow, OR(AssLevel&lt;$F$18,$B94&lt;$F$15),
IF(OR(AtMax,TooLow), 0, PrimeMulti * (AssMulti)))</f>
        <v>1.684</v>
      </c>
      <c r="O94" s="1106">
        <f t="array" ref="O94">LET(
totalShards, G$10,
AtMax, OR(G$3&lt;$B94,totalShards&lt;$E94),
primeShards, $E94,
PrimeMulti, G94,
AssPer, G$4,
AssLevel, IF(AtMax,1,index(optimizer[Level],XMATCH(totalShards-primeShards,optimizer[Total discounted cost],-1,2))),
AssMulti,IF(G$16="",1,index(optimizer[armorAssist],XMATCH(AssLevel,optimizer[Level],-1,2))),
TooLow, OR(AssLevel&lt;$G$18,$B94&lt;$G$15),
IF(OR(AtMax,TooLow), 0, PrimeMulti * (AssMulti)))</f>
        <v>1.8118156</v>
      </c>
      <c r="P94" s="1106">
        <f t="array" ref="P94">LET(
totalShards, H$10,
AtMax, OR(H$3&lt;$B94,totalShards&lt;$E94),
primeShards, $E94,
PrimeMulti, H94,
AssPer, H$4,
AssLevel, IF(AtMax,1,index(optimizer[Level],XMATCH(totalShards-primeShards,optimizer[Total discounted cost],-1,2))),
AssMulti,IF(H$16="",1,index(optimizer[generatorAssist],XMATCH(AssLevel,optimizer[Level],-1,2))),
TooLow, OR(AssLevel&lt;$H$18,$B94&lt;$H$15),
IF(OR(AtMax,TooLow), 0, PrimeMulti * (AssMulti)))</f>
        <v>1.247037</v>
      </c>
      <c r="Q94" s="1108">
        <f t="array" ref="Q94">LET(
totalShards, I$10,
AtMax, OR(I$3&lt;$B94,totalShards&lt;$E94),
primeShards, $E94,
PrimeMulti, I94,
AssPer, I$4,
AssLevel, IF(AtMax,1,index(optimizer[Level],XMATCH(totalShards-primeShards,optimizer[Total discounted cost],-1,2))),
AssMulti,IF(I$16="",1,index(optimizer[coreAssist],XMATCH(AssLevel,optimizer[Level],-1,2))),
TooLow, OR(AssLevel&lt;$I$18,$B94&lt;$I$15),
IF(OR(AtMax,TooLow), 0, PrimeMulti * (AssMulti)))</f>
        <v>5.739615</v>
      </c>
    </row>
    <row r="95" ht="22.5" hidden="1" customHeight="1" outlineLevel="1">
      <c r="A95" s="1097"/>
      <c r="B95" s="1109">
        <v>68.0</v>
      </c>
      <c r="C95" s="1110">
        <v>250.0</v>
      </c>
      <c r="D95" s="1110">
        <f t="shared" si="2"/>
        <v>175</v>
      </c>
      <c r="E95" s="1111">
        <f t="shared" si="11"/>
        <v>4615</v>
      </c>
      <c r="F95" s="1112">
        <f t="shared" si="3"/>
        <v>1.696</v>
      </c>
      <c r="G95" s="1112">
        <f t="shared" si="4"/>
        <v>1.696</v>
      </c>
      <c r="H95" s="1112">
        <f t="shared" si="5"/>
        <v>1.169</v>
      </c>
      <c r="I95" s="1112">
        <f t="shared" si="6"/>
        <v>2.825</v>
      </c>
      <c r="J95" s="1113">
        <f t="shared" si="7"/>
        <v>1</v>
      </c>
      <c r="K95" s="1107">
        <f t="shared" si="8"/>
        <v>1.00646</v>
      </c>
      <c r="L95" s="1107">
        <f t="shared" si="9"/>
        <v>1.0169</v>
      </c>
      <c r="M95" s="1107">
        <f t="shared" si="10"/>
        <v>1.169</v>
      </c>
      <c r="N95" s="1106">
        <f t="array" ref="N95">LET(
totalShards, F$10,
AtMax, OR(F$3&lt;$B95,totalShards&lt;$E95),
primeShards, $E95,
PrimeMulti, F95,
AssPer, F$4,
AssLevel, IF(AtMax,1,index(optimizer[Level],XMATCH(totalShards-primeShards,optimizer[Total discounted cost],-1,2))),
AssMulti,IF(F$16="",1,index(optimizer[cannonAssist],XMATCH(AssLevel,optimizer[Level],-1,2))),
TooLow, OR(AssLevel&lt;$F$18,$B95&lt;$F$15),
IF(OR(AtMax,TooLow), 0, PrimeMulti * (AssMulti)))</f>
        <v>1.696</v>
      </c>
      <c r="O95" s="1112">
        <f t="array" ref="O95">LET(
totalShards, G$10,
AtMax, OR(G$3&lt;$B95,totalShards&lt;$E95),
primeShards, $E95,
PrimeMulti, G95,
AssPer, G$4,
AssLevel, IF(AtMax,1,index(optimizer[Level],XMATCH(totalShards-primeShards,optimizer[Total discounted cost],-1,2))),
AssMulti,IF(G$16="",1,index(optimizer[armorAssist],XMATCH(AssLevel,optimizer[Level],-1,2))),
TooLow, OR(AssLevel&lt;$G$18,$B95&lt;$G$15),
IF(OR(AtMax,TooLow), 0, PrimeMulti * (AssMulti)))</f>
        <v>1.8247264</v>
      </c>
      <c r="P95" s="1112">
        <f t="array" ref="P95">LET(
totalShards, H$10,
AtMax, OR(H$3&lt;$B95,totalShards&lt;$E95),
primeShards, $E95,
PrimeMulti, H95,
AssPer, H$4,
AssLevel, IF(AtMax,1,index(optimizer[Level],XMATCH(totalShards-primeShards,optimizer[Total discounted cost],-1,2))),
AssMulti,IF(H$16="",1,index(optimizer[generatorAssist],XMATCH(AssLevel,optimizer[Level],-1,2))),
TooLow, OR(AssLevel&lt;$H$18,$B95&lt;$H$15),
IF(OR(AtMax,TooLow), 0, PrimeMulti * (AssMulti)))</f>
        <v>1.2502455</v>
      </c>
      <c r="Q95" s="1114">
        <f t="array" ref="Q95">LET(
totalShards, I$10,
AtMax, OR(I$3&lt;$B95,totalShards&lt;$E95),
primeShards, $E95,
PrimeMulti, I95,
AssPer, I$4,
AssLevel, IF(AtMax,1,index(optimizer[Level],XMATCH(totalShards-primeShards,optimizer[Total discounted cost],-1,2))),
AssMulti,IF(I$16="",1,index(optimizer[coreAssist],XMATCH(AssLevel,optimizer[Level],-1,2))),
TooLow, OR(AssLevel&lt;$I$18,$B95&lt;$I$15),
IF(OR(AtMax,TooLow), 0, PrimeMulti * (AssMulti)))</f>
        <v>5.805375</v>
      </c>
    </row>
    <row r="96" ht="22.5" hidden="1" customHeight="1" outlineLevel="1">
      <c r="A96" s="1097"/>
      <c r="B96" s="1103">
        <v>69.0</v>
      </c>
      <c r="C96" s="1104">
        <v>250.0</v>
      </c>
      <c r="D96" s="1104">
        <f t="shared" si="2"/>
        <v>175</v>
      </c>
      <c r="E96" s="1105">
        <f t="shared" si="11"/>
        <v>4790</v>
      </c>
      <c r="F96" s="1106">
        <f t="shared" si="3"/>
        <v>1.708</v>
      </c>
      <c r="G96" s="1106">
        <f t="shared" si="4"/>
        <v>1.708</v>
      </c>
      <c r="H96" s="1106">
        <f t="shared" si="5"/>
        <v>1.172</v>
      </c>
      <c r="I96" s="1106">
        <f t="shared" si="6"/>
        <v>2.858</v>
      </c>
      <c r="J96" s="1107">
        <f t="shared" si="7"/>
        <v>1</v>
      </c>
      <c r="K96" s="1107">
        <f t="shared" si="8"/>
        <v>1.00658</v>
      </c>
      <c r="L96" s="1107">
        <f t="shared" si="9"/>
        <v>1.0172</v>
      </c>
      <c r="M96" s="1107">
        <f t="shared" si="10"/>
        <v>1.172</v>
      </c>
      <c r="N96" s="1106">
        <f t="array" ref="N96">LET(
totalShards, F$10,
AtMax, OR(F$3&lt;$B96,totalShards&lt;$E96),
primeShards, $E96,
PrimeMulti, F96,
AssPer, F$4,
AssLevel, IF(AtMax,1,index(optimizer[Level],XMATCH(totalShards-primeShards,optimizer[Total discounted cost],-1,2))),
AssMulti,IF(F$16="",1,index(optimizer[cannonAssist],XMATCH(AssLevel,optimizer[Level],-1,2))),
TooLow, OR(AssLevel&lt;$F$18,$B96&lt;$F$15),
IF(OR(AtMax,TooLow), 0, PrimeMulti * (AssMulti)))</f>
        <v>1.708</v>
      </c>
      <c r="O96" s="1106">
        <f t="array" ref="O96">LET(
totalShards, G$10,
AtMax, OR(G$3&lt;$B96,totalShards&lt;$E96),
primeShards, $E96,
PrimeMulti, G96,
AssPer, G$4,
AssLevel, IF(AtMax,1,index(optimizer[Level],XMATCH(totalShards-primeShards,optimizer[Total discounted cost],-1,2))),
AssMulti,IF(G$16="",1,index(optimizer[armorAssist],XMATCH(AssLevel,optimizer[Level],-1,2))),
TooLow, OR(AssLevel&lt;$G$18,$B96&lt;$G$15),
IF(OR(AtMax,TooLow), 0, PrimeMulti * (AssMulti)))</f>
        <v>1.8376372</v>
      </c>
      <c r="P96" s="1106">
        <f t="array" ref="P96">LET(
totalShards, H$10,
AtMax, OR(H$3&lt;$B96,totalShards&lt;$E96),
primeShards, $E96,
PrimeMulti, H96,
AssPer, H$4,
AssLevel, IF(AtMax,1,index(optimizer[Level],XMATCH(totalShards-primeShards,optimizer[Total discounted cost],-1,2))),
AssMulti,IF(H$16="",1,index(optimizer[generatorAssist],XMATCH(AssLevel,optimizer[Level],-1,2))),
TooLow, OR(AssLevel&lt;$H$18,$B96&lt;$H$15),
IF(OR(AtMax,TooLow), 0, PrimeMulti * (AssMulti)))</f>
        <v>1.253454</v>
      </c>
      <c r="Q96" s="1108">
        <f t="array" ref="Q96">LET(
totalShards, I$10,
AtMax, OR(I$3&lt;$B96,totalShards&lt;$E96),
primeShards, $E96,
PrimeMulti, I96,
AssPer, I$4,
AssLevel, IF(AtMax,1,index(optimizer[Level],XMATCH(totalShards-primeShards,optimizer[Total discounted cost],-1,2))),
AssMulti,IF(I$16="",1,index(optimizer[coreAssist],XMATCH(AssLevel,optimizer[Level],-1,2))),
TooLow, OR(AssLevel&lt;$I$18,$B96&lt;$I$15),
IF(OR(AtMax,TooLow), 0, PrimeMulti * (AssMulti)))</f>
        <v>5.87319</v>
      </c>
    </row>
    <row r="97" ht="22.5" hidden="1" customHeight="1" outlineLevel="1">
      <c r="A97" s="1097"/>
      <c r="B97" s="1109">
        <v>70.0</v>
      </c>
      <c r="C97" s="1110">
        <v>250.0</v>
      </c>
      <c r="D97" s="1110">
        <f t="shared" si="2"/>
        <v>175</v>
      </c>
      <c r="E97" s="1111">
        <f t="shared" si="11"/>
        <v>4965</v>
      </c>
      <c r="F97" s="1112">
        <f t="shared" si="3"/>
        <v>1.72</v>
      </c>
      <c r="G97" s="1112">
        <f t="shared" si="4"/>
        <v>1.72</v>
      </c>
      <c r="H97" s="1112">
        <f t="shared" si="5"/>
        <v>1.175</v>
      </c>
      <c r="I97" s="1112">
        <f t="shared" si="6"/>
        <v>2.89</v>
      </c>
      <c r="J97" s="1113">
        <f t="shared" si="7"/>
        <v>1</v>
      </c>
      <c r="K97" s="1107">
        <f t="shared" si="8"/>
        <v>1.0067</v>
      </c>
      <c r="L97" s="1107">
        <f t="shared" si="9"/>
        <v>1.0175</v>
      </c>
      <c r="M97" s="1107">
        <f t="shared" si="10"/>
        <v>1.175</v>
      </c>
      <c r="N97" s="1106">
        <f t="array" ref="N97">LET(
totalShards, F$10,
AtMax, OR(F$3&lt;$B97,totalShards&lt;$E97),
primeShards, $E97,
PrimeMulti, F97,
AssPer, F$4,
AssLevel, IF(AtMax,1,index(optimizer[Level],XMATCH(totalShards-primeShards,optimizer[Total discounted cost],-1,2))),
AssMulti,IF(F$16="",1,index(optimizer[cannonAssist],XMATCH(AssLevel,optimizer[Level],-1,2))),
TooLow, OR(AssLevel&lt;$F$18,$B97&lt;$F$15),
IF(OR(AtMax,TooLow), 0, PrimeMulti * (AssMulti)))</f>
        <v>1.72</v>
      </c>
      <c r="O97" s="1112">
        <f t="array" ref="O97">LET(
totalShards, G$10,
AtMax, OR(G$3&lt;$B97,totalShards&lt;$E97),
primeShards, $E97,
PrimeMulti, G97,
AssPer, G$4,
AssLevel, IF(AtMax,1,index(optimizer[Level],XMATCH(totalShards-primeShards,optimizer[Total discounted cost],-1,2))),
AssMulti,IF(G$16="",1,index(optimizer[armorAssist],XMATCH(AssLevel,optimizer[Level],-1,2))),
TooLow, OR(AssLevel&lt;$G$18,$B97&lt;$G$15),
IF(OR(AtMax,TooLow), 0, PrimeMulti * (AssMulti)))</f>
        <v>1.847108</v>
      </c>
      <c r="P97" s="1112">
        <f t="array" ref="P97">LET(
totalShards, H$10,
AtMax, OR(H$3&lt;$B97,totalShards&lt;$E97),
primeShards, $E97,
PrimeMulti, H97,
AssPer, H$4,
AssLevel, IF(AtMax,1,index(optimizer[Level],XMATCH(totalShards-primeShards,optimizer[Total discounted cost],-1,2))),
AssMulti,IF(H$16="",1,index(optimizer[generatorAssist],XMATCH(AssLevel,optimizer[Level],-1,2))),
TooLow, OR(AssLevel&lt;$H$18,$B97&lt;$H$15),
IF(OR(AtMax,TooLow), 0, PrimeMulti * (AssMulti)))</f>
        <v>1.2566625</v>
      </c>
      <c r="Q97" s="1114">
        <f t="array" ref="Q97">LET(
totalShards, I$10,
AtMax, OR(I$3&lt;$B97,totalShards&lt;$E97),
primeShards, $E97,
PrimeMulti, I97,
AssPer, I$4,
AssLevel, IF(AtMax,1,index(optimizer[Level],XMATCH(totalShards-primeShards,optimizer[Total discounted cost],-1,2))),
AssMulti,IF(I$16="",1,index(optimizer[coreAssist],XMATCH(AssLevel,optimizer[Level],-1,2))),
TooLow, OR(AssLevel&lt;$I$18,$B97&lt;$I$15),
IF(OR(AtMax,TooLow), 0, PrimeMulti * (AssMulti)))</f>
        <v>5.93895</v>
      </c>
    </row>
    <row r="98" ht="22.5" hidden="1" customHeight="1" outlineLevel="1">
      <c r="A98" s="1097"/>
      <c r="B98" s="1103">
        <v>71.0</v>
      </c>
      <c r="C98" s="1104">
        <v>350.0</v>
      </c>
      <c r="D98" s="1104">
        <f t="shared" si="2"/>
        <v>245</v>
      </c>
      <c r="E98" s="1105">
        <f t="shared" si="11"/>
        <v>5210</v>
      </c>
      <c r="F98" s="1106">
        <f t="shared" si="3"/>
        <v>1.732</v>
      </c>
      <c r="G98" s="1106">
        <f t="shared" si="4"/>
        <v>1.732</v>
      </c>
      <c r="H98" s="1106">
        <f t="shared" si="5"/>
        <v>1.178</v>
      </c>
      <c r="I98" s="1106">
        <f t="shared" si="6"/>
        <v>2.922</v>
      </c>
      <c r="J98" s="1107">
        <f t="shared" si="7"/>
        <v>1</v>
      </c>
      <c r="K98" s="1107">
        <f t="shared" si="8"/>
        <v>1.00682</v>
      </c>
      <c r="L98" s="1107">
        <f t="shared" si="9"/>
        <v>1.0178</v>
      </c>
      <c r="M98" s="1107">
        <f t="shared" si="10"/>
        <v>1.178</v>
      </c>
      <c r="N98" s="1106">
        <f t="array" ref="N98">LET(
totalShards, F$10,
AtMax, OR(F$3&lt;$B98,totalShards&lt;$E98),
primeShards, $E98,
PrimeMulti, F98,
AssPer, F$4,
AssLevel, IF(AtMax,1,index(optimizer[Level],XMATCH(totalShards-primeShards,optimizer[Total discounted cost],-1,2))),
AssMulti,IF(F$16="",1,index(optimizer[cannonAssist],XMATCH(AssLevel,optimizer[Level],-1,2))),
TooLow, OR(AssLevel&lt;$F$18,$B98&lt;$F$15),
IF(OR(AtMax,TooLow), 0, PrimeMulti * (AssMulti)))</f>
        <v>1.732</v>
      </c>
      <c r="O98" s="1106">
        <f t="array" ref="O98">LET(
totalShards, G$10,
AtMax, OR(G$3&lt;$B98,totalShards&lt;$E98),
primeShards, $E98,
PrimeMulti, G98,
AssPer, G$4,
AssLevel, IF(AtMax,1,index(optimizer[Level],XMATCH(totalShards-primeShards,optimizer[Total discounted cost],-1,2))),
AssMulti,IF(G$16="",1,index(optimizer[armorAssist],XMATCH(AssLevel,optimizer[Level],-1,2))),
TooLow, OR(AssLevel&lt;$G$18,$B98&lt;$G$15),
IF(OR(AtMax,TooLow), 0, PrimeMulti * (AssMulti)))</f>
        <v>1.8599948</v>
      </c>
      <c r="P98" s="1106">
        <f t="array" ref="P98">LET(
totalShards, H$10,
AtMax, OR(H$3&lt;$B98,totalShards&lt;$E98),
primeShards, $E98,
PrimeMulti, H98,
AssPer, H$4,
AssLevel, IF(AtMax,1,index(optimizer[Level],XMATCH(totalShards-primeShards,optimizer[Total discounted cost],-1,2))),
AssMulti,IF(H$16="",1,index(optimizer[generatorAssist],XMATCH(AssLevel,optimizer[Level],-1,2))),
TooLow, OR(AssLevel&lt;$H$18,$B98&lt;$H$15),
IF(OR(AtMax,TooLow), 0, PrimeMulti * (AssMulti)))</f>
        <v>1.259871</v>
      </c>
      <c r="Q98" s="1108">
        <f t="array" ref="Q98">LET(
totalShards, I$10,
AtMax, OR(I$3&lt;$B98,totalShards&lt;$E98),
primeShards, $E98,
PrimeMulti, I98,
AssPer, I$4,
AssLevel, IF(AtMax,1,index(optimizer[Level],XMATCH(totalShards-primeShards,optimizer[Total discounted cost],-1,2))),
AssMulti,IF(I$16="",1,index(optimizer[coreAssist],XMATCH(AssLevel,optimizer[Level],-1,2))),
TooLow, OR(AssLevel&lt;$I$18,$B98&lt;$I$15),
IF(OR(AtMax,TooLow), 0, PrimeMulti * (AssMulti)))</f>
        <v>6.00471</v>
      </c>
    </row>
    <row r="99" ht="22.5" hidden="1" customHeight="1" outlineLevel="1">
      <c r="A99" s="1097"/>
      <c r="B99" s="1109">
        <v>72.0</v>
      </c>
      <c r="C99" s="1110">
        <v>350.0</v>
      </c>
      <c r="D99" s="1110">
        <f t="shared" si="2"/>
        <v>245</v>
      </c>
      <c r="E99" s="1111">
        <f t="shared" si="11"/>
        <v>5455</v>
      </c>
      <c r="F99" s="1112">
        <f t="shared" si="3"/>
        <v>1.744</v>
      </c>
      <c r="G99" s="1112">
        <f t="shared" si="4"/>
        <v>1.744</v>
      </c>
      <c r="H99" s="1112">
        <f t="shared" si="5"/>
        <v>1.181</v>
      </c>
      <c r="I99" s="1112">
        <f t="shared" si="6"/>
        <v>2.955</v>
      </c>
      <c r="J99" s="1113">
        <f t="shared" si="7"/>
        <v>1</v>
      </c>
      <c r="K99" s="1107">
        <f t="shared" si="8"/>
        <v>1.00694</v>
      </c>
      <c r="L99" s="1107">
        <f t="shared" si="9"/>
        <v>1.0181</v>
      </c>
      <c r="M99" s="1107">
        <f t="shared" si="10"/>
        <v>1.181</v>
      </c>
      <c r="N99" s="1106">
        <f t="array" ref="N99">LET(
totalShards, F$10,
AtMax, OR(F$3&lt;$B99,totalShards&lt;$E99),
primeShards, $E99,
PrimeMulti, F99,
AssPer, F$4,
AssLevel, IF(AtMax,1,index(optimizer[Level],XMATCH(totalShards-primeShards,optimizer[Total discounted cost],-1,2))),
AssMulti,IF(F$16="",1,index(optimizer[cannonAssist],XMATCH(AssLevel,optimizer[Level],-1,2))),
TooLow, OR(AssLevel&lt;$F$18,$B99&lt;$F$15),
IF(OR(AtMax,TooLow), 0, PrimeMulti * (AssMulti)))</f>
        <v>1.744</v>
      </c>
      <c r="O99" s="1112">
        <f t="array" ref="O99">LET(
totalShards, G$10,
AtMax, OR(G$3&lt;$B99,totalShards&lt;$E99),
primeShards, $E99,
PrimeMulti, G99,
AssPer, G$4,
AssLevel, IF(AtMax,1,index(optimizer[Level],XMATCH(totalShards-primeShards,optimizer[Total discounted cost],-1,2))),
AssMulti,IF(G$16="",1,index(optimizer[armorAssist],XMATCH(AssLevel,optimizer[Level],-1,2))),
TooLow, OR(AssLevel&lt;$G$18,$B99&lt;$G$15),
IF(OR(AtMax,TooLow), 0, PrimeMulti * (AssMulti)))</f>
        <v>1.8728816</v>
      </c>
      <c r="P99" s="1112">
        <f t="array" ref="P99">LET(
totalShards, H$10,
AtMax, OR(H$3&lt;$B99,totalShards&lt;$E99),
primeShards, $E99,
PrimeMulti, H99,
AssPer, H$4,
AssLevel, IF(AtMax,1,index(optimizer[Level],XMATCH(totalShards-primeShards,optimizer[Total discounted cost],-1,2))),
AssMulti,IF(H$16="",1,index(optimizer[generatorAssist],XMATCH(AssLevel,optimizer[Level],-1,2))),
TooLow, OR(AssLevel&lt;$H$18,$B99&lt;$H$15),
IF(OR(AtMax,TooLow), 0, PrimeMulti * (AssMulti)))</f>
        <v>1.2630795</v>
      </c>
      <c r="Q99" s="1114">
        <f t="array" ref="Q99">LET(
totalShards, I$10,
AtMax, OR(I$3&lt;$B99,totalShards&lt;$E99),
primeShards, $E99,
PrimeMulti, I99,
AssPer, I$4,
AssLevel, IF(AtMax,1,index(optimizer[Level],XMATCH(totalShards-primeShards,optimizer[Total discounted cost],-1,2))),
AssMulti,IF(I$16="",1,index(optimizer[coreAssist],XMATCH(AssLevel,optimizer[Level],-1,2))),
TooLow, OR(AssLevel&lt;$I$18,$B99&lt;$I$15),
IF(OR(AtMax,TooLow), 0, PrimeMulti * (AssMulti)))</f>
        <v>6.072525</v>
      </c>
    </row>
    <row r="100" ht="22.5" hidden="1" customHeight="1" outlineLevel="1">
      <c r="A100" s="1097"/>
      <c r="B100" s="1103">
        <v>73.0</v>
      </c>
      <c r="C100" s="1104">
        <v>350.0</v>
      </c>
      <c r="D100" s="1104">
        <f t="shared" si="2"/>
        <v>245</v>
      </c>
      <c r="E100" s="1105">
        <f t="shared" si="11"/>
        <v>5700</v>
      </c>
      <c r="F100" s="1106">
        <f t="shared" si="3"/>
        <v>1.756</v>
      </c>
      <c r="G100" s="1106">
        <f t="shared" si="4"/>
        <v>1.756</v>
      </c>
      <c r="H100" s="1106">
        <f t="shared" si="5"/>
        <v>1.184</v>
      </c>
      <c r="I100" s="1106">
        <f t="shared" si="6"/>
        <v>2.987</v>
      </c>
      <c r="J100" s="1107">
        <f t="shared" si="7"/>
        <v>1</v>
      </c>
      <c r="K100" s="1107">
        <f t="shared" si="8"/>
        <v>1.00706</v>
      </c>
      <c r="L100" s="1107">
        <f t="shared" si="9"/>
        <v>1.0184</v>
      </c>
      <c r="M100" s="1107">
        <f t="shared" si="10"/>
        <v>1.184</v>
      </c>
      <c r="N100" s="1106">
        <f t="array" ref="N100">LET(
totalShards, F$10,
AtMax, OR(F$3&lt;$B100,totalShards&lt;$E100),
primeShards, $E100,
PrimeMulti, F100,
AssPer, F$4,
AssLevel, IF(AtMax,1,index(optimizer[Level],XMATCH(totalShards-primeShards,optimizer[Total discounted cost],-1,2))),
AssMulti,IF(F$16="",1,index(optimizer[cannonAssist],XMATCH(AssLevel,optimizer[Level],-1,2))),
TooLow, OR(AssLevel&lt;$F$18,$B100&lt;$F$15),
IF(OR(AtMax,TooLow), 0, PrimeMulti * (AssMulti)))</f>
        <v>1.756</v>
      </c>
      <c r="O100" s="1106">
        <f t="array" ref="O100">LET(
totalShards, G$10,
AtMax, OR(G$3&lt;$B100,totalShards&lt;$E100),
primeShards, $E100,
PrimeMulti, G100,
AssPer, G$4,
AssLevel, IF(AtMax,1,index(optimizer[Level],XMATCH(totalShards-primeShards,optimizer[Total discounted cost],-1,2))),
AssMulti,IF(G$16="",1,index(optimizer[armorAssist],XMATCH(AssLevel,optimizer[Level],-1,2))),
TooLow, OR(AssLevel&lt;$G$18,$B100&lt;$G$15),
IF(OR(AtMax,TooLow), 0, PrimeMulti * (AssMulti)))</f>
        <v>1.8857684</v>
      </c>
      <c r="P100" s="1106">
        <f t="array" ref="P100">LET(
totalShards, H$10,
AtMax, OR(H$3&lt;$B100,totalShards&lt;$E100),
primeShards, $E100,
PrimeMulti, H100,
AssPer, H$4,
AssLevel, IF(AtMax,1,index(optimizer[Level],XMATCH(totalShards-primeShards,optimizer[Total discounted cost],-1,2))),
AssMulti,IF(H$16="",1,index(optimizer[generatorAssist],XMATCH(AssLevel,optimizer[Level],-1,2))),
TooLow, OR(AssLevel&lt;$H$18,$B100&lt;$H$15),
IF(OR(AtMax,TooLow), 0, PrimeMulti * (AssMulti)))</f>
        <v>1.266288</v>
      </c>
      <c r="Q100" s="1108">
        <f t="array" ref="Q100">LET(
totalShards, I$10,
AtMax, OR(I$3&lt;$B100,totalShards&lt;$E100),
primeShards, $E100,
PrimeMulti, I100,
AssPer, I$4,
AssLevel, IF(AtMax,1,index(optimizer[Level],XMATCH(totalShards-primeShards,optimizer[Total discounted cost],-1,2))),
AssMulti,IF(I$16="",1,index(optimizer[coreAssist],XMATCH(AssLevel,optimizer[Level],-1,2))),
TooLow, OR(AssLevel&lt;$I$18,$B100&lt;$I$15),
IF(OR(AtMax,TooLow), 0, PrimeMulti * (AssMulti)))</f>
        <v>6.138285</v>
      </c>
    </row>
    <row r="101" ht="22.5" hidden="1" customHeight="1" outlineLevel="1">
      <c r="A101" s="1097"/>
      <c r="B101" s="1109">
        <v>74.0</v>
      </c>
      <c r="C101" s="1110">
        <v>350.0</v>
      </c>
      <c r="D101" s="1110">
        <f t="shared" si="2"/>
        <v>245</v>
      </c>
      <c r="E101" s="1111">
        <f t="shared" si="11"/>
        <v>5945</v>
      </c>
      <c r="F101" s="1112">
        <f t="shared" si="3"/>
        <v>1.768</v>
      </c>
      <c r="G101" s="1112">
        <f t="shared" si="4"/>
        <v>1.768</v>
      </c>
      <c r="H101" s="1112">
        <f t="shared" si="5"/>
        <v>1.187</v>
      </c>
      <c r="I101" s="1112">
        <f t="shared" si="6"/>
        <v>3.02</v>
      </c>
      <c r="J101" s="1113">
        <f t="shared" si="7"/>
        <v>1</v>
      </c>
      <c r="K101" s="1107">
        <f t="shared" si="8"/>
        <v>1.00718</v>
      </c>
      <c r="L101" s="1107">
        <f t="shared" si="9"/>
        <v>1.0187</v>
      </c>
      <c r="M101" s="1107">
        <f t="shared" si="10"/>
        <v>1.187</v>
      </c>
      <c r="N101" s="1106">
        <f t="array" ref="N101">LET(
totalShards, F$10,
AtMax, OR(F$3&lt;$B101,totalShards&lt;$E101),
primeShards, $E101,
PrimeMulti, F101,
AssPer, F$4,
AssLevel, IF(AtMax,1,index(optimizer[Level],XMATCH(totalShards-primeShards,optimizer[Total discounted cost],-1,2))),
AssMulti,IF(F$16="",1,index(optimizer[cannonAssist],XMATCH(AssLevel,optimizer[Level],-1,2))),
TooLow, OR(AssLevel&lt;$F$18,$B101&lt;$F$15),
IF(OR(AtMax,TooLow), 0, PrimeMulti * (AssMulti)))</f>
        <v>1.768</v>
      </c>
      <c r="O101" s="1112">
        <f t="array" ref="O101">LET(
totalShards, G$10,
AtMax, OR(G$3&lt;$B101,totalShards&lt;$E101),
primeShards, $E101,
PrimeMulti, G101,
AssPer, G$4,
AssLevel, IF(AtMax,1,index(optimizer[Level],XMATCH(totalShards-primeShards,optimizer[Total discounted cost],-1,2))),
AssMulti,IF(G$16="",1,index(optimizer[armorAssist],XMATCH(AssLevel,optimizer[Level],-1,2))),
TooLow, OR(AssLevel&lt;$G$18,$B101&lt;$G$15),
IF(OR(AtMax,TooLow), 0, PrimeMulti * (AssMulti)))</f>
        <v>1.8986552</v>
      </c>
      <c r="P101" s="1112">
        <f t="array" ref="P101">LET(
totalShards, H$10,
AtMax, OR(H$3&lt;$B101,totalShards&lt;$E101),
primeShards, $E101,
PrimeMulti, H101,
AssPer, H$4,
AssLevel, IF(AtMax,1,index(optimizer[Level],XMATCH(totalShards-primeShards,optimizer[Total discounted cost],-1,2))),
AssMulti,IF(H$16="",1,index(optimizer[generatorAssist],XMATCH(AssLevel,optimizer[Level],-1,2))),
TooLow, OR(AssLevel&lt;$H$18,$B101&lt;$H$15),
IF(OR(AtMax,TooLow), 0, PrimeMulti * (AssMulti)))</f>
        <v>1.2694965</v>
      </c>
      <c r="Q101" s="1114">
        <f t="array" ref="Q101">LET(
totalShards, I$10,
AtMax, OR(I$3&lt;$B101,totalShards&lt;$E101),
primeShards, $E101,
PrimeMulti, I101,
AssPer, I$4,
AssLevel, IF(AtMax,1,index(optimizer[Level],XMATCH(totalShards-primeShards,optimizer[Total discounted cost],-1,2))),
AssMulti,IF(I$16="",1,index(optimizer[coreAssist],XMATCH(AssLevel,optimizer[Level],-1,2))),
TooLow, OR(AssLevel&lt;$I$18,$B101&lt;$I$15),
IF(OR(AtMax,TooLow), 0, PrimeMulti * (AssMulti)))</f>
        <v>6.2061</v>
      </c>
    </row>
    <row r="102" ht="22.5" hidden="1" customHeight="1" outlineLevel="1">
      <c r="A102" s="1097"/>
      <c r="B102" s="1103">
        <v>75.0</v>
      </c>
      <c r="C102" s="1104">
        <v>350.0</v>
      </c>
      <c r="D102" s="1104">
        <f t="shared" si="2"/>
        <v>245</v>
      </c>
      <c r="E102" s="1105">
        <f t="shared" si="11"/>
        <v>6190</v>
      </c>
      <c r="F102" s="1106">
        <f t="shared" si="3"/>
        <v>1.78</v>
      </c>
      <c r="G102" s="1106">
        <f t="shared" si="4"/>
        <v>1.78</v>
      </c>
      <c r="H102" s="1106">
        <f t="shared" si="5"/>
        <v>1.19</v>
      </c>
      <c r="I102" s="1106">
        <f t="shared" si="6"/>
        <v>3.052</v>
      </c>
      <c r="J102" s="1107">
        <f t="shared" si="7"/>
        <v>1</v>
      </c>
      <c r="K102" s="1107">
        <f t="shared" si="8"/>
        <v>1.0073</v>
      </c>
      <c r="L102" s="1107">
        <f t="shared" si="9"/>
        <v>1.019</v>
      </c>
      <c r="M102" s="1107">
        <f t="shared" si="10"/>
        <v>1.19</v>
      </c>
      <c r="N102" s="1106">
        <f t="array" ref="N102">LET(
totalShards, F$10,
AtMax, OR(F$3&lt;$B102,totalShards&lt;$E102),
primeShards, $E102,
PrimeMulti, F102,
AssPer, F$4,
AssLevel, IF(AtMax,1,index(optimizer[Level],XMATCH(totalShards-primeShards,optimizer[Total discounted cost],-1,2))),
AssMulti,IF(F$16="",1,index(optimizer[cannonAssist],XMATCH(AssLevel,optimizer[Level],-1,2))),
TooLow, OR(AssLevel&lt;$F$18,$B102&lt;$F$15),
IF(OR(AtMax,TooLow), 0, PrimeMulti * (AssMulti)))</f>
        <v>1.78</v>
      </c>
      <c r="O102" s="1106">
        <f t="array" ref="O102">LET(
totalShards, G$10,
AtMax, OR(G$3&lt;$B102,totalShards&lt;$E102),
primeShards, $E102,
PrimeMulti, G102,
AssPer, G$4,
AssLevel, IF(AtMax,1,index(optimizer[Level],XMATCH(totalShards-primeShards,optimizer[Total discounted cost],-1,2))),
AssMulti,IF(G$16="",1,index(optimizer[armorAssist],XMATCH(AssLevel,optimizer[Level],-1,2))),
TooLow, OR(AssLevel&lt;$G$18,$B102&lt;$G$15),
IF(OR(AtMax,TooLow), 0, PrimeMulti * (AssMulti)))</f>
        <v>1.911542</v>
      </c>
      <c r="P102" s="1106">
        <f t="array" ref="P102">LET(
totalShards, H$10,
AtMax, OR(H$3&lt;$B102,totalShards&lt;$E102),
primeShards, $E102,
PrimeMulti, H102,
AssPer, H$4,
AssLevel, IF(AtMax,1,index(optimizer[Level],XMATCH(totalShards-primeShards,optimizer[Total discounted cost],-1,2))),
AssMulti,IF(H$16="",1,index(optimizer[generatorAssist],XMATCH(AssLevel,optimizer[Level],-1,2))),
TooLow, OR(AssLevel&lt;$H$18,$B102&lt;$H$15),
IF(OR(AtMax,TooLow), 0, PrimeMulti * (AssMulti)))</f>
        <v>1.272705</v>
      </c>
      <c r="Q102" s="1108">
        <f t="array" ref="Q102">LET(
totalShards, I$10,
AtMax, OR(I$3&lt;$B102,totalShards&lt;$E102),
primeShards, $E102,
PrimeMulti, I102,
AssPer, I$4,
AssLevel, IF(AtMax,1,index(optimizer[Level],XMATCH(totalShards-primeShards,optimizer[Total discounted cost],-1,2))),
AssMulti,IF(I$16="",1,index(optimizer[coreAssist],XMATCH(AssLevel,optimizer[Level],-1,2))),
TooLow, OR(AssLevel&lt;$I$18,$B102&lt;$I$15),
IF(OR(AtMax,TooLow), 0, PrimeMulti * (AssMulti)))</f>
        <v>6.27186</v>
      </c>
    </row>
    <row r="103" ht="22.5" hidden="1" customHeight="1" outlineLevel="1">
      <c r="A103" s="1097"/>
      <c r="B103" s="1109">
        <v>76.0</v>
      </c>
      <c r="C103" s="1110">
        <v>350.0</v>
      </c>
      <c r="D103" s="1110">
        <f t="shared" si="2"/>
        <v>245</v>
      </c>
      <c r="E103" s="1111">
        <f t="shared" si="11"/>
        <v>6435</v>
      </c>
      <c r="F103" s="1112">
        <f t="shared" si="3"/>
        <v>1.792</v>
      </c>
      <c r="G103" s="1112">
        <f t="shared" si="4"/>
        <v>1.792</v>
      </c>
      <c r="H103" s="1112">
        <f t="shared" si="5"/>
        <v>1.193</v>
      </c>
      <c r="I103" s="1112">
        <f t="shared" si="6"/>
        <v>3.084</v>
      </c>
      <c r="J103" s="1113">
        <f t="shared" si="7"/>
        <v>1</v>
      </c>
      <c r="K103" s="1107">
        <f t="shared" si="8"/>
        <v>1.00742</v>
      </c>
      <c r="L103" s="1107">
        <f t="shared" si="9"/>
        <v>1.0193</v>
      </c>
      <c r="M103" s="1107">
        <f t="shared" si="10"/>
        <v>1.193</v>
      </c>
      <c r="N103" s="1106">
        <f t="array" ref="N103">LET(
totalShards, F$10,
AtMax, OR(F$3&lt;$B103,totalShards&lt;$E103),
primeShards, $E103,
PrimeMulti, F103,
AssPer, F$4,
AssLevel, IF(AtMax,1,index(optimizer[Level],XMATCH(totalShards-primeShards,optimizer[Total discounted cost],-1,2))),
AssMulti,IF(F$16="",1,index(optimizer[cannonAssist],XMATCH(AssLevel,optimizer[Level],-1,2))),
TooLow, OR(AssLevel&lt;$F$18,$B103&lt;$F$15),
IF(OR(AtMax,TooLow), 0, PrimeMulti * (AssMulti)))</f>
        <v>1.792</v>
      </c>
      <c r="O103" s="1112">
        <f t="array" ref="O103">LET(
totalShards, G$10,
AtMax, OR(G$3&lt;$B103,totalShards&lt;$E103),
primeShards, $E103,
PrimeMulti, G103,
AssPer, G$4,
AssLevel, IF(AtMax,1,index(optimizer[Level],XMATCH(totalShards-primeShards,optimizer[Total discounted cost],-1,2))),
AssMulti,IF(G$16="",1,index(optimizer[armorAssist],XMATCH(AssLevel,optimizer[Level],-1,2))),
TooLow, OR(AssLevel&lt;$G$18,$B103&lt;$G$15),
IF(OR(AtMax,TooLow), 0, PrimeMulti * (AssMulti)))</f>
        <v>1.9244288</v>
      </c>
      <c r="P103" s="1112">
        <f t="array" ref="P103">LET(
totalShards, H$10,
AtMax, OR(H$3&lt;$B103,totalShards&lt;$E103),
primeShards, $E103,
PrimeMulti, H103,
AssPer, H$4,
AssLevel, IF(AtMax,1,index(optimizer[Level],XMATCH(totalShards-primeShards,optimizer[Total discounted cost],-1,2))),
AssMulti,IF(H$16="",1,index(optimizer[generatorAssist],XMATCH(AssLevel,optimizer[Level],-1,2))),
TooLow, OR(AssLevel&lt;$H$18,$B103&lt;$H$15),
IF(OR(AtMax,TooLow), 0, PrimeMulti * (AssMulti)))</f>
        <v>1.2759135</v>
      </c>
      <c r="Q103" s="1114">
        <f t="array" ref="Q103">LET(
totalShards, I$10,
AtMax, OR(I$3&lt;$B103,totalShards&lt;$E103),
primeShards, $E103,
PrimeMulti, I103,
AssPer, I$4,
AssLevel, IF(AtMax,1,index(optimizer[Level],XMATCH(totalShards-primeShards,optimizer[Total discounted cost],-1,2))),
AssMulti,IF(I$16="",1,index(optimizer[coreAssist],XMATCH(AssLevel,optimizer[Level],-1,2))),
TooLow, OR(AssLevel&lt;$I$18,$B103&lt;$I$15),
IF(OR(AtMax,TooLow), 0, PrimeMulti * (AssMulti)))</f>
        <v>6.33762</v>
      </c>
    </row>
    <row r="104" ht="22.5" hidden="1" customHeight="1" outlineLevel="1">
      <c r="A104" s="1097"/>
      <c r="B104" s="1103">
        <v>77.0</v>
      </c>
      <c r="C104" s="1104">
        <v>350.0</v>
      </c>
      <c r="D104" s="1104">
        <f t="shared" si="2"/>
        <v>245</v>
      </c>
      <c r="E104" s="1105">
        <f t="shared" si="11"/>
        <v>6680</v>
      </c>
      <c r="F104" s="1106">
        <f t="shared" si="3"/>
        <v>1.804</v>
      </c>
      <c r="G104" s="1106">
        <f t="shared" si="4"/>
        <v>1.804</v>
      </c>
      <c r="H104" s="1106">
        <f t="shared" si="5"/>
        <v>1.196</v>
      </c>
      <c r="I104" s="1106">
        <f t="shared" si="6"/>
        <v>3.117</v>
      </c>
      <c r="J104" s="1107">
        <f t="shared" si="7"/>
        <v>1</v>
      </c>
      <c r="K104" s="1107">
        <f t="shared" si="8"/>
        <v>1.00754</v>
      </c>
      <c r="L104" s="1107">
        <f t="shared" si="9"/>
        <v>1.0196</v>
      </c>
      <c r="M104" s="1107">
        <f t="shared" si="10"/>
        <v>1.196</v>
      </c>
      <c r="N104" s="1106">
        <f t="array" ref="N104">LET(
totalShards, F$10,
AtMax, OR(F$3&lt;$B104,totalShards&lt;$E104),
primeShards, $E104,
PrimeMulti, F104,
AssPer, F$4,
AssLevel, IF(AtMax,1,index(optimizer[Level],XMATCH(totalShards-primeShards,optimizer[Total discounted cost],-1,2))),
AssMulti,IF(F$16="",1,index(optimizer[cannonAssist],XMATCH(AssLevel,optimizer[Level],-1,2))),
TooLow, OR(AssLevel&lt;$F$18,$B104&lt;$F$15),
IF(OR(AtMax,TooLow), 0, PrimeMulti * (AssMulti)))</f>
        <v>1.804</v>
      </c>
      <c r="O104" s="1106">
        <f t="array" ref="O104">LET(
totalShards, G$10,
AtMax, OR(G$3&lt;$B104,totalShards&lt;$E104),
primeShards, $E104,
PrimeMulti, G104,
AssPer, G$4,
AssLevel, IF(AtMax,1,index(optimizer[Level],XMATCH(totalShards-primeShards,optimizer[Total discounted cost],-1,2))),
AssMulti,IF(G$16="",1,index(optimizer[armorAssist],XMATCH(AssLevel,optimizer[Level],-1,2))),
TooLow, OR(AssLevel&lt;$G$18,$B104&lt;$G$15),
IF(OR(AtMax,TooLow), 0, PrimeMulti * (AssMulti)))</f>
        <v>1.9373156</v>
      </c>
      <c r="P104" s="1106">
        <f t="array" ref="P104">LET(
totalShards, H$10,
AtMax, OR(H$3&lt;$B104,totalShards&lt;$E104),
primeShards, $E104,
PrimeMulti, H104,
AssPer, H$4,
AssLevel, IF(AtMax,1,index(optimizer[Level],XMATCH(totalShards-primeShards,optimizer[Total discounted cost],-1,2))),
AssMulti,IF(H$16="",1,index(optimizer[generatorAssist],XMATCH(AssLevel,optimizer[Level],-1,2))),
TooLow, OR(AssLevel&lt;$H$18,$B104&lt;$H$15),
IF(OR(AtMax,TooLow), 0, PrimeMulti * (AssMulti)))</f>
        <v>1.279122</v>
      </c>
      <c r="Q104" s="1108">
        <f t="array" ref="Q104">LET(
totalShards, I$10,
AtMax, OR(I$3&lt;$B104,totalShards&lt;$E104),
primeShards, $E104,
PrimeMulti, I104,
AssPer, I$4,
AssLevel, IF(AtMax,1,index(optimizer[Level],XMATCH(totalShards-primeShards,optimizer[Total discounted cost],-1,2))),
AssMulti,IF(I$16="",1,index(optimizer[coreAssist],XMATCH(AssLevel,optimizer[Level],-1,2))),
TooLow, OR(AssLevel&lt;$I$18,$B104&lt;$I$15),
IF(OR(AtMax,TooLow), 0, PrimeMulti * (AssMulti)))</f>
        <v>6.32751</v>
      </c>
    </row>
    <row r="105" ht="22.5" hidden="1" customHeight="1" outlineLevel="1">
      <c r="A105" s="1097"/>
      <c r="B105" s="1109">
        <v>78.0</v>
      </c>
      <c r="C105" s="1110">
        <v>350.0</v>
      </c>
      <c r="D105" s="1110">
        <f t="shared" si="2"/>
        <v>245</v>
      </c>
      <c r="E105" s="1111">
        <f t="shared" si="11"/>
        <v>6925</v>
      </c>
      <c r="F105" s="1112">
        <f t="shared" si="3"/>
        <v>1.816</v>
      </c>
      <c r="G105" s="1112">
        <f t="shared" si="4"/>
        <v>1.816</v>
      </c>
      <c r="H105" s="1112">
        <f t="shared" si="5"/>
        <v>1.199</v>
      </c>
      <c r="I105" s="1112">
        <f t="shared" si="6"/>
        <v>3.149</v>
      </c>
      <c r="J105" s="1113">
        <f t="shared" si="7"/>
        <v>1</v>
      </c>
      <c r="K105" s="1107">
        <f t="shared" si="8"/>
        <v>1.00766</v>
      </c>
      <c r="L105" s="1107">
        <f t="shared" si="9"/>
        <v>1.0199</v>
      </c>
      <c r="M105" s="1107">
        <f t="shared" si="10"/>
        <v>1.199</v>
      </c>
      <c r="N105" s="1106">
        <f t="array" ref="N105">LET(
totalShards, F$10,
AtMax, OR(F$3&lt;$B105,totalShards&lt;$E105),
primeShards, $E105,
PrimeMulti, F105,
AssPer, F$4,
AssLevel, IF(AtMax,1,index(optimizer[Level],XMATCH(totalShards-primeShards,optimizer[Total discounted cost],-1,2))),
AssMulti,IF(F$16="",1,index(optimizer[cannonAssist],XMATCH(AssLevel,optimizer[Level],-1,2))),
TooLow, OR(AssLevel&lt;$F$18,$B105&lt;$F$15),
IF(OR(AtMax,TooLow), 0, PrimeMulti * (AssMulti)))</f>
        <v>1.816</v>
      </c>
      <c r="O105" s="1112">
        <f t="array" ref="O105">LET(
totalShards, G$10,
AtMax, OR(G$3&lt;$B105,totalShards&lt;$E105),
primeShards, $E105,
PrimeMulti, G105,
AssPer, G$4,
AssLevel, IF(AtMax,1,index(optimizer[Level],XMATCH(totalShards-primeShards,optimizer[Total discounted cost],-1,2))),
AssMulti,IF(G$16="",1,index(optimizer[armorAssist],XMATCH(AssLevel,optimizer[Level],-1,2))),
TooLow, OR(AssLevel&lt;$G$18,$B105&lt;$G$15),
IF(OR(AtMax,TooLow), 0, PrimeMulti * (AssMulti)))</f>
        <v>1.9502024</v>
      </c>
      <c r="P105" s="1112">
        <f t="array" ref="P105">LET(
totalShards, H$10,
AtMax, OR(H$3&lt;$B105,totalShards&lt;$E105),
primeShards, $E105,
PrimeMulti, H105,
AssPer, H$4,
AssLevel, IF(AtMax,1,index(optimizer[Level],XMATCH(totalShards-primeShards,optimizer[Total discounted cost],-1,2))),
AssMulti,IF(H$16="",1,index(optimizer[generatorAssist],XMATCH(AssLevel,optimizer[Level],-1,2))),
TooLow, OR(AssLevel&lt;$H$18,$B105&lt;$H$15),
IF(OR(AtMax,TooLow), 0, PrimeMulti * (AssMulti)))</f>
        <v>1.2823305</v>
      </c>
      <c r="Q105" s="1114">
        <f t="array" ref="Q105">LET(
totalShards, I$10,
AtMax, OR(I$3&lt;$B105,totalShards&lt;$E105),
primeShards, $E105,
PrimeMulti, I105,
AssPer, I$4,
AssLevel, IF(AtMax,1,index(optimizer[Level],XMATCH(totalShards-primeShards,optimizer[Total discounted cost],-1,2))),
AssMulti,IF(I$16="",1,index(optimizer[coreAssist],XMATCH(AssLevel,optimizer[Level],-1,2))),
TooLow, OR(AssLevel&lt;$I$18,$B105&lt;$I$15),
IF(OR(AtMax,TooLow), 0, PrimeMulti * (AssMulti)))</f>
        <v>6.39247</v>
      </c>
    </row>
    <row r="106" ht="22.5" hidden="1" customHeight="1" outlineLevel="1">
      <c r="A106" s="1097"/>
      <c r="B106" s="1103">
        <v>79.0</v>
      </c>
      <c r="C106" s="1104">
        <v>350.0</v>
      </c>
      <c r="D106" s="1104">
        <f t="shared" si="2"/>
        <v>245</v>
      </c>
      <c r="E106" s="1105">
        <f t="shared" si="11"/>
        <v>7170</v>
      </c>
      <c r="F106" s="1106">
        <f t="shared" si="3"/>
        <v>1.828</v>
      </c>
      <c r="G106" s="1106">
        <f t="shared" si="4"/>
        <v>1.828</v>
      </c>
      <c r="H106" s="1106">
        <f t="shared" si="5"/>
        <v>1.202</v>
      </c>
      <c r="I106" s="1106">
        <f t="shared" si="6"/>
        <v>3.182</v>
      </c>
      <c r="J106" s="1107">
        <f t="shared" si="7"/>
        <v>1</v>
      </c>
      <c r="K106" s="1107">
        <f t="shared" si="8"/>
        <v>1.00778</v>
      </c>
      <c r="L106" s="1107">
        <f t="shared" si="9"/>
        <v>1.0202</v>
      </c>
      <c r="M106" s="1107">
        <f t="shared" si="10"/>
        <v>1.202</v>
      </c>
      <c r="N106" s="1106">
        <f t="array" ref="N106">LET(
totalShards, F$10,
AtMax, OR(F$3&lt;$B106,totalShards&lt;$E106),
primeShards, $E106,
PrimeMulti, F106,
AssPer, F$4,
AssLevel, IF(AtMax,1,index(optimizer[Level],XMATCH(totalShards-primeShards,optimizer[Total discounted cost],-1,2))),
AssMulti,IF(F$16="",1,index(optimizer[cannonAssist],XMATCH(AssLevel,optimizer[Level],-1,2))),
TooLow, OR(AssLevel&lt;$F$18,$B106&lt;$F$15),
IF(OR(AtMax,TooLow), 0, PrimeMulti * (AssMulti)))</f>
        <v>1.828</v>
      </c>
      <c r="O106" s="1106">
        <f t="array" ref="O106">LET(
totalShards, G$10,
AtMax, OR(G$3&lt;$B106,totalShards&lt;$E106),
primeShards, $E106,
PrimeMulti, G106,
AssPer, G$4,
AssLevel, IF(AtMax,1,index(optimizer[Level],XMATCH(totalShards-primeShards,optimizer[Total discounted cost],-1,2))),
AssMulti,IF(G$16="",1,index(optimizer[armorAssist],XMATCH(AssLevel,optimizer[Level],-1,2))),
TooLow, OR(AssLevel&lt;$G$18,$B106&lt;$G$15),
IF(OR(AtMax,TooLow), 0, PrimeMulti * (AssMulti)))</f>
        <v>1.9630892</v>
      </c>
      <c r="P106" s="1106">
        <f t="array" ref="P106">LET(
totalShards, H$10,
AtMax, OR(H$3&lt;$B106,totalShards&lt;$E106),
primeShards, $E106,
PrimeMulti, H106,
AssPer, H$4,
AssLevel, IF(AtMax,1,index(optimizer[Level],XMATCH(totalShards-primeShards,optimizer[Total discounted cost],-1,2))),
AssMulti,IF(H$16="",1,index(optimizer[generatorAssist],XMATCH(AssLevel,optimizer[Level],-1,2))),
TooLow, OR(AssLevel&lt;$H$18,$B106&lt;$H$15),
IF(OR(AtMax,TooLow), 0, PrimeMulti * (AssMulti)))</f>
        <v>1.284337</v>
      </c>
      <c r="Q106" s="1108">
        <f t="array" ref="Q106">LET(
totalShards, I$10,
AtMax, OR(I$3&lt;$B106,totalShards&lt;$E106),
primeShards, $E106,
PrimeMulti, I106,
AssPer, I$4,
AssLevel, IF(AtMax,1,index(optimizer[Level],XMATCH(totalShards-primeShards,optimizer[Total discounted cost],-1,2))),
AssMulti,IF(I$16="",1,index(optimizer[coreAssist],XMATCH(AssLevel,optimizer[Level],-1,2))),
TooLow, OR(AssLevel&lt;$I$18,$B106&lt;$I$15),
IF(OR(AtMax,TooLow), 0, PrimeMulti * (AssMulti)))</f>
        <v>6.45946</v>
      </c>
    </row>
    <row r="107" ht="22.5" hidden="1" customHeight="1" outlineLevel="1">
      <c r="A107" s="1097"/>
      <c r="B107" s="1109">
        <v>80.0</v>
      </c>
      <c r="C107" s="1110">
        <v>350.0</v>
      </c>
      <c r="D107" s="1110">
        <f t="shared" si="2"/>
        <v>245</v>
      </c>
      <c r="E107" s="1111">
        <f t="shared" si="11"/>
        <v>7415</v>
      </c>
      <c r="F107" s="1112">
        <f t="shared" si="3"/>
        <v>1.84</v>
      </c>
      <c r="G107" s="1112">
        <f t="shared" si="4"/>
        <v>1.84</v>
      </c>
      <c r="H107" s="1112">
        <f t="shared" si="5"/>
        <v>1.205</v>
      </c>
      <c r="I107" s="1112">
        <f t="shared" si="6"/>
        <v>3.214</v>
      </c>
      <c r="J107" s="1113">
        <f t="shared" si="7"/>
        <v>1</v>
      </c>
      <c r="K107" s="1107">
        <f t="shared" si="8"/>
        <v>1.0079</v>
      </c>
      <c r="L107" s="1107">
        <f t="shared" si="9"/>
        <v>1.0205</v>
      </c>
      <c r="M107" s="1107">
        <f t="shared" si="10"/>
        <v>1.205</v>
      </c>
      <c r="N107" s="1106">
        <f t="array" ref="N107">LET(
totalShards, F$10,
AtMax, OR(F$3&lt;$B107,totalShards&lt;$E107),
primeShards, $E107,
PrimeMulti, F107,
AssPer, F$4,
AssLevel, IF(AtMax,1,index(optimizer[Level],XMATCH(totalShards-primeShards,optimizer[Total discounted cost],-1,2))),
AssMulti,IF(F$16="",1,index(optimizer[cannonAssist],XMATCH(AssLevel,optimizer[Level],-1,2))),
TooLow, OR(AssLevel&lt;$F$18,$B107&lt;$F$15),
IF(OR(AtMax,TooLow), 0, PrimeMulti * (AssMulti)))</f>
        <v>1.84</v>
      </c>
      <c r="O107" s="1112">
        <f t="array" ref="O107">LET(
totalShards, G$10,
AtMax, OR(G$3&lt;$B107,totalShards&lt;$E107),
primeShards, $E107,
PrimeMulti, G107,
AssPer, G$4,
AssLevel, IF(AtMax,1,index(optimizer[Level],XMATCH(totalShards-primeShards,optimizer[Total discounted cost],-1,2))),
AssMulti,IF(G$16="",1,index(optimizer[armorAssist],XMATCH(AssLevel,optimizer[Level],-1,2))),
TooLow, OR(AssLevel&lt;$G$18,$B107&lt;$G$15),
IF(OR(AtMax,TooLow), 0, PrimeMulti * (AssMulti)))</f>
        <v>1.975976</v>
      </c>
      <c r="P107" s="1112">
        <f t="array" ref="P107">LET(
totalShards, H$10,
AtMax, OR(H$3&lt;$B107,totalShards&lt;$E107),
primeShards, $E107,
PrimeMulti, H107,
AssPer, H$4,
AssLevel, IF(AtMax,1,index(optimizer[Level],XMATCH(totalShards-primeShards,optimizer[Total discounted cost],-1,2))),
AssMulti,IF(H$16="",1,index(optimizer[generatorAssist],XMATCH(AssLevel,optimizer[Level],-1,2))),
TooLow, OR(AssLevel&lt;$H$18,$B107&lt;$H$15),
IF(OR(AtMax,TooLow), 0, PrimeMulti * (AssMulti)))</f>
        <v>1.2875425</v>
      </c>
      <c r="Q107" s="1114">
        <f t="array" ref="Q107">LET(
totalShards, I$10,
AtMax, OR(I$3&lt;$B107,totalShards&lt;$E107),
primeShards, $E107,
PrimeMulti, I107,
AssPer, I$4,
AssLevel, IF(AtMax,1,index(optimizer[Level],XMATCH(totalShards-primeShards,optimizer[Total discounted cost],-1,2))),
AssMulti,IF(I$16="",1,index(optimizer[coreAssist],XMATCH(AssLevel,optimizer[Level],-1,2))),
TooLow, OR(AssLevel&lt;$I$18,$B107&lt;$I$15),
IF(OR(AtMax,TooLow), 0, PrimeMulti * (AssMulti)))</f>
        <v>6.52442</v>
      </c>
    </row>
    <row r="108" ht="22.5" hidden="1" customHeight="1" outlineLevel="1">
      <c r="A108" s="1097"/>
      <c r="B108" s="1103">
        <v>81.0</v>
      </c>
      <c r="C108" s="1104">
        <v>500.0</v>
      </c>
      <c r="D108" s="1104">
        <f t="shared" si="2"/>
        <v>350</v>
      </c>
      <c r="E108" s="1105">
        <f t="shared" si="11"/>
        <v>7765</v>
      </c>
      <c r="F108" s="1106">
        <f t="shared" si="3"/>
        <v>1.87</v>
      </c>
      <c r="G108" s="1106">
        <f t="shared" si="4"/>
        <v>1.87</v>
      </c>
      <c r="H108" s="1106">
        <f t="shared" si="5"/>
        <v>1.209</v>
      </c>
      <c r="I108" s="1106">
        <f t="shared" si="6"/>
        <v>3.268</v>
      </c>
      <c r="J108" s="1107">
        <f t="shared" si="7"/>
        <v>1</v>
      </c>
      <c r="K108" s="1107">
        <f t="shared" si="8"/>
        <v>1.0082</v>
      </c>
      <c r="L108" s="1107">
        <f t="shared" si="9"/>
        <v>1.0209</v>
      </c>
      <c r="M108" s="1107">
        <f t="shared" si="10"/>
        <v>1.21</v>
      </c>
      <c r="N108" s="1106">
        <f t="array" ref="N108">LET(
totalShards, F$10,
AtMax, OR(F$3&lt;$B108,totalShards&lt;$E108),
primeShards, $E108,
PrimeMulti, F108,
AssPer, F$4,
AssLevel, IF(AtMax,1,index(optimizer[Level],XMATCH(totalShards-primeShards,optimizer[Total discounted cost],-1,2))),
AssMulti,IF(F$16="",1,index(optimizer[cannonAssist],XMATCH(AssLevel,optimizer[Level],-1,2))),
TooLow, OR(AssLevel&lt;$F$18,$B108&lt;$F$15),
IF(OR(AtMax,TooLow), 0, PrimeMulti * (AssMulti)))</f>
        <v>1.87</v>
      </c>
      <c r="O108" s="1106">
        <f t="array" ref="O108">LET(
totalShards, G$10,
AtMax, OR(G$3&lt;$B108,totalShards&lt;$E108),
primeShards, $E108,
PrimeMulti, G108,
AssPer, G$4,
AssLevel, IF(AtMax,1,index(optimizer[Level],XMATCH(totalShards-primeShards,optimizer[Total discounted cost],-1,2))),
AssMulti,IF(G$16="",1,index(optimizer[armorAssist],XMATCH(AssLevel,optimizer[Level],-1,2))),
TooLow, OR(AssLevel&lt;$G$18,$B108&lt;$G$15),
IF(OR(AtMax,TooLow), 0, PrimeMulti * (AssMulti)))</f>
        <v>2.008193</v>
      </c>
      <c r="P108" s="1106">
        <f t="array" ref="P108">LET(
totalShards, H$10,
AtMax, OR(H$3&lt;$B108,totalShards&lt;$E108),
primeShards, $E108,
PrimeMulti, H108,
AssPer, H$4,
AssLevel, IF(AtMax,1,index(optimizer[Level],XMATCH(totalShards-primeShards,optimizer[Total discounted cost],-1,2))),
AssMulti,IF(H$16="",1,index(optimizer[generatorAssist],XMATCH(AssLevel,optimizer[Level],-1,2))),
TooLow, OR(AssLevel&lt;$H$18,$B108&lt;$H$15),
IF(OR(AtMax,TooLow), 0, PrimeMulti * (AssMulti)))</f>
        <v>1.2918165</v>
      </c>
      <c r="Q108" s="1108">
        <f t="array" ref="Q108">LET(
totalShards, I$10,
AtMax, OR(I$3&lt;$B108,totalShards&lt;$E108),
primeShards, $E108,
PrimeMulti, I108,
AssPer, I$4,
AssLevel, IF(AtMax,1,index(optimizer[Level],XMATCH(totalShards-primeShards,optimizer[Total discounted cost],-1,2))),
AssMulti,IF(I$16="",1,index(optimizer[coreAssist],XMATCH(AssLevel,optimizer[Level],-1,2))),
TooLow, OR(AssLevel&lt;$I$18,$B108&lt;$I$15),
IF(OR(AtMax,TooLow), 0, PrimeMulti * (AssMulti)))</f>
        <v>6.63404</v>
      </c>
    </row>
    <row r="109" ht="22.5" hidden="1" customHeight="1" outlineLevel="1">
      <c r="A109" s="1097"/>
      <c r="B109" s="1109">
        <v>82.0</v>
      </c>
      <c r="C109" s="1110">
        <v>500.0</v>
      </c>
      <c r="D109" s="1110">
        <f t="shared" si="2"/>
        <v>350</v>
      </c>
      <c r="E109" s="1111">
        <f t="shared" si="11"/>
        <v>8115</v>
      </c>
      <c r="F109" s="1112">
        <f t="shared" si="3"/>
        <v>1.9</v>
      </c>
      <c r="G109" s="1112">
        <f t="shared" si="4"/>
        <v>1.9</v>
      </c>
      <c r="H109" s="1112">
        <f t="shared" si="5"/>
        <v>1.213</v>
      </c>
      <c r="I109" s="1112">
        <f t="shared" si="6"/>
        <v>3.322</v>
      </c>
      <c r="J109" s="1113">
        <f t="shared" si="7"/>
        <v>1</v>
      </c>
      <c r="K109" s="1107">
        <f t="shared" si="8"/>
        <v>1.0085</v>
      </c>
      <c r="L109" s="1107">
        <f t="shared" si="9"/>
        <v>1.0213</v>
      </c>
      <c r="M109" s="1107">
        <f t="shared" si="10"/>
        <v>1.215</v>
      </c>
      <c r="N109" s="1106">
        <f t="array" ref="N109">LET(
totalShards, F$10,
AtMax, OR(F$3&lt;$B109,totalShards&lt;$E109),
primeShards, $E109,
PrimeMulti, F109,
AssPer, F$4,
AssLevel, IF(AtMax,1,index(optimizer[Level],XMATCH(totalShards-primeShards,optimizer[Total discounted cost],-1,2))),
AssMulti,IF(F$16="",1,index(optimizer[cannonAssist],XMATCH(AssLevel,optimizer[Level],-1,2))),
TooLow, OR(AssLevel&lt;$F$18,$B109&lt;$F$15),
IF(OR(AtMax,TooLow), 0, PrimeMulti * (AssMulti)))</f>
        <v>1.9</v>
      </c>
      <c r="O109" s="1112">
        <f t="array" ref="O109">LET(
totalShards, G$10,
AtMax, OR(G$3&lt;$B109,totalShards&lt;$E109),
primeShards, $E109,
PrimeMulti, G109,
AssPer, G$4,
AssLevel, IF(AtMax,1,index(optimizer[Level],XMATCH(totalShards-primeShards,optimizer[Total discounted cost],-1,2))),
AssMulti,IF(G$16="",1,index(optimizer[armorAssist],XMATCH(AssLevel,optimizer[Level],-1,2))),
TooLow, OR(AssLevel&lt;$G$18,$B109&lt;$G$15),
IF(OR(AtMax,TooLow), 0, PrimeMulti * (AssMulti)))</f>
        <v>2.04041</v>
      </c>
      <c r="P109" s="1112">
        <f t="array" ref="P109">LET(
totalShards, H$10,
AtMax, OR(H$3&lt;$B109,totalShards&lt;$E109),
primeShards, $E109,
PrimeMulti, H109,
AssPer, H$4,
AssLevel, IF(AtMax,1,index(optimizer[Level],XMATCH(totalShards-primeShards,optimizer[Total discounted cost],-1,2))),
AssMulti,IF(H$16="",1,index(optimizer[generatorAssist],XMATCH(AssLevel,optimizer[Level],-1,2))),
TooLow, OR(AssLevel&lt;$H$18,$B109&lt;$H$15),
IF(OR(AtMax,TooLow), 0, PrimeMulti * (AssMulti)))</f>
        <v>1.2960905</v>
      </c>
      <c r="Q109" s="1114">
        <f t="array" ref="Q109">LET(
totalShards, I$10,
AtMax, OR(I$3&lt;$B109,totalShards&lt;$E109),
primeShards, $E109,
PrimeMulti, I109,
AssPer, I$4,
AssLevel, IF(AtMax,1,index(optimizer[Level],XMATCH(totalShards-primeShards,optimizer[Total discounted cost],-1,2))),
AssMulti,IF(I$16="",1,index(optimizer[coreAssist],XMATCH(AssLevel,optimizer[Level],-1,2))),
TooLow, OR(AssLevel&lt;$I$18,$B109&lt;$I$15),
IF(OR(AtMax,TooLow), 0, PrimeMulti * (AssMulti)))</f>
        <v>6.74366</v>
      </c>
    </row>
    <row r="110" ht="22.5" hidden="1" customHeight="1" outlineLevel="1">
      <c r="A110" s="1097"/>
      <c r="B110" s="1103">
        <v>83.0</v>
      </c>
      <c r="C110" s="1104">
        <v>500.0</v>
      </c>
      <c r="D110" s="1104">
        <f t="shared" si="2"/>
        <v>350</v>
      </c>
      <c r="E110" s="1105">
        <f t="shared" si="11"/>
        <v>8465</v>
      </c>
      <c r="F110" s="1106">
        <f t="shared" si="3"/>
        <v>1.93</v>
      </c>
      <c r="G110" s="1106">
        <f t="shared" si="4"/>
        <v>1.93</v>
      </c>
      <c r="H110" s="1106">
        <f t="shared" si="5"/>
        <v>1.217</v>
      </c>
      <c r="I110" s="1106">
        <f t="shared" si="6"/>
        <v>3.376</v>
      </c>
      <c r="J110" s="1107">
        <f t="shared" si="7"/>
        <v>1</v>
      </c>
      <c r="K110" s="1107">
        <f t="shared" si="8"/>
        <v>1.0088</v>
      </c>
      <c r="L110" s="1107">
        <f t="shared" si="9"/>
        <v>1.0217</v>
      </c>
      <c r="M110" s="1107">
        <f t="shared" si="10"/>
        <v>1.22</v>
      </c>
      <c r="N110" s="1106">
        <f t="array" ref="N110">LET(
totalShards, F$10,
AtMax, OR(F$3&lt;$B110,totalShards&lt;$E110),
primeShards, $E110,
PrimeMulti, F110,
AssPer, F$4,
AssLevel, IF(AtMax,1,index(optimizer[Level],XMATCH(totalShards-primeShards,optimizer[Total discounted cost],-1,2))),
AssMulti,IF(F$16="",1,index(optimizer[cannonAssist],XMATCH(AssLevel,optimizer[Level],-1,2))),
TooLow, OR(AssLevel&lt;$F$18,$B110&lt;$F$15),
IF(OR(AtMax,TooLow), 0, PrimeMulti * (AssMulti)))</f>
        <v>1.93</v>
      </c>
      <c r="O110" s="1106">
        <f t="array" ref="O110">LET(
totalShards, G$10,
AtMax, OR(G$3&lt;$B110,totalShards&lt;$E110),
primeShards, $E110,
PrimeMulti, G110,
AssPer, G$4,
AssLevel, IF(AtMax,1,index(optimizer[Level],XMATCH(totalShards-primeShards,optimizer[Total discounted cost],-1,2))),
AssMulti,IF(G$16="",1,index(optimizer[armorAssist],XMATCH(AssLevel,optimizer[Level],-1,2))),
TooLow, OR(AssLevel&lt;$G$18,$B110&lt;$G$15),
IF(OR(AtMax,TooLow), 0, PrimeMulti * (AssMulti)))</f>
        <v>2.068767</v>
      </c>
      <c r="P110" s="1106">
        <f t="array" ref="P110">LET(
totalShards, H$10,
AtMax, OR(H$3&lt;$B110,totalShards&lt;$E110),
primeShards, $E110,
PrimeMulti, H110,
AssPer, H$4,
AssLevel, IF(AtMax,1,index(optimizer[Level],XMATCH(totalShards-primeShards,optimizer[Total discounted cost],-1,2))),
AssMulti,IF(H$16="",1,index(optimizer[generatorAssist],XMATCH(AssLevel,optimizer[Level],-1,2))),
TooLow, OR(AssLevel&lt;$H$18,$B110&lt;$H$15),
IF(OR(AtMax,TooLow), 0, PrimeMulti * (AssMulti)))</f>
        <v>1.3003645</v>
      </c>
      <c r="Q110" s="1108">
        <f t="array" ref="Q110">LET(
totalShards, I$10,
AtMax, OR(I$3&lt;$B110,totalShards&lt;$E110),
primeShards, $E110,
PrimeMulti, I110,
AssPer, I$4,
AssLevel, IF(AtMax,1,index(optimizer[Level],XMATCH(totalShards-primeShards,optimizer[Total discounted cost],-1,2))),
AssMulti,IF(I$16="",1,index(optimizer[coreAssist],XMATCH(AssLevel,optimizer[Level],-1,2))),
TooLow, OR(AssLevel&lt;$I$18,$B110&lt;$I$15),
IF(OR(AtMax,TooLow), 0, PrimeMulti * (AssMulti)))</f>
        <v>6.85328</v>
      </c>
    </row>
    <row r="111" ht="22.5" hidden="1" customHeight="1" outlineLevel="1">
      <c r="A111" s="1097"/>
      <c r="B111" s="1109">
        <v>84.0</v>
      </c>
      <c r="C111" s="1110">
        <v>500.0</v>
      </c>
      <c r="D111" s="1110">
        <f t="shared" si="2"/>
        <v>350</v>
      </c>
      <c r="E111" s="1111">
        <f t="shared" si="11"/>
        <v>8815</v>
      </c>
      <c r="F111" s="1112">
        <f t="shared" si="3"/>
        <v>1.96</v>
      </c>
      <c r="G111" s="1112">
        <f t="shared" si="4"/>
        <v>1.96</v>
      </c>
      <c r="H111" s="1112">
        <f t="shared" si="5"/>
        <v>1.221</v>
      </c>
      <c r="I111" s="1112">
        <f t="shared" si="6"/>
        <v>3.43</v>
      </c>
      <c r="J111" s="1113">
        <f t="shared" si="7"/>
        <v>1</v>
      </c>
      <c r="K111" s="1107">
        <f t="shared" si="8"/>
        <v>1.0091</v>
      </c>
      <c r="L111" s="1107">
        <f t="shared" si="9"/>
        <v>1.0221</v>
      </c>
      <c r="M111" s="1107">
        <f t="shared" si="10"/>
        <v>1.225</v>
      </c>
      <c r="N111" s="1106">
        <f t="array" ref="N111">LET(
totalShards, F$10,
AtMax, OR(F$3&lt;$B111,totalShards&lt;$E111),
primeShards, $E111,
PrimeMulti, F111,
AssPer, F$4,
AssLevel, IF(AtMax,1,index(optimizer[Level],XMATCH(totalShards-primeShards,optimizer[Total discounted cost],-1,2))),
AssMulti,IF(F$16="",1,index(optimizer[cannonAssist],XMATCH(AssLevel,optimizer[Level],-1,2))),
TooLow, OR(AssLevel&lt;$F$18,$B111&lt;$F$15),
IF(OR(AtMax,TooLow), 0, PrimeMulti * (AssMulti)))</f>
        <v>1.96</v>
      </c>
      <c r="O111" s="1112">
        <f t="array" ref="O111">LET(
totalShards, G$10,
AtMax, OR(G$3&lt;$B111,totalShards&lt;$E111),
primeShards, $E111,
PrimeMulti, G111,
AssPer, G$4,
AssLevel, IF(AtMax,1,index(optimizer[Level],XMATCH(totalShards-primeShards,optimizer[Total discounted cost],-1,2))),
AssMulti,IF(G$16="",1,index(optimizer[armorAssist],XMATCH(AssLevel,optimizer[Level],-1,2))),
TooLow, OR(AssLevel&lt;$G$18,$B111&lt;$G$15),
IF(OR(AtMax,TooLow), 0, PrimeMulti * (AssMulti)))</f>
        <v>2.100924</v>
      </c>
      <c r="P111" s="1112">
        <f t="array" ref="P111">LET(
totalShards, H$10,
AtMax, OR(H$3&lt;$B111,totalShards&lt;$E111),
primeShards, $E111,
PrimeMulti, H111,
AssPer, H$4,
AssLevel, IF(AtMax,1,index(optimizer[Level],XMATCH(totalShards-primeShards,optimizer[Total discounted cost],-1,2))),
AssMulti,IF(H$16="",1,index(optimizer[generatorAssist],XMATCH(AssLevel,optimizer[Level],-1,2))),
TooLow, OR(AssLevel&lt;$H$18,$B111&lt;$H$15),
IF(OR(AtMax,TooLow), 0, PrimeMulti * (AssMulti)))</f>
        <v>1.3046385</v>
      </c>
      <c r="Q111" s="1114">
        <f t="array" ref="Q111">LET(
totalShards, I$10,
AtMax, OR(I$3&lt;$B111,totalShards&lt;$E111),
primeShards, $E111,
PrimeMulti, I111,
AssPer, I$4,
AssLevel, IF(AtMax,1,index(optimizer[Level],XMATCH(totalShards-primeShards,optimizer[Total discounted cost],-1,2))),
AssMulti,IF(I$16="",1,index(optimizer[coreAssist],XMATCH(AssLevel,optimizer[Level],-1,2))),
TooLow, OR(AssLevel&lt;$I$18,$B111&lt;$I$15),
IF(OR(AtMax,TooLow), 0, PrimeMulti * (AssMulti)))</f>
        <v>6.9629</v>
      </c>
    </row>
    <row r="112" ht="22.5" hidden="1" customHeight="1" outlineLevel="1">
      <c r="A112" s="1097"/>
      <c r="B112" s="1103">
        <v>85.0</v>
      </c>
      <c r="C112" s="1104">
        <v>500.0</v>
      </c>
      <c r="D112" s="1104">
        <f t="shared" si="2"/>
        <v>350</v>
      </c>
      <c r="E112" s="1105">
        <f t="shared" si="11"/>
        <v>9165</v>
      </c>
      <c r="F112" s="1106">
        <f t="shared" si="3"/>
        <v>1.99</v>
      </c>
      <c r="G112" s="1106">
        <f t="shared" si="4"/>
        <v>1.99</v>
      </c>
      <c r="H112" s="1106">
        <f t="shared" si="5"/>
        <v>1.225</v>
      </c>
      <c r="I112" s="1106">
        <f t="shared" si="6"/>
        <v>3.484</v>
      </c>
      <c r="J112" s="1107">
        <f t="shared" si="7"/>
        <v>1</v>
      </c>
      <c r="K112" s="1107">
        <f t="shared" si="8"/>
        <v>1.0094</v>
      </c>
      <c r="L112" s="1107">
        <f t="shared" si="9"/>
        <v>1.0225</v>
      </c>
      <c r="M112" s="1107">
        <f t="shared" si="10"/>
        <v>1.23</v>
      </c>
      <c r="N112" s="1106">
        <f t="array" ref="N112">LET(
totalShards, F$10,
AtMax, OR(F$3&lt;$B112,totalShards&lt;$E112),
primeShards, $E112,
PrimeMulti, F112,
AssPer, F$4,
AssLevel, IF(AtMax,1,index(optimizer[Level],XMATCH(totalShards-primeShards,optimizer[Total discounted cost],-1,2))),
AssMulti,IF(F$16="",1,index(optimizer[cannonAssist],XMATCH(AssLevel,optimizer[Level],-1,2))),
TooLow, OR(AssLevel&lt;$F$18,$B112&lt;$F$15),
IF(OR(AtMax,TooLow), 0, PrimeMulti * (AssMulti)))</f>
        <v>1.99</v>
      </c>
      <c r="O112" s="1106">
        <f t="array" ref="O112">LET(
totalShards, G$10,
AtMax, OR(G$3&lt;$B112,totalShards&lt;$E112),
primeShards, $E112,
PrimeMulti, G112,
AssPer, G$4,
AssLevel, IF(AtMax,1,index(optimizer[Level],XMATCH(totalShards-primeShards,optimizer[Total discounted cost],-1,2))),
AssMulti,IF(G$16="",1,index(optimizer[armorAssist],XMATCH(AssLevel,optimizer[Level],-1,2))),
TooLow, OR(AssLevel&lt;$G$18,$B112&lt;$G$15),
IF(OR(AtMax,TooLow), 0, PrimeMulti * (AssMulti)))</f>
        <v>2.133081</v>
      </c>
      <c r="P112" s="1106">
        <f t="array" ref="P112">LET(
totalShards, H$10,
AtMax, OR(H$3&lt;$B112,totalShards&lt;$E112),
primeShards, $E112,
PrimeMulti, H112,
AssPer, H$4,
AssLevel, IF(AtMax,1,index(optimizer[Level],XMATCH(totalShards-primeShards,optimizer[Total discounted cost],-1,2))),
AssMulti,IF(H$16="",1,index(optimizer[generatorAssist],XMATCH(AssLevel,optimizer[Level],-1,2))),
TooLow, OR(AssLevel&lt;$H$18,$B112&lt;$H$15),
IF(OR(AtMax,TooLow), 0, PrimeMulti * (AssMulti)))</f>
        <v>1.3089125</v>
      </c>
      <c r="Q112" s="1108">
        <f t="array" ref="Q112">LET(
totalShards, I$10,
AtMax, OR(I$3&lt;$B112,totalShards&lt;$E112),
primeShards, $E112,
PrimeMulti, I112,
AssPer, I$4,
AssLevel, IF(AtMax,1,index(optimizer[Level],XMATCH(totalShards-primeShards,optimizer[Total discounted cost],-1,2))),
AssMulti,IF(I$16="",1,index(optimizer[coreAssist],XMATCH(AssLevel,optimizer[Level],-1,2))),
TooLow, OR(AssLevel&lt;$I$18,$B112&lt;$I$15),
IF(OR(AtMax,TooLow), 0, PrimeMulti * (AssMulti)))</f>
        <v>7.07252</v>
      </c>
    </row>
    <row r="113" ht="22.5" hidden="1" customHeight="1" outlineLevel="1">
      <c r="A113" s="1097"/>
      <c r="B113" s="1109">
        <v>86.0</v>
      </c>
      <c r="C113" s="1110">
        <v>500.0</v>
      </c>
      <c r="D113" s="1110">
        <f t="shared" si="2"/>
        <v>350</v>
      </c>
      <c r="E113" s="1111">
        <f t="shared" si="11"/>
        <v>9515</v>
      </c>
      <c r="F113" s="1112">
        <f t="shared" si="3"/>
        <v>2.02</v>
      </c>
      <c r="G113" s="1112">
        <f t="shared" si="4"/>
        <v>2.02</v>
      </c>
      <c r="H113" s="1112">
        <f t="shared" si="5"/>
        <v>1.229</v>
      </c>
      <c r="I113" s="1112">
        <f t="shared" si="6"/>
        <v>3.538</v>
      </c>
      <c r="J113" s="1113">
        <f t="shared" si="7"/>
        <v>1</v>
      </c>
      <c r="K113" s="1107">
        <f t="shared" si="8"/>
        <v>1.0097</v>
      </c>
      <c r="L113" s="1107">
        <f t="shared" si="9"/>
        <v>1.0229</v>
      </c>
      <c r="M113" s="1107">
        <f t="shared" si="10"/>
        <v>1.235</v>
      </c>
      <c r="N113" s="1106">
        <f t="array" ref="N113">LET(
totalShards, F$10,
AtMax, OR(F$3&lt;$B113,totalShards&lt;$E113),
primeShards, $E113,
PrimeMulti, F113,
AssPer, F$4,
AssLevel, IF(AtMax,1,index(optimizer[Level],XMATCH(totalShards-primeShards,optimizer[Total discounted cost],-1,2))),
AssMulti,IF(F$16="",1,index(optimizer[cannonAssist],XMATCH(AssLevel,optimizer[Level],-1,2))),
TooLow, OR(AssLevel&lt;$F$18,$B113&lt;$F$15),
IF(OR(AtMax,TooLow), 0, PrimeMulti * (AssMulti)))</f>
        <v>2.02</v>
      </c>
      <c r="O113" s="1112">
        <f t="array" ref="O113">LET(
totalShards, G$10,
AtMax, OR(G$3&lt;$B113,totalShards&lt;$E113),
primeShards, $E113,
PrimeMulti, G113,
AssPer, G$4,
AssLevel, IF(AtMax,1,index(optimizer[Level],XMATCH(totalShards-primeShards,optimizer[Total discounted cost],-1,2))),
AssMulti,IF(G$16="",1,index(optimizer[armorAssist],XMATCH(AssLevel,optimizer[Level],-1,2))),
TooLow, OR(AssLevel&lt;$G$18,$B113&lt;$G$15),
IF(OR(AtMax,TooLow), 0, PrimeMulti * (AssMulti)))</f>
        <v>2.165238</v>
      </c>
      <c r="P113" s="1112">
        <f t="array" ref="P113">LET(
totalShards, H$10,
AtMax, OR(H$3&lt;$B113,totalShards&lt;$E113),
primeShards, $E113,
PrimeMulti, H113,
AssPer, H$4,
AssLevel, IF(AtMax,1,index(optimizer[Level],XMATCH(totalShards-primeShards,optimizer[Total discounted cost],-1,2))),
AssMulti,IF(H$16="",1,index(optimizer[generatorAssist],XMATCH(AssLevel,optimizer[Level],-1,2))),
TooLow, OR(AssLevel&lt;$H$18,$B113&lt;$H$15),
IF(OR(AtMax,TooLow), 0, PrimeMulti * (AssMulti)))</f>
        <v>1.3131865</v>
      </c>
      <c r="Q113" s="1114">
        <f t="array" ref="Q113">LET(
totalShards, I$10,
AtMax, OR(I$3&lt;$B113,totalShards&lt;$E113),
primeShards, $E113,
PrimeMulti, I113,
AssPer, I$4,
AssLevel, IF(AtMax,1,index(optimizer[Level],XMATCH(totalShards-primeShards,optimizer[Total discounted cost],-1,2))),
AssMulti,IF(I$16="",1,index(optimizer[coreAssist],XMATCH(AssLevel,optimizer[Level],-1,2))),
TooLow, OR(AssLevel&lt;$I$18,$B113&lt;$I$15),
IF(OR(AtMax,TooLow), 0, PrimeMulti * (AssMulti)))</f>
        <v>7.18214</v>
      </c>
    </row>
    <row r="114" ht="22.5" hidden="1" customHeight="1" outlineLevel="1">
      <c r="A114" s="1097"/>
      <c r="B114" s="1103">
        <v>87.0</v>
      </c>
      <c r="C114" s="1104">
        <v>500.0</v>
      </c>
      <c r="D114" s="1104">
        <f t="shared" si="2"/>
        <v>350</v>
      </c>
      <c r="E114" s="1105">
        <f t="shared" si="11"/>
        <v>9865</v>
      </c>
      <c r="F114" s="1106">
        <f t="shared" si="3"/>
        <v>2.05</v>
      </c>
      <c r="G114" s="1106">
        <f t="shared" si="4"/>
        <v>2.05</v>
      </c>
      <c r="H114" s="1106">
        <f t="shared" si="5"/>
        <v>1.233</v>
      </c>
      <c r="I114" s="1106">
        <f t="shared" si="6"/>
        <v>3.592</v>
      </c>
      <c r="J114" s="1107">
        <f t="shared" si="7"/>
        <v>1</v>
      </c>
      <c r="K114" s="1107">
        <f t="shared" si="8"/>
        <v>1.01</v>
      </c>
      <c r="L114" s="1107">
        <f t="shared" si="9"/>
        <v>1.0233</v>
      </c>
      <c r="M114" s="1107">
        <f t="shared" si="10"/>
        <v>1.24</v>
      </c>
      <c r="N114" s="1106">
        <f t="array" ref="N114">LET(
totalShards, F$10,
AtMax, OR(F$3&lt;$B114,totalShards&lt;$E114),
primeShards, $E114,
PrimeMulti, F114,
AssPer, F$4,
AssLevel, IF(AtMax,1,index(optimizer[Level],XMATCH(totalShards-primeShards,optimizer[Total discounted cost],-1,2))),
AssMulti,IF(F$16="",1,index(optimizer[cannonAssist],XMATCH(AssLevel,optimizer[Level],-1,2))),
TooLow, OR(AssLevel&lt;$F$18,$B114&lt;$F$15),
IF(OR(AtMax,TooLow), 0, PrimeMulti * (AssMulti)))</f>
        <v>2.05</v>
      </c>
      <c r="O114" s="1106">
        <f t="array" ref="O114">LET(
totalShards, G$10,
AtMax, OR(G$3&lt;$B114,totalShards&lt;$E114),
primeShards, $E114,
PrimeMulti, G114,
AssPer, G$4,
AssLevel, IF(AtMax,1,index(optimizer[Level],XMATCH(totalShards-primeShards,optimizer[Total discounted cost],-1,2))),
AssMulti,IF(G$16="",1,index(optimizer[armorAssist],XMATCH(AssLevel,optimizer[Level],-1,2))),
TooLow, OR(AssLevel&lt;$G$18,$B114&lt;$G$15),
IF(OR(AtMax,TooLow), 0, PrimeMulti * (AssMulti)))</f>
        <v>2.197395</v>
      </c>
      <c r="P114" s="1106">
        <f t="array" ref="P114">LET(
totalShards, H$10,
AtMax, OR(H$3&lt;$B114,totalShards&lt;$E114),
primeShards, $E114,
PrimeMulti, H114,
AssPer, H$4,
AssLevel, IF(AtMax,1,index(optimizer[Level],XMATCH(totalShards-primeShards,optimizer[Total discounted cost],-1,2))),
AssMulti,IF(H$16="",1,index(optimizer[generatorAssist],XMATCH(AssLevel,optimizer[Level],-1,2))),
TooLow, OR(AssLevel&lt;$H$18,$B114&lt;$H$15),
IF(OR(AtMax,TooLow), 0, PrimeMulti * (AssMulti)))</f>
        <v>1.3174605</v>
      </c>
      <c r="Q114" s="1108">
        <f t="array" ref="Q114">LET(
totalShards, I$10,
AtMax, OR(I$3&lt;$B114,totalShards&lt;$E114),
primeShards, $E114,
PrimeMulti, I114,
AssPer, I$4,
AssLevel, IF(AtMax,1,index(optimizer[Level],XMATCH(totalShards-primeShards,optimizer[Total discounted cost],-1,2))),
AssMulti,IF(I$16="",1,index(optimizer[coreAssist],XMATCH(AssLevel,optimizer[Level],-1,2))),
TooLow, OR(AssLevel&lt;$I$18,$B114&lt;$I$15),
IF(OR(AtMax,TooLow), 0, PrimeMulti * (AssMulti)))</f>
        <v>7.29176</v>
      </c>
    </row>
    <row r="115" ht="22.5" hidden="1" customHeight="1" outlineLevel="1">
      <c r="A115" s="1097"/>
      <c r="B115" s="1109">
        <v>88.0</v>
      </c>
      <c r="C115" s="1110">
        <v>500.0</v>
      </c>
      <c r="D115" s="1110">
        <f t="shared" si="2"/>
        <v>350</v>
      </c>
      <c r="E115" s="1111">
        <f t="shared" si="11"/>
        <v>10215</v>
      </c>
      <c r="F115" s="1112">
        <f t="shared" si="3"/>
        <v>2.08</v>
      </c>
      <c r="G115" s="1112">
        <f t="shared" si="4"/>
        <v>2.08</v>
      </c>
      <c r="H115" s="1112">
        <f t="shared" si="5"/>
        <v>1.237</v>
      </c>
      <c r="I115" s="1112">
        <f t="shared" si="6"/>
        <v>3.646</v>
      </c>
      <c r="J115" s="1113">
        <f t="shared" si="7"/>
        <v>1</v>
      </c>
      <c r="K115" s="1107">
        <f t="shared" si="8"/>
        <v>1.0103</v>
      </c>
      <c r="L115" s="1107">
        <f t="shared" si="9"/>
        <v>1.0237</v>
      </c>
      <c r="M115" s="1107">
        <f t="shared" si="10"/>
        <v>1.245</v>
      </c>
      <c r="N115" s="1106">
        <f t="array" ref="N115">LET(
totalShards, F$10,
AtMax, OR(F$3&lt;$B115,totalShards&lt;$E115),
primeShards, $E115,
PrimeMulti, F115,
AssPer, F$4,
AssLevel, IF(AtMax,1,index(optimizer[Level],XMATCH(totalShards-primeShards,optimizer[Total discounted cost],-1,2))),
AssMulti,IF(F$16="",1,index(optimizer[cannonAssist],XMATCH(AssLevel,optimizer[Level],-1,2))),
TooLow, OR(AssLevel&lt;$F$18,$B115&lt;$F$15),
IF(OR(AtMax,TooLow), 0, PrimeMulti * (AssMulti)))</f>
        <v>2.08</v>
      </c>
      <c r="O115" s="1112">
        <f t="array" ref="O115">LET(
totalShards, G$10,
AtMax, OR(G$3&lt;$B115,totalShards&lt;$E115),
primeShards, $E115,
PrimeMulti, G115,
AssPer, G$4,
AssLevel, IF(AtMax,1,index(optimizer[Level],XMATCH(totalShards-primeShards,optimizer[Total discounted cost],-1,2))),
AssMulti,IF(G$16="",1,index(optimizer[armorAssist],XMATCH(AssLevel,optimizer[Level],-1,2))),
TooLow, OR(AssLevel&lt;$G$18,$B115&lt;$G$15),
IF(OR(AtMax,TooLow), 0, PrimeMulti * (AssMulti)))</f>
        <v>2.229552</v>
      </c>
      <c r="P115" s="1112">
        <f t="array" ref="P115">LET(
totalShards, H$10,
AtMax, OR(H$3&lt;$B115,totalShards&lt;$E115),
primeShards, $E115,
PrimeMulti, H115,
AssPer, H$4,
AssLevel, IF(AtMax,1,index(optimizer[Level],XMATCH(totalShards-primeShards,optimizer[Total discounted cost],-1,2))),
AssMulti,IF(H$16="",1,index(optimizer[generatorAssist],XMATCH(AssLevel,optimizer[Level],-1,2))),
TooLow, OR(AssLevel&lt;$H$18,$B115&lt;$H$15),
IF(OR(AtMax,TooLow), 0, PrimeMulti * (AssMulti)))</f>
        <v>1.3217345</v>
      </c>
      <c r="Q115" s="1114">
        <f t="array" ref="Q115">LET(
totalShards, I$10,
AtMax, OR(I$3&lt;$B115,totalShards&lt;$E115),
primeShards, $E115,
PrimeMulti, I115,
AssPer, I$4,
AssLevel, IF(AtMax,1,index(optimizer[Level],XMATCH(totalShards-primeShards,optimizer[Total discounted cost],-1,2))),
AssMulti,IF(I$16="",1,index(optimizer[coreAssist],XMATCH(AssLevel,optimizer[Level],-1,2))),
TooLow, OR(AssLevel&lt;$I$18,$B115&lt;$I$15),
IF(OR(AtMax,TooLow), 0, PrimeMulti * (AssMulti)))</f>
        <v>7.40138</v>
      </c>
    </row>
    <row r="116" ht="22.5" hidden="1" customHeight="1" outlineLevel="1">
      <c r="A116" s="1097"/>
      <c r="B116" s="1103">
        <v>89.0</v>
      </c>
      <c r="C116" s="1104">
        <v>500.0</v>
      </c>
      <c r="D116" s="1104">
        <f t="shared" si="2"/>
        <v>350</v>
      </c>
      <c r="E116" s="1105">
        <f t="shared" si="11"/>
        <v>10565</v>
      </c>
      <c r="F116" s="1106">
        <f t="shared" si="3"/>
        <v>2.11</v>
      </c>
      <c r="G116" s="1106">
        <f t="shared" si="4"/>
        <v>2.11</v>
      </c>
      <c r="H116" s="1106">
        <f t="shared" si="5"/>
        <v>1.241</v>
      </c>
      <c r="I116" s="1106">
        <f t="shared" si="6"/>
        <v>3.7</v>
      </c>
      <c r="J116" s="1107">
        <f t="shared" si="7"/>
        <v>1</v>
      </c>
      <c r="K116" s="1107">
        <f t="shared" si="8"/>
        <v>1.0106</v>
      </c>
      <c r="L116" s="1107">
        <f t="shared" si="9"/>
        <v>1.0241</v>
      </c>
      <c r="M116" s="1107">
        <f t="shared" si="10"/>
        <v>1.25</v>
      </c>
      <c r="N116" s="1106">
        <f t="array" ref="N116">LET(
totalShards, F$10,
AtMax, OR(F$3&lt;$B116,totalShards&lt;$E116),
primeShards, $E116,
PrimeMulti, F116,
AssPer, F$4,
AssLevel, IF(AtMax,1,index(optimizer[Level],XMATCH(totalShards-primeShards,optimizer[Total discounted cost],-1,2))),
AssMulti,IF(F$16="",1,index(optimizer[cannonAssist],XMATCH(AssLevel,optimizer[Level],-1,2))),
TooLow, OR(AssLevel&lt;$F$18,$B116&lt;$F$15),
IF(OR(AtMax,TooLow), 0, PrimeMulti * (AssMulti)))</f>
        <v>2.11</v>
      </c>
      <c r="O116" s="1106">
        <f t="array" ref="O116">LET(
totalShards, G$10,
AtMax, OR(G$3&lt;$B116,totalShards&lt;$E116),
primeShards, $E116,
PrimeMulti, G116,
AssPer, G$4,
AssLevel, IF(AtMax,1,index(optimizer[Level],XMATCH(totalShards-primeShards,optimizer[Total discounted cost],-1,2))),
AssMulti,IF(G$16="",1,index(optimizer[armorAssist],XMATCH(AssLevel,optimizer[Level],-1,2))),
TooLow, OR(AssLevel&lt;$G$18,$B116&lt;$G$15),
IF(OR(AtMax,TooLow), 0, PrimeMulti * (AssMulti)))</f>
        <v>2.261709</v>
      </c>
      <c r="P116" s="1106">
        <f t="array" ref="P116">LET(
totalShards, H$10,
AtMax, OR(H$3&lt;$B116,totalShards&lt;$E116),
primeShards, $E116,
PrimeMulti, H116,
AssPer, H$4,
AssLevel, IF(AtMax,1,index(optimizer[Level],XMATCH(totalShards-primeShards,optimizer[Total discounted cost],-1,2))),
AssMulti,IF(H$16="",1,index(optimizer[generatorAssist],XMATCH(AssLevel,optimizer[Level],-1,2))),
TooLow, OR(AssLevel&lt;$H$18,$B116&lt;$H$15),
IF(OR(AtMax,TooLow), 0, PrimeMulti * (AssMulti)))</f>
        <v>1.3260085</v>
      </c>
      <c r="Q116" s="1108">
        <f t="array" ref="Q116">LET(
totalShards, I$10,
AtMax, OR(I$3&lt;$B116,totalShards&lt;$E116),
primeShards, $E116,
PrimeMulti, I116,
AssPer, I$4,
AssLevel, IF(AtMax,1,index(optimizer[Level],XMATCH(totalShards-primeShards,optimizer[Total discounted cost],-1,2))),
AssMulti,IF(I$16="",1,index(optimizer[coreAssist],XMATCH(AssLevel,optimizer[Level],-1,2))),
TooLow, OR(AssLevel&lt;$I$18,$B116&lt;$I$15),
IF(OR(AtMax,TooLow), 0, PrimeMulti * (AssMulti)))</f>
        <v>7.4185</v>
      </c>
    </row>
    <row r="117" ht="22.5" hidden="1" customHeight="1" outlineLevel="1">
      <c r="A117" s="1097"/>
      <c r="B117" s="1109">
        <v>90.0</v>
      </c>
      <c r="C117" s="1110">
        <v>500.0</v>
      </c>
      <c r="D117" s="1110">
        <f t="shared" si="2"/>
        <v>350</v>
      </c>
      <c r="E117" s="1111">
        <f t="shared" si="11"/>
        <v>10915</v>
      </c>
      <c r="F117" s="1112">
        <f t="shared" si="3"/>
        <v>2.14</v>
      </c>
      <c r="G117" s="1112">
        <f t="shared" si="4"/>
        <v>2.14</v>
      </c>
      <c r="H117" s="1112">
        <f t="shared" si="5"/>
        <v>1.245</v>
      </c>
      <c r="I117" s="1112">
        <f t="shared" si="6"/>
        <v>3.754</v>
      </c>
      <c r="J117" s="1113">
        <f t="shared" si="7"/>
        <v>1</v>
      </c>
      <c r="K117" s="1107">
        <f t="shared" si="8"/>
        <v>1.0109</v>
      </c>
      <c r="L117" s="1107">
        <f t="shared" si="9"/>
        <v>1.0245</v>
      </c>
      <c r="M117" s="1107">
        <f t="shared" si="10"/>
        <v>1.255</v>
      </c>
      <c r="N117" s="1106">
        <f t="array" ref="N117">LET(
totalShards, F$10,
AtMax, OR(F$3&lt;$B117,totalShards&lt;$E117),
primeShards, $E117,
PrimeMulti, F117,
AssPer, F$4,
AssLevel, IF(AtMax,1,index(optimizer[Level],XMATCH(totalShards-primeShards,optimizer[Total discounted cost],-1,2))),
AssMulti,IF(F$16="",1,index(optimizer[cannonAssist],XMATCH(AssLevel,optimizer[Level],-1,2))),
TooLow, OR(AssLevel&lt;$F$18,$B117&lt;$F$15),
IF(OR(AtMax,TooLow), 0, PrimeMulti * (AssMulti)))</f>
        <v>2.14</v>
      </c>
      <c r="O117" s="1112">
        <f t="array" ref="O117">LET(
totalShards, G$10,
AtMax, OR(G$3&lt;$B117,totalShards&lt;$E117),
primeShards, $E117,
PrimeMulti, G117,
AssPer, G$4,
AssLevel, IF(AtMax,1,index(optimizer[Level],XMATCH(totalShards-primeShards,optimizer[Total discounted cost],-1,2))),
AssMulti,IF(G$16="",1,index(optimizer[armorAssist],XMATCH(AssLevel,optimizer[Level],-1,2))),
TooLow, OR(AssLevel&lt;$G$18,$B117&lt;$G$15),
IF(OR(AtMax,TooLow), 0, PrimeMulti * (AssMulti)))</f>
        <v>2.293866</v>
      </c>
      <c r="P117" s="1112">
        <f t="array" ref="P117">LET(
totalShards, H$10,
AtMax, OR(H$3&lt;$B117,totalShards&lt;$E117),
primeShards, $E117,
PrimeMulti, H117,
AssPer, H$4,
AssLevel, IF(AtMax,1,index(optimizer[Level],XMATCH(totalShards-primeShards,optimizer[Total discounted cost],-1,2))),
AssMulti,IF(H$16="",1,index(optimizer[generatorAssist],XMATCH(AssLevel,optimizer[Level],-1,2))),
TooLow, OR(AssLevel&lt;$H$18,$B117&lt;$H$15),
IF(OR(AtMax,TooLow), 0, PrimeMulti * (AssMulti)))</f>
        <v>1.3290375</v>
      </c>
      <c r="Q117" s="1114">
        <f t="array" ref="Q117">LET(
totalShards, I$10,
AtMax, OR(I$3&lt;$B117,totalShards&lt;$E117),
primeShards, $E117,
PrimeMulti, I117,
AssPer, I$4,
AssLevel, IF(AtMax,1,index(optimizer[Level],XMATCH(totalShards-primeShards,optimizer[Total discounted cost],-1,2))),
AssMulti,IF(I$16="",1,index(optimizer[coreAssist],XMATCH(AssLevel,optimizer[Level],-1,2))),
TooLow, OR(AssLevel&lt;$I$18,$B117&lt;$I$15),
IF(OR(AtMax,TooLow), 0, PrimeMulti * (AssMulti)))</f>
        <v>7.52677</v>
      </c>
    </row>
    <row r="118" ht="22.5" hidden="1" customHeight="1" outlineLevel="1">
      <c r="A118" s="1097"/>
      <c r="B118" s="1103">
        <v>91.0</v>
      </c>
      <c r="C118" s="1104">
        <v>700.0</v>
      </c>
      <c r="D118" s="1104">
        <f t="shared" si="2"/>
        <v>490</v>
      </c>
      <c r="E118" s="1105">
        <f t="shared" si="11"/>
        <v>11405</v>
      </c>
      <c r="F118" s="1106">
        <f t="shared" si="3"/>
        <v>2.17</v>
      </c>
      <c r="G118" s="1106">
        <f t="shared" si="4"/>
        <v>2.17</v>
      </c>
      <c r="H118" s="1106">
        <f t="shared" si="5"/>
        <v>1.249</v>
      </c>
      <c r="I118" s="1106">
        <f t="shared" si="6"/>
        <v>3.808</v>
      </c>
      <c r="J118" s="1107">
        <f t="shared" si="7"/>
        <v>1</v>
      </c>
      <c r="K118" s="1107">
        <f t="shared" si="8"/>
        <v>1.0112</v>
      </c>
      <c r="L118" s="1107">
        <f t="shared" si="9"/>
        <v>1.0249</v>
      </c>
      <c r="M118" s="1107">
        <f t="shared" si="10"/>
        <v>1.26</v>
      </c>
      <c r="N118" s="1106">
        <f t="array" ref="N118">LET(
totalShards, F$10,
AtMax, OR(F$3&lt;$B118,totalShards&lt;$E118),
primeShards, $E118,
PrimeMulti, F118,
AssPer, F$4,
AssLevel, IF(AtMax,1,index(optimizer[Level],XMATCH(totalShards-primeShards,optimizer[Total discounted cost],-1,2))),
AssMulti,IF(F$16="",1,index(optimizer[cannonAssist],XMATCH(AssLevel,optimizer[Level],-1,2))),
TooLow, OR(AssLevel&lt;$F$18,$B118&lt;$F$15),
IF(OR(AtMax,TooLow), 0, PrimeMulti * (AssMulti)))</f>
        <v>2.17</v>
      </c>
      <c r="O118" s="1106">
        <f t="array" ref="O118">LET(
totalShards, G$10,
AtMax, OR(G$3&lt;$B118,totalShards&lt;$E118),
primeShards, $E118,
PrimeMulti, G118,
AssPer, G$4,
AssLevel, IF(AtMax,1,index(optimizer[Level],XMATCH(totalShards-primeShards,optimizer[Total discounted cost],-1,2))),
AssMulti,IF(G$16="",1,index(optimizer[armorAssist],XMATCH(AssLevel,optimizer[Level],-1,2))),
TooLow, OR(AssLevel&lt;$G$18,$B118&lt;$G$15),
IF(OR(AtMax,TooLow), 0, PrimeMulti * (AssMulti)))</f>
        <v>2.326023</v>
      </c>
      <c r="P118" s="1106">
        <f t="array" ref="P118">LET(
totalShards, H$10,
AtMax, OR(H$3&lt;$B118,totalShards&lt;$E118),
primeShards, $E118,
PrimeMulti, H118,
AssPer, H$4,
AssLevel, IF(AtMax,1,index(optimizer[Level],XMATCH(totalShards-primeShards,optimizer[Total discounted cost],-1,2))),
AssMulti,IF(H$16="",1,index(optimizer[generatorAssist],XMATCH(AssLevel,optimizer[Level],-1,2))),
TooLow, OR(AssLevel&lt;$H$18,$B118&lt;$H$15),
IF(OR(AtMax,TooLow), 0, PrimeMulti * (AssMulti)))</f>
        <v>1.3333075</v>
      </c>
      <c r="Q118" s="1108">
        <f t="array" ref="Q118">LET(
totalShards, I$10,
AtMax, OR(I$3&lt;$B118,totalShards&lt;$E118),
primeShards, $E118,
PrimeMulti, I118,
AssPer, I$4,
AssLevel, IF(AtMax,1,index(optimizer[Level],XMATCH(totalShards-primeShards,optimizer[Total discounted cost],-1,2))),
AssMulti,IF(I$16="",1,index(optimizer[coreAssist],XMATCH(AssLevel,optimizer[Level],-1,2))),
TooLow, OR(AssLevel&lt;$I$18,$B118&lt;$I$15),
IF(OR(AtMax,TooLow), 0, PrimeMulti * (AssMulti)))</f>
        <v>7.63504</v>
      </c>
    </row>
    <row r="119" ht="22.5" hidden="1" customHeight="1" outlineLevel="1">
      <c r="A119" s="1097"/>
      <c r="B119" s="1109">
        <v>92.0</v>
      </c>
      <c r="C119" s="1110">
        <v>700.0</v>
      </c>
      <c r="D119" s="1110">
        <f t="shared" si="2"/>
        <v>490</v>
      </c>
      <c r="E119" s="1111">
        <f t="shared" si="11"/>
        <v>11895</v>
      </c>
      <c r="F119" s="1112">
        <f t="shared" si="3"/>
        <v>2.2</v>
      </c>
      <c r="G119" s="1112">
        <f t="shared" si="4"/>
        <v>2.2</v>
      </c>
      <c r="H119" s="1112">
        <f t="shared" si="5"/>
        <v>1.253</v>
      </c>
      <c r="I119" s="1112">
        <f t="shared" si="6"/>
        <v>3.862</v>
      </c>
      <c r="J119" s="1113">
        <f t="shared" si="7"/>
        <v>1</v>
      </c>
      <c r="K119" s="1107">
        <f t="shared" si="8"/>
        <v>1.0115</v>
      </c>
      <c r="L119" s="1107">
        <f t="shared" si="9"/>
        <v>1.0253</v>
      </c>
      <c r="M119" s="1107">
        <f t="shared" si="10"/>
        <v>1.265</v>
      </c>
      <c r="N119" s="1106">
        <f t="array" ref="N119">LET(
totalShards, F$10,
AtMax, OR(F$3&lt;$B119,totalShards&lt;$E119),
primeShards, $E119,
PrimeMulti, F119,
AssPer, F$4,
AssLevel, IF(AtMax,1,index(optimizer[Level],XMATCH(totalShards-primeShards,optimizer[Total discounted cost],-1,2))),
AssMulti,IF(F$16="",1,index(optimizer[cannonAssist],XMATCH(AssLevel,optimizer[Level],-1,2))),
TooLow, OR(AssLevel&lt;$F$18,$B119&lt;$F$15),
IF(OR(AtMax,TooLow), 0, PrimeMulti * (AssMulti)))</f>
        <v>2.2</v>
      </c>
      <c r="O119" s="1112">
        <f t="array" ref="O119">LET(
totalShards, G$10,
AtMax, OR(G$3&lt;$B119,totalShards&lt;$E119),
primeShards, $E119,
PrimeMulti, G119,
AssPer, G$4,
AssLevel, IF(AtMax,1,index(optimizer[Level],XMATCH(totalShards-primeShards,optimizer[Total discounted cost],-1,2))),
AssMulti,IF(G$16="",1,index(optimizer[armorAssist],XMATCH(AssLevel,optimizer[Level],-1,2))),
TooLow, OR(AssLevel&lt;$G$18,$B119&lt;$G$15),
IF(OR(AtMax,TooLow), 0, PrimeMulti * (AssMulti)))</f>
        <v>2.35818</v>
      </c>
      <c r="P119" s="1112">
        <f t="array" ref="P119">LET(
totalShards, H$10,
AtMax, OR(H$3&lt;$B119,totalShards&lt;$E119),
primeShards, $E119,
PrimeMulti, H119,
AssPer, H$4,
AssLevel, IF(AtMax,1,index(optimizer[Level],XMATCH(totalShards-primeShards,optimizer[Total discounted cost],-1,2))),
AssMulti,IF(H$16="",1,index(optimizer[generatorAssist],XMATCH(AssLevel,optimizer[Level],-1,2))),
TooLow, OR(AssLevel&lt;$H$18,$B119&lt;$H$15),
IF(OR(AtMax,TooLow), 0, PrimeMulti * (AssMulti)))</f>
        <v>1.3375775</v>
      </c>
      <c r="Q119" s="1114">
        <f t="array" ref="Q119">LET(
totalShards, I$10,
AtMax, OR(I$3&lt;$B119,totalShards&lt;$E119),
primeShards, $E119,
PrimeMulti, I119,
AssPer, I$4,
AssLevel, IF(AtMax,1,index(optimizer[Level],XMATCH(totalShards-primeShards,optimizer[Total discounted cost],-1,2))),
AssMulti,IF(I$16="",1,index(optimizer[coreAssist],XMATCH(AssLevel,optimizer[Level],-1,2))),
TooLow, OR(AssLevel&lt;$I$18,$B119&lt;$I$15),
IF(OR(AtMax,TooLow), 0, PrimeMulti * (AssMulti)))</f>
        <v>7.74331</v>
      </c>
    </row>
    <row r="120" ht="22.5" hidden="1" customHeight="1" outlineLevel="1">
      <c r="A120" s="1097"/>
      <c r="B120" s="1103">
        <v>93.0</v>
      </c>
      <c r="C120" s="1104">
        <v>700.0</v>
      </c>
      <c r="D120" s="1104">
        <f t="shared" si="2"/>
        <v>490</v>
      </c>
      <c r="E120" s="1105">
        <f t="shared" si="11"/>
        <v>12385</v>
      </c>
      <c r="F120" s="1106">
        <f t="shared" si="3"/>
        <v>2.23</v>
      </c>
      <c r="G120" s="1106">
        <f t="shared" si="4"/>
        <v>2.23</v>
      </c>
      <c r="H120" s="1106">
        <f t="shared" si="5"/>
        <v>1.257</v>
      </c>
      <c r="I120" s="1106">
        <f t="shared" si="6"/>
        <v>3.916</v>
      </c>
      <c r="J120" s="1107">
        <f t="shared" si="7"/>
        <v>1</v>
      </c>
      <c r="K120" s="1107">
        <f t="shared" si="8"/>
        <v>1.0118</v>
      </c>
      <c r="L120" s="1107">
        <f t="shared" si="9"/>
        <v>1.0257</v>
      </c>
      <c r="M120" s="1107">
        <f t="shared" si="10"/>
        <v>1.27</v>
      </c>
      <c r="N120" s="1106">
        <f t="array" ref="N120">LET(
totalShards, F$10,
AtMax, OR(F$3&lt;$B120,totalShards&lt;$E120),
primeShards, $E120,
PrimeMulti, F120,
AssPer, F$4,
AssLevel, IF(AtMax,1,index(optimizer[Level],XMATCH(totalShards-primeShards,optimizer[Total discounted cost],-1,2))),
AssMulti,IF(F$16="",1,index(optimizer[cannonAssist],XMATCH(AssLevel,optimizer[Level],-1,2))),
TooLow, OR(AssLevel&lt;$F$18,$B120&lt;$F$15),
IF(OR(AtMax,TooLow), 0, PrimeMulti * (AssMulti)))</f>
        <v>2.23</v>
      </c>
      <c r="O120" s="1106">
        <f t="array" ref="O120">LET(
totalShards, G$10,
AtMax, OR(G$3&lt;$B120,totalShards&lt;$E120),
primeShards, $E120,
PrimeMulti, G120,
AssPer, G$4,
AssLevel, IF(AtMax,1,index(optimizer[Level],XMATCH(totalShards-primeShards,optimizer[Total discounted cost],-1,2))),
AssMulti,IF(G$16="",1,index(optimizer[armorAssist],XMATCH(AssLevel,optimizer[Level],-1,2))),
TooLow, OR(AssLevel&lt;$G$18,$B120&lt;$G$15),
IF(OR(AtMax,TooLow), 0, PrimeMulti * (AssMulti)))</f>
        <v>2.387661</v>
      </c>
      <c r="P120" s="1106">
        <f t="array" ref="P120">LET(
totalShards, H$10,
AtMax, OR(H$3&lt;$B120,totalShards&lt;$E120),
primeShards, $E120,
PrimeMulti, H120,
AssPer, H$4,
AssLevel, IF(AtMax,1,index(optimizer[Level],XMATCH(totalShards-primeShards,optimizer[Total discounted cost],-1,2))),
AssMulti,IF(H$16="",1,index(optimizer[generatorAssist],XMATCH(AssLevel,optimizer[Level],-1,2))),
TooLow, OR(AssLevel&lt;$H$18,$B120&lt;$H$15),
IF(OR(AtMax,TooLow), 0, PrimeMulti * (AssMulti)))</f>
        <v>1.3418475</v>
      </c>
      <c r="Q120" s="1108">
        <f t="array" ref="Q120">LET(
totalShards, I$10,
AtMax, OR(I$3&lt;$B120,totalShards&lt;$E120),
primeShards, $E120,
PrimeMulti, I120,
AssPer, I$4,
AssLevel, IF(AtMax,1,index(optimizer[Level],XMATCH(totalShards-primeShards,optimizer[Total discounted cost],-1,2))),
AssMulti,IF(I$16="",1,index(optimizer[coreAssist],XMATCH(AssLevel,optimizer[Level],-1,2))),
TooLow, OR(AssLevel&lt;$I$18,$B120&lt;$I$15),
IF(OR(AtMax,TooLow), 0, PrimeMulti * (AssMulti)))</f>
        <v>7.85158</v>
      </c>
    </row>
    <row r="121" ht="22.5" hidden="1" customHeight="1" outlineLevel="1">
      <c r="A121" s="1097"/>
      <c r="B121" s="1109">
        <v>94.0</v>
      </c>
      <c r="C121" s="1110">
        <v>700.0</v>
      </c>
      <c r="D121" s="1110">
        <f t="shared" si="2"/>
        <v>490</v>
      </c>
      <c r="E121" s="1111">
        <f t="shared" si="11"/>
        <v>12875</v>
      </c>
      <c r="F121" s="1112">
        <f t="shared" si="3"/>
        <v>2.26</v>
      </c>
      <c r="G121" s="1112">
        <f t="shared" si="4"/>
        <v>2.26</v>
      </c>
      <c r="H121" s="1112">
        <f t="shared" si="5"/>
        <v>1.261</v>
      </c>
      <c r="I121" s="1112">
        <f t="shared" si="6"/>
        <v>3.97</v>
      </c>
      <c r="J121" s="1113">
        <f t="shared" si="7"/>
        <v>1</v>
      </c>
      <c r="K121" s="1107">
        <f t="shared" si="8"/>
        <v>1.0121</v>
      </c>
      <c r="L121" s="1107">
        <f t="shared" si="9"/>
        <v>1.0261</v>
      </c>
      <c r="M121" s="1107">
        <f t="shared" si="10"/>
        <v>1.275</v>
      </c>
      <c r="N121" s="1106">
        <f t="array" ref="N121">LET(
totalShards, F$10,
AtMax, OR(F$3&lt;$B121,totalShards&lt;$E121),
primeShards, $E121,
PrimeMulti, F121,
AssPer, F$4,
AssLevel, IF(AtMax,1,index(optimizer[Level],XMATCH(totalShards-primeShards,optimizer[Total discounted cost],-1,2))),
AssMulti,IF(F$16="",1,index(optimizer[cannonAssist],XMATCH(AssLevel,optimizer[Level],-1,2))),
TooLow, OR(AssLevel&lt;$F$18,$B121&lt;$F$15),
IF(OR(AtMax,TooLow), 0, PrimeMulti * (AssMulti)))</f>
        <v>2.26</v>
      </c>
      <c r="O121" s="1112">
        <f t="array" ref="O121">LET(
totalShards, G$10,
AtMax, OR(G$3&lt;$B121,totalShards&lt;$E121),
primeShards, $E121,
PrimeMulti, G121,
AssPer, G$4,
AssLevel, IF(AtMax,1,index(optimizer[Level],XMATCH(totalShards-primeShards,optimizer[Total discounted cost],-1,2))),
AssMulti,IF(G$16="",1,index(optimizer[armorAssist],XMATCH(AssLevel,optimizer[Level],-1,2))),
TooLow, OR(AssLevel&lt;$G$18,$B121&lt;$G$15),
IF(OR(AtMax,TooLow), 0, PrimeMulti * (AssMulti)))</f>
        <v>2.419782</v>
      </c>
      <c r="P121" s="1112">
        <f t="array" ref="P121">LET(
totalShards, H$10,
AtMax, OR(H$3&lt;$B121,totalShards&lt;$E121),
primeShards, $E121,
PrimeMulti, H121,
AssPer, H$4,
AssLevel, IF(AtMax,1,index(optimizer[Level],XMATCH(totalShards-primeShards,optimizer[Total discounted cost],-1,2))),
AssMulti,IF(H$16="",1,index(optimizer[generatorAssist],XMATCH(AssLevel,optimizer[Level],-1,2))),
TooLow, OR(AssLevel&lt;$H$18,$B121&lt;$H$15),
IF(OR(AtMax,TooLow), 0, PrimeMulti * (AssMulti)))</f>
        <v>1.3461175</v>
      </c>
      <c r="Q121" s="1114">
        <f t="array" ref="Q121">LET(
totalShards, I$10,
AtMax, OR(I$3&lt;$B121,totalShards&lt;$E121),
primeShards, $E121,
PrimeMulti, I121,
AssPer, I$4,
AssLevel, IF(AtMax,1,index(optimizer[Level],XMATCH(totalShards-primeShards,optimizer[Total discounted cost],-1,2))),
AssMulti,IF(I$16="",1,index(optimizer[coreAssist],XMATCH(AssLevel,optimizer[Level],-1,2))),
TooLow, OR(AssLevel&lt;$I$18,$B121&lt;$I$15),
IF(OR(AtMax,TooLow), 0, PrimeMulti * (AssMulti)))</f>
        <v>7.95985</v>
      </c>
    </row>
    <row r="122" ht="22.5" hidden="1" customHeight="1" outlineLevel="1">
      <c r="A122" s="1097"/>
      <c r="B122" s="1103">
        <v>95.0</v>
      </c>
      <c r="C122" s="1104">
        <v>700.0</v>
      </c>
      <c r="D122" s="1104">
        <f t="shared" si="2"/>
        <v>490</v>
      </c>
      <c r="E122" s="1105">
        <f t="shared" si="11"/>
        <v>13365</v>
      </c>
      <c r="F122" s="1106">
        <f t="shared" si="3"/>
        <v>2.29</v>
      </c>
      <c r="G122" s="1106">
        <f t="shared" si="4"/>
        <v>2.29</v>
      </c>
      <c r="H122" s="1106">
        <f t="shared" si="5"/>
        <v>1.265</v>
      </c>
      <c r="I122" s="1106">
        <f t="shared" si="6"/>
        <v>4.024</v>
      </c>
      <c r="J122" s="1107">
        <f t="shared" si="7"/>
        <v>1</v>
      </c>
      <c r="K122" s="1107">
        <f t="shared" si="8"/>
        <v>1.0124</v>
      </c>
      <c r="L122" s="1107">
        <f t="shared" si="9"/>
        <v>1.0265</v>
      </c>
      <c r="M122" s="1107">
        <f t="shared" si="10"/>
        <v>1.28</v>
      </c>
      <c r="N122" s="1106">
        <f t="array" ref="N122">LET(
totalShards, F$10,
AtMax, OR(F$3&lt;$B122,totalShards&lt;$E122),
primeShards, $E122,
PrimeMulti, F122,
AssPer, F$4,
AssLevel, IF(AtMax,1,index(optimizer[Level],XMATCH(totalShards-primeShards,optimizer[Total discounted cost],-1,2))),
AssMulti,IF(F$16="",1,index(optimizer[cannonAssist],XMATCH(AssLevel,optimizer[Level],-1,2))),
TooLow, OR(AssLevel&lt;$F$18,$B122&lt;$F$15),
IF(OR(AtMax,TooLow), 0, PrimeMulti * (AssMulti)))</f>
        <v>2.29</v>
      </c>
      <c r="O122" s="1106">
        <f t="array" ref="O122">LET(
totalShards, G$10,
AtMax, OR(G$3&lt;$B122,totalShards&lt;$E122),
primeShards, $E122,
PrimeMulti, G122,
AssPer, G$4,
AssLevel, IF(AtMax,1,index(optimizer[Level],XMATCH(totalShards-primeShards,optimizer[Total discounted cost],-1,2))),
AssMulti,IF(G$16="",1,index(optimizer[armorAssist],XMATCH(AssLevel,optimizer[Level],-1,2))),
TooLow, OR(AssLevel&lt;$G$18,$B122&lt;$G$15),
IF(OR(AtMax,TooLow), 0, PrimeMulti * (AssMulti)))</f>
        <v>2.451903</v>
      </c>
      <c r="P122" s="1106">
        <f t="array" ref="P122">LET(
totalShards, H$10,
AtMax, OR(H$3&lt;$B122,totalShards&lt;$E122),
primeShards, $E122,
PrimeMulti, H122,
AssPer, H$4,
AssLevel, IF(AtMax,1,index(optimizer[Level],XMATCH(totalShards-primeShards,optimizer[Total discounted cost],-1,2))),
AssMulti,IF(H$16="",1,index(optimizer[generatorAssist],XMATCH(AssLevel,optimizer[Level],-1,2))),
TooLow, OR(AssLevel&lt;$H$18,$B122&lt;$H$15),
IF(OR(AtMax,TooLow), 0, PrimeMulti * (AssMulti)))</f>
        <v>1.3503875</v>
      </c>
      <c r="Q122" s="1108">
        <f t="array" ref="Q122">LET(
totalShards, I$10,
AtMax, OR(I$3&lt;$B122,totalShards&lt;$E122),
primeShards, $E122,
PrimeMulti, I122,
AssPer, I$4,
AssLevel, IF(AtMax,1,index(optimizer[Level],XMATCH(totalShards-primeShards,optimizer[Total discounted cost],-1,2))),
AssMulti,IF(I$16="",1,index(optimizer[coreAssist],XMATCH(AssLevel,optimizer[Level],-1,2))),
TooLow, OR(AssLevel&lt;$I$18,$B122&lt;$I$15),
IF(OR(AtMax,TooLow), 0, PrimeMulti * (AssMulti)))</f>
        <v>8.06812</v>
      </c>
    </row>
    <row r="123" ht="22.5" hidden="1" customHeight="1" outlineLevel="1">
      <c r="A123" s="1097"/>
      <c r="B123" s="1109">
        <v>96.0</v>
      </c>
      <c r="C123" s="1110">
        <v>700.0</v>
      </c>
      <c r="D123" s="1110">
        <f t="shared" si="2"/>
        <v>490</v>
      </c>
      <c r="E123" s="1111">
        <f t="shared" si="11"/>
        <v>13855</v>
      </c>
      <c r="F123" s="1112">
        <f t="shared" si="3"/>
        <v>2.32</v>
      </c>
      <c r="G123" s="1112">
        <f t="shared" si="4"/>
        <v>2.32</v>
      </c>
      <c r="H123" s="1112">
        <f t="shared" si="5"/>
        <v>1.269</v>
      </c>
      <c r="I123" s="1112">
        <f t="shared" si="6"/>
        <v>4.078</v>
      </c>
      <c r="J123" s="1113">
        <f t="shared" si="7"/>
        <v>1</v>
      </c>
      <c r="K123" s="1107">
        <f t="shared" si="8"/>
        <v>1.0127</v>
      </c>
      <c r="L123" s="1107">
        <f t="shared" si="9"/>
        <v>1.0269</v>
      </c>
      <c r="M123" s="1107">
        <f t="shared" si="10"/>
        <v>1.285</v>
      </c>
      <c r="N123" s="1106">
        <f t="array" ref="N123">LET(
totalShards, F$10,
AtMax, OR(F$3&lt;$B123,totalShards&lt;$E123),
primeShards, $E123,
PrimeMulti, F123,
AssPer, F$4,
AssLevel, IF(AtMax,1,index(optimizer[Level],XMATCH(totalShards-primeShards,optimizer[Total discounted cost],-1,2))),
AssMulti,IF(F$16="",1,index(optimizer[cannonAssist],XMATCH(AssLevel,optimizer[Level],-1,2))),
TooLow, OR(AssLevel&lt;$F$18,$B123&lt;$F$15),
IF(OR(AtMax,TooLow), 0, PrimeMulti * (AssMulti)))</f>
        <v>2.32</v>
      </c>
      <c r="O123" s="1112">
        <f t="array" ref="O123">LET(
totalShards, G$10,
AtMax, OR(G$3&lt;$B123,totalShards&lt;$E123),
primeShards, $E123,
PrimeMulti, G123,
AssPer, G$4,
AssLevel, IF(AtMax,1,index(optimizer[Level],XMATCH(totalShards-primeShards,optimizer[Total discounted cost],-1,2))),
AssMulti,IF(G$16="",1,index(optimizer[armorAssist],XMATCH(AssLevel,optimizer[Level],-1,2))),
TooLow, OR(AssLevel&lt;$G$18,$B123&lt;$G$15),
IF(OR(AtMax,TooLow), 0, PrimeMulti * (AssMulti)))</f>
        <v>2.484024</v>
      </c>
      <c r="P123" s="1112">
        <f t="array" ref="P123">LET(
totalShards, H$10,
AtMax, OR(H$3&lt;$B123,totalShards&lt;$E123),
primeShards, $E123,
PrimeMulti, H123,
AssPer, H$4,
AssLevel, IF(AtMax,1,index(optimizer[Level],XMATCH(totalShards-primeShards,optimizer[Total discounted cost],-1,2))),
AssMulti,IF(H$16="",1,index(optimizer[generatorAssist],XMATCH(AssLevel,optimizer[Level],-1,2))),
TooLow, OR(AssLevel&lt;$H$18,$B123&lt;$H$15),
IF(OR(AtMax,TooLow), 0, PrimeMulti * (AssMulti)))</f>
        <v>1.3546575</v>
      </c>
      <c r="Q123" s="1114">
        <f t="array" ref="Q123">LET(
totalShards, I$10,
AtMax, OR(I$3&lt;$B123,totalShards&lt;$E123),
primeShards, $E123,
PrimeMulti, I123,
AssPer, I$4,
AssLevel, IF(AtMax,1,index(optimizer[Level],XMATCH(totalShards-primeShards,optimizer[Total discounted cost],-1,2))),
AssMulti,IF(I$16="",1,index(optimizer[coreAssist],XMATCH(AssLevel,optimizer[Level],-1,2))),
TooLow, OR(AssLevel&lt;$I$18,$B123&lt;$I$15),
IF(OR(AtMax,TooLow), 0, PrimeMulti * (AssMulti)))</f>
        <v>8.11522</v>
      </c>
    </row>
    <row r="124" ht="22.5" hidden="1" customHeight="1" outlineLevel="1">
      <c r="A124" s="1097"/>
      <c r="B124" s="1103">
        <v>97.0</v>
      </c>
      <c r="C124" s="1104">
        <v>700.0</v>
      </c>
      <c r="D124" s="1104">
        <f t="shared" si="2"/>
        <v>490</v>
      </c>
      <c r="E124" s="1105">
        <f t="shared" si="11"/>
        <v>14345</v>
      </c>
      <c r="F124" s="1106">
        <f t="shared" si="3"/>
        <v>2.35</v>
      </c>
      <c r="G124" s="1106">
        <f t="shared" si="4"/>
        <v>2.35</v>
      </c>
      <c r="H124" s="1106">
        <f t="shared" si="5"/>
        <v>1.273</v>
      </c>
      <c r="I124" s="1106">
        <f t="shared" si="6"/>
        <v>4.132</v>
      </c>
      <c r="J124" s="1107">
        <f t="shared" si="7"/>
        <v>1</v>
      </c>
      <c r="K124" s="1107">
        <f t="shared" si="8"/>
        <v>1.013</v>
      </c>
      <c r="L124" s="1107">
        <f t="shared" si="9"/>
        <v>1.0273</v>
      </c>
      <c r="M124" s="1107">
        <f t="shared" si="10"/>
        <v>1.29</v>
      </c>
      <c r="N124" s="1106">
        <f t="array" ref="N124">LET(
totalShards, F$10,
AtMax, OR(F$3&lt;$B124,totalShards&lt;$E124),
primeShards, $E124,
PrimeMulti, F124,
AssPer, F$4,
AssLevel, IF(AtMax,1,index(optimizer[Level],XMATCH(totalShards-primeShards,optimizer[Total discounted cost],-1,2))),
AssMulti,IF(F$16="",1,index(optimizer[cannonAssist],XMATCH(AssLevel,optimizer[Level],-1,2))),
TooLow, OR(AssLevel&lt;$F$18,$B124&lt;$F$15),
IF(OR(AtMax,TooLow), 0, PrimeMulti * (AssMulti)))</f>
        <v>2.35</v>
      </c>
      <c r="O124" s="1106">
        <f t="array" ref="O124">LET(
totalShards, G$10,
AtMax, OR(G$3&lt;$B124,totalShards&lt;$E124),
primeShards, $E124,
PrimeMulti, G124,
AssPer, G$4,
AssLevel, IF(AtMax,1,index(optimizer[Level],XMATCH(totalShards-primeShards,optimizer[Total discounted cost],-1,2))),
AssMulti,IF(G$16="",1,index(optimizer[armorAssist],XMATCH(AssLevel,optimizer[Level],-1,2))),
TooLow, OR(AssLevel&lt;$G$18,$B124&lt;$G$15),
IF(OR(AtMax,TooLow), 0, PrimeMulti * (AssMulti)))</f>
        <v>2.516145</v>
      </c>
      <c r="P124" s="1106">
        <f t="array" ref="P124">LET(
totalShards, H$10,
AtMax, OR(H$3&lt;$B124,totalShards&lt;$E124),
primeShards, $E124,
PrimeMulti, H124,
AssPer, H$4,
AssLevel, IF(AtMax,1,index(optimizer[Level],XMATCH(totalShards-primeShards,optimizer[Total discounted cost],-1,2))),
AssMulti,IF(H$16="",1,index(optimizer[generatorAssist],XMATCH(AssLevel,optimizer[Level],-1,2))),
TooLow, OR(AssLevel&lt;$H$18,$B124&lt;$H$15),
IF(OR(AtMax,TooLow), 0, PrimeMulti * (AssMulti)))</f>
        <v>1.3589275</v>
      </c>
      <c r="Q124" s="1108">
        <f t="array" ref="Q124">LET(
totalShards, I$10,
AtMax, OR(I$3&lt;$B124,totalShards&lt;$E124),
primeShards, $E124,
PrimeMulti, I124,
AssPer, I$4,
AssLevel, IF(AtMax,1,index(optimizer[Level],XMATCH(totalShards-primeShards,optimizer[Total discounted cost],-1,2))),
AssMulti,IF(I$16="",1,index(optimizer[coreAssist],XMATCH(AssLevel,optimizer[Level],-1,2))),
TooLow, OR(AssLevel&lt;$I$18,$B124&lt;$I$15),
IF(OR(AtMax,TooLow), 0, PrimeMulti * (AssMulti)))</f>
        <v>8.22268</v>
      </c>
    </row>
    <row r="125" ht="22.5" hidden="1" customHeight="1" outlineLevel="1">
      <c r="A125" s="1097"/>
      <c r="B125" s="1109">
        <v>98.0</v>
      </c>
      <c r="C125" s="1110">
        <v>700.0</v>
      </c>
      <c r="D125" s="1110">
        <f t="shared" si="2"/>
        <v>490</v>
      </c>
      <c r="E125" s="1111">
        <f t="shared" si="11"/>
        <v>14835</v>
      </c>
      <c r="F125" s="1112">
        <f t="shared" si="3"/>
        <v>2.38</v>
      </c>
      <c r="G125" s="1112">
        <f t="shared" si="4"/>
        <v>2.38</v>
      </c>
      <c r="H125" s="1112">
        <f t="shared" si="5"/>
        <v>1.277</v>
      </c>
      <c r="I125" s="1112">
        <f t="shared" si="6"/>
        <v>4.186</v>
      </c>
      <c r="J125" s="1113">
        <f t="shared" si="7"/>
        <v>1</v>
      </c>
      <c r="K125" s="1107">
        <f t="shared" si="8"/>
        <v>1.0133</v>
      </c>
      <c r="L125" s="1107">
        <f t="shared" si="9"/>
        <v>1.0277</v>
      </c>
      <c r="M125" s="1107">
        <f t="shared" si="10"/>
        <v>1.295</v>
      </c>
      <c r="N125" s="1106">
        <f t="array" ref="N125">LET(
totalShards, F$10,
AtMax, OR(F$3&lt;$B125,totalShards&lt;$E125),
primeShards, $E125,
PrimeMulti, F125,
AssPer, F$4,
AssLevel, IF(AtMax,1,index(optimizer[Level],XMATCH(totalShards-primeShards,optimizer[Total discounted cost],-1,2))),
AssMulti,IF(F$16="",1,index(optimizer[cannonAssist],XMATCH(AssLevel,optimizer[Level],-1,2))),
TooLow, OR(AssLevel&lt;$F$18,$B125&lt;$F$15),
IF(OR(AtMax,TooLow), 0, PrimeMulti * (AssMulti)))</f>
        <v>2.38</v>
      </c>
      <c r="O125" s="1112">
        <f t="array" ref="O125">LET(
totalShards, G$10,
AtMax, OR(G$3&lt;$B125,totalShards&lt;$E125),
primeShards, $E125,
PrimeMulti, G125,
AssPer, G$4,
AssLevel, IF(AtMax,1,index(optimizer[Level],XMATCH(totalShards-primeShards,optimizer[Total discounted cost],-1,2))),
AssMulti,IF(G$16="",1,index(optimizer[armorAssist],XMATCH(AssLevel,optimizer[Level],-1,2))),
TooLow, OR(AssLevel&lt;$G$18,$B125&lt;$G$15),
IF(OR(AtMax,TooLow), 0, PrimeMulti * (AssMulti)))</f>
        <v>2.54541</v>
      </c>
      <c r="P125" s="1112">
        <f t="array" ref="P125">LET(
totalShards, H$10,
AtMax, OR(H$3&lt;$B125,totalShards&lt;$E125),
primeShards, $E125,
PrimeMulti, H125,
AssPer, H$4,
AssLevel, IF(AtMax,1,index(optimizer[Level],XMATCH(totalShards-primeShards,optimizer[Total discounted cost],-1,2))),
AssMulti,IF(H$16="",1,index(optimizer[generatorAssist],XMATCH(AssLevel,optimizer[Level],-1,2))),
TooLow, OR(AssLevel&lt;$H$18,$B125&lt;$H$15),
IF(OR(AtMax,TooLow), 0, PrimeMulti * (AssMulti)))</f>
        <v>1.3619205</v>
      </c>
      <c r="Q125" s="1114">
        <f t="array" ref="Q125">LET(
totalShards, I$10,
AtMax, OR(I$3&lt;$B125,totalShards&lt;$E125),
primeShards, $E125,
PrimeMulti, I125,
AssPer, I$4,
AssLevel, IF(AtMax,1,index(optimizer[Level],XMATCH(totalShards-primeShards,optimizer[Total discounted cost],-1,2))),
AssMulti,IF(I$16="",1,index(optimizer[coreAssist],XMATCH(AssLevel,optimizer[Level],-1,2))),
TooLow, OR(AssLevel&lt;$I$18,$B125&lt;$I$15),
IF(OR(AtMax,TooLow), 0, PrimeMulti * (AssMulti)))</f>
        <v>8.33014</v>
      </c>
    </row>
    <row r="126" ht="22.5" hidden="1" customHeight="1" outlineLevel="1">
      <c r="A126" s="1097"/>
      <c r="B126" s="1103">
        <v>99.0</v>
      </c>
      <c r="C126" s="1104">
        <v>700.0</v>
      </c>
      <c r="D126" s="1104">
        <f t="shared" si="2"/>
        <v>490</v>
      </c>
      <c r="E126" s="1105">
        <f t="shared" si="11"/>
        <v>15325</v>
      </c>
      <c r="F126" s="1106">
        <f t="shared" si="3"/>
        <v>2.41</v>
      </c>
      <c r="G126" s="1106">
        <f t="shared" si="4"/>
        <v>2.41</v>
      </c>
      <c r="H126" s="1106">
        <f t="shared" si="5"/>
        <v>1.281</v>
      </c>
      <c r="I126" s="1106">
        <f t="shared" si="6"/>
        <v>4.24</v>
      </c>
      <c r="J126" s="1107">
        <f t="shared" si="7"/>
        <v>1</v>
      </c>
      <c r="K126" s="1107">
        <f t="shared" si="8"/>
        <v>1.0136</v>
      </c>
      <c r="L126" s="1107">
        <f t="shared" si="9"/>
        <v>1.0281</v>
      </c>
      <c r="M126" s="1107">
        <f t="shared" si="10"/>
        <v>1.3</v>
      </c>
      <c r="N126" s="1106">
        <f t="array" ref="N126">LET(
totalShards, F$10,
AtMax, OR(F$3&lt;$B126,totalShards&lt;$E126),
primeShards, $E126,
PrimeMulti, F126,
AssPer, F$4,
AssLevel, IF(AtMax,1,index(optimizer[Level],XMATCH(totalShards-primeShards,optimizer[Total discounted cost],-1,2))),
AssMulti,IF(F$16="",1,index(optimizer[cannonAssist],XMATCH(AssLevel,optimizer[Level],-1,2))),
TooLow, OR(AssLevel&lt;$F$18,$B126&lt;$F$15),
IF(OR(AtMax,TooLow), 0, PrimeMulti * (AssMulti)))</f>
        <v>2.41</v>
      </c>
      <c r="O126" s="1106">
        <f t="array" ref="O126">LET(
totalShards, G$10,
AtMax, OR(G$3&lt;$B126,totalShards&lt;$E126),
primeShards, $E126,
PrimeMulti, G126,
AssPer, G$4,
AssLevel, IF(AtMax,1,index(optimizer[Level],XMATCH(totalShards-primeShards,optimizer[Total discounted cost],-1,2))),
AssMulti,IF(G$16="",1,index(optimizer[armorAssist],XMATCH(AssLevel,optimizer[Level],-1,2))),
TooLow, OR(AssLevel&lt;$G$18,$B126&lt;$G$15),
IF(OR(AtMax,TooLow), 0, PrimeMulti * (AssMulti)))</f>
        <v>2.577495</v>
      </c>
      <c r="P126" s="1106">
        <f t="array" ref="P126">LET(
totalShards, H$10,
AtMax, OR(H$3&lt;$B126,totalShards&lt;$E126),
primeShards, $E126,
PrimeMulti, H126,
AssPer, H$4,
AssLevel, IF(AtMax,1,index(optimizer[Level],XMATCH(totalShards-primeShards,optimizer[Total discounted cost],-1,2))),
AssMulti,IF(H$16="",1,index(optimizer[generatorAssist],XMATCH(AssLevel,optimizer[Level],-1,2))),
TooLow, OR(AssLevel&lt;$H$18,$B126&lt;$H$15),
IF(OR(AtMax,TooLow), 0, PrimeMulti * (AssMulti)))</f>
        <v>1.3661865</v>
      </c>
      <c r="Q126" s="1108">
        <f t="array" ref="Q126">LET(
totalShards, I$10,
AtMax, OR(I$3&lt;$B126,totalShards&lt;$E126),
primeShards, $E126,
PrimeMulti, I126,
AssPer, I$4,
AssLevel, IF(AtMax,1,index(optimizer[Level],XMATCH(totalShards-primeShards,optimizer[Total discounted cost],-1,2))),
AssMulti,IF(I$16="",1,index(optimizer[coreAssist],XMATCH(AssLevel,optimizer[Level],-1,2))),
TooLow, OR(AssLevel&lt;$I$18,$B126&lt;$I$15),
IF(OR(AtMax,TooLow), 0, PrimeMulti * (AssMulti)))</f>
        <v>8.4376</v>
      </c>
    </row>
    <row r="127" ht="22.5" hidden="1" customHeight="1" outlineLevel="1">
      <c r="A127" s="1097"/>
      <c r="B127" s="1109">
        <v>100.0</v>
      </c>
      <c r="C127" s="1110">
        <v>700.0</v>
      </c>
      <c r="D127" s="1110">
        <f t="shared" si="2"/>
        <v>490</v>
      </c>
      <c r="E127" s="1111">
        <f t="shared" si="11"/>
        <v>15815</v>
      </c>
      <c r="F127" s="1112">
        <f t="shared" si="3"/>
        <v>2.44</v>
      </c>
      <c r="G127" s="1112">
        <f t="shared" si="4"/>
        <v>2.44</v>
      </c>
      <c r="H127" s="1112">
        <f t="shared" si="5"/>
        <v>1.285</v>
      </c>
      <c r="I127" s="1112">
        <f t="shared" si="6"/>
        <v>4.294</v>
      </c>
      <c r="J127" s="1113">
        <f t="shared" si="7"/>
        <v>1</v>
      </c>
      <c r="K127" s="1107">
        <f t="shared" si="8"/>
        <v>1.0139</v>
      </c>
      <c r="L127" s="1107">
        <f t="shared" si="9"/>
        <v>1.0285</v>
      </c>
      <c r="M127" s="1107">
        <f t="shared" si="10"/>
        <v>1.305</v>
      </c>
      <c r="N127" s="1106">
        <f t="array" ref="N127">LET(
totalShards, F$10,
AtMax, OR(F$3&lt;$B127,totalShards&lt;$E127),
primeShards, $E127,
PrimeMulti, F127,
AssPer, F$4,
AssLevel, IF(AtMax,1,index(optimizer[Level],XMATCH(totalShards-primeShards,optimizer[Total discounted cost],-1,2))),
AssMulti,IF(F$16="",1,index(optimizer[cannonAssist],XMATCH(AssLevel,optimizer[Level],-1,2))),
TooLow, OR(AssLevel&lt;$F$18,$B127&lt;$F$15),
IF(OR(AtMax,TooLow), 0, PrimeMulti * (AssMulti)))</f>
        <v>2.44</v>
      </c>
      <c r="O127" s="1112">
        <f t="array" ref="O127">LET(
totalShards, G$10,
AtMax, OR(G$3&lt;$B127,totalShards&lt;$E127),
primeShards, $E127,
PrimeMulti, G127,
AssPer, G$4,
AssLevel, IF(AtMax,1,index(optimizer[Level],XMATCH(totalShards-primeShards,optimizer[Total discounted cost],-1,2))),
AssMulti,IF(G$16="",1,index(optimizer[armorAssist],XMATCH(AssLevel,optimizer[Level],-1,2))),
TooLow, OR(AssLevel&lt;$G$18,$B127&lt;$G$15),
IF(OR(AtMax,TooLow), 0, PrimeMulti * (AssMulti)))</f>
        <v>2.60958</v>
      </c>
      <c r="P127" s="1112">
        <f t="array" ref="P127">LET(
totalShards, H$10,
AtMax, OR(H$3&lt;$B127,totalShards&lt;$E127),
primeShards, $E127,
PrimeMulti, H127,
AssPer, H$4,
AssLevel, IF(AtMax,1,index(optimizer[Level],XMATCH(totalShards-primeShards,optimizer[Total discounted cost],-1,2))),
AssMulti,IF(H$16="",1,index(optimizer[generatorAssist],XMATCH(AssLevel,optimizer[Level],-1,2))),
TooLow, OR(AssLevel&lt;$H$18,$B127&lt;$H$15),
IF(OR(AtMax,TooLow), 0, PrimeMulti * (AssMulti)))</f>
        <v>1.3704525</v>
      </c>
      <c r="Q127" s="1114">
        <f t="array" ref="Q127">LET(
totalShards, I$10,
AtMax, OR(I$3&lt;$B127,totalShards&lt;$E127),
primeShards, $E127,
PrimeMulti, I127,
AssPer, I$4,
AssLevel, IF(AtMax,1,index(optimizer[Level],XMATCH(totalShards-primeShards,optimizer[Total discounted cost],-1,2))),
AssMulti,IF(I$16="",1,index(optimizer[coreAssist],XMATCH(AssLevel,optimizer[Level],-1,2))),
TooLow, OR(AssLevel&lt;$I$18,$B127&lt;$I$15),
IF(OR(AtMax,TooLow), 0, PrimeMulti * (AssMulti)))</f>
        <v>8.54506</v>
      </c>
    </row>
    <row r="128" ht="22.5" hidden="1" customHeight="1" outlineLevel="1">
      <c r="A128" s="1097"/>
      <c r="B128" s="1103">
        <v>101.0</v>
      </c>
      <c r="C128" s="1104">
        <v>1000.0</v>
      </c>
      <c r="D128" s="1104">
        <f t="shared" si="2"/>
        <v>700</v>
      </c>
      <c r="E128" s="1105">
        <f t="shared" si="11"/>
        <v>16515</v>
      </c>
      <c r="F128" s="1106">
        <f t="shared" si="3"/>
        <v>2.51</v>
      </c>
      <c r="G128" s="1106">
        <f t="shared" si="4"/>
        <v>2.51</v>
      </c>
      <c r="H128" s="1106">
        <f t="shared" si="5"/>
        <v>1.29</v>
      </c>
      <c r="I128" s="1106">
        <f t="shared" si="6"/>
        <v>4.38</v>
      </c>
      <c r="J128" s="1107">
        <f t="shared" si="7"/>
        <v>1</v>
      </c>
      <c r="K128" s="1107">
        <f t="shared" si="8"/>
        <v>1.0146</v>
      </c>
      <c r="L128" s="1107">
        <f t="shared" si="9"/>
        <v>1.029</v>
      </c>
      <c r="M128" s="1107">
        <f t="shared" si="10"/>
        <v>1.313</v>
      </c>
      <c r="N128" s="1106">
        <f t="array" ref="N128">LET(
totalShards, F$10,
AtMax, OR(F$3&lt;$B128,totalShards&lt;$E128),
primeShards, $E128,
PrimeMulti, F128,
AssPer, F$4,
AssLevel, IF(AtMax,1,index(optimizer[Level],XMATCH(totalShards-primeShards,optimizer[Total discounted cost],-1,2))),
AssMulti,IF(F$16="",1,index(optimizer[cannonAssist],XMATCH(AssLevel,optimizer[Level],-1,2))),
TooLow, OR(AssLevel&lt;$F$18,$B128&lt;$F$15),
IF(OR(AtMax,TooLow), 0, PrimeMulti * (AssMulti)))</f>
        <v>2.51</v>
      </c>
      <c r="O128" s="1106">
        <f t="array" ref="O128">LET(
totalShards, G$10,
AtMax, OR(G$3&lt;$B128,totalShards&lt;$E128),
primeShards, $E128,
PrimeMulti, G128,
AssPer, G$4,
AssLevel, IF(AtMax,1,index(optimizer[Level],XMATCH(totalShards-primeShards,optimizer[Total discounted cost],-1,2))),
AssMulti,IF(G$16="",1,index(optimizer[armorAssist],XMATCH(AssLevel,optimizer[Level],-1,2))),
TooLow, OR(AssLevel&lt;$G$18,$B128&lt;$G$15),
IF(OR(AtMax,TooLow), 0, PrimeMulti * (AssMulti)))</f>
        <v>2.684445</v>
      </c>
      <c r="P128" s="1106">
        <f t="array" ref="P128">LET(
totalShards, H$10,
AtMax, OR(H$3&lt;$B128,totalShards&lt;$E128),
primeShards, $E128,
PrimeMulti, H128,
AssPer, H$4,
AssLevel, IF(AtMax,1,index(optimizer[Level],XMATCH(totalShards-primeShards,optimizer[Total discounted cost],-1,2))),
AssMulti,IF(H$16="",1,index(optimizer[generatorAssist],XMATCH(AssLevel,optimizer[Level],-1,2))),
TooLow, OR(AssLevel&lt;$H$18,$B128&lt;$H$15),
IF(OR(AtMax,TooLow), 0, PrimeMulti * (AssMulti)))</f>
        <v>1.375785</v>
      </c>
      <c r="Q128" s="1108">
        <f t="array" ref="Q128">LET(
totalShards, I$10,
AtMax, OR(I$3&lt;$B128,totalShards&lt;$E128),
primeShards, $E128,
PrimeMulti, I128,
AssPer, I$4,
AssLevel, IF(AtMax,1,index(optimizer[Level],XMATCH(totalShards-primeShards,optimizer[Total discounted cost],-1,2))),
AssMulti,IF(I$16="",1,index(optimizer[coreAssist],XMATCH(AssLevel,optimizer[Level],-1,2))),
TooLow, OR(AssLevel&lt;$I$18,$B128&lt;$I$15),
IF(OR(AtMax,TooLow), 0, PrimeMulti * (AssMulti)))</f>
        <v>8.7162</v>
      </c>
    </row>
    <row r="129" ht="22.5" hidden="1" customHeight="1" outlineLevel="1">
      <c r="A129" s="1097"/>
      <c r="B129" s="1109">
        <v>102.0</v>
      </c>
      <c r="C129" s="1110">
        <v>1000.0</v>
      </c>
      <c r="D129" s="1110">
        <f t="shared" si="2"/>
        <v>700</v>
      </c>
      <c r="E129" s="1111">
        <f t="shared" si="11"/>
        <v>17215</v>
      </c>
      <c r="F129" s="1112">
        <f t="shared" si="3"/>
        <v>2.58</v>
      </c>
      <c r="G129" s="1112">
        <f t="shared" si="4"/>
        <v>2.58</v>
      </c>
      <c r="H129" s="1112">
        <f t="shared" si="5"/>
        <v>1.295</v>
      </c>
      <c r="I129" s="1112">
        <f t="shared" si="6"/>
        <v>4.467</v>
      </c>
      <c r="J129" s="1113">
        <f t="shared" si="7"/>
        <v>1</v>
      </c>
      <c r="K129" s="1107">
        <f t="shared" si="8"/>
        <v>1.0153</v>
      </c>
      <c r="L129" s="1107">
        <f t="shared" si="9"/>
        <v>1.0295</v>
      </c>
      <c r="M129" s="1107">
        <f t="shared" si="10"/>
        <v>1.321</v>
      </c>
      <c r="N129" s="1106">
        <f t="array" ref="N129">LET(
totalShards, F$10,
AtMax, OR(F$3&lt;$B129,totalShards&lt;$E129),
primeShards, $E129,
PrimeMulti, F129,
AssPer, F$4,
AssLevel, IF(AtMax,1,index(optimizer[Level],XMATCH(totalShards-primeShards,optimizer[Total discounted cost],-1,2))),
AssMulti,IF(F$16="",1,index(optimizer[cannonAssist],XMATCH(AssLevel,optimizer[Level],-1,2))),
TooLow, OR(AssLevel&lt;$F$18,$B129&lt;$F$15),
IF(OR(AtMax,TooLow), 0, PrimeMulti * (AssMulti)))</f>
        <v>2.58</v>
      </c>
      <c r="O129" s="1112">
        <f t="array" ref="O129">LET(
totalShards, G$10,
AtMax, OR(G$3&lt;$B129,totalShards&lt;$E129),
primeShards, $E129,
PrimeMulti, G129,
AssPer, G$4,
AssLevel, IF(AtMax,1,index(optimizer[Level],XMATCH(totalShards-primeShards,optimizer[Total discounted cost],-1,2))),
AssMulti,IF(G$16="",1,index(optimizer[armorAssist],XMATCH(AssLevel,optimizer[Level],-1,2))),
TooLow, OR(AssLevel&lt;$G$18,$B129&lt;$G$15),
IF(OR(AtMax,TooLow), 0, PrimeMulti * (AssMulti)))</f>
        <v>2.75931</v>
      </c>
      <c r="P129" s="1112">
        <f t="array" ref="P129">LET(
totalShards, H$10,
AtMax, OR(H$3&lt;$B129,totalShards&lt;$E129),
primeShards, $E129,
PrimeMulti, H129,
AssPer, H$4,
AssLevel, IF(AtMax,1,index(optimizer[Level],XMATCH(totalShards-primeShards,optimizer[Total discounted cost],-1,2))),
AssMulti,IF(H$16="",1,index(optimizer[generatorAssist],XMATCH(AssLevel,optimizer[Level],-1,2))),
TooLow, OR(AssLevel&lt;$H$18,$B129&lt;$H$15),
IF(OR(AtMax,TooLow), 0, PrimeMulti * (AssMulti)))</f>
        <v>1.3811175</v>
      </c>
      <c r="Q129" s="1114">
        <f t="array" ref="Q129">LET(
totalShards, I$10,
AtMax, OR(I$3&lt;$B129,totalShards&lt;$E129),
primeShards, $E129,
PrimeMulti, I129,
AssPer, I$4,
AssLevel, IF(AtMax,1,index(optimizer[Level],XMATCH(totalShards-primeShards,optimizer[Total discounted cost],-1,2))),
AssMulti,IF(I$16="",1,index(optimizer[coreAssist],XMATCH(AssLevel,optimizer[Level],-1,2))),
TooLow, OR(AssLevel&lt;$I$18,$B129&lt;$I$15),
IF(OR(AtMax,TooLow), 0, PrimeMulti * (AssMulti)))</f>
        <v>8.822325</v>
      </c>
    </row>
    <row r="130" ht="22.5" hidden="1" customHeight="1" outlineLevel="1">
      <c r="A130" s="1097"/>
      <c r="B130" s="1103">
        <v>103.0</v>
      </c>
      <c r="C130" s="1104">
        <v>1000.0</v>
      </c>
      <c r="D130" s="1104">
        <f t="shared" si="2"/>
        <v>700</v>
      </c>
      <c r="E130" s="1105">
        <f t="shared" si="11"/>
        <v>17915</v>
      </c>
      <c r="F130" s="1106">
        <f t="shared" si="3"/>
        <v>2.65</v>
      </c>
      <c r="G130" s="1106">
        <f t="shared" si="4"/>
        <v>2.65</v>
      </c>
      <c r="H130" s="1106">
        <f t="shared" si="5"/>
        <v>1.3</v>
      </c>
      <c r="I130" s="1106">
        <f t="shared" si="6"/>
        <v>4.553</v>
      </c>
      <c r="J130" s="1107">
        <f t="shared" si="7"/>
        <v>1</v>
      </c>
      <c r="K130" s="1107">
        <f t="shared" si="8"/>
        <v>1.016</v>
      </c>
      <c r="L130" s="1107">
        <f t="shared" si="9"/>
        <v>1.03</v>
      </c>
      <c r="M130" s="1107">
        <f t="shared" si="10"/>
        <v>1.329</v>
      </c>
      <c r="N130" s="1106">
        <f t="array" ref="N130">LET(
totalShards, F$10,
AtMax, OR(F$3&lt;$B130,totalShards&lt;$E130),
primeShards, $E130,
PrimeMulti, F130,
AssPer, F$4,
AssLevel, IF(AtMax,1,index(optimizer[Level],XMATCH(totalShards-primeShards,optimizer[Total discounted cost],-1,2))),
AssMulti,IF(F$16="",1,index(optimizer[cannonAssist],XMATCH(AssLevel,optimizer[Level],-1,2))),
TooLow, OR(AssLevel&lt;$F$18,$B130&lt;$F$15),
IF(OR(AtMax,TooLow), 0, PrimeMulti * (AssMulti)))</f>
        <v>2.65</v>
      </c>
      <c r="O130" s="1106">
        <f t="array" ref="O130">LET(
totalShards, G$10,
AtMax, OR(G$3&lt;$B130,totalShards&lt;$E130),
primeShards, $E130,
PrimeMulti, G130,
AssPer, G$4,
AssLevel, IF(AtMax,1,index(optimizer[Level],XMATCH(totalShards-primeShards,optimizer[Total discounted cost],-1,2))),
AssMulti,IF(G$16="",1,index(optimizer[armorAssist],XMATCH(AssLevel,optimizer[Level],-1,2))),
TooLow, OR(AssLevel&lt;$G$18,$B130&lt;$G$15),
IF(OR(AtMax,TooLow), 0, PrimeMulti * (AssMulti)))</f>
        <v>2.830995</v>
      </c>
      <c r="P130" s="1106">
        <f t="array" ref="P130">LET(
totalShards, H$10,
AtMax, OR(H$3&lt;$B130,totalShards&lt;$E130),
primeShards, $E130,
PrimeMulti, H130,
AssPer, H$4,
AssLevel, IF(AtMax,1,index(optimizer[Level],XMATCH(totalShards-primeShards,optimizer[Total discounted cost],-1,2))),
AssMulti,IF(H$16="",1,index(optimizer[generatorAssist],XMATCH(AssLevel,optimizer[Level],-1,2))),
TooLow, OR(AssLevel&lt;$H$18,$B130&lt;$H$15),
IF(OR(AtMax,TooLow), 0, PrimeMulti * (AssMulti)))</f>
        <v>1.38541</v>
      </c>
      <c r="Q130" s="1108">
        <f t="array" ref="Q130">LET(
totalShards, I$10,
AtMax, OR(I$3&lt;$B130,totalShards&lt;$E130),
primeShards, $E130,
PrimeMulti, I130,
AssPer, I$4,
AssLevel, IF(AtMax,1,index(optimizer[Level],XMATCH(totalShards-primeShards,optimizer[Total discounted cost],-1,2))),
AssMulti,IF(I$16="",1,index(optimizer[coreAssist],XMATCH(AssLevel,optimizer[Level],-1,2))),
TooLow, OR(AssLevel&lt;$I$18,$B130&lt;$I$15),
IF(OR(AtMax,TooLow), 0, PrimeMulti * (AssMulti)))</f>
        <v>8.992175</v>
      </c>
    </row>
    <row r="131" ht="22.5" hidden="1" customHeight="1" outlineLevel="1">
      <c r="A131" s="1097"/>
      <c r="B131" s="1109">
        <v>104.0</v>
      </c>
      <c r="C131" s="1110">
        <v>1000.0</v>
      </c>
      <c r="D131" s="1110">
        <f t="shared" si="2"/>
        <v>700</v>
      </c>
      <c r="E131" s="1111">
        <f t="shared" si="11"/>
        <v>18615</v>
      </c>
      <c r="F131" s="1112">
        <f t="shared" si="3"/>
        <v>2.72</v>
      </c>
      <c r="G131" s="1112">
        <f t="shared" si="4"/>
        <v>2.72</v>
      </c>
      <c r="H131" s="1112">
        <f t="shared" si="5"/>
        <v>1.305</v>
      </c>
      <c r="I131" s="1112">
        <f t="shared" si="6"/>
        <v>4.64</v>
      </c>
      <c r="J131" s="1113">
        <f t="shared" si="7"/>
        <v>1</v>
      </c>
      <c r="K131" s="1107">
        <f t="shared" si="8"/>
        <v>1.0167</v>
      </c>
      <c r="L131" s="1107">
        <f t="shared" si="9"/>
        <v>1.0305</v>
      </c>
      <c r="M131" s="1107">
        <f t="shared" si="10"/>
        <v>1.337</v>
      </c>
      <c r="N131" s="1106">
        <f t="array" ref="N131">LET(
totalShards, F$10,
AtMax, OR(F$3&lt;$B131,totalShards&lt;$E131),
primeShards, $E131,
PrimeMulti, F131,
AssPer, F$4,
AssLevel, IF(AtMax,1,index(optimizer[Level],XMATCH(totalShards-primeShards,optimizer[Total discounted cost],-1,2))),
AssMulti,IF(F$16="",1,index(optimizer[cannonAssist],XMATCH(AssLevel,optimizer[Level],-1,2))),
TooLow, OR(AssLevel&lt;$F$18,$B131&lt;$F$15),
IF(OR(AtMax,TooLow), 0, PrimeMulti * (AssMulti)))</f>
        <v>2.72</v>
      </c>
      <c r="O131" s="1112">
        <f t="array" ref="O131">LET(
totalShards, G$10,
AtMax, OR(G$3&lt;$B131,totalShards&lt;$E131),
primeShards, $E131,
PrimeMulti, G131,
AssPer, G$4,
AssLevel, IF(AtMax,1,index(optimizer[Level],XMATCH(totalShards-primeShards,optimizer[Total discounted cost],-1,2))),
AssMulti,IF(G$16="",1,index(optimizer[armorAssist],XMATCH(AssLevel,optimizer[Level],-1,2))),
TooLow, OR(AssLevel&lt;$G$18,$B131&lt;$G$15),
IF(OR(AtMax,TooLow), 0, PrimeMulti * (AssMulti)))</f>
        <v>2.905776</v>
      </c>
      <c r="P131" s="1112">
        <f t="array" ref="P131">LET(
totalShards, H$10,
AtMax, OR(H$3&lt;$B131,totalShards&lt;$E131),
primeShards, $E131,
PrimeMulti, H131,
AssPer, H$4,
AssLevel, IF(AtMax,1,index(optimizer[Level],XMATCH(totalShards-primeShards,optimizer[Total discounted cost],-1,2))),
AssMulti,IF(H$16="",1,index(optimizer[generatorAssist],XMATCH(AssLevel,optimizer[Level],-1,2))),
TooLow, OR(AssLevel&lt;$H$18,$B131&lt;$H$15),
IF(OR(AtMax,TooLow), 0, PrimeMulti * (AssMulti)))</f>
        <v>1.3907385</v>
      </c>
      <c r="Q131" s="1114">
        <f t="array" ref="Q131">LET(
totalShards, I$10,
AtMax, OR(I$3&lt;$B131,totalShards&lt;$E131),
primeShards, $E131,
PrimeMulti, I131,
AssPer, I$4,
AssLevel, IF(AtMax,1,index(optimizer[Level],XMATCH(totalShards-primeShards,optimizer[Total discounted cost],-1,2))),
AssMulti,IF(I$16="",1,index(optimizer[coreAssist],XMATCH(AssLevel,optimizer[Level],-1,2))),
TooLow, OR(AssLevel&lt;$I$18,$B131&lt;$I$15),
IF(OR(AtMax,TooLow), 0, PrimeMulti * (AssMulti)))</f>
        <v>9.164</v>
      </c>
    </row>
    <row r="132" ht="22.5" hidden="1" customHeight="1" outlineLevel="1">
      <c r="A132" s="1097"/>
      <c r="B132" s="1103">
        <v>105.0</v>
      </c>
      <c r="C132" s="1104">
        <v>1000.0</v>
      </c>
      <c r="D132" s="1104">
        <f t="shared" si="2"/>
        <v>700</v>
      </c>
      <c r="E132" s="1105">
        <f t="shared" si="11"/>
        <v>19315</v>
      </c>
      <c r="F132" s="1106">
        <f t="shared" si="3"/>
        <v>2.79</v>
      </c>
      <c r="G132" s="1106">
        <f t="shared" si="4"/>
        <v>2.79</v>
      </c>
      <c r="H132" s="1106">
        <f t="shared" si="5"/>
        <v>1.31</v>
      </c>
      <c r="I132" s="1106">
        <f t="shared" si="6"/>
        <v>4.726</v>
      </c>
      <c r="J132" s="1107">
        <f t="shared" si="7"/>
        <v>1</v>
      </c>
      <c r="K132" s="1107">
        <f t="shared" si="8"/>
        <v>1.0174</v>
      </c>
      <c r="L132" s="1107">
        <f t="shared" si="9"/>
        <v>1.031</v>
      </c>
      <c r="M132" s="1107">
        <f t="shared" si="10"/>
        <v>1.345</v>
      </c>
      <c r="N132" s="1106">
        <f t="array" ref="N132">LET(
totalShards, F$10,
AtMax, OR(F$3&lt;$B132,totalShards&lt;$E132),
primeShards, $E132,
PrimeMulti, F132,
AssPer, F$4,
AssLevel, IF(AtMax,1,index(optimizer[Level],XMATCH(totalShards-primeShards,optimizer[Total discounted cost],-1,2))),
AssMulti,IF(F$16="",1,index(optimizer[cannonAssist],XMATCH(AssLevel,optimizer[Level],-1,2))),
TooLow, OR(AssLevel&lt;$F$18,$B132&lt;$F$15),
IF(OR(AtMax,TooLow), 0, PrimeMulti * (AssMulti)))</f>
        <v>2.79</v>
      </c>
      <c r="O132" s="1106">
        <f t="array" ref="O132">LET(
totalShards, G$10,
AtMax, OR(G$3&lt;$B132,totalShards&lt;$E132),
primeShards, $E132,
PrimeMulti, G132,
AssPer, G$4,
AssLevel, IF(AtMax,1,index(optimizer[Level],XMATCH(totalShards-primeShards,optimizer[Total discounted cost],-1,2))),
AssMulti,IF(G$16="",1,index(optimizer[armorAssist],XMATCH(AssLevel,optimizer[Level],-1,2))),
TooLow, OR(AssLevel&lt;$G$18,$B132&lt;$G$15),
IF(OR(AtMax,TooLow), 0, PrimeMulti * (AssMulti)))</f>
        <v>2.980557</v>
      </c>
      <c r="P132" s="1106">
        <f t="array" ref="P132">LET(
totalShards, H$10,
AtMax, OR(H$3&lt;$B132,totalShards&lt;$E132),
primeShards, $E132,
PrimeMulti, H132,
AssPer, H$4,
AssLevel, IF(AtMax,1,index(optimizer[Level],XMATCH(totalShards-primeShards,optimizer[Total discounted cost],-1,2))),
AssMulti,IF(H$16="",1,index(optimizer[generatorAssist],XMATCH(AssLevel,optimizer[Level],-1,2))),
TooLow, OR(AssLevel&lt;$H$18,$B132&lt;$H$15),
IF(OR(AtMax,TooLow), 0, PrimeMulti * (AssMulti)))</f>
        <v>1.396067</v>
      </c>
      <c r="Q132" s="1108">
        <f t="array" ref="Q132">LET(
totalShards, I$10,
AtMax, OR(I$3&lt;$B132,totalShards&lt;$E132),
primeShards, $E132,
PrimeMulti, I132,
AssPer, I$4,
AssLevel, IF(AtMax,1,index(optimizer[Level],XMATCH(totalShards-primeShards,optimizer[Total discounted cost],-1,2))),
AssMulti,IF(I$16="",1,index(optimizer[coreAssist],XMATCH(AssLevel,optimizer[Level],-1,2))),
TooLow, OR(AssLevel&lt;$I$18,$B132&lt;$I$15),
IF(OR(AtMax,TooLow), 0, PrimeMulti * (AssMulti)))</f>
        <v>9.33385</v>
      </c>
    </row>
    <row r="133" ht="22.5" hidden="1" customHeight="1" outlineLevel="1">
      <c r="A133" s="1097"/>
      <c r="B133" s="1109">
        <v>106.0</v>
      </c>
      <c r="C133" s="1110">
        <v>1000.0</v>
      </c>
      <c r="D133" s="1110">
        <f t="shared" si="2"/>
        <v>700</v>
      </c>
      <c r="E133" s="1111">
        <f t="shared" si="11"/>
        <v>20015</v>
      </c>
      <c r="F133" s="1112">
        <f t="shared" si="3"/>
        <v>2.86</v>
      </c>
      <c r="G133" s="1112">
        <f t="shared" si="4"/>
        <v>2.86</v>
      </c>
      <c r="H133" s="1112">
        <f t="shared" si="5"/>
        <v>1.315</v>
      </c>
      <c r="I133" s="1112">
        <f t="shared" si="6"/>
        <v>4.812</v>
      </c>
      <c r="J133" s="1113">
        <f t="shared" si="7"/>
        <v>1</v>
      </c>
      <c r="K133" s="1107">
        <f t="shared" si="8"/>
        <v>1.0181</v>
      </c>
      <c r="L133" s="1107">
        <f t="shared" si="9"/>
        <v>1.0315</v>
      </c>
      <c r="M133" s="1107">
        <f t="shared" si="10"/>
        <v>1.353</v>
      </c>
      <c r="N133" s="1106">
        <f t="array" ref="N133">LET(
totalShards, F$10,
AtMax, OR(F$3&lt;$B133,totalShards&lt;$E133),
primeShards, $E133,
PrimeMulti, F133,
AssPer, F$4,
AssLevel, IF(AtMax,1,index(optimizer[Level],XMATCH(totalShards-primeShards,optimizer[Total discounted cost],-1,2))),
AssMulti,IF(F$16="",1,index(optimizer[cannonAssist],XMATCH(AssLevel,optimizer[Level],-1,2))),
TooLow, OR(AssLevel&lt;$F$18,$B133&lt;$F$15),
IF(OR(AtMax,TooLow), 0, PrimeMulti * (AssMulti)))</f>
        <v>2.86</v>
      </c>
      <c r="O133" s="1112">
        <f t="array" ref="O133">LET(
totalShards, G$10,
AtMax, OR(G$3&lt;$B133,totalShards&lt;$E133),
primeShards, $E133,
PrimeMulti, G133,
AssPer, G$4,
AssLevel, IF(AtMax,1,index(optimizer[Level],XMATCH(totalShards-primeShards,optimizer[Total discounted cost],-1,2))),
AssMulti,IF(G$16="",1,index(optimizer[armorAssist],XMATCH(AssLevel,optimizer[Level],-1,2))),
TooLow, OR(AssLevel&lt;$G$18,$B133&lt;$G$15),
IF(OR(AtMax,TooLow), 0, PrimeMulti * (AssMulti)))</f>
        <v>3.055338</v>
      </c>
      <c r="P133" s="1112">
        <f t="array" ref="P133">LET(
totalShards, H$10,
AtMax, OR(H$3&lt;$B133,totalShards&lt;$E133),
primeShards, $E133,
PrimeMulti, H133,
AssPer, H$4,
AssLevel, IF(AtMax,1,index(optimizer[Level],XMATCH(totalShards-primeShards,optimizer[Total discounted cost],-1,2))),
AssMulti,IF(H$16="",1,index(optimizer[generatorAssist],XMATCH(AssLevel,optimizer[Level],-1,2))),
TooLow, OR(AssLevel&lt;$H$18,$B133&lt;$H$15),
IF(OR(AtMax,TooLow), 0, PrimeMulti * (AssMulti)))</f>
        <v>1.4013955</v>
      </c>
      <c r="Q133" s="1114">
        <f t="array" ref="Q133">LET(
totalShards, I$10,
AtMax, OR(I$3&lt;$B133,totalShards&lt;$E133),
primeShards, $E133,
PrimeMulti, I133,
AssPer, I$4,
AssLevel, IF(AtMax,1,index(optimizer[Level],XMATCH(totalShards-primeShards,optimizer[Total discounted cost],-1,2))),
AssMulti,IF(I$16="",1,index(optimizer[coreAssist],XMATCH(AssLevel,optimizer[Level],-1,2))),
TooLow, OR(AssLevel&lt;$I$18,$B133&lt;$I$15),
IF(OR(AtMax,TooLow), 0, PrimeMulti * (AssMulti)))</f>
        <v>9.43152</v>
      </c>
    </row>
    <row r="134" ht="22.5" hidden="1" customHeight="1" outlineLevel="1">
      <c r="A134" s="1097"/>
      <c r="B134" s="1103">
        <v>107.0</v>
      </c>
      <c r="C134" s="1104">
        <v>1000.0</v>
      </c>
      <c r="D134" s="1104">
        <f t="shared" si="2"/>
        <v>700</v>
      </c>
      <c r="E134" s="1105">
        <f t="shared" si="11"/>
        <v>20715</v>
      </c>
      <c r="F134" s="1106">
        <f t="shared" si="3"/>
        <v>2.93</v>
      </c>
      <c r="G134" s="1106">
        <f t="shared" si="4"/>
        <v>2.93</v>
      </c>
      <c r="H134" s="1106">
        <f t="shared" si="5"/>
        <v>1.32</v>
      </c>
      <c r="I134" s="1106">
        <f t="shared" si="6"/>
        <v>4.899</v>
      </c>
      <c r="J134" s="1107">
        <f t="shared" si="7"/>
        <v>1</v>
      </c>
      <c r="K134" s="1107">
        <f t="shared" si="8"/>
        <v>1.0188</v>
      </c>
      <c r="L134" s="1107">
        <f t="shared" si="9"/>
        <v>1.032</v>
      </c>
      <c r="M134" s="1107">
        <f t="shared" si="10"/>
        <v>1.361</v>
      </c>
      <c r="N134" s="1106">
        <f t="array" ref="N134">LET(
totalShards, F$10,
AtMax, OR(F$3&lt;$B134,totalShards&lt;$E134),
primeShards, $E134,
PrimeMulti, F134,
AssPer, F$4,
AssLevel, IF(AtMax,1,index(optimizer[Level],XMATCH(totalShards-primeShards,optimizer[Total discounted cost],-1,2))),
AssMulti,IF(F$16="",1,index(optimizer[cannonAssist],XMATCH(AssLevel,optimizer[Level],-1,2))),
TooLow, OR(AssLevel&lt;$F$18,$B134&lt;$F$15),
IF(OR(AtMax,TooLow), 0, PrimeMulti * (AssMulti)))</f>
        <v>2.93</v>
      </c>
      <c r="O134" s="1106">
        <f t="array" ref="O134">LET(
totalShards, G$10,
AtMax, OR(G$3&lt;$B134,totalShards&lt;$E134),
primeShards, $E134,
PrimeMulti, G134,
AssPer, G$4,
AssLevel, IF(AtMax,1,index(optimizer[Level],XMATCH(totalShards-primeShards,optimizer[Total discounted cost],-1,2))),
AssMulti,IF(G$16="",1,index(optimizer[armorAssist],XMATCH(AssLevel,optimizer[Level],-1,2))),
TooLow, OR(AssLevel&lt;$G$18,$B134&lt;$G$15),
IF(OR(AtMax,TooLow), 0, PrimeMulti * (AssMulti)))</f>
        <v>3.126603</v>
      </c>
      <c r="P134" s="1106">
        <f t="array" ref="P134">LET(
totalShards, H$10,
AtMax, OR(H$3&lt;$B134,totalShards&lt;$E134),
primeShards, $E134,
PrimeMulti, H134,
AssPer, H$4,
AssLevel, IF(AtMax,1,index(optimizer[Level],XMATCH(totalShards-primeShards,optimizer[Total discounted cost],-1,2))),
AssMulti,IF(H$16="",1,index(optimizer[generatorAssist],XMATCH(AssLevel,optimizer[Level],-1,2))),
TooLow, OR(AssLevel&lt;$H$18,$B134&lt;$H$15),
IF(OR(AtMax,TooLow), 0, PrimeMulti * (AssMulti)))</f>
        <v>1.405668</v>
      </c>
      <c r="Q134" s="1108">
        <f t="array" ref="Q134">LET(
totalShards, I$10,
AtMax, OR(I$3&lt;$B134,totalShards&lt;$E134),
primeShards, $E134,
PrimeMulti, I134,
AssPer, I$4,
AssLevel, IF(AtMax,1,index(optimizer[Level],XMATCH(totalShards-primeShards,optimizer[Total discounted cost],-1,2))),
AssMulti,IF(I$16="",1,index(optimizer[coreAssist],XMATCH(AssLevel,optimizer[Level],-1,2))),
TooLow, OR(AssLevel&lt;$I$18,$B134&lt;$I$15),
IF(OR(AtMax,TooLow), 0, PrimeMulti * (AssMulti)))</f>
        <v>9.60204</v>
      </c>
    </row>
    <row r="135" ht="22.5" hidden="1" customHeight="1" outlineLevel="1">
      <c r="A135" s="1097"/>
      <c r="B135" s="1109">
        <v>108.0</v>
      </c>
      <c r="C135" s="1110">
        <v>1000.0</v>
      </c>
      <c r="D135" s="1110">
        <f t="shared" si="2"/>
        <v>700</v>
      </c>
      <c r="E135" s="1111">
        <f t="shared" si="11"/>
        <v>21415</v>
      </c>
      <c r="F135" s="1112">
        <f t="shared" si="3"/>
        <v>3</v>
      </c>
      <c r="G135" s="1112">
        <f t="shared" si="4"/>
        <v>3</v>
      </c>
      <c r="H135" s="1112">
        <f t="shared" si="5"/>
        <v>1.325</v>
      </c>
      <c r="I135" s="1112">
        <f t="shared" si="6"/>
        <v>4.985</v>
      </c>
      <c r="J135" s="1113">
        <f t="shared" si="7"/>
        <v>1</v>
      </c>
      <c r="K135" s="1107">
        <f t="shared" si="8"/>
        <v>1.0195</v>
      </c>
      <c r="L135" s="1107">
        <f t="shared" si="9"/>
        <v>1.0325</v>
      </c>
      <c r="M135" s="1107">
        <f t="shared" si="10"/>
        <v>1.369</v>
      </c>
      <c r="N135" s="1106">
        <f t="array" ref="N135">LET(
totalShards, F$10,
AtMax, OR(F$3&lt;$B135,totalShards&lt;$E135),
primeShards, $E135,
PrimeMulti, F135,
AssPer, F$4,
AssLevel, IF(AtMax,1,index(optimizer[Level],XMATCH(totalShards-primeShards,optimizer[Total discounted cost],-1,2))),
AssMulti,IF(F$16="",1,index(optimizer[cannonAssist],XMATCH(AssLevel,optimizer[Level],-1,2))),
TooLow, OR(AssLevel&lt;$F$18,$B135&lt;$F$15),
IF(OR(AtMax,TooLow), 0, PrimeMulti * (AssMulti)))</f>
        <v>3</v>
      </c>
      <c r="O135" s="1112">
        <f t="array" ref="O135">LET(
totalShards, G$10,
AtMax, OR(G$3&lt;$B135,totalShards&lt;$E135),
primeShards, $E135,
PrimeMulti, G135,
AssPer, G$4,
AssLevel, IF(AtMax,1,index(optimizer[Level],XMATCH(totalShards-primeShards,optimizer[Total discounted cost],-1,2))),
AssMulti,IF(G$16="",1,index(optimizer[armorAssist],XMATCH(AssLevel,optimizer[Level],-1,2))),
TooLow, OR(AssLevel&lt;$G$18,$B135&lt;$G$15),
IF(OR(AtMax,TooLow), 0, PrimeMulti * (AssMulti)))</f>
        <v>3.2013</v>
      </c>
      <c r="P135" s="1112">
        <f t="array" ref="P135">LET(
totalShards, H$10,
AtMax, OR(H$3&lt;$B135,totalShards&lt;$E135),
primeShards, $E135,
PrimeMulti, H135,
AssPer, H$4,
AssLevel, IF(AtMax,1,index(optimizer[Level],XMATCH(totalShards-primeShards,optimizer[Total discounted cost],-1,2))),
AssMulti,IF(H$16="",1,index(optimizer[generatorAssist],XMATCH(AssLevel,optimizer[Level],-1,2))),
TooLow, OR(AssLevel&lt;$H$18,$B135&lt;$H$15),
IF(OR(AtMax,TooLow), 0, PrimeMulti * (AssMulti)))</f>
        <v>1.4109925</v>
      </c>
      <c r="Q135" s="1114">
        <f t="array" ref="Q135">LET(
totalShards, I$10,
AtMax, OR(I$3&lt;$B135,totalShards&lt;$E135),
primeShards, $E135,
PrimeMulti, I135,
AssPer, I$4,
AssLevel, IF(AtMax,1,index(optimizer[Level],XMATCH(totalShards-primeShards,optimizer[Total discounted cost],-1,2))),
AssMulti,IF(I$16="",1,index(optimizer[coreAssist],XMATCH(AssLevel,optimizer[Level],-1,2))),
TooLow, OR(AssLevel&lt;$I$18,$B135&lt;$I$15),
IF(OR(AtMax,TooLow), 0, PrimeMulti * (AssMulti)))</f>
        <v>9.7706</v>
      </c>
    </row>
    <row r="136" ht="22.5" hidden="1" customHeight="1" outlineLevel="1">
      <c r="A136" s="1097"/>
      <c r="B136" s="1103">
        <v>109.0</v>
      </c>
      <c r="C136" s="1104">
        <v>1000.0</v>
      </c>
      <c r="D136" s="1104">
        <f t="shared" si="2"/>
        <v>700</v>
      </c>
      <c r="E136" s="1105">
        <f t="shared" si="11"/>
        <v>22115</v>
      </c>
      <c r="F136" s="1106">
        <f t="shared" si="3"/>
        <v>3.07</v>
      </c>
      <c r="G136" s="1106">
        <f t="shared" si="4"/>
        <v>3.07</v>
      </c>
      <c r="H136" s="1106">
        <f t="shared" si="5"/>
        <v>1.33</v>
      </c>
      <c r="I136" s="1106">
        <f t="shared" si="6"/>
        <v>5.072</v>
      </c>
      <c r="J136" s="1107">
        <f t="shared" si="7"/>
        <v>1</v>
      </c>
      <c r="K136" s="1107">
        <f t="shared" si="8"/>
        <v>1.0202</v>
      </c>
      <c r="L136" s="1107">
        <f t="shared" si="9"/>
        <v>1.033</v>
      </c>
      <c r="M136" s="1107">
        <f t="shared" si="10"/>
        <v>1.377</v>
      </c>
      <c r="N136" s="1106">
        <f t="array" ref="N136">LET(
totalShards, F$10,
AtMax, OR(F$3&lt;$B136,totalShards&lt;$E136),
primeShards, $E136,
PrimeMulti, F136,
AssPer, F$4,
AssLevel, IF(AtMax,1,index(optimizer[Level],XMATCH(totalShards-primeShards,optimizer[Total discounted cost],-1,2))),
AssMulti,IF(F$16="",1,index(optimizer[cannonAssist],XMATCH(AssLevel,optimizer[Level],-1,2))),
TooLow, OR(AssLevel&lt;$F$18,$B136&lt;$F$15),
IF(OR(AtMax,TooLow), 0, PrimeMulti * (AssMulti)))</f>
        <v>3.07</v>
      </c>
      <c r="O136" s="1106">
        <f t="array" ref="O136">LET(
totalShards, G$10,
AtMax, OR(G$3&lt;$B136,totalShards&lt;$E136),
primeShards, $E136,
PrimeMulti, G136,
AssPer, G$4,
AssLevel, IF(AtMax,1,index(optimizer[Level],XMATCH(totalShards-primeShards,optimizer[Total discounted cost],-1,2))),
AssMulti,IF(G$16="",1,index(optimizer[armorAssist],XMATCH(AssLevel,optimizer[Level],-1,2))),
TooLow, OR(AssLevel&lt;$G$18,$B136&lt;$G$15),
IF(OR(AtMax,TooLow), 0, PrimeMulti * (AssMulti)))</f>
        <v>3.275997</v>
      </c>
      <c r="P136" s="1106">
        <f t="array" ref="P136">LET(
totalShards, H$10,
AtMax, OR(H$3&lt;$B136,totalShards&lt;$E136),
primeShards, $E136,
PrimeMulti, H136,
AssPer, H$4,
AssLevel, IF(AtMax,1,index(optimizer[Level],XMATCH(totalShards-primeShards,optimizer[Total discounted cost],-1,2))),
AssMulti,IF(H$16="",1,index(optimizer[generatorAssist],XMATCH(AssLevel,optimizer[Level],-1,2))),
TooLow, OR(AssLevel&lt;$H$18,$B136&lt;$H$15),
IF(OR(AtMax,TooLow), 0, PrimeMulti * (AssMulti)))</f>
        <v>1.416317</v>
      </c>
      <c r="Q136" s="1108">
        <f t="array" ref="Q136">LET(
totalShards, I$10,
AtMax, OR(I$3&lt;$B136,totalShards&lt;$E136),
primeShards, $E136,
PrimeMulti, I136,
AssPer, I$4,
AssLevel, IF(AtMax,1,index(optimizer[Level],XMATCH(totalShards-primeShards,optimizer[Total discounted cost],-1,2))),
AssMulti,IF(I$16="",1,index(optimizer[coreAssist],XMATCH(AssLevel,optimizer[Level],-1,2))),
TooLow, OR(AssLevel&lt;$I$18,$B136&lt;$I$15),
IF(OR(AtMax,TooLow), 0, PrimeMulti * (AssMulti)))</f>
        <v>9.94112</v>
      </c>
    </row>
    <row r="137" ht="22.5" hidden="1" customHeight="1" outlineLevel="1">
      <c r="A137" s="1097"/>
      <c r="B137" s="1109">
        <v>110.0</v>
      </c>
      <c r="C137" s="1110">
        <v>1000.0</v>
      </c>
      <c r="D137" s="1110">
        <f t="shared" si="2"/>
        <v>700</v>
      </c>
      <c r="E137" s="1111">
        <f t="shared" si="11"/>
        <v>22815</v>
      </c>
      <c r="F137" s="1112">
        <f t="shared" si="3"/>
        <v>3.14</v>
      </c>
      <c r="G137" s="1112">
        <f t="shared" si="4"/>
        <v>3.14</v>
      </c>
      <c r="H137" s="1112">
        <f t="shared" si="5"/>
        <v>1.335</v>
      </c>
      <c r="I137" s="1112">
        <f t="shared" si="6"/>
        <v>5.158</v>
      </c>
      <c r="J137" s="1113">
        <f t="shared" si="7"/>
        <v>1</v>
      </c>
      <c r="K137" s="1107">
        <f t="shared" si="8"/>
        <v>1.0209</v>
      </c>
      <c r="L137" s="1107">
        <f t="shared" si="9"/>
        <v>1.0335</v>
      </c>
      <c r="M137" s="1107">
        <f t="shared" si="10"/>
        <v>1.385</v>
      </c>
      <c r="N137" s="1106">
        <f t="array" ref="N137">LET(
totalShards, F$10,
AtMax, OR(F$3&lt;$B137,totalShards&lt;$E137),
primeShards, $E137,
PrimeMulti, F137,
AssPer, F$4,
AssLevel, IF(AtMax,1,index(optimizer[Level],XMATCH(totalShards-primeShards,optimizer[Total discounted cost],-1,2))),
AssMulti,IF(F$16="",1,index(optimizer[cannonAssist],XMATCH(AssLevel,optimizer[Level],-1,2))),
TooLow, OR(AssLevel&lt;$F$18,$B137&lt;$F$15),
IF(OR(AtMax,TooLow), 0, PrimeMulti * (AssMulti)))</f>
        <v>3.14</v>
      </c>
      <c r="O137" s="1112">
        <f t="array" ref="O137">LET(
totalShards, G$10,
AtMax, OR(G$3&lt;$B137,totalShards&lt;$E137),
primeShards, $E137,
PrimeMulti, G137,
AssPer, G$4,
AssLevel, IF(AtMax,1,index(optimizer[Level],XMATCH(totalShards-primeShards,optimizer[Total discounted cost],-1,2))),
AssMulti,IF(G$16="",1,index(optimizer[armorAssist],XMATCH(AssLevel,optimizer[Level],-1,2))),
TooLow, OR(AssLevel&lt;$G$18,$B137&lt;$G$15),
IF(OR(AtMax,TooLow), 0, PrimeMulti * (AssMulti)))</f>
        <v>3.350694</v>
      </c>
      <c r="P137" s="1112">
        <f t="array" ref="P137">LET(
totalShards, H$10,
AtMax, OR(H$3&lt;$B137,totalShards&lt;$E137),
primeShards, $E137,
PrimeMulti, H137,
AssPer, H$4,
AssLevel, IF(AtMax,1,index(optimizer[Level],XMATCH(totalShards-primeShards,optimizer[Total discounted cost],-1,2))),
AssMulti,IF(H$16="",1,index(optimizer[generatorAssist],XMATCH(AssLevel,optimizer[Level],-1,2))),
TooLow, OR(AssLevel&lt;$H$18,$B137&lt;$H$15),
IF(OR(AtMax,TooLow), 0, PrimeMulti * (AssMulti)))</f>
        <v>1.4216415</v>
      </c>
      <c r="Q137" s="1114">
        <f t="array" ref="Q137">LET(
totalShards, I$10,
AtMax, OR(I$3&lt;$B137,totalShards&lt;$E137),
primeShards, $E137,
PrimeMulti, I137,
AssPer, I$4,
AssLevel, IF(AtMax,1,index(optimizer[Level],XMATCH(totalShards-primeShards,optimizer[Total discounted cost],-1,2))),
AssMulti,IF(I$16="",1,index(optimizer[coreAssist],XMATCH(AssLevel,optimizer[Level],-1,2))),
TooLow, OR(AssLevel&lt;$I$18,$B137&lt;$I$15),
IF(OR(AtMax,TooLow), 0, PrimeMulti * (AssMulti)))</f>
        <v>10.03231</v>
      </c>
    </row>
    <row r="138" ht="22.5" hidden="1" customHeight="1" outlineLevel="1">
      <c r="A138" s="1097"/>
      <c r="B138" s="1103">
        <v>111.0</v>
      </c>
      <c r="C138" s="1104">
        <v>1300.0</v>
      </c>
      <c r="D138" s="1104">
        <f t="shared" si="2"/>
        <v>910</v>
      </c>
      <c r="E138" s="1105">
        <f t="shared" si="11"/>
        <v>23725</v>
      </c>
      <c r="F138" s="1106">
        <f t="shared" si="3"/>
        <v>3.21</v>
      </c>
      <c r="G138" s="1106">
        <f t="shared" si="4"/>
        <v>3.21</v>
      </c>
      <c r="H138" s="1106">
        <f t="shared" si="5"/>
        <v>1.34</v>
      </c>
      <c r="I138" s="1106">
        <f t="shared" si="6"/>
        <v>5.244</v>
      </c>
      <c r="J138" s="1107">
        <f t="shared" si="7"/>
        <v>1</v>
      </c>
      <c r="K138" s="1107">
        <f t="shared" si="8"/>
        <v>1.0216</v>
      </c>
      <c r="L138" s="1107">
        <f t="shared" si="9"/>
        <v>1.034</v>
      </c>
      <c r="M138" s="1107">
        <f t="shared" si="10"/>
        <v>1.393</v>
      </c>
      <c r="N138" s="1106">
        <f t="array" ref="N138">LET(
totalShards, F$10,
AtMax, OR(F$3&lt;$B138,totalShards&lt;$E138),
primeShards, $E138,
PrimeMulti, F138,
AssPer, F$4,
AssLevel, IF(AtMax,1,index(optimizer[Level],XMATCH(totalShards-primeShards,optimizer[Total discounted cost],-1,2))),
AssMulti,IF(F$16="",1,index(optimizer[cannonAssist],XMATCH(AssLevel,optimizer[Level],-1,2))),
TooLow, OR(AssLevel&lt;$F$18,$B138&lt;$F$15),
IF(OR(AtMax,TooLow), 0, PrimeMulti * (AssMulti)))</f>
        <v>3.21</v>
      </c>
      <c r="O138" s="1106">
        <f t="array" ref="O138">LET(
totalShards, G$10,
AtMax, OR(G$3&lt;$B138,totalShards&lt;$E138),
primeShards, $E138,
PrimeMulti, G138,
AssPer, G$4,
AssLevel, IF(AtMax,1,index(optimizer[Level],XMATCH(totalShards-primeShards,optimizer[Total discounted cost],-1,2))),
AssMulti,IF(G$16="",1,index(optimizer[armorAssist],XMATCH(AssLevel,optimizer[Level],-1,2))),
TooLow, OR(AssLevel&lt;$G$18,$B138&lt;$G$15),
IF(OR(AtMax,TooLow), 0, PrimeMulti * (AssMulti)))</f>
        <v>3.421539</v>
      </c>
      <c r="P138" s="1106">
        <f t="array" ref="P138">LET(
totalShards, H$10,
AtMax, OR(H$3&lt;$B138,totalShards&lt;$E138),
primeShards, $E138,
PrimeMulti, H138,
AssPer, H$4,
AssLevel, IF(AtMax,1,index(optimizer[Level],XMATCH(totalShards-primeShards,optimizer[Total discounted cost],-1,2))),
AssMulti,IF(H$16="",1,index(optimizer[generatorAssist],XMATCH(AssLevel,optimizer[Level],-1,2))),
TooLow, OR(AssLevel&lt;$H$18,$B138&lt;$H$15),
IF(OR(AtMax,TooLow), 0, PrimeMulti * (AssMulti)))</f>
        <v>1.425894</v>
      </c>
      <c r="Q138" s="1108">
        <f t="array" ref="Q138">LET(
totalShards, I$10,
AtMax, OR(I$3&lt;$B138,totalShards&lt;$E138),
primeShards, $E138,
PrimeMulti, I138,
AssPer, I$4,
AssLevel, IF(AtMax,1,index(optimizer[Level],XMATCH(totalShards-primeShards,optimizer[Total discounted cost],-1,2))),
AssMulti,IF(I$16="",1,index(optimizer[coreAssist],XMATCH(AssLevel,optimizer[Level],-1,2))),
TooLow, OR(AssLevel&lt;$I$18,$B138&lt;$I$15),
IF(OR(AtMax,TooLow), 0, PrimeMulti * (AssMulti)))</f>
        <v>10.19958</v>
      </c>
    </row>
    <row r="139" ht="22.5" hidden="1" customHeight="1" outlineLevel="1">
      <c r="A139" s="1097"/>
      <c r="B139" s="1109">
        <v>112.0</v>
      </c>
      <c r="C139" s="1110">
        <v>1300.0</v>
      </c>
      <c r="D139" s="1110">
        <f t="shared" si="2"/>
        <v>910</v>
      </c>
      <c r="E139" s="1111">
        <f t="shared" si="11"/>
        <v>24635</v>
      </c>
      <c r="F139" s="1112">
        <f t="shared" si="3"/>
        <v>3.28</v>
      </c>
      <c r="G139" s="1112">
        <f t="shared" si="4"/>
        <v>3.28</v>
      </c>
      <c r="H139" s="1112">
        <f t="shared" si="5"/>
        <v>1.345</v>
      </c>
      <c r="I139" s="1112">
        <f t="shared" si="6"/>
        <v>5.331</v>
      </c>
      <c r="J139" s="1113">
        <f t="shared" si="7"/>
        <v>1</v>
      </c>
      <c r="K139" s="1107">
        <f t="shared" si="8"/>
        <v>1.0223</v>
      </c>
      <c r="L139" s="1107">
        <f t="shared" si="9"/>
        <v>1.0345</v>
      </c>
      <c r="M139" s="1107">
        <f t="shared" si="10"/>
        <v>1.401</v>
      </c>
      <c r="N139" s="1106">
        <f t="array" ref="N139">LET(
totalShards, F$10,
AtMax, OR(F$3&lt;$B139,totalShards&lt;$E139),
primeShards, $E139,
PrimeMulti, F139,
AssPer, F$4,
AssLevel, IF(AtMax,1,index(optimizer[Level],XMATCH(totalShards-primeShards,optimizer[Total discounted cost],-1,2))),
AssMulti,IF(F$16="",1,index(optimizer[cannonAssist],XMATCH(AssLevel,optimizer[Level],-1,2))),
TooLow, OR(AssLevel&lt;$F$18,$B139&lt;$F$15),
IF(OR(AtMax,TooLow), 0, PrimeMulti * (AssMulti)))</f>
        <v>3.28</v>
      </c>
      <c r="O139" s="1112">
        <f t="array" ref="O139">LET(
totalShards, G$10,
AtMax, OR(G$3&lt;$B139,totalShards&lt;$E139),
primeShards, $E139,
PrimeMulti, G139,
AssPer, G$4,
AssLevel, IF(AtMax,1,index(optimizer[Level],XMATCH(totalShards-primeShards,optimizer[Total discounted cost],-1,2))),
AssMulti,IF(G$16="",1,index(optimizer[armorAssist],XMATCH(AssLevel,optimizer[Level],-1,2))),
TooLow, OR(AssLevel&lt;$G$18,$B139&lt;$G$15),
IF(OR(AtMax,TooLow), 0, PrimeMulti * (AssMulti)))</f>
        <v>3.496152</v>
      </c>
      <c r="P139" s="1112">
        <f t="array" ref="P139">LET(
totalShards, H$10,
AtMax, OR(H$3&lt;$B139,totalShards&lt;$E139),
primeShards, $E139,
PrimeMulti, H139,
AssPer, H$4,
AssLevel, IF(AtMax,1,index(optimizer[Level],XMATCH(totalShards-primeShards,optimizer[Total discounted cost],-1,2))),
AssMulti,IF(H$16="",1,index(optimizer[generatorAssist],XMATCH(AssLevel,optimizer[Level],-1,2))),
TooLow, OR(AssLevel&lt;$H$18,$B139&lt;$H$15),
IF(OR(AtMax,TooLow), 0, PrimeMulti * (AssMulti)))</f>
        <v>1.4312145</v>
      </c>
      <c r="Q139" s="1114">
        <f t="array" ref="Q139">LET(
totalShards, I$10,
AtMax, OR(I$3&lt;$B139,totalShards&lt;$E139),
primeShards, $E139,
PrimeMulti, I139,
AssPer, I$4,
AssLevel, IF(AtMax,1,index(optimizer[Level],XMATCH(totalShards-primeShards,optimizer[Total discounted cost],-1,2))),
AssMulti,IF(I$16="",1,index(optimizer[coreAssist],XMATCH(AssLevel,optimizer[Level],-1,2))),
TooLow, OR(AssLevel&lt;$I$18,$B139&lt;$I$15),
IF(OR(AtMax,TooLow), 0, PrimeMulti * (AssMulti)))</f>
        <v>10.368795</v>
      </c>
    </row>
    <row r="140" ht="22.5" hidden="1" customHeight="1" outlineLevel="1">
      <c r="A140" s="1097"/>
      <c r="B140" s="1103">
        <v>113.0</v>
      </c>
      <c r="C140" s="1104">
        <v>1300.0</v>
      </c>
      <c r="D140" s="1104">
        <f t="shared" si="2"/>
        <v>910</v>
      </c>
      <c r="E140" s="1105">
        <f t="shared" si="11"/>
        <v>25545</v>
      </c>
      <c r="F140" s="1106">
        <f t="shared" si="3"/>
        <v>3.35</v>
      </c>
      <c r="G140" s="1106">
        <f t="shared" si="4"/>
        <v>3.35</v>
      </c>
      <c r="H140" s="1106">
        <f t="shared" si="5"/>
        <v>1.35</v>
      </c>
      <c r="I140" s="1106">
        <f t="shared" si="6"/>
        <v>5.417</v>
      </c>
      <c r="J140" s="1107">
        <f t="shared" si="7"/>
        <v>1</v>
      </c>
      <c r="K140" s="1107">
        <f t="shared" si="8"/>
        <v>1.023</v>
      </c>
      <c r="L140" s="1107">
        <f t="shared" si="9"/>
        <v>1.035</v>
      </c>
      <c r="M140" s="1107">
        <f t="shared" si="10"/>
        <v>1.409</v>
      </c>
      <c r="N140" s="1106">
        <f t="array" ref="N140">LET(
totalShards, F$10,
AtMax, OR(F$3&lt;$B140,totalShards&lt;$E140),
primeShards, $E140,
PrimeMulti, F140,
AssPer, F$4,
AssLevel, IF(AtMax,1,index(optimizer[Level],XMATCH(totalShards-primeShards,optimizer[Total discounted cost],-1,2))),
AssMulti,IF(F$16="",1,index(optimizer[cannonAssist],XMATCH(AssLevel,optimizer[Level],-1,2))),
TooLow, OR(AssLevel&lt;$F$18,$B140&lt;$F$15),
IF(OR(AtMax,TooLow), 0, PrimeMulti * (AssMulti)))</f>
        <v>3.35</v>
      </c>
      <c r="O140" s="1106">
        <f t="array" ref="O140">LET(
totalShards, G$10,
AtMax, OR(G$3&lt;$B140,totalShards&lt;$E140),
primeShards, $E140,
PrimeMulti, G140,
AssPer, G$4,
AssLevel, IF(AtMax,1,index(optimizer[Level],XMATCH(totalShards-primeShards,optimizer[Total discounted cost],-1,2))),
AssMulti,IF(G$16="",1,index(optimizer[armorAssist],XMATCH(AssLevel,optimizer[Level],-1,2))),
TooLow, OR(AssLevel&lt;$G$18,$B140&lt;$G$15),
IF(OR(AtMax,TooLow), 0, PrimeMulti * (AssMulti)))</f>
        <v>3.570765</v>
      </c>
      <c r="P140" s="1106">
        <f t="array" ref="P140">LET(
totalShards, H$10,
AtMax, OR(H$3&lt;$B140,totalShards&lt;$E140),
primeShards, $E140,
PrimeMulti, H140,
AssPer, H$4,
AssLevel, IF(AtMax,1,index(optimizer[Level],XMATCH(totalShards-primeShards,optimizer[Total discounted cost],-1,2))),
AssMulti,IF(H$16="",1,index(optimizer[generatorAssist],XMATCH(AssLevel,optimizer[Level],-1,2))),
TooLow, OR(AssLevel&lt;$H$18,$B140&lt;$H$15),
IF(OR(AtMax,TooLow), 0, PrimeMulti * (AssMulti)))</f>
        <v>1.436535</v>
      </c>
      <c r="Q140" s="1108">
        <f t="array" ref="Q140">LET(
totalShards, I$10,
AtMax, OR(I$3&lt;$B140,totalShards&lt;$E140),
primeShards, $E140,
PrimeMulti, I140,
AssPer, I$4,
AssLevel, IF(AtMax,1,index(optimizer[Level],XMATCH(totalShards-primeShards,optimizer[Total discounted cost],-1,2))),
AssMulti,IF(I$16="",1,index(optimizer[coreAssist],XMATCH(AssLevel,optimizer[Level],-1,2))),
TooLow, OR(AssLevel&lt;$I$18,$B140&lt;$I$15),
IF(OR(AtMax,TooLow), 0, PrimeMulti * (AssMulti)))</f>
        <v>10.45481</v>
      </c>
    </row>
    <row r="141" ht="22.5" hidden="1" customHeight="1" outlineLevel="1">
      <c r="A141" s="1097"/>
      <c r="B141" s="1109">
        <v>114.0</v>
      </c>
      <c r="C141" s="1110">
        <v>1300.0</v>
      </c>
      <c r="D141" s="1110">
        <f t="shared" si="2"/>
        <v>910</v>
      </c>
      <c r="E141" s="1111">
        <f t="shared" si="11"/>
        <v>26455</v>
      </c>
      <c r="F141" s="1112">
        <f t="shared" si="3"/>
        <v>3.42</v>
      </c>
      <c r="G141" s="1112">
        <f t="shared" si="4"/>
        <v>3.42</v>
      </c>
      <c r="H141" s="1112">
        <f t="shared" si="5"/>
        <v>1.355</v>
      </c>
      <c r="I141" s="1112">
        <f t="shared" si="6"/>
        <v>5.504</v>
      </c>
      <c r="J141" s="1113">
        <f t="shared" si="7"/>
        <v>1</v>
      </c>
      <c r="K141" s="1107">
        <f t="shared" si="8"/>
        <v>1.0237</v>
      </c>
      <c r="L141" s="1107">
        <f t="shared" si="9"/>
        <v>1.0355</v>
      </c>
      <c r="M141" s="1107">
        <f t="shared" si="10"/>
        <v>1.417</v>
      </c>
      <c r="N141" s="1106">
        <f t="array" ref="N141">LET(
totalShards, F$10,
AtMax, OR(F$3&lt;$B141,totalShards&lt;$E141),
primeShards, $E141,
PrimeMulti, F141,
AssPer, F$4,
AssLevel, IF(AtMax,1,index(optimizer[Level],XMATCH(totalShards-primeShards,optimizer[Total discounted cost],-1,2))),
AssMulti,IF(F$16="",1,index(optimizer[cannonAssist],XMATCH(AssLevel,optimizer[Level],-1,2))),
TooLow, OR(AssLevel&lt;$F$18,$B141&lt;$F$15),
IF(OR(AtMax,TooLow), 0, PrimeMulti * (AssMulti)))</f>
        <v>3.42</v>
      </c>
      <c r="O141" s="1112">
        <f t="array" ref="O141">LET(
totalShards, G$10,
AtMax, OR(G$3&lt;$B141,totalShards&lt;$E141),
primeShards, $E141,
PrimeMulti, G141,
AssPer, G$4,
AssLevel, IF(AtMax,1,index(optimizer[Level],XMATCH(totalShards-primeShards,optimizer[Total discounted cost],-1,2))),
AssMulti,IF(G$16="",1,index(optimizer[armorAssist],XMATCH(AssLevel,optimizer[Level],-1,2))),
TooLow, OR(AssLevel&lt;$G$18,$B141&lt;$G$15),
IF(OR(AtMax,TooLow), 0, PrimeMulti * (AssMulti)))</f>
        <v>3.641274</v>
      </c>
      <c r="P141" s="1112">
        <f t="array" ref="P141">LET(
totalShards, H$10,
AtMax, OR(H$3&lt;$B141,totalShards&lt;$E141),
primeShards, $E141,
PrimeMulti, H141,
AssPer, H$4,
AssLevel, IF(AtMax,1,index(optimizer[Level],XMATCH(totalShards-primeShards,optimizer[Total discounted cost],-1,2))),
AssMulti,IF(H$16="",1,index(optimizer[generatorAssist],XMATCH(AssLevel,optimizer[Level],-1,2))),
TooLow, OR(AssLevel&lt;$H$18,$B141&lt;$H$15),
IF(OR(AtMax,TooLow), 0, PrimeMulti * (AssMulti)))</f>
        <v>1.4407715</v>
      </c>
      <c r="Q141" s="1114">
        <f t="array" ref="Q141">LET(
totalShards, I$10,
AtMax, OR(I$3&lt;$B141,totalShards&lt;$E141),
primeShards, $E141,
PrimeMulti, I141,
AssPer, I$4,
AssLevel, IF(AtMax,1,index(optimizer[Level],XMATCH(totalShards-primeShards,optimizer[Total discounted cost],-1,2))),
AssMulti,IF(I$16="",1,index(optimizer[coreAssist],XMATCH(AssLevel,optimizer[Level],-1,2))),
TooLow, OR(AssLevel&lt;$I$18,$B141&lt;$I$15),
IF(OR(AtMax,TooLow), 0, PrimeMulti * (AssMulti)))</f>
        <v>10.62272</v>
      </c>
    </row>
    <row r="142" ht="22.5" hidden="1" customHeight="1" outlineLevel="1">
      <c r="A142" s="1097"/>
      <c r="B142" s="1103">
        <v>115.0</v>
      </c>
      <c r="C142" s="1104">
        <v>1300.0</v>
      </c>
      <c r="D142" s="1104">
        <f t="shared" si="2"/>
        <v>910</v>
      </c>
      <c r="E142" s="1105">
        <f t="shared" si="11"/>
        <v>27365</v>
      </c>
      <c r="F142" s="1106">
        <f t="shared" si="3"/>
        <v>3.49</v>
      </c>
      <c r="G142" s="1106">
        <f t="shared" si="4"/>
        <v>3.49</v>
      </c>
      <c r="H142" s="1106">
        <f t="shared" si="5"/>
        <v>1.36</v>
      </c>
      <c r="I142" s="1106">
        <f t="shared" si="6"/>
        <v>5.59</v>
      </c>
      <c r="J142" s="1107">
        <f t="shared" si="7"/>
        <v>1</v>
      </c>
      <c r="K142" s="1107">
        <f t="shared" si="8"/>
        <v>1.0244</v>
      </c>
      <c r="L142" s="1107">
        <f t="shared" si="9"/>
        <v>1.036</v>
      </c>
      <c r="M142" s="1107">
        <f t="shared" si="10"/>
        <v>1.425</v>
      </c>
      <c r="N142" s="1106">
        <f t="array" ref="N142">LET(
totalShards, F$10,
AtMax, OR(F$3&lt;$B142,totalShards&lt;$E142),
primeShards, $E142,
PrimeMulti, F142,
AssPer, F$4,
AssLevel, IF(AtMax,1,index(optimizer[Level],XMATCH(totalShards-primeShards,optimizer[Total discounted cost],-1,2))),
AssMulti,IF(F$16="",1,index(optimizer[cannonAssist],XMATCH(AssLevel,optimizer[Level],-1,2))),
TooLow, OR(AssLevel&lt;$F$18,$B142&lt;$F$15),
IF(OR(AtMax,TooLow), 0, PrimeMulti * (AssMulti)))</f>
        <v>3.49</v>
      </c>
      <c r="O142" s="1106">
        <f t="array" ref="O142">LET(
totalShards, G$10,
AtMax, OR(G$3&lt;$B142,totalShards&lt;$E142),
primeShards, $E142,
PrimeMulti, G142,
AssPer, G$4,
AssLevel, IF(AtMax,1,index(optimizer[Level],XMATCH(totalShards-primeShards,optimizer[Total discounted cost],-1,2))),
AssMulti,IF(G$16="",1,index(optimizer[armorAssist],XMATCH(AssLevel,optimizer[Level],-1,2))),
TooLow, OR(AssLevel&lt;$G$18,$B142&lt;$G$15),
IF(OR(AtMax,TooLow), 0, PrimeMulti * (AssMulti)))</f>
        <v>3.715803</v>
      </c>
      <c r="P142" s="1106">
        <f t="array" ref="P142">LET(
totalShards, H$10,
AtMax, OR(H$3&lt;$B142,totalShards&lt;$E142),
primeShards, $E142,
PrimeMulti, H142,
AssPer, H$4,
AssLevel, IF(AtMax,1,index(optimizer[Level],XMATCH(totalShards-primeShards,optimizer[Total discounted cost],-1,2))),
AssMulti,IF(H$16="",1,index(optimizer[generatorAssist],XMATCH(AssLevel,optimizer[Level],-1,2))),
TooLow, OR(AssLevel&lt;$H$18,$B142&lt;$H$15),
IF(OR(AtMax,TooLow), 0, PrimeMulti * (AssMulti)))</f>
        <v>1.446088</v>
      </c>
      <c r="Q142" s="1108">
        <f t="array" ref="Q142">LET(
totalShards, I$10,
AtMax, OR(I$3&lt;$B142,totalShards&lt;$E142),
primeShards, $E142,
PrimeMulti, I142,
AssPer, I$4,
AssLevel, IF(AtMax,1,index(optimizer[Level],XMATCH(totalShards-primeShards,optimizer[Total discounted cost],-1,2))),
AssMulti,IF(I$16="",1,index(optimizer[coreAssist],XMATCH(AssLevel,optimizer[Level],-1,2))),
TooLow, OR(AssLevel&lt;$I$18,$B142&lt;$I$15),
IF(OR(AtMax,TooLow), 0, PrimeMulti * (AssMulti)))</f>
        <v>10.7887</v>
      </c>
    </row>
    <row r="143" ht="22.5" hidden="1" customHeight="1" outlineLevel="1">
      <c r="A143" s="1097"/>
      <c r="B143" s="1109">
        <v>116.0</v>
      </c>
      <c r="C143" s="1110">
        <v>1300.0</v>
      </c>
      <c r="D143" s="1110">
        <f t="shared" si="2"/>
        <v>910</v>
      </c>
      <c r="E143" s="1111">
        <f t="shared" si="11"/>
        <v>28275</v>
      </c>
      <c r="F143" s="1112">
        <f t="shared" si="3"/>
        <v>3.56</v>
      </c>
      <c r="G143" s="1112">
        <f t="shared" si="4"/>
        <v>3.56</v>
      </c>
      <c r="H143" s="1112">
        <f t="shared" si="5"/>
        <v>1.365</v>
      </c>
      <c r="I143" s="1112">
        <f t="shared" si="6"/>
        <v>5.676</v>
      </c>
      <c r="J143" s="1113">
        <f t="shared" si="7"/>
        <v>1</v>
      </c>
      <c r="K143" s="1107">
        <f t="shared" si="8"/>
        <v>1.0251</v>
      </c>
      <c r="L143" s="1107">
        <f t="shared" si="9"/>
        <v>1.0365</v>
      </c>
      <c r="M143" s="1107">
        <f t="shared" si="10"/>
        <v>1.433</v>
      </c>
      <c r="N143" s="1106">
        <f t="array" ref="N143">LET(
totalShards, F$10,
AtMax, OR(F$3&lt;$B143,totalShards&lt;$E143),
primeShards, $E143,
PrimeMulti, F143,
AssPer, F$4,
AssLevel, IF(AtMax,1,index(optimizer[Level],XMATCH(totalShards-primeShards,optimizer[Total discounted cost],-1,2))),
AssMulti,IF(F$16="",1,index(optimizer[cannonAssist],XMATCH(AssLevel,optimizer[Level],-1,2))),
TooLow, OR(AssLevel&lt;$F$18,$B143&lt;$F$15),
IF(OR(AtMax,TooLow), 0, PrimeMulti * (AssMulti)))</f>
        <v>3.56</v>
      </c>
      <c r="O143" s="1112">
        <f t="array" ref="O143">LET(
totalShards, G$10,
AtMax, OR(G$3&lt;$B143,totalShards&lt;$E143),
primeShards, $E143,
PrimeMulti, G143,
AssPer, G$4,
AssLevel, IF(AtMax,1,index(optimizer[Level],XMATCH(totalShards-primeShards,optimizer[Total discounted cost],-1,2))),
AssMulti,IF(G$16="",1,index(optimizer[armorAssist],XMATCH(AssLevel,optimizer[Level],-1,2))),
TooLow, OR(AssLevel&lt;$G$18,$B143&lt;$G$15),
IF(OR(AtMax,TooLow), 0, PrimeMulti * (AssMulti)))</f>
        <v>3.790332</v>
      </c>
      <c r="P143" s="1112">
        <f t="array" ref="P143">LET(
totalShards, H$10,
AtMax, OR(H$3&lt;$B143,totalShards&lt;$E143),
primeShards, $E143,
PrimeMulti, H143,
AssPer, H$4,
AssLevel, IF(AtMax,1,index(optimizer[Level],XMATCH(totalShards-primeShards,optimizer[Total discounted cost],-1,2))),
AssMulti,IF(H$16="",1,index(optimizer[generatorAssist],XMATCH(AssLevel,optimizer[Level],-1,2))),
TooLow, OR(AssLevel&lt;$H$18,$B143&lt;$H$15),
IF(OR(AtMax,TooLow), 0, PrimeMulti * (AssMulti)))</f>
        <v>1.4514045</v>
      </c>
      <c r="Q143" s="1114">
        <f t="array" ref="Q143">LET(
totalShards, I$10,
AtMax, OR(I$3&lt;$B143,totalShards&lt;$E143),
primeShards, $E143,
PrimeMulti, I143,
AssPer, I$4,
AssLevel, IF(AtMax,1,index(optimizer[Level],XMATCH(totalShards-primeShards,optimizer[Total discounted cost],-1,2))),
AssMulti,IF(I$16="",1,index(optimizer[coreAssist],XMATCH(AssLevel,optimizer[Level],-1,2))),
TooLow, OR(AssLevel&lt;$I$18,$B143&lt;$I$15),
IF(OR(AtMax,TooLow), 0, PrimeMulti * (AssMulti)))</f>
        <v>10.86954</v>
      </c>
    </row>
    <row r="144" ht="22.5" hidden="1" customHeight="1" outlineLevel="1">
      <c r="A144" s="1097"/>
      <c r="B144" s="1103">
        <v>117.0</v>
      </c>
      <c r="C144" s="1104">
        <v>1300.0</v>
      </c>
      <c r="D144" s="1104">
        <f t="shared" si="2"/>
        <v>910</v>
      </c>
      <c r="E144" s="1105">
        <f t="shared" si="11"/>
        <v>29185</v>
      </c>
      <c r="F144" s="1106">
        <f t="shared" si="3"/>
        <v>3.63</v>
      </c>
      <c r="G144" s="1106">
        <f t="shared" si="4"/>
        <v>3.63</v>
      </c>
      <c r="H144" s="1106">
        <f t="shared" si="5"/>
        <v>1.37</v>
      </c>
      <c r="I144" s="1106">
        <f t="shared" si="6"/>
        <v>5.763</v>
      </c>
      <c r="J144" s="1107">
        <f t="shared" si="7"/>
        <v>1</v>
      </c>
      <c r="K144" s="1107">
        <f t="shared" si="8"/>
        <v>1.0258</v>
      </c>
      <c r="L144" s="1107">
        <f t="shared" si="9"/>
        <v>1.037</v>
      </c>
      <c r="M144" s="1107">
        <f t="shared" si="10"/>
        <v>1.441</v>
      </c>
      <c r="N144" s="1106">
        <f t="array" ref="N144">LET(
totalShards, F$10,
AtMax, OR(F$3&lt;$B144,totalShards&lt;$E144),
primeShards, $E144,
PrimeMulti, F144,
AssPer, F$4,
AssLevel, IF(AtMax,1,index(optimizer[Level],XMATCH(totalShards-primeShards,optimizer[Total discounted cost],-1,2))),
AssMulti,IF(F$16="",1,index(optimizer[cannonAssist],XMATCH(AssLevel,optimizer[Level],-1,2))),
TooLow, OR(AssLevel&lt;$F$18,$B144&lt;$F$15),
IF(OR(AtMax,TooLow), 0, PrimeMulti * (AssMulti)))</f>
        <v>3.63</v>
      </c>
      <c r="O144" s="1106">
        <f t="array" ref="O144">LET(
totalShards, G$10,
AtMax, OR(G$3&lt;$B144,totalShards&lt;$E144),
primeShards, $E144,
PrimeMulti, G144,
AssPer, G$4,
AssLevel, IF(AtMax,1,index(optimizer[Level],XMATCH(totalShards-primeShards,optimizer[Total discounted cost],-1,2))),
AssMulti,IF(G$16="",1,index(optimizer[armorAssist],XMATCH(AssLevel,optimizer[Level],-1,2))),
TooLow, OR(AssLevel&lt;$G$18,$B144&lt;$G$15),
IF(OR(AtMax,TooLow), 0, PrimeMulti * (AssMulti)))</f>
        <v>3.860505</v>
      </c>
      <c r="P144" s="1106">
        <f t="array" ref="P144">LET(
totalShards, H$10,
AtMax, OR(H$3&lt;$B144,totalShards&lt;$E144),
primeShards, $E144,
PrimeMulti, H144,
AssPer, H$4,
AssLevel, IF(AtMax,1,index(optimizer[Level],XMATCH(totalShards-primeShards,optimizer[Total discounted cost],-1,2))),
AssMulti,IF(H$16="",1,index(optimizer[generatorAssist],XMATCH(AssLevel,optimizer[Level],-1,2))),
TooLow, OR(AssLevel&lt;$H$18,$B144&lt;$H$15),
IF(OR(AtMax,TooLow), 0, PrimeMulti * (AssMulti)))</f>
        <v>1.455625</v>
      </c>
      <c r="Q144" s="1108">
        <f t="array" ref="Q144">LET(
totalShards, I$10,
AtMax, OR(I$3&lt;$B144,totalShards&lt;$E144),
primeShards, $E144,
PrimeMulti, I144,
AssPer, I$4,
AssLevel, IF(AtMax,1,index(optimizer[Level],XMATCH(totalShards-primeShards,optimizer[Total discounted cost],-1,2))),
AssMulti,IF(I$16="",1,index(optimizer[coreAssist],XMATCH(AssLevel,optimizer[Level],-1,2))),
TooLow, OR(AssLevel&lt;$I$18,$B144&lt;$I$15),
IF(OR(AtMax,TooLow), 0, PrimeMulti * (AssMulti)))</f>
        <v>11.036145</v>
      </c>
    </row>
    <row r="145" ht="22.5" hidden="1" customHeight="1" outlineLevel="1">
      <c r="A145" s="1097"/>
      <c r="B145" s="1109">
        <v>118.0</v>
      </c>
      <c r="C145" s="1110">
        <v>1300.0</v>
      </c>
      <c r="D145" s="1110">
        <f t="shared" si="2"/>
        <v>910</v>
      </c>
      <c r="E145" s="1111">
        <f t="shared" si="11"/>
        <v>30095</v>
      </c>
      <c r="F145" s="1112">
        <f t="shared" si="3"/>
        <v>3.7</v>
      </c>
      <c r="G145" s="1112">
        <f t="shared" si="4"/>
        <v>3.7</v>
      </c>
      <c r="H145" s="1112">
        <f t="shared" si="5"/>
        <v>1.375</v>
      </c>
      <c r="I145" s="1112">
        <f t="shared" si="6"/>
        <v>5.849</v>
      </c>
      <c r="J145" s="1113">
        <f t="shared" si="7"/>
        <v>1</v>
      </c>
      <c r="K145" s="1107">
        <f t="shared" si="8"/>
        <v>1.0265</v>
      </c>
      <c r="L145" s="1107">
        <f t="shared" si="9"/>
        <v>1.0375</v>
      </c>
      <c r="M145" s="1107">
        <f t="shared" si="10"/>
        <v>1.449</v>
      </c>
      <c r="N145" s="1106">
        <f t="array" ref="N145">LET(
totalShards, F$10,
AtMax, OR(F$3&lt;$B145,totalShards&lt;$E145),
primeShards, $E145,
PrimeMulti, F145,
AssPer, F$4,
AssLevel, IF(AtMax,1,index(optimizer[Level],XMATCH(totalShards-primeShards,optimizer[Total discounted cost],-1,2))),
AssMulti,IF(F$16="",1,index(optimizer[cannonAssist],XMATCH(AssLevel,optimizer[Level],-1,2))),
TooLow, OR(AssLevel&lt;$F$18,$B145&lt;$F$15),
IF(OR(AtMax,TooLow), 0, PrimeMulti * (AssMulti)))</f>
        <v>3.7</v>
      </c>
      <c r="O145" s="1112">
        <f t="array" ref="O145">LET(
totalShards, G$10,
AtMax, OR(G$3&lt;$B145,totalShards&lt;$E145),
primeShards, $E145,
PrimeMulti, G145,
AssPer, G$4,
AssLevel, IF(AtMax,1,index(optimizer[Level],XMATCH(totalShards-primeShards,optimizer[Total discounted cost],-1,2))),
AssMulti,IF(G$16="",1,index(optimizer[armorAssist],XMATCH(AssLevel,optimizer[Level],-1,2))),
TooLow, OR(AssLevel&lt;$G$18,$B145&lt;$G$15),
IF(OR(AtMax,TooLow), 0, PrimeMulti * (AssMulti)))</f>
        <v>3.93495</v>
      </c>
      <c r="P145" s="1112">
        <f t="array" ref="P145">LET(
totalShards, H$10,
AtMax, OR(H$3&lt;$B145,totalShards&lt;$E145),
primeShards, $E145,
PrimeMulti, H145,
AssPer, H$4,
AssLevel, IF(AtMax,1,index(optimizer[Level],XMATCH(totalShards-primeShards,optimizer[Total discounted cost],-1,2))),
AssMulti,IF(H$16="",1,index(optimizer[generatorAssist],XMATCH(AssLevel,optimizer[Level],-1,2))),
TooLow, OR(AssLevel&lt;$H$18,$B145&lt;$H$15),
IF(OR(AtMax,TooLow), 0, PrimeMulti * (AssMulti)))</f>
        <v>1.4609375</v>
      </c>
      <c r="Q145" s="1114">
        <f t="array" ref="Q145">LET(
totalShards, I$10,
AtMax, OR(I$3&lt;$B145,totalShards&lt;$E145),
primeShards, $E145,
PrimeMulti, I145,
AssPer, I$4,
AssLevel, IF(AtMax,1,index(optimizer[Level],XMATCH(totalShards-primeShards,optimizer[Total discounted cost],-1,2))),
AssMulti,IF(I$16="",1,index(optimizer[coreAssist],XMATCH(AssLevel,optimizer[Level],-1,2))),
TooLow, OR(AssLevel&lt;$I$18,$B145&lt;$I$15),
IF(OR(AtMax,TooLow), 0, PrimeMulti * (AssMulti)))</f>
        <v>11.200835</v>
      </c>
    </row>
    <row r="146" ht="22.5" hidden="1" customHeight="1" outlineLevel="1">
      <c r="A146" s="1097"/>
      <c r="B146" s="1103">
        <v>119.0</v>
      </c>
      <c r="C146" s="1104">
        <v>1300.0</v>
      </c>
      <c r="D146" s="1104">
        <f t="shared" si="2"/>
        <v>910</v>
      </c>
      <c r="E146" s="1105">
        <f t="shared" si="11"/>
        <v>31005</v>
      </c>
      <c r="F146" s="1106">
        <f t="shared" si="3"/>
        <v>3.77</v>
      </c>
      <c r="G146" s="1106">
        <f t="shared" si="4"/>
        <v>3.77</v>
      </c>
      <c r="H146" s="1106">
        <f t="shared" si="5"/>
        <v>1.38</v>
      </c>
      <c r="I146" s="1106">
        <f t="shared" si="6"/>
        <v>5.936</v>
      </c>
      <c r="J146" s="1107">
        <f t="shared" si="7"/>
        <v>1</v>
      </c>
      <c r="K146" s="1107">
        <f t="shared" si="8"/>
        <v>1.0272</v>
      </c>
      <c r="L146" s="1107">
        <f t="shared" si="9"/>
        <v>1.038</v>
      </c>
      <c r="M146" s="1107">
        <f t="shared" si="10"/>
        <v>1.457</v>
      </c>
      <c r="N146" s="1106">
        <f t="array" ref="N146">LET(
totalShards, F$10,
AtMax, OR(F$3&lt;$B146,totalShards&lt;$E146),
primeShards, $E146,
PrimeMulti, F146,
AssPer, F$4,
AssLevel, IF(AtMax,1,index(optimizer[Level],XMATCH(totalShards-primeShards,optimizer[Total discounted cost],-1,2))),
AssMulti,IF(F$16="",1,index(optimizer[cannonAssist],XMATCH(AssLevel,optimizer[Level],-1,2))),
TooLow, OR(AssLevel&lt;$F$18,$B146&lt;$F$15),
IF(OR(AtMax,TooLow), 0, PrimeMulti * (AssMulti)))</f>
        <v>3.77</v>
      </c>
      <c r="O146" s="1106">
        <f t="array" ref="O146">LET(
totalShards, G$10,
AtMax, OR(G$3&lt;$B146,totalShards&lt;$E146),
primeShards, $E146,
PrimeMulti, G146,
AssPer, G$4,
AssLevel, IF(AtMax,1,index(optimizer[Level],XMATCH(totalShards-primeShards,optimizer[Total discounted cost],-1,2))),
AssMulti,IF(G$16="",1,index(optimizer[armorAssist],XMATCH(AssLevel,optimizer[Level],-1,2))),
TooLow, OR(AssLevel&lt;$G$18,$B146&lt;$G$15),
IF(OR(AtMax,TooLow), 0, PrimeMulti * (AssMulti)))</f>
        <v>4.009395</v>
      </c>
      <c r="P146" s="1106">
        <f t="array" ref="P146">LET(
totalShards, H$10,
AtMax, OR(H$3&lt;$B146,totalShards&lt;$E146),
primeShards, $E146,
PrimeMulti, H146,
AssPer, H$4,
AssLevel, IF(AtMax,1,index(optimizer[Level],XMATCH(totalShards-primeShards,optimizer[Total discounted cost],-1,2))),
AssMulti,IF(H$16="",1,index(optimizer[generatorAssist],XMATCH(AssLevel,optimizer[Level],-1,2))),
TooLow, OR(AssLevel&lt;$H$18,$B146&lt;$H$15),
IF(OR(AtMax,TooLow), 0, PrimeMulti * (AssMulti)))</f>
        <v>1.46625</v>
      </c>
      <c r="Q146" s="1108">
        <f t="array" ref="Q146">LET(
totalShards, I$10,
AtMax, OR(I$3&lt;$B146,totalShards&lt;$E146),
primeShards, $E146,
PrimeMulti, I146,
AssPer, I$4,
AssLevel, IF(AtMax,1,index(optimizer[Level],XMATCH(totalShards-primeShards,optimizer[Total discounted cost],-1,2))),
AssMulti,IF(I$16="",1,index(optimizer[coreAssist],XMATCH(AssLevel,optimizer[Level],-1,2))),
TooLow, OR(AssLevel&lt;$I$18,$B146&lt;$I$15),
IF(OR(AtMax,TooLow), 0, PrimeMulti * (AssMulti)))</f>
        <v>11.2784</v>
      </c>
    </row>
    <row r="147" ht="22.5" hidden="1" customHeight="1" outlineLevel="1">
      <c r="A147" s="1097"/>
      <c r="B147" s="1109">
        <v>120.0</v>
      </c>
      <c r="C147" s="1110">
        <v>1300.0</v>
      </c>
      <c r="D147" s="1110">
        <f t="shared" si="2"/>
        <v>910</v>
      </c>
      <c r="E147" s="1111">
        <f t="shared" si="11"/>
        <v>31915</v>
      </c>
      <c r="F147" s="1112">
        <f t="shared" si="3"/>
        <v>3.84</v>
      </c>
      <c r="G147" s="1112">
        <f t="shared" si="4"/>
        <v>3.84</v>
      </c>
      <c r="H147" s="1112">
        <f t="shared" si="5"/>
        <v>1.385</v>
      </c>
      <c r="I147" s="1112">
        <f t="shared" si="6"/>
        <v>6.022</v>
      </c>
      <c r="J147" s="1113">
        <f t="shared" si="7"/>
        <v>1</v>
      </c>
      <c r="K147" s="1107">
        <f t="shared" si="8"/>
        <v>1.0279</v>
      </c>
      <c r="L147" s="1107">
        <f t="shared" si="9"/>
        <v>1.0385</v>
      </c>
      <c r="M147" s="1107">
        <f t="shared" si="10"/>
        <v>1.465</v>
      </c>
      <c r="N147" s="1106">
        <f t="array" ref="N147">LET(
totalShards, F$10,
AtMax, OR(F$3&lt;$B147,totalShards&lt;$E147),
primeShards, $E147,
PrimeMulti, F147,
AssPer, F$4,
AssLevel, IF(AtMax,1,index(optimizer[Level],XMATCH(totalShards-primeShards,optimizer[Total discounted cost],-1,2))),
AssMulti,IF(F$16="",1,index(optimizer[cannonAssist],XMATCH(AssLevel,optimizer[Level],-1,2))),
TooLow, OR(AssLevel&lt;$F$18,$B147&lt;$F$15),
IF(OR(AtMax,TooLow), 0, PrimeMulti * (AssMulti)))</f>
        <v>3.84</v>
      </c>
      <c r="O147" s="1112">
        <f t="array" ref="O147">LET(
totalShards, G$10,
AtMax, OR(G$3&lt;$B147,totalShards&lt;$E147),
primeShards, $E147,
PrimeMulti, G147,
AssPer, G$4,
AssLevel, IF(AtMax,1,index(optimizer[Level],XMATCH(totalShards-primeShards,optimizer[Total discounted cost],-1,2))),
AssMulti,IF(G$16="",1,index(optimizer[armorAssist],XMATCH(AssLevel,optimizer[Level],-1,2))),
TooLow, OR(AssLevel&lt;$G$18,$B147&lt;$G$15),
IF(OR(AtMax,TooLow), 0, PrimeMulti * (AssMulti)))</f>
        <v>4.079232</v>
      </c>
      <c r="P147" s="1112">
        <f t="array" ref="P147">LET(
totalShards, H$10,
AtMax, OR(H$3&lt;$B147,totalShards&lt;$E147),
primeShards, $E147,
PrimeMulti, H147,
AssPer, H$4,
AssLevel, IF(AtMax,1,index(optimizer[Level],XMATCH(totalShards-primeShards,optimizer[Total discounted cost],-1,2))),
AssMulti,IF(H$16="",1,index(optimizer[generatorAssist],XMATCH(AssLevel,optimizer[Level],-1,2))),
TooLow, OR(AssLevel&lt;$H$18,$B147&lt;$H$15),
IF(OR(AtMax,TooLow), 0, PrimeMulti * (AssMulti)))</f>
        <v>1.4704545</v>
      </c>
      <c r="Q147" s="1114">
        <f t="array" ref="Q147">LET(
totalShards, I$10,
AtMax, OR(I$3&lt;$B147,totalShards&lt;$E147),
primeShards, $E147,
PrimeMulti, I147,
AssPer, I$4,
AssLevel, IF(AtMax,1,index(optimizer[Level],XMATCH(totalShards-primeShards,optimizer[Total discounted cost],-1,2))),
AssMulti,IF(I$16="",1,index(optimizer[coreAssist],XMATCH(AssLevel,optimizer[Level],-1,2))),
TooLow, OR(AssLevel&lt;$I$18,$B147&lt;$I$15),
IF(OR(AtMax,TooLow), 0, PrimeMulti * (AssMulti)))</f>
        <v>11.4418</v>
      </c>
    </row>
    <row r="148" ht="22.5" hidden="1" customHeight="1" outlineLevel="1">
      <c r="A148" s="1097"/>
      <c r="B148" s="1103">
        <v>121.0</v>
      </c>
      <c r="C148" s="1104">
        <v>1800.0</v>
      </c>
      <c r="D148" s="1104">
        <f t="shared" si="2"/>
        <v>1260</v>
      </c>
      <c r="E148" s="1105">
        <f t="shared" si="11"/>
        <v>33175</v>
      </c>
      <c r="F148" s="1106">
        <f t="shared" si="3"/>
        <v>3.94</v>
      </c>
      <c r="G148" s="1106">
        <f t="shared" si="4"/>
        <v>3.94</v>
      </c>
      <c r="H148" s="1106">
        <f t="shared" si="5"/>
        <v>1.391</v>
      </c>
      <c r="I148" s="1106">
        <f t="shared" si="6"/>
        <v>6.152</v>
      </c>
      <c r="J148" s="1107">
        <f t="shared" si="7"/>
        <v>1</v>
      </c>
      <c r="K148" s="1107">
        <f t="shared" si="8"/>
        <v>1.0289</v>
      </c>
      <c r="L148" s="1107">
        <f t="shared" si="9"/>
        <v>1.0391</v>
      </c>
      <c r="M148" s="1107">
        <f t="shared" si="10"/>
        <v>1.477</v>
      </c>
      <c r="N148" s="1106">
        <f t="array" ref="N148">LET(
totalShards, F$10,
AtMax, OR(F$3&lt;$B148,totalShards&lt;$E148),
primeShards, $E148,
PrimeMulti, F148,
AssPer, F$4,
AssLevel, IF(AtMax,1,index(optimizer[Level],XMATCH(totalShards-primeShards,optimizer[Total discounted cost],-1,2))),
AssMulti,IF(F$16="",1,index(optimizer[cannonAssist],XMATCH(AssLevel,optimizer[Level],-1,2))),
TooLow, OR(AssLevel&lt;$F$18,$B148&lt;$F$15),
IF(OR(AtMax,TooLow), 0, PrimeMulti * (AssMulti)))</f>
        <v>3.94</v>
      </c>
      <c r="O148" s="1106">
        <f t="array" ref="O148">LET(
totalShards, G$10,
AtMax, OR(G$3&lt;$B148,totalShards&lt;$E148),
primeShards, $E148,
PrimeMulti, G148,
AssPer, G$4,
AssLevel, IF(AtMax,1,index(optimizer[Level],XMATCH(totalShards-primeShards,optimizer[Total discounted cost],-1,2))),
AssMulti,IF(G$16="",1,index(optimizer[armorAssist],XMATCH(AssLevel,optimizer[Level],-1,2))),
TooLow, OR(AssLevel&lt;$G$18,$B148&lt;$G$15),
IF(OR(AtMax,TooLow), 0, PrimeMulti * (AssMulti)))</f>
        <v>4.185462</v>
      </c>
      <c r="P148" s="1106">
        <f t="array" ref="P148">LET(
totalShards, H$10,
AtMax, OR(H$3&lt;$B148,totalShards&lt;$E148),
primeShards, $E148,
PrimeMulti, H148,
AssPer, H$4,
AssLevel, IF(AtMax,1,index(optimizer[Level],XMATCH(totalShards-primeShards,optimizer[Total discounted cost],-1,2))),
AssMulti,IF(H$16="",1,index(optimizer[generatorAssist],XMATCH(AssLevel,optimizer[Level],-1,2))),
TooLow, OR(AssLevel&lt;$H$18,$B148&lt;$H$15),
IF(OR(AtMax,TooLow), 0, PrimeMulti * (AssMulti)))</f>
        <v>1.4768247</v>
      </c>
      <c r="Q148" s="1108">
        <f t="array" ref="Q148">LET(
totalShards, I$10,
AtMax, OR(I$3&lt;$B148,totalShards&lt;$E148),
primeShards, $E148,
PrimeMulti, I148,
AssPer, I$4,
AssLevel, IF(AtMax,1,index(optimizer[Level],XMATCH(totalShards-primeShards,optimizer[Total discounted cost],-1,2))),
AssMulti,IF(I$16="",1,index(optimizer[coreAssist],XMATCH(AssLevel,optimizer[Level],-1,2))),
TooLow, OR(AssLevel&lt;$I$18,$B148&lt;$I$15),
IF(OR(AtMax,TooLow), 0, PrimeMulti * (AssMulti)))</f>
        <v>11.6888</v>
      </c>
    </row>
    <row r="149" ht="22.5" hidden="1" customHeight="1" outlineLevel="1">
      <c r="A149" s="1097"/>
      <c r="B149" s="1109">
        <v>122.0</v>
      </c>
      <c r="C149" s="1110">
        <v>1800.0</v>
      </c>
      <c r="D149" s="1110">
        <f t="shared" si="2"/>
        <v>1260</v>
      </c>
      <c r="E149" s="1111">
        <f t="shared" si="11"/>
        <v>34435</v>
      </c>
      <c r="F149" s="1112">
        <f t="shared" si="3"/>
        <v>4.04</v>
      </c>
      <c r="G149" s="1112">
        <f t="shared" si="4"/>
        <v>4.04</v>
      </c>
      <c r="H149" s="1112">
        <f t="shared" si="5"/>
        <v>1.397</v>
      </c>
      <c r="I149" s="1112">
        <f t="shared" si="6"/>
        <v>6.281</v>
      </c>
      <c r="J149" s="1113">
        <f t="shared" si="7"/>
        <v>1</v>
      </c>
      <c r="K149" s="1107">
        <f t="shared" si="8"/>
        <v>1.0299</v>
      </c>
      <c r="L149" s="1107">
        <f t="shared" si="9"/>
        <v>1.0397</v>
      </c>
      <c r="M149" s="1107">
        <f t="shared" si="10"/>
        <v>1.489</v>
      </c>
      <c r="N149" s="1106">
        <f t="array" ref="N149">LET(
totalShards, F$10,
AtMax, OR(F$3&lt;$B149,totalShards&lt;$E149),
primeShards, $E149,
PrimeMulti, F149,
AssPer, F$4,
AssLevel, IF(AtMax,1,index(optimizer[Level],XMATCH(totalShards-primeShards,optimizer[Total discounted cost],-1,2))),
AssMulti,IF(F$16="",1,index(optimizer[cannonAssist],XMATCH(AssLevel,optimizer[Level],-1,2))),
TooLow, OR(AssLevel&lt;$F$18,$B149&lt;$F$15),
IF(OR(AtMax,TooLow), 0, PrimeMulti * (AssMulti)))</f>
        <v>4.04</v>
      </c>
      <c r="O149" s="1112">
        <f t="array" ref="O149">LET(
totalShards, G$10,
AtMax, OR(G$3&lt;$B149,totalShards&lt;$E149),
primeShards, $E149,
PrimeMulti, G149,
AssPer, G$4,
AssLevel, IF(AtMax,1,index(optimizer[Level],XMATCH(totalShards-primeShards,optimizer[Total discounted cost],-1,2))),
AssMulti,IF(G$16="",1,index(optimizer[armorAssist],XMATCH(AssLevel,optimizer[Level],-1,2))),
TooLow, OR(AssLevel&lt;$G$18,$B149&lt;$G$15),
IF(OR(AtMax,TooLow), 0, PrimeMulti * (AssMulti)))</f>
        <v>4.286844</v>
      </c>
      <c r="P149" s="1112">
        <f t="array" ref="P149">LET(
totalShards, H$10,
AtMax, OR(H$3&lt;$B149,totalShards&lt;$E149),
primeShards, $E149,
PrimeMulti, H149,
AssPer, H$4,
AssLevel, IF(AtMax,1,index(optimizer[Level],XMATCH(totalShards-primeShards,optimizer[Total discounted cost],-1,2))),
AssMulti,IF(H$16="",1,index(optimizer[generatorAssist],XMATCH(AssLevel,optimizer[Level],-1,2))),
TooLow, OR(AssLevel&lt;$H$18,$B149&lt;$H$15),
IF(OR(AtMax,TooLow), 0, PrimeMulti * (AssMulti)))</f>
        <v>1.4831949</v>
      </c>
      <c r="Q149" s="1114">
        <f t="array" ref="Q149">LET(
totalShards, I$10,
AtMax, OR(I$3&lt;$B149,totalShards&lt;$E149),
primeShards, $E149,
PrimeMulti, I149,
AssPer, I$4,
AssLevel, IF(AtMax,1,index(optimizer[Level],XMATCH(totalShards-primeShards,optimizer[Total discounted cost],-1,2))),
AssMulti,IF(I$16="",1,index(optimizer[coreAssist],XMATCH(AssLevel,optimizer[Level],-1,2))),
TooLow, OR(AssLevel&lt;$I$18,$B149&lt;$I$15),
IF(OR(AtMax,TooLow), 0, PrimeMulti * (AssMulti)))</f>
        <v>11.839685</v>
      </c>
    </row>
    <row r="150" ht="22.5" hidden="1" customHeight="1" outlineLevel="1">
      <c r="A150" s="1097"/>
      <c r="B150" s="1103">
        <v>123.0</v>
      </c>
      <c r="C150" s="1104">
        <v>1800.0</v>
      </c>
      <c r="D150" s="1104">
        <f t="shared" si="2"/>
        <v>1260</v>
      </c>
      <c r="E150" s="1105">
        <f t="shared" si="11"/>
        <v>35695</v>
      </c>
      <c r="F150" s="1106">
        <f t="shared" si="3"/>
        <v>4.14</v>
      </c>
      <c r="G150" s="1106">
        <f t="shared" si="4"/>
        <v>4.14</v>
      </c>
      <c r="H150" s="1106">
        <f t="shared" si="5"/>
        <v>1.403</v>
      </c>
      <c r="I150" s="1106">
        <f t="shared" si="6"/>
        <v>6.411</v>
      </c>
      <c r="J150" s="1107">
        <f t="shared" si="7"/>
        <v>1</v>
      </c>
      <c r="K150" s="1107">
        <f t="shared" si="8"/>
        <v>1.0309</v>
      </c>
      <c r="L150" s="1107">
        <f t="shared" si="9"/>
        <v>1.0403</v>
      </c>
      <c r="M150" s="1107">
        <f t="shared" si="10"/>
        <v>1.501</v>
      </c>
      <c r="N150" s="1106">
        <f t="array" ref="N150">LET(
totalShards, F$10,
AtMax, OR(F$3&lt;$B150,totalShards&lt;$E150),
primeShards, $E150,
PrimeMulti, F150,
AssPer, F$4,
AssLevel, IF(AtMax,1,index(optimizer[Level],XMATCH(totalShards-primeShards,optimizer[Total discounted cost],-1,2))),
AssMulti,IF(F$16="",1,index(optimizer[cannonAssist],XMATCH(AssLevel,optimizer[Level],-1,2))),
TooLow, OR(AssLevel&lt;$F$18,$B150&lt;$F$15),
IF(OR(AtMax,TooLow), 0, PrimeMulti * (AssMulti)))</f>
        <v>4.14</v>
      </c>
      <c r="O150" s="1106">
        <f t="array" ref="O150">LET(
totalShards, G$10,
AtMax, OR(G$3&lt;$B150,totalShards&lt;$E150),
primeShards, $E150,
PrimeMulti, G150,
AssPer, G$4,
AssLevel, IF(AtMax,1,index(optimizer[Level],XMATCH(totalShards-primeShards,optimizer[Total discounted cost],-1,2))),
AssMulti,IF(G$16="",1,index(optimizer[armorAssist],XMATCH(AssLevel,optimizer[Level],-1,2))),
TooLow, OR(AssLevel&lt;$G$18,$B150&lt;$G$15),
IF(OR(AtMax,TooLow), 0, PrimeMulti * (AssMulti)))</f>
        <v>4.392954</v>
      </c>
      <c r="P150" s="1106">
        <f t="array" ref="P150">LET(
totalShards, H$10,
AtMax, OR(H$3&lt;$B150,totalShards&lt;$E150),
primeShards, $E150,
PrimeMulti, H150,
AssPer, H$4,
AssLevel, IF(AtMax,1,index(optimizer[Level],XMATCH(totalShards-primeShards,optimizer[Total discounted cost],-1,2))),
AssMulti,IF(H$16="",1,index(optimizer[generatorAssist],XMATCH(AssLevel,optimizer[Level],-1,2))),
TooLow, OR(AssLevel&lt;$H$18,$B150&lt;$H$15),
IF(OR(AtMax,TooLow), 0, PrimeMulti * (AssMulti)))</f>
        <v>1.4884427</v>
      </c>
      <c r="Q150" s="1108">
        <f t="array" ref="Q150">LET(
totalShards, I$10,
AtMax, OR(I$3&lt;$B150,totalShards&lt;$E150),
primeShards, $E150,
PrimeMulti, I150,
AssPer, I$4,
AssLevel, IF(AtMax,1,index(optimizer[Level],XMATCH(totalShards-primeShards,optimizer[Total discounted cost],-1,2))),
AssMulti,IF(I$16="",1,index(optimizer[coreAssist],XMATCH(AssLevel,optimizer[Level],-1,2))),
TooLow, OR(AssLevel&lt;$I$18,$B150&lt;$I$15),
IF(OR(AtMax,TooLow), 0, PrimeMulti * (AssMulti)))</f>
        <v>12.084735</v>
      </c>
    </row>
    <row r="151" ht="22.5" hidden="1" customHeight="1" outlineLevel="1">
      <c r="A151" s="1097"/>
      <c r="B151" s="1109">
        <v>124.0</v>
      </c>
      <c r="C151" s="1110">
        <v>1800.0</v>
      </c>
      <c r="D151" s="1110">
        <f t="shared" si="2"/>
        <v>1260</v>
      </c>
      <c r="E151" s="1111">
        <f t="shared" si="11"/>
        <v>36955</v>
      </c>
      <c r="F151" s="1112">
        <f t="shared" si="3"/>
        <v>4.24</v>
      </c>
      <c r="G151" s="1112">
        <f t="shared" si="4"/>
        <v>4.24</v>
      </c>
      <c r="H151" s="1112">
        <f t="shared" si="5"/>
        <v>1.409</v>
      </c>
      <c r="I151" s="1112">
        <f t="shared" si="6"/>
        <v>6.54</v>
      </c>
      <c r="J151" s="1113">
        <f t="shared" si="7"/>
        <v>1</v>
      </c>
      <c r="K151" s="1107">
        <f t="shared" si="8"/>
        <v>1.0319</v>
      </c>
      <c r="L151" s="1107">
        <f t="shared" si="9"/>
        <v>1.0409</v>
      </c>
      <c r="M151" s="1107">
        <f t="shared" si="10"/>
        <v>1.513</v>
      </c>
      <c r="N151" s="1106">
        <f t="array" ref="N151">LET(
totalShards, F$10,
AtMax, OR(F$3&lt;$B151,totalShards&lt;$E151),
primeShards, $E151,
PrimeMulti, F151,
AssPer, F$4,
AssLevel, IF(AtMax,1,index(optimizer[Level],XMATCH(totalShards-primeShards,optimizer[Total discounted cost],-1,2))),
AssMulti,IF(F$16="",1,index(optimizer[cannonAssist],XMATCH(AssLevel,optimizer[Level],-1,2))),
TooLow, OR(AssLevel&lt;$F$18,$B151&lt;$F$15),
IF(OR(AtMax,TooLow), 0, PrimeMulti * (AssMulti)))</f>
        <v>4.24</v>
      </c>
      <c r="O151" s="1112">
        <f t="array" ref="O151">LET(
totalShards, G$10,
AtMax, OR(G$3&lt;$B151,totalShards&lt;$E151),
primeShards, $E151,
PrimeMulti, G151,
AssPer, G$4,
AssLevel, IF(AtMax,1,index(optimizer[Level],XMATCH(totalShards-primeShards,optimizer[Total discounted cost],-1,2))),
AssMulti,IF(G$16="",1,index(optimizer[armorAssist],XMATCH(AssLevel,optimizer[Level],-1,2))),
TooLow, OR(AssLevel&lt;$G$18,$B151&lt;$G$15),
IF(OR(AtMax,TooLow), 0, PrimeMulti * (AssMulti)))</f>
        <v>4.499064</v>
      </c>
      <c r="P151" s="1112">
        <f t="array" ref="P151">LET(
totalShards, H$10,
AtMax, OR(H$3&lt;$B151,totalShards&lt;$E151),
primeShards, $E151,
PrimeMulti, H151,
AssPer, H$4,
AssLevel, IF(AtMax,1,index(optimizer[Level],XMATCH(totalShards-primeShards,optimizer[Total discounted cost],-1,2))),
AssMulti,IF(H$16="",1,index(optimizer[generatorAssist],XMATCH(AssLevel,optimizer[Level],-1,2))),
TooLow, OR(AssLevel&lt;$H$18,$B151&lt;$H$15),
IF(OR(AtMax,TooLow), 0, PrimeMulti * (AssMulti)))</f>
        <v>1.4948081</v>
      </c>
      <c r="Q151" s="1114">
        <f t="array" ref="Q151">LET(
totalShards, I$10,
AtMax, OR(I$3&lt;$B151,totalShards&lt;$E151),
primeShards, $E151,
PrimeMulti, I151,
AssPer, I$4,
AssLevel, IF(AtMax,1,index(optimizer[Level],XMATCH(totalShards-primeShards,optimizer[Total discounted cost],-1,2))),
AssMulti,IF(I$16="",1,index(optimizer[coreAssist],XMATCH(AssLevel,optimizer[Level],-1,2))),
TooLow, OR(AssLevel&lt;$I$18,$B151&lt;$I$15),
IF(OR(AtMax,TooLow), 0, PrimeMulti * (AssMulti)))</f>
        <v>12.2298</v>
      </c>
    </row>
    <row r="152" ht="22.5" hidden="1" customHeight="1" outlineLevel="1">
      <c r="A152" s="1097"/>
      <c r="B152" s="1103">
        <v>125.0</v>
      </c>
      <c r="C152" s="1104">
        <v>1800.0</v>
      </c>
      <c r="D152" s="1104">
        <f t="shared" si="2"/>
        <v>1260</v>
      </c>
      <c r="E152" s="1105">
        <f t="shared" si="11"/>
        <v>38215</v>
      </c>
      <c r="F152" s="1106">
        <f t="shared" si="3"/>
        <v>4.34</v>
      </c>
      <c r="G152" s="1106">
        <f t="shared" si="4"/>
        <v>4.34</v>
      </c>
      <c r="H152" s="1106">
        <f t="shared" si="5"/>
        <v>1.415</v>
      </c>
      <c r="I152" s="1106">
        <f t="shared" si="6"/>
        <v>6.67</v>
      </c>
      <c r="J152" s="1107">
        <f t="shared" si="7"/>
        <v>1</v>
      </c>
      <c r="K152" s="1107">
        <f t="shared" si="8"/>
        <v>1.0329</v>
      </c>
      <c r="L152" s="1107">
        <f t="shared" si="9"/>
        <v>1.0415</v>
      </c>
      <c r="M152" s="1107">
        <f t="shared" si="10"/>
        <v>1.525</v>
      </c>
      <c r="N152" s="1106">
        <f t="array" ref="N152">LET(
totalShards, F$10,
AtMax, OR(F$3&lt;$B152,totalShards&lt;$E152),
primeShards, $E152,
PrimeMulti, F152,
AssPer, F$4,
AssLevel, IF(AtMax,1,index(optimizer[Level],XMATCH(totalShards-primeShards,optimizer[Total discounted cost],-1,2))),
AssMulti,IF(F$16="",1,index(optimizer[cannonAssist],XMATCH(AssLevel,optimizer[Level],-1,2))),
TooLow, OR(AssLevel&lt;$F$18,$B152&lt;$F$15),
IF(OR(AtMax,TooLow), 0, PrimeMulti * (AssMulti)))</f>
        <v>4.34</v>
      </c>
      <c r="O152" s="1106">
        <f t="array" ref="O152">LET(
totalShards, G$10,
AtMax, OR(G$3&lt;$B152,totalShards&lt;$E152),
primeShards, $E152,
PrimeMulti, G152,
AssPer, G$4,
AssLevel, IF(AtMax,1,index(optimizer[Level],XMATCH(totalShards-primeShards,optimizer[Total discounted cost],-1,2))),
AssMulti,IF(G$16="",1,index(optimizer[armorAssist],XMATCH(AssLevel,optimizer[Level],-1,2))),
TooLow, OR(AssLevel&lt;$G$18,$B152&lt;$G$15),
IF(OR(AtMax,TooLow), 0, PrimeMulti * (AssMulti)))</f>
        <v>4.599966</v>
      </c>
      <c r="P152" s="1106">
        <f t="array" ref="P152">LET(
totalShards, H$10,
AtMax, OR(H$3&lt;$B152,totalShards&lt;$E152),
primeShards, $E152,
PrimeMulti, H152,
AssPer, H$4,
AssLevel, IF(AtMax,1,index(optimizer[Level],XMATCH(totalShards-primeShards,optimizer[Total discounted cost],-1,2))),
AssMulti,IF(H$16="",1,index(optimizer[generatorAssist],XMATCH(AssLevel,optimizer[Level],-1,2))),
TooLow, OR(AssLevel&lt;$H$18,$B152&lt;$H$15),
IF(OR(AtMax,TooLow), 0, PrimeMulti * (AssMulti)))</f>
        <v>1.5000415</v>
      </c>
      <c r="Q152" s="1108">
        <f t="array" ref="Q152">LET(
totalShards, I$10,
AtMax, OR(I$3&lt;$B152,totalShards&lt;$E152),
primeShards, $E152,
PrimeMulti, I152,
AssPer, I$4,
AssLevel, IF(AtMax,1,index(optimizer[Level],XMATCH(totalShards-primeShards,optimizer[Total discounted cost],-1,2))),
AssMulti,IF(I$16="",1,index(optimizer[coreAssist],XMATCH(AssLevel,optimizer[Level],-1,2))),
TooLow, OR(AssLevel&lt;$I$18,$B152&lt;$I$15),
IF(OR(AtMax,TooLow), 0, PrimeMulti * (AssMulti)))</f>
        <v>12.4729</v>
      </c>
    </row>
    <row r="153" ht="22.5" hidden="1" customHeight="1" outlineLevel="1">
      <c r="A153" s="1097"/>
      <c r="B153" s="1109">
        <v>126.0</v>
      </c>
      <c r="C153" s="1110">
        <v>1800.0</v>
      </c>
      <c r="D153" s="1110">
        <f t="shared" si="2"/>
        <v>1260</v>
      </c>
      <c r="E153" s="1111">
        <f t="shared" si="11"/>
        <v>39475</v>
      </c>
      <c r="F153" s="1112">
        <f t="shared" si="3"/>
        <v>4.44</v>
      </c>
      <c r="G153" s="1112">
        <f t="shared" si="4"/>
        <v>4.44</v>
      </c>
      <c r="H153" s="1112">
        <f t="shared" si="5"/>
        <v>1.421</v>
      </c>
      <c r="I153" s="1112">
        <f t="shared" si="6"/>
        <v>6.8</v>
      </c>
      <c r="J153" s="1113">
        <f t="shared" si="7"/>
        <v>1</v>
      </c>
      <c r="K153" s="1107">
        <f t="shared" si="8"/>
        <v>1.0339</v>
      </c>
      <c r="L153" s="1107">
        <f t="shared" si="9"/>
        <v>1.0421</v>
      </c>
      <c r="M153" s="1107">
        <f t="shared" si="10"/>
        <v>1.537</v>
      </c>
      <c r="N153" s="1106">
        <f t="array" ref="N153">LET(
totalShards, F$10,
AtMax, OR(F$3&lt;$B153,totalShards&lt;$E153),
primeShards, $E153,
PrimeMulti, F153,
AssPer, F$4,
AssLevel, IF(AtMax,1,index(optimizer[Level],XMATCH(totalShards-primeShards,optimizer[Total discounted cost],-1,2))),
AssMulti,IF(F$16="",1,index(optimizer[cannonAssist],XMATCH(AssLevel,optimizer[Level],-1,2))),
TooLow, OR(AssLevel&lt;$F$18,$B153&lt;$F$15),
IF(OR(AtMax,TooLow), 0, PrimeMulti * (AssMulti)))</f>
        <v>4.44</v>
      </c>
      <c r="O153" s="1112">
        <f t="array" ref="O153">LET(
totalShards, G$10,
AtMax, OR(G$3&lt;$B153,totalShards&lt;$E153),
primeShards, $E153,
PrimeMulti, G153,
AssPer, G$4,
AssLevel, IF(AtMax,1,index(optimizer[Level],XMATCH(totalShards-primeShards,optimizer[Total discounted cost],-1,2))),
AssMulti,IF(G$16="",1,index(optimizer[armorAssist],XMATCH(AssLevel,optimizer[Level],-1,2))),
TooLow, OR(AssLevel&lt;$G$18,$B153&lt;$G$15),
IF(OR(AtMax,TooLow), 0, PrimeMulti * (AssMulti)))</f>
        <v>4.705956</v>
      </c>
      <c r="P153" s="1112">
        <f t="array" ref="P153">LET(
totalShards, H$10,
AtMax, OR(H$3&lt;$B153,totalShards&lt;$E153),
primeShards, $E153,
PrimeMulti, H153,
AssPer, H$4,
AssLevel, IF(AtMax,1,index(optimizer[Level],XMATCH(totalShards-primeShards,optimizer[Total discounted cost],-1,2))),
AssMulti,IF(H$16="",1,index(optimizer[generatorAssist],XMATCH(AssLevel,optimizer[Level],-1,2))),
TooLow, OR(AssLevel&lt;$H$18,$B153&lt;$H$15),
IF(OR(AtMax,TooLow), 0, PrimeMulti * (AssMulti)))</f>
        <v>1.5064021</v>
      </c>
      <c r="Q153" s="1114">
        <f t="array" ref="Q153">LET(
totalShards, I$10,
AtMax, OR(I$3&lt;$B153,totalShards&lt;$E153),
primeShards, $E153,
PrimeMulti, I153,
AssPer, I$4,
AssLevel, IF(AtMax,1,index(optimizer[Level],XMATCH(totalShards-primeShards,optimizer[Total discounted cost],-1,2))),
AssMulti,IF(I$16="",1,index(optimizer[coreAssist],XMATCH(AssLevel,optimizer[Level],-1,2))),
TooLow, OR(AssLevel&lt;$I$18,$B153&lt;$I$15),
IF(OR(AtMax,TooLow), 0, PrimeMulti * (AssMulti)))</f>
        <v>12.614</v>
      </c>
    </row>
    <row r="154" ht="22.5" hidden="1" customHeight="1" outlineLevel="1">
      <c r="A154" s="1097"/>
      <c r="B154" s="1103">
        <v>127.0</v>
      </c>
      <c r="C154" s="1104">
        <v>1800.0</v>
      </c>
      <c r="D154" s="1104">
        <f t="shared" si="2"/>
        <v>1260</v>
      </c>
      <c r="E154" s="1105">
        <f t="shared" si="11"/>
        <v>40735</v>
      </c>
      <c r="F154" s="1106">
        <f t="shared" si="3"/>
        <v>4.54</v>
      </c>
      <c r="G154" s="1106">
        <f t="shared" si="4"/>
        <v>4.54</v>
      </c>
      <c r="H154" s="1106">
        <f t="shared" si="5"/>
        <v>1.427</v>
      </c>
      <c r="I154" s="1106">
        <f t="shared" si="6"/>
        <v>6.929</v>
      </c>
      <c r="J154" s="1107">
        <f t="shared" si="7"/>
        <v>1</v>
      </c>
      <c r="K154" s="1107">
        <f t="shared" si="8"/>
        <v>1.0349</v>
      </c>
      <c r="L154" s="1107">
        <f t="shared" si="9"/>
        <v>1.0427</v>
      </c>
      <c r="M154" s="1107">
        <f t="shared" si="10"/>
        <v>1.549</v>
      </c>
      <c r="N154" s="1106">
        <f t="array" ref="N154">LET(
totalShards, F$10,
AtMax, OR(F$3&lt;$B154,totalShards&lt;$E154),
primeShards, $E154,
PrimeMulti, F154,
AssPer, F$4,
AssLevel, IF(AtMax,1,index(optimizer[Level],XMATCH(totalShards-primeShards,optimizer[Total discounted cost],-1,2))),
AssMulti,IF(F$16="",1,index(optimizer[cannonAssist],XMATCH(AssLevel,optimizer[Level],-1,2))),
TooLow, OR(AssLevel&lt;$F$18,$B154&lt;$F$15),
IF(OR(AtMax,TooLow), 0, PrimeMulti * (AssMulti)))</f>
        <v>4.54</v>
      </c>
      <c r="O154" s="1106">
        <f t="array" ref="O154">LET(
totalShards, G$10,
AtMax, OR(G$3&lt;$B154,totalShards&lt;$E154),
primeShards, $E154,
PrimeMulti, G154,
AssPer, G$4,
AssLevel, IF(AtMax,1,index(optimizer[Level],XMATCH(totalShards-primeShards,optimizer[Total discounted cost],-1,2))),
AssMulti,IF(G$16="",1,index(optimizer[armorAssist],XMATCH(AssLevel,optimizer[Level],-1,2))),
TooLow, OR(AssLevel&lt;$G$18,$B154&lt;$G$15),
IF(OR(AtMax,TooLow), 0, PrimeMulti * (AssMulti)))</f>
        <v>4.806498</v>
      </c>
      <c r="P154" s="1106">
        <f t="array" ref="P154">LET(
totalShards, H$10,
AtMax, OR(H$3&lt;$B154,totalShards&lt;$E154),
primeShards, $E154,
PrimeMulti, H154,
AssPer, H$4,
AssLevel, IF(AtMax,1,index(optimizer[Level],XMATCH(totalShards-primeShards,optimizer[Total discounted cost],-1,2))),
AssMulti,IF(H$16="",1,index(optimizer[generatorAssist],XMATCH(AssLevel,optimizer[Level],-1,2))),
TooLow, OR(AssLevel&lt;$H$18,$B154&lt;$H$15),
IF(OR(AtMax,TooLow), 0, PrimeMulti * (AssMulti)))</f>
        <v>1.5116211</v>
      </c>
      <c r="Q154" s="1108">
        <f t="array" ref="Q154">LET(
totalShards, I$10,
AtMax, OR(I$3&lt;$B154,totalShards&lt;$E154),
primeShards, $E154,
PrimeMulti, I154,
AssPer, I$4,
AssLevel, IF(AtMax,1,index(optimizer[Level],XMATCH(totalShards-primeShards,optimizer[Total discounted cost],-1,2))),
AssMulti,IF(I$16="",1,index(optimizer[coreAssist],XMATCH(AssLevel,optimizer[Level],-1,2))),
TooLow, OR(AssLevel&lt;$I$18,$B154&lt;$I$15),
IF(OR(AtMax,TooLow), 0, PrimeMulti * (AssMulti)))</f>
        <v>12.853295</v>
      </c>
    </row>
    <row r="155" ht="22.5" hidden="1" customHeight="1" outlineLevel="1">
      <c r="A155" s="1097"/>
      <c r="B155" s="1109">
        <v>128.0</v>
      </c>
      <c r="C155" s="1110">
        <v>1800.0</v>
      </c>
      <c r="D155" s="1110">
        <f t="shared" si="2"/>
        <v>1260</v>
      </c>
      <c r="E155" s="1111">
        <f t="shared" si="11"/>
        <v>41995</v>
      </c>
      <c r="F155" s="1112">
        <f t="shared" si="3"/>
        <v>4.64</v>
      </c>
      <c r="G155" s="1112">
        <f t="shared" si="4"/>
        <v>4.64</v>
      </c>
      <c r="H155" s="1112">
        <f t="shared" si="5"/>
        <v>1.433</v>
      </c>
      <c r="I155" s="1112">
        <f t="shared" si="6"/>
        <v>7.059</v>
      </c>
      <c r="J155" s="1113">
        <f t="shared" si="7"/>
        <v>1</v>
      </c>
      <c r="K155" s="1107">
        <f t="shared" si="8"/>
        <v>1.0359</v>
      </c>
      <c r="L155" s="1107">
        <f t="shared" si="9"/>
        <v>1.0433</v>
      </c>
      <c r="M155" s="1107">
        <f t="shared" si="10"/>
        <v>1.561</v>
      </c>
      <c r="N155" s="1106">
        <f t="array" ref="N155">LET(
totalShards, F$10,
AtMax, OR(F$3&lt;$B155,totalShards&lt;$E155),
primeShards, $E155,
PrimeMulti, F155,
AssPer, F$4,
AssLevel, IF(AtMax,1,index(optimizer[Level],XMATCH(totalShards-primeShards,optimizer[Total discounted cost],-1,2))),
AssMulti,IF(F$16="",1,index(optimizer[cannonAssist],XMATCH(AssLevel,optimizer[Level],-1,2))),
TooLow, OR(AssLevel&lt;$F$18,$B155&lt;$F$15),
IF(OR(AtMax,TooLow), 0, PrimeMulti * (AssMulti)))</f>
        <v>4.64</v>
      </c>
      <c r="O155" s="1112">
        <f t="array" ref="O155">LET(
totalShards, G$10,
AtMax, OR(G$3&lt;$B155,totalShards&lt;$E155),
primeShards, $E155,
PrimeMulti, G155,
AssPer, G$4,
AssLevel, IF(AtMax,1,index(optimizer[Level],XMATCH(totalShards-primeShards,optimizer[Total discounted cost],-1,2))),
AssMulti,IF(G$16="",1,index(optimizer[armorAssist],XMATCH(AssLevel,optimizer[Level],-1,2))),
TooLow, OR(AssLevel&lt;$G$18,$B155&lt;$G$15),
IF(OR(AtMax,TooLow), 0, PrimeMulti * (AssMulti)))</f>
        <v>4.912368</v>
      </c>
      <c r="P155" s="1112">
        <f t="array" ref="P155">LET(
totalShards, H$10,
AtMax, OR(H$3&lt;$B155,totalShards&lt;$E155),
primeShards, $E155,
PrimeMulti, H155,
AssPer, H$4,
AssLevel, IF(AtMax,1,index(optimizer[Level],XMATCH(totalShards-primeShards,optimizer[Total discounted cost],-1,2))),
AssMulti,IF(H$16="",1,index(optimizer[generatorAssist],XMATCH(AssLevel,optimizer[Level],-1,2))),
TooLow, OR(AssLevel&lt;$H$18,$B155&lt;$H$15),
IF(OR(AtMax,TooLow), 0, PrimeMulti * (AssMulti)))</f>
        <v>1.5179769</v>
      </c>
      <c r="Q155" s="1114">
        <f t="array" ref="Q155">LET(
totalShards, I$10,
AtMax, OR(I$3&lt;$B155,totalShards&lt;$E155),
primeShards, $E155,
PrimeMulti, I155,
AssPer, I$4,
AssLevel, IF(AtMax,1,index(optimizer[Level],XMATCH(totalShards-primeShards,optimizer[Total discounted cost],-1,2))),
AssMulti,IF(I$16="",1,index(optimizer[coreAssist],XMATCH(AssLevel,optimizer[Level],-1,2))),
TooLow, OR(AssLevel&lt;$I$18,$B155&lt;$I$15),
IF(OR(AtMax,TooLow), 0, PrimeMulti * (AssMulti)))</f>
        <v>12.98856</v>
      </c>
    </row>
    <row r="156" ht="22.5" hidden="1" customHeight="1" outlineLevel="1">
      <c r="A156" s="1097"/>
      <c r="B156" s="1103">
        <v>129.0</v>
      </c>
      <c r="C156" s="1104">
        <v>1800.0</v>
      </c>
      <c r="D156" s="1104">
        <f t="shared" si="2"/>
        <v>1260</v>
      </c>
      <c r="E156" s="1105">
        <f t="shared" si="11"/>
        <v>43255</v>
      </c>
      <c r="F156" s="1106">
        <f t="shared" si="3"/>
        <v>4.74</v>
      </c>
      <c r="G156" s="1106">
        <f t="shared" si="4"/>
        <v>4.74</v>
      </c>
      <c r="H156" s="1106">
        <f t="shared" si="5"/>
        <v>1.439</v>
      </c>
      <c r="I156" s="1106">
        <f t="shared" si="6"/>
        <v>7.188</v>
      </c>
      <c r="J156" s="1107">
        <f t="shared" si="7"/>
        <v>1</v>
      </c>
      <c r="K156" s="1107">
        <f t="shared" si="8"/>
        <v>1.0369</v>
      </c>
      <c r="L156" s="1107">
        <f t="shared" si="9"/>
        <v>1.0439</v>
      </c>
      <c r="M156" s="1107">
        <f t="shared" si="10"/>
        <v>1.573</v>
      </c>
      <c r="N156" s="1106">
        <f t="array" ref="N156">LET(
totalShards, F$10,
AtMax, OR(F$3&lt;$B156,totalShards&lt;$E156),
primeShards, $E156,
PrimeMulti, F156,
AssPer, F$4,
AssLevel, IF(AtMax,1,index(optimizer[Level],XMATCH(totalShards-primeShards,optimizer[Total discounted cost],-1,2))),
AssMulti,IF(F$16="",1,index(optimizer[cannonAssist],XMATCH(AssLevel,optimizer[Level],-1,2))),
TooLow, OR(AssLevel&lt;$F$18,$B156&lt;$F$15),
IF(OR(AtMax,TooLow), 0, PrimeMulti * (AssMulti)))</f>
        <v>4.74</v>
      </c>
      <c r="O156" s="1106">
        <f t="array" ref="O156">LET(
totalShards, G$10,
AtMax, OR(G$3&lt;$B156,totalShards&lt;$E156),
primeShards, $E156,
PrimeMulti, G156,
AssPer, G$4,
AssLevel, IF(AtMax,1,index(optimizer[Level],XMATCH(totalShards-primeShards,optimizer[Total discounted cost],-1,2))),
AssMulti,IF(G$16="",1,index(optimizer[armorAssist],XMATCH(AssLevel,optimizer[Level],-1,2))),
TooLow, OR(AssLevel&lt;$G$18,$B156&lt;$G$15),
IF(OR(AtMax,TooLow), 0, PrimeMulti * (AssMulti)))</f>
        <v>5.01255</v>
      </c>
      <c r="P156" s="1106">
        <f t="array" ref="P156">LET(
totalShards, H$10,
AtMax, OR(H$3&lt;$B156,totalShards&lt;$E156),
primeShards, $E156,
PrimeMulti, H156,
AssPer, H$4,
AssLevel, IF(AtMax,1,index(optimizer[Level],XMATCH(totalShards-primeShards,optimizer[Total discounted cost],-1,2))),
AssMulti,IF(H$16="",1,index(optimizer[generatorAssist],XMATCH(AssLevel,optimizer[Level],-1,2))),
TooLow, OR(AssLevel&lt;$H$18,$B156&lt;$H$15),
IF(OR(AtMax,TooLow), 0, PrimeMulti * (AssMulti)))</f>
        <v>1.5231815</v>
      </c>
      <c r="Q156" s="1108">
        <f t="array" ref="Q156">LET(
totalShards, I$10,
AtMax, OR(I$3&lt;$B156,totalShards&lt;$E156),
primeShards, $E156,
PrimeMulti, I156,
AssPer, I$4,
AssLevel, IF(AtMax,1,index(optimizer[Level],XMATCH(totalShards-primeShards,optimizer[Total discounted cost],-1,2))),
AssMulti,IF(I$16="",1,index(optimizer[coreAssist],XMATCH(AssLevel,optimizer[Level],-1,2))),
TooLow, OR(AssLevel&lt;$I$18,$B156&lt;$I$15),
IF(OR(AtMax,TooLow), 0, PrimeMulti * (AssMulti)))</f>
        <v>13.22592</v>
      </c>
    </row>
    <row r="157" ht="22.5" hidden="1" customHeight="1" outlineLevel="1">
      <c r="A157" s="1097"/>
      <c r="B157" s="1109">
        <v>130.0</v>
      </c>
      <c r="C157" s="1110">
        <v>1800.0</v>
      </c>
      <c r="D157" s="1110">
        <f t="shared" si="2"/>
        <v>1260</v>
      </c>
      <c r="E157" s="1111">
        <f t="shared" si="11"/>
        <v>44515</v>
      </c>
      <c r="F157" s="1112">
        <f t="shared" si="3"/>
        <v>4.84</v>
      </c>
      <c r="G157" s="1112">
        <f t="shared" si="4"/>
        <v>4.84</v>
      </c>
      <c r="H157" s="1112">
        <f t="shared" si="5"/>
        <v>1.445</v>
      </c>
      <c r="I157" s="1112">
        <f t="shared" si="6"/>
        <v>7.318</v>
      </c>
      <c r="J157" s="1113">
        <f t="shared" si="7"/>
        <v>1</v>
      </c>
      <c r="K157" s="1107">
        <f t="shared" si="8"/>
        <v>1.0379</v>
      </c>
      <c r="L157" s="1107">
        <f t="shared" si="9"/>
        <v>1.0445</v>
      </c>
      <c r="M157" s="1107">
        <f t="shared" si="10"/>
        <v>1.585</v>
      </c>
      <c r="N157" s="1106">
        <f t="array" ref="N157">LET(
totalShards, F$10,
AtMax, OR(F$3&lt;$B157,totalShards&lt;$E157),
primeShards, $E157,
PrimeMulti, F157,
AssPer, F$4,
AssLevel, IF(AtMax,1,index(optimizer[Level],XMATCH(totalShards-primeShards,optimizer[Total discounted cost],-1,2))),
AssMulti,IF(F$16="",1,index(optimizer[cannonAssist],XMATCH(AssLevel,optimizer[Level],-1,2))),
TooLow, OR(AssLevel&lt;$F$18,$B157&lt;$F$15),
IF(OR(AtMax,TooLow), 0, PrimeMulti * (AssMulti)))</f>
        <v>4.84</v>
      </c>
      <c r="O157" s="1112">
        <f t="array" ref="O157">LET(
totalShards, G$10,
AtMax, OR(G$3&lt;$B157,totalShards&lt;$E157),
primeShards, $E157,
PrimeMulti, G157,
AssPer, G$4,
AssLevel, IF(AtMax,1,index(optimizer[Level],XMATCH(totalShards-primeShards,optimizer[Total discounted cost],-1,2))),
AssMulti,IF(G$16="",1,index(optimizer[armorAssist],XMATCH(AssLevel,optimizer[Level],-1,2))),
TooLow, OR(AssLevel&lt;$G$18,$B157&lt;$G$15),
IF(OR(AtMax,TooLow), 0, PrimeMulti * (AssMulti)))</f>
        <v>5.112492</v>
      </c>
      <c r="P157" s="1112">
        <f t="array" ref="P157">LET(
totalShards, H$10,
AtMax, OR(H$3&lt;$B157,totalShards&lt;$E157),
primeShards, $E157,
PrimeMulti, H157,
AssPer, H$4,
AssLevel, IF(AtMax,1,index(optimizer[Level],XMATCH(totalShards-primeShards,optimizer[Total discounted cost],-1,2))),
AssMulti,IF(H$16="",1,index(optimizer[generatorAssist],XMATCH(AssLevel,optimizer[Level],-1,2))),
TooLow, OR(AssLevel&lt;$H$18,$B157&lt;$H$15),
IF(OR(AtMax,TooLow), 0, PrimeMulti * (AssMulti)))</f>
        <v>1.5295325</v>
      </c>
      <c r="Q157" s="1114">
        <f t="array" ref="Q157">LET(
totalShards, I$10,
AtMax, OR(I$3&lt;$B157,totalShards&lt;$E157),
primeShards, $E157,
PrimeMulti, I157,
AssPer, I$4,
AssLevel, IF(AtMax,1,index(optimizer[Level],XMATCH(totalShards-primeShards,optimizer[Total discounted cost],-1,2))),
AssMulti,IF(I$16="",1,index(optimizer[coreAssist],XMATCH(AssLevel,optimizer[Level],-1,2))),
TooLow, OR(AssLevel&lt;$I$18,$B157&lt;$I$15),
IF(OR(AtMax,TooLow), 0, PrimeMulti * (AssMulti)))</f>
        <v>13.35535</v>
      </c>
    </row>
    <row r="158" ht="22.5" hidden="1" customHeight="1" outlineLevel="1">
      <c r="A158" s="1097"/>
      <c r="B158" s="1103">
        <v>131.0</v>
      </c>
      <c r="C158" s="1104">
        <v>2500.0</v>
      </c>
      <c r="D158" s="1104">
        <f t="shared" si="2"/>
        <v>1750</v>
      </c>
      <c r="E158" s="1105">
        <f t="shared" si="11"/>
        <v>46265</v>
      </c>
      <c r="F158" s="1106">
        <f t="shared" si="3"/>
        <v>4.94</v>
      </c>
      <c r="G158" s="1106">
        <f t="shared" si="4"/>
        <v>4.94</v>
      </c>
      <c r="H158" s="1106">
        <f t="shared" si="5"/>
        <v>1.451</v>
      </c>
      <c r="I158" s="1106">
        <f t="shared" si="6"/>
        <v>7.448</v>
      </c>
      <c r="J158" s="1107">
        <f t="shared" si="7"/>
        <v>1</v>
      </c>
      <c r="K158" s="1107">
        <f t="shared" si="8"/>
        <v>1.0389</v>
      </c>
      <c r="L158" s="1107">
        <f t="shared" si="9"/>
        <v>1.0451</v>
      </c>
      <c r="M158" s="1107">
        <f t="shared" si="10"/>
        <v>1.597</v>
      </c>
      <c r="N158" s="1106">
        <f t="array" ref="N158">LET(
totalShards, F$10,
AtMax, OR(F$3&lt;$B158,totalShards&lt;$E158),
primeShards, $E158,
PrimeMulti, F158,
AssPer, F$4,
AssLevel, IF(AtMax,1,index(optimizer[Level],XMATCH(totalShards-primeShards,optimizer[Total discounted cost],-1,2))),
AssMulti,IF(F$16="",1,index(optimizer[cannonAssist],XMATCH(AssLevel,optimizer[Level],-1,2))),
TooLow, OR(AssLevel&lt;$F$18,$B158&lt;$F$15),
IF(OR(AtMax,TooLow), 0, PrimeMulti * (AssMulti)))</f>
        <v>4.94</v>
      </c>
      <c r="O158" s="1106">
        <f t="array" ref="O158">LET(
totalShards, G$10,
AtMax, OR(G$3&lt;$B158,totalShards&lt;$E158),
primeShards, $E158,
PrimeMulti, G158,
AssPer, G$4,
AssLevel, IF(AtMax,1,index(optimizer[Level],XMATCH(totalShards-primeShards,optimizer[Total discounted cost],-1,2))),
AssMulti,IF(G$16="",1,index(optimizer[armorAssist],XMATCH(AssLevel,optimizer[Level],-1,2))),
TooLow, OR(AssLevel&lt;$G$18,$B158&lt;$G$15),
IF(OR(AtMax,TooLow), 0, PrimeMulti * (AssMulti)))</f>
        <v>5.212194</v>
      </c>
      <c r="P158" s="1106">
        <f t="array" ref="P158">LET(
totalShards, H$10,
AtMax, OR(H$3&lt;$B158,totalShards&lt;$E158),
primeShards, $E158,
PrimeMulti, H158,
AssPer, H$4,
AssLevel, IF(AtMax,1,index(optimizer[Level],XMATCH(totalShards-primeShards,optimizer[Total discounted cost],-1,2))),
AssMulti,IF(H$16="",1,index(optimizer[generatorAssist],XMATCH(AssLevel,optimizer[Level],-1,2))),
TooLow, OR(AssLevel&lt;$H$18,$B158&lt;$H$15),
IF(OR(AtMax,TooLow), 0, PrimeMulti * (AssMulti)))</f>
        <v>1.5347227</v>
      </c>
      <c r="Q158" s="1108">
        <f t="array" ref="Q158">LET(
totalShards, I$10,
AtMax, OR(I$3&lt;$B158,totalShards&lt;$E158),
primeShards, $E158,
PrimeMulti, I158,
AssPer, I$4,
AssLevel, IF(AtMax,1,index(optimizer[Level],XMATCH(totalShards-primeShards,optimizer[Total discounted cost],-1,2))),
AssMulti,IF(I$16="",1,index(optimizer[coreAssist],XMATCH(AssLevel,optimizer[Level],-1,2))),
TooLow, OR(AssLevel&lt;$I$18,$B158&lt;$I$15),
IF(OR(AtMax,TooLow), 0, PrimeMulti * (AssMulti)))</f>
        <v>13.48088</v>
      </c>
    </row>
    <row r="159" ht="22.5" hidden="1" customHeight="1" outlineLevel="1">
      <c r="A159" s="1097"/>
      <c r="B159" s="1109">
        <v>132.0</v>
      </c>
      <c r="C159" s="1110">
        <v>2500.0</v>
      </c>
      <c r="D159" s="1110">
        <f t="shared" si="2"/>
        <v>1750</v>
      </c>
      <c r="E159" s="1111">
        <f t="shared" si="11"/>
        <v>48015</v>
      </c>
      <c r="F159" s="1112">
        <f t="shared" si="3"/>
        <v>5.04</v>
      </c>
      <c r="G159" s="1112">
        <f t="shared" si="4"/>
        <v>5.04</v>
      </c>
      <c r="H159" s="1112">
        <f t="shared" si="5"/>
        <v>1.457</v>
      </c>
      <c r="I159" s="1112">
        <f t="shared" si="6"/>
        <v>7.577</v>
      </c>
      <c r="J159" s="1113">
        <f t="shared" si="7"/>
        <v>1</v>
      </c>
      <c r="K159" s="1107">
        <f t="shared" si="8"/>
        <v>1.0399</v>
      </c>
      <c r="L159" s="1107">
        <f t="shared" si="9"/>
        <v>1.0457</v>
      </c>
      <c r="M159" s="1107">
        <f t="shared" si="10"/>
        <v>1.609</v>
      </c>
      <c r="N159" s="1106">
        <f t="array" ref="N159">LET(
totalShards, F$10,
AtMax, OR(F$3&lt;$B159,totalShards&lt;$E159),
primeShards, $E159,
PrimeMulti, F159,
AssPer, F$4,
AssLevel, IF(AtMax,1,index(optimizer[Level],XMATCH(totalShards-primeShards,optimizer[Total discounted cost],-1,2))),
AssMulti,IF(F$16="",1,index(optimizer[cannonAssist],XMATCH(AssLevel,optimizer[Level],-1,2))),
TooLow, OR(AssLevel&lt;$F$18,$B159&lt;$F$15),
IF(OR(AtMax,TooLow), 0, PrimeMulti * (AssMulti)))</f>
        <v>5.04</v>
      </c>
      <c r="O159" s="1112">
        <f t="array" ref="O159">LET(
totalShards, G$10,
AtMax, OR(G$3&lt;$B159,totalShards&lt;$E159),
primeShards, $E159,
PrimeMulti, G159,
AssPer, G$4,
AssLevel, IF(AtMax,1,index(optimizer[Level],XMATCH(totalShards-primeShards,optimizer[Total discounted cost],-1,2))),
AssMulti,IF(G$16="",1,index(optimizer[armorAssist],XMATCH(AssLevel,optimizer[Level],-1,2))),
TooLow, OR(AssLevel&lt;$G$18,$B159&lt;$G$15),
IF(OR(AtMax,TooLow), 0, PrimeMulti * (AssMulti)))</f>
        <v>5.317704</v>
      </c>
      <c r="P159" s="1112">
        <f t="array" ref="P159">LET(
totalShards, H$10,
AtMax, OR(H$3&lt;$B159,totalShards&lt;$E159),
primeShards, $E159,
PrimeMulti, H159,
AssPer, H$4,
AssLevel, IF(AtMax,1,index(optimizer[Level],XMATCH(totalShards-primeShards,optimizer[Total discounted cost],-1,2))),
AssMulti,IF(H$16="",1,index(optimizer[generatorAssist],XMATCH(AssLevel,optimizer[Level],-1,2))),
TooLow, OR(AssLevel&lt;$H$18,$B159&lt;$H$15),
IF(OR(AtMax,TooLow), 0, PrimeMulti * (AssMulti)))</f>
        <v>1.5399033</v>
      </c>
      <c r="Q159" s="1114">
        <f t="array" ref="Q159">LET(
totalShards, I$10,
AtMax, OR(I$3&lt;$B159,totalShards&lt;$E159),
primeShards, $E159,
PrimeMulti, I159,
AssPer, I$4,
AssLevel, IF(AtMax,1,index(optimizer[Level],XMATCH(totalShards-primeShards,optimizer[Total discounted cost],-1,2))),
AssMulti,IF(I$16="",1,index(optimizer[coreAssist],XMATCH(AssLevel,optimizer[Level],-1,2))),
TooLow, OR(AssLevel&lt;$I$18,$B159&lt;$I$15),
IF(OR(AtMax,TooLow), 0, PrimeMulti * (AssMulti)))</f>
        <v>13.71437</v>
      </c>
    </row>
    <row r="160" ht="22.5" hidden="1" customHeight="1" outlineLevel="1">
      <c r="A160" s="1097"/>
      <c r="B160" s="1103">
        <v>133.0</v>
      </c>
      <c r="C160" s="1104">
        <v>2500.0</v>
      </c>
      <c r="D160" s="1104">
        <f t="shared" si="2"/>
        <v>1750</v>
      </c>
      <c r="E160" s="1105">
        <f t="shared" si="11"/>
        <v>49765</v>
      </c>
      <c r="F160" s="1106">
        <f t="shared" si="3"/>
        <v>5.14</v>
      </c>
      <c r="G160" s="1106">
        <f t="shared" si="4"/>
        <v>5.14</v>
      </c>
      <c r="H160" s="1106">
        <f t="shared" si="5"/>
        <v>1.463</v>
      </c>
      <c r="I160" s="1106">
        <f t="shared" si="6"/>
        <v>7.707</v>
      </c>
      <c r="J160" s="1107">
        <f t="shared" si="7"/>
        <v>1</v>
      </c>
      <c r="K160" s="1107">
        <f t="shared" si="8"/>
        <v>1.0409</v>
      </c>
      <c r="L160" s="1107">
        <f t="shared" si="9"/>
        <v>1.0463</v>
      </c>
      <c r="M160" s="1107">
        <f t="shared" si="10"/>
        <v>1.621</v>
      </c>
      <c r="N160" s="1106">
        <f t="array" ref="N160">LET(
totalShards, F$10,
AtMax, OR(F$3&lt;$B160,totalShards&lt;$E160),
primeShards, $E160,
PrimeMulti, F160,
AssPer, F$4,
AssLevel, IF(AtMax,1,index(optimizer[Level],XMATCH(totalShards-primeShards,optimizer[Total discounted cost],-1,2))),
AssMulti,IF(F$16="",1,index(optimizer[cannonAssist],XMATCH(AssLevel,optimizer[Level],-1,2))),
TooLow, OR(AssLevel&lt;$F$18,$B160&lt;$F$15),
IF(OR(AtMax,TooLow), 0, PrimeMulti * (AssMulti)))</f>
        <v>5.14</v>
      </c>
      <c r="O160" s="1106">
        <f t="array" ref="O160">LET(
totalShards, G$10,
AtMax, OR(G$3&lt;$B160,totalShards&lt;$E160),
primeShards, $E160,
PrimeMulti, G160,
AssPer, G$4,
AssLevel, IF(AtMax,1,index(optimizer[Level],XMATCH(totalShards-primeShards,optimizer[Total discounted cost],-1,2))),
AssMulti,IF(G$16="",1,index(optimizer[armorAssist],XMATCH(AssLevel,optimizer[Level],-1,2))),
TooLow, OR(AssLevel&lt;$G$18,$B160&lt;$G$15),
IF(OR(AtMax,TooLow), 0, PrimeMulti * (AssMulti)))</f>
        <v>5.417046</v>
      </c>
      <c r="P160" s="1106">
        <f t="array" ref="P160">LET(
totalShards, H$10,
AtMax, OR(H$3&lt;$B160,totalShards&lt;$E160),
primeShards, $E160,
PrimeMulti, H160,
AssPer, H$4,
AssLevel, IF(AtMax,1,index(optimizer[Level],XMATCH(totalShards-primeShards,optimizer[Total discounted cost],-1,2))),
AssMulti,IF(H$16="",1,index(optimizer[generatorAssist],XMATCH(AssLevel,optimizer[Level],-1,2))),
TooLow, OR(AssLevel&lt;$H$18,$B160&lt;$H$15),
IF(OR(AtMax,TooLow), 0, PrimeMulti * (AssMulti)))</f>
        <v>1.5462447</v>
      </c>
      <c r="Q160" s="1108">
        <f t="array" ref="Q160">LET(
totalShards, I$10,
AtMax, OR(I$3&lt;$B160,totalShards&lt;$E160),
primeShards, $E160,
PrimeMulti, I160,
AssPer, I$4,
AssLevel, IF(AtMax,1,index(optimizer[Level],XMATCH(totalShards-primeShards,optimizer[Total discounted cost],-1,2))),
AssMulti,IF(I$16="",1,index(optimizer[coreAssist],XMATCH(AssLevel,optimizer[Level],-1,2))),
TooLow, OR(AssLevel&lt;$I$18,$B160&lt;$I$15),
IF(OR(AtMax,TooLow), 0, PrimeMulti * (AssMulti)))</f>
        <v>13.834065</v>
      </c>
    </row>
    <row r="161" ht="22.5" hidden="1" customHeight="1" outlineLevel="1">
      <c r="A161" s="1097"/>
      <c r="B161" s="1109">
        <v>134.0</v>
      </c>
      <c r="C161" s="1110">
        <v>2500.0</v>
      </c>
      <c r="D161" s="1110">
        <f t="shared" si="2"/>
        <v>1750</v>
      </c>
      <c r="E161" s="1111">
        <f t="shared" si="11"/>
        <v>51515</v>
      </c>
      <c r="F161" s="1112">
        <f t="shared" si="3"/>
        <v>5.24</v>
      </c>
      <c r="G161" s="1112">
        <f t="shared" si="4"/>
        <v>5.24</v>
      </c>
      <c r="H161" s="1112">
        <f t="shared" si="5"/>
        <v>1.469</v>
      </c>
      <c r="I161" s="1112">
        <f t="shared" si="6"/>
        <v>7.836</v>
      </c>
      <c r="J161" s="1113">
        <f t="shared" si="7"/>
        <v>1</v>
      </c>
      <c r="K161" s="1107">
        <f t="shared" si="8"/>
        <v>1.0419</v>
      </c>
      <c r="L161" s="1107">
        <f t="shared" si="9"/>
        <v>1.0469</v>
      </c>
      <c r="M161" s="1107">
        <f t="shared" si="10"/>
        <v>1.633</v>
      </c>
      <c r="N161" s="1106">
        <f t="array" ref="N161">LET(
totalShards, F$10,
AtMax, OR(F$3&lt;$B161,totalShards&lt;$E161),
primeShards, $E161,
PrimeMulti, F161,
AssPer, F$4,
AssLevel, IF(AtMax,1,index(optimizer[Level],XMATCH(totalShards-primeShards,optimizer[Total discounted cost],-1,2))),
AssMulti,IF(F$16="",1,index(optimizer[cannonAssist],XMATCH(AssLevel,optimizer[Level],-1,2))),
TooLow, OR(AssLevel&lt;$F$18,$B161&lt;$F$15),
IF(OR(AtMax,TooLow), 0, PrimeMulti * (AssMulti)))</f>
        <v>5.24</v>
      </c>
      <c r="O161" s="1112">
        <f t="array" ref="O161">LET(
totalShards, G$10,
AtMax, OR(G$3&lt;$B161,totalShards&lt;$E161),
primeShards, $E161,
PrimeMulti, G161,
AssPer, G$4,
AssLevel, IF(AtMax,1,index(optimizer[Level],XMATCH(totalShards-primeShards,optimizer[Total discounted cost],-1,2))),
AssMulti,IF(G$16="",1,index(optimizer[armorAssist],XMATCH(AssLevel,optimizer[Level],-1,2))),
TooLow, OR(AssLevel&lt;$G$18,$B161&lt;$G$15),
IF(OR(AtMax,TooLow), 0, PrimeMulti * (AssMulti)))</f>
        <v>5.516148</v>
      </c>
      <c r="P161" s="1112">
        <f t="array" ref="P161">LET(
totalShards, H$10,
AtMax, OR(H$3&lt;$B161,totalShards&lt;$E161),
primeShards, $E161,
PrimeMulti, H161,
AssPer, H$4,
AssLevel, IF(AtMax,1,index(optimizer[Level],XMATCH(totalShards-primeShards,optimizer[Total discounted cost],-1,2))),
AssMulti,IF(H$16="",1,index(optimizer[generatorAssist],XMATCH(AssLevel,optimizer[Level],-1,2))),
TooLow, OR(AssLevel&lt;$H$18,$B161&lt;$H$15),
IF(OR(AtMax,TooLow), 0, PrimeMulti * (AssMulti)))</f>
        <v>1.5514109</v>
      </c>
      <c r="Q161" s="1114">
        <f t="array" ref="Q161">LET(
totalShards, I$10,
AtMax, OR(I$3&lt;$B161,totalShards&lt;$E161),
primeShards, $E161,
PrimeMulti, I161,
AssPer, I$4,
AssLevel, IF(AtMax,1,index(optimizer[Level],XMATCH(totalShards-primeShards,optimizer[Total discounted cost],-1,2))),
AssMulti,IF(I$16="",1,index(optimizer[coreAssist],XMATCH(AssLevel,optimizer[Level],-1,2))),
TooLow, OR(AssLevel&lt;$I$18,$B161&lt;$I$15),
IF(OR(AtMax,TooLow), 0, PrimeMulti * (AssMulti)))</f>
        <v>13.94808</v>
      </c>
    </row>
    <row r="162" ht="22.5" hidden="1" customHeight="1" outlineLevel="1">
      <c r="A162" s="1097"/>
      <c r="B162" s="1103">
        <v>135.0</v>
      </c>
      <c r="C162" s="1104">
        <v>2500.0</v>
      </c>
      <c r="D162" s="1104">
        <f t="shared" si="2"/>
        <v>1750</v>
      </c>
      <c r="E162" s="1105">
        <f t="shared" si="11"/>
        <v>53265</v>
      </c>
      <c r="F162" s="1106">
        <f t="shared" si="3"/>
        <v>5.34</v>
      </c>
      <c r="G162" s="1106">
        <f t="shared" si="4"/>
        <v>5.34</v>
      </c>
      <c r="H162" s="1106">
        <f t="shared" si="5"/>
        <v>1.475</v>
      </c>
      <c r="I162" s="1106">
        <f t="shared" si="6"/>
        <v>7.966</v>
      </c>
      <c r="J162" s="1107">
        <f t="shared" si="7"/>
        <v>1</v>
      </c>
      <c r="K162" s="1107">
        <f t="shared" si="8"/>
        <v>1.0429</v>
      </c>
      <c r="L162" s="1107">
        <f t="shared" si="9"/>
        <v>1.0475</v>
      </c>
      <c r="M162" s="1107">
        <f t="shared" si="10"/>
        <v>1.645</v>
      </c>
      <c r="N162" s="1106">
        <f t="array" ref="N162">LET(
totalShards, F$10,
AtMax, OR(F$3&lt;$B162,totalShards&lt;$E162),
primeShards, $E162,
PrimeMulti, F162,
AssPer, F$4,
AssLevel, IF(AtMax,1,index(optimizer[Level],XMATCH(totalShards-primeShards,optimizer[Total discounted cost],-1,2))),
AssMulti,IF(F$16="",1,index(optimizer[cannonAssist],XMATCH(AssLevel,optimizer[Level],-1,2))),
TooLow, OR(AssLevel&lt;$F$18,$B162&lt;$F$15),
IF(OR(AtMax,TooLow), 0, PrimeMulti * (AssMulti)))</f>
        <v>5.34</v>
      </c>
      <c r="O162" s="1106">
        <f t="array" ref="O162">LET(
totalShards, G$10,
AtMax, OR(G$3&lt;$B162,totalShards&lt;$E162),
primeShards, $E162,
PrimeMulti, G162,
AssPer, G$4,
AssLevel, IF(AtMax,1,index(optimizer[Level],XMATCH(totalShards-primeShards,optimizer[Total discounted cost],-1,2))),
AssMulti,IF(G$16="",1,index(optimizer[armorAssist],XMATCH(AssLevel,optimizer[Level],-1,2))),
TooLow, OR(AssLevel&lt;$G$18,$B162&lt;$G$15),
IF(OR(AtMax,TooLow), 0, PrimeMulti * (AssMulti)))</f>
        <v>5.61501</v>
      </c>
      <c r="P162" s="1106">
        <f t="array" ref="P162">LET(
totalShards, H$10,
AtMax, OR(H$3&lt;$B162,totalShards&lt;$E162),
primeShards, $E162,
PrimeMulti, H162,
AssPer, H$4,
AssLevel, IF(AtMax,1,index(optimizer[Level],XMATCH(totalShards-primeShards,optimizer[Total discounted cost],-1,2))),
AssMulti,IF(H$16="",1,index(optimizer[generatorAssist],XMATCH(AssLevel,optimizer[Level],-1,2))),
TooLow, OR(AssLevel&lt;$H$18,$B162&lt;$H$15),
IF(OR(AtMax,TooLow), 0, PrimeMulti * (AssMulti)))</f>
        <v>1.5565675</v>
      </c>
      <c r="Q162" s="1108">
        <f t="array" ref="Q162">LET(
totalShards, I$10,
AtMax, OR(I$3&lt;$B162,totalShards&lt;$E162),
primeShards, $E162,
PrimeMulti, I162,
AssPer, I$4,
AssLevel, IF(AtMax,1,index(optimizer[Level],XMATCH(totalShards-primeShards,optimizer[Total discounted cost],-1,2))),
AssMulti,IF(I$16="",1,index(optimizer[coreAssist],XMATCH(AssLevel,optimizer[Level],-1,2))),
TooLow, OR(AssLevel&lt;$I$18,$B162&lt;$I$15),
IF(OR(AtMax,TooLow), 0, PrimeMulti * (AssMulti)))</f>
        <v>14.05999</v>
      </c>
    </row>
    <row r="163" ht="22.5" hidden="1" customHeight="1" outlineLevel="1">
      <c r="A163" s="1097"/>
      <c r="B163" s="1109">
        <v>136.0</v>
      </c>
      <c r="C163" s="1110">
        <v>2500.0</v>
      </c>
      <c r="D163" s="1110">
        <f t="shared" si="2"/>
        <v>1750</v>
      </c>
      <c r="E163" s="1111">
        <f t="shared" si="11"/>
        <v>55015</v>
      </c>
      <c r="F163" s="1112">
        <f t="shared" si="3"/>
        <v>5.44</v>
      </c>
      <c r="G163" s="1112">
        <f t="shared" si="4"/>
        <v>5.44</v>
      </c>
      <c r="H163" s="1112">
        <f t="shared" si="5"/>
        <v>1.481</v>
      </c>
      <c r="I163" s="1112">
        <f t="shared" si="6"/>
        <v>8.096</v>
      </c>
      <c r="J163" s="1113">
        <f t="shared" si="7"/>
        <v>1</v>
      </c>
      <c r="K163" s="1107">
        <f t="shared" si="8"/>
        <v>1.0439</v>
      </c>
      <c r="L163" s="1107">
        <f t="shared" si="9"/>
        <v>1.0481</v>
      </c>
      <c r="M163" s="1107">
        <f t="shared" si="10"/>
        <v>1.657</v>
      </c>
      <c r="N163" s="1106">
        <f t="array" ref="N163">LET(
totalShards, F$10,
AtMax, OR(F$3&lt;$B163,totalShards&lt;$E163),
primeShards, $E163,
PrimeMulti, F163,
AssPer, F$4,
AssLevel, IF(AtMax,1,index(optimizer[Level],XMATCH(totalShards-primeShards,optimizer[Total discounted cost],-1,2))),
AssMulti,IF(F$16="",1,index(optimizer[cannonAssist],XMATCH(AssLevel,optimizer[Level],-1,2))),
TooLow, OR(AssLevel&lt;$F$18,$B163&lt;$F$15),
IF(OR(AtMax,TooLow), 0, PrimeMulti * (AssMulti)))</f>
        <v>5.44</v>
      </c>
      <c r="O163" s="1112">
        <f t="array" ref="O163">LET(
totalShards, G$10,
AtMax, OR(G$3&lt;$B163,totalShards&lt;$E163),
primeShards, $E163,
PrimeMulti, G163,
AssPer, G$4,
AssLevel, IF(AtMax,1,index(optimizer[Level],XMATCH(totalShards-primeShards,optimizer[Total discounted cost],-1,2))),
AssMulti,IF(G$16="",1,index(optimizer[armorAssist],XMATCH(AssLevel,optimizer[Level],-1,2))),
TooLow, OR(AssLevel&lt;$G$18,$B163&lt;$G$15),
IF(OR(AtMax,TooLow), 0, PrimeMulti * (AssMulti)))</f>
        <v>5.713632</v>
      </c>
      <c r="P163" s="1112">
        <f t="array" ref="P163">LET(
totalShards, H$10,
AtMax, OR(H$3&lt;$B163,totalShards&lt;$E163),
primeShards, $E163,
PrimeMulti, H163,
AssPer, H$4,
AssLevel, IF(AtMax,1,index(optimizer[Level],XMATCH(totalShards-primeShards,optimizer[Total discounted cost],-1,2))),
AssMulti,IF(H$16="",1,index(optimizer[generatorAssist],XMATCH(AssLevel,optimizer[Level],-1,2))),
TooLow, OR(AssLevel&lt;$H$18,$B163&lt;$H$15),
IF(OR(AtMax,TooLow), 0, PrimeMulti * (AssMulti)))</f>
        <v>1.5617145</v>
      </c>
      <c r="Q163" s="1114">
        <f t="array" ref="Q163">LET(
totalShards, I$10,
AtMax, OR(I$3&lt;$B163,totalShards&lt;$E163),
primeShards, $E163,
PrimeMulti, I163,
AssPer, I$4,
AssLevel, IF(AtMax,1,index(optimizer[Level],XMATCH(totalShards-primeShards,optimizer[Total discounted cost],-1,2))),
AssMulti,IF(I$16="",1,index(optimizer[coreAssist],XMATCH(AssLevel,optimizer[Level],-1,2))),
TooLow, OR(AssLevel&lt;$I$18,$B163&lt;$I$15),
IF(OR(AtMax,TooLow), 0, PrimeMulti * (AssMulti)))</f>
        <v>14.168</v>
      </c>
    </row>
    <row r="164" ht="22.5" hidden="1" customHeight="1" outlineLevel="1">
      <c r="A164" s="1097"/>
      <c r="B164" s="1103">
        <v>137.0</v>
      </c>
      <c r="C164" s="1104">
        <v>2500.0</v>
      </c>
      <c r="D164" s="1104">
        <f t="shared" si="2"/>
        <v>1750</v>
      </c>
      <c r="E164" s="1105">
        <f t="shared" si="11"/>
        <v>56765</v>
      </c>
      <c r="F164" s="1106">
        <f t="shared" si="3"/>
        <v>5.54</v>
      </c>
      <c r="G164" s="1106">
        <f t="shared" si="4"/>
        <v>5.54</v>
      </c>
      <c r="H164" s="1106">
        <f t="shared" si="5"/>
        <v>1.487</v>
      </c>
      <c r="I164" s="1106">
        <f t="shared" si="6"/>
        <v>8.225</v>
      </c>
      <c r="J164" s="1107">
        <f t="shared" si="7"/>
        <v>1</v>
      </c>
      <c r="K164" s="1107">
        <f t="shared" si="8"/>
        <v>1.0449</v>
      </c>
      <c r="L164" s="1107">
        <f t="shared" si="9"/>
        <v>1.0487</v>
      </c>
      <c r="M164" s="1107">
        <f t="shared" si="10"/>
        <v>1.669</v>
      </c>
      <c r="N164" s="1106">
        <f t="array" ref="N164">LET(
totalShards, F$10,
AtMax, OR(F$3&lt;$B164,totalShards&lt;$E164),
primeShards, $E164,
PrimeMulti, F164,
AssPer, F$4,
AssLevel, IF(AtMax,1,index(optimizer[Level],XMATCH(totalShards-primeShards,optimizer[Total discounted cost],-1,2))),
AssMulti,IF(F$16="",1,index(optimizer[cannonAssist],XMATCH(AssLevel,optimizer[Level],-1,2))),
TooLow, OR(AssLevel&lt;$F$18,$B164&lt;$F$15),
IF(OR(AtMax,TooLow), 0, PrimeMulti * (AssMulti)))</f>
        <v>5.54</v>
      </c>
      <c r="O164" s="1106">
        <f t="array" ref="O164">LET(
totalShards, G$10,
AtMax, OR(G$3&lt;$B164,totalShards&lt;$E164),
primeShards, $E164,
PrimeMulti, G164,
AssPer, G$4,
AssLevel, IF(AtMax,1,index(optimizer[Level],XMATCH(totalShards-primeShards,optimizer[Total discounted cost],-1,2))),
AssMulti,IF(G$16="",1,index(optimizer[armorAssist],XMATCH(AssLevel,optimizer[Level],-1,2))),
TooLow, OR(AssLevel&lt;$G$18,$B164&lt;$G$15),
IF(OR(AtMax,TooLow), 0, PrimeMulti * (AssMulti)))</f>
        <v>5.812014</v>
      </c>
      <c r="P164" s="1106">
        <f t="array" ref="P164">LET(
totalShards, H$10,
AtMax, OR(H$3&lt;$B164,totalShards&lt;$E164),
primeShards, $E164,
PrimeMulti, H164,
AssPer, H$4,
AssLevel, IF(AtMax,1,index(optimizer[Level],XMATCH(totalShards-primeShards,optimizer[Total discounted cost],-1,2))),
AssMulti,IF(H$16="",1,index(optimizer[generatorAssist],XMATCH(AssLevel,optimizer[Level],-1,2))),
TooLow, OR(AssLevel&lt;$H$18,$B164&lt;$H$15),
IF(OR(AtMax,TooLow), 0, PrimeMulti * (AssMulti)))</f>
        <v>1.5668519</v>
      </c>
      <c r="Q164" s="1108">
        <f t="array" ref="Q164">LET(
totalShards, I$10,
AtMax, OR(I$3&lt;$B164,totalShards&lt;$E164),
primeShards, $E164,
PrimeMulti, I164,
AssPer, I$4,
AssLevel, IF(AtMax,1,index(optimizer[Level],XMATCH(totalShards-primeShards,optimizer[Total discounted cost],-1,2))),
AssMulti,IF(I$16="",1,index(optimizer[coreAssist],XMATCH(AssLevel,optimizer[Level],-1,2))),
TooLow, OR(AssLevel&lt;$I$18,$B164&lt;$I$15),
IF(OR(AtMax,TooLow), 0, PrimeMulti * (AssMulti)))</f>
        <v>14.270375</v>
      </c>
    </row>
    <row r="165" ht="22.5" hidden="1" customHeight="1" outlineLevel="1">
      <c r="A165" s="1097"/>
      <c r="B165" s="1109">
        <v>138.0</v>
      </c>
      <c r="C165" s="1110">
        <v>2500.0</v>
      </c>
      <c r="D165" s="1110">
        <f t="shared" si="2"/>
        <v>1750</v>
      </c>
      <c r="E165" s="1111">
        <f t="shared" si="11"/>
        <v>58515</v>
      </c>
      <c r="F165" s="1112">
        <f t="shared" si="3"/>
        <v>5.64</v>
      </c>
      <c r="G165" s="1112">
        <f t="shared" si="4"/>
        <v>5.64</v>
      </c>
      <c r="H165" s="1112">
        <f t="shared" si="5"/>
        <v>1.493</v>
      </c>
      <c r="I165" s="1112">
        <f t="shared" si="6"/>
        <v>8.355</v>
      </c>
      <c r="J165" s="1113">
        <f t="shared" si="7"/>
        <v>1</v>
      </c>
      <c r="K165" s="1107">
        <f t="shared" si="8"/>
        <v>1.0459</v>
      </c>
      <c r="L165" s="1107">
        <f t="shared" si="9"/>
        <v>1.0493</v>
      </c>
      <c r="M165" s="1107">
        <f t="shared" si="10"/>
        <v>1.681</v>
      </c>
      <c r="N165" s="1106">
        <f t="array" ref="N165">LET(
totalShards, F$10,
AtMax, OR(F$3&lt;$B165,totalShards&lt;$E165),
primeShards, $E165,
PrimeMulti, F165,
AssPer, F$4,
AssLevel, IF(AtMax,1,index(optimizer[Level],XMATCH(totalShards-primeShards,optimizer[Total discounted cost],-1,2))),
AssMulti,IF(F$16="",1,index(optimizer[cannonAssist],XMATCH(AssLevel,optimizer[Level],-1,2))),
TooLow, OR(AssLevel&lt;$F$18,$B165&lt;$F$15),
IF(OR(AtMax,TooLow), 0, PrimeMulti * (AssMulti)))</f>
        <v>5.64</v>
      </c>
      <c r="O165" s="1112">
        <f t="array" ref="O165">LET(
totalShards, G$10,
AtMax, OR(G$3&lt;$B165,totalShards&lt;$E165),
primeShards, $E165,
PrimeMulti, G165,
AssPer, G$4,
AssLevel, IF(AtMax,1,index(optimizer[Level],XMATCH(totalShards-primeShards,optimizer[Total discounted cost],-1,2))),
AssMulti,IF(G$16="",1,index(optimizer[armorAssist],XMATCH(AssLevel,optimizer[Level],-1,2))),
TooLow, OR(AssLevel&lt;$G$18,$B165&lt;$G$15),
IF(OR(AtMax,TooLow), 0, PrimeMulti * (AssMulti)))</f>
        <v>5.916924</v>
      </c>
      <c r="P165" s="1112">
        <f t="array" ref="P165">LET(
totalShards, H$10,
AtMax, OR(H$3&lt;$B165,totalShards&lt;$E165),
primeShards, $E165,
PrimeMulti, H165,
AssPer, H$4,
AssLevel, IF(AtMax,1,index(optimizer[Level],XMATCH(totalShards-primeShards,optimizer[Total discounted cost],-1,2))),
AssMulti,IF(H$16="",1,index(optimizer[generatorAssist],XMATCH(AssLevel,optimizer[Level],-1,2))),
TooLow, OR(AssLevel&lt;$H$18,$B165&lt;$H$15),
IF(OR(AtMax,TooLow), 0, PrimeMulti * (AssMulti)))</f>
        <v>1.5719797</v>
      </c>
      <c r="Q165" s="1114">
        <f t="array" ref="Q165">LET(
totalShards, I$10,
AtMax, OR(I$3&lt;$B165,totalShards&lt;$E165),
primeShards, $E165,
PrimeMulti, I165,
AssPer, I$4,
AssLevel, IF(AtMax,1,index(optimizer[Level],XMATCH(totalShards-primeShards,optimizer[Total discounted cost],-1,2))),
AssMulti,IF(I$16="",1,index(optimizer[coreAssist],XMATCH(AssLevel,optimizer[Level],-1,2))),
TooLow, OR(AssLevel&lt;$I$18,$B165&lt;$I$15),
IF(OR(AtMax,TooLow), 0, PrimeMulti * (AssMulti)))</f>
        <v>14.495925</v>
      </c>
    </row>
    <row r="166" ht="22.5" hidden="1" customHeight="1" outlineLevel="1">
      <c r="A166" s="1097"/>
      <c r="B166" s="1103">
        <v>139.0</v>
      </c>
      <c r="C166" s="1104">
        <v>2500.0</v>
      </c>
      <c r="D166" s="1104">
        <f t="shared" si="2"/>
        <v>1750</v>
      </c>
      <c r="E166" s="1105">
        <f t="shared" si="11"/>
        <v>60265</v>
      </c>
      <c r="F166" s="1106">
        <f t="shared" si="3"/>
        <v>5.74</v>
      </c>
      <c r="G166" s="1106">
        <f t="shared" si="4"/>
        <v>5.74</v>
      </c>
      <c r="H166" s="1106">
        <f t="shared" si="5"/>
        <v>1.499</v>
      </c>
      <c r="I166" s="1106">
        <f t="shared" si="6"/>
        <v>8.484</v>
      </c>
      <c r="J166" s="1107">
        <f t="shared" si="7"/>
        <v>1</v>
      </c>
      <c r="K166" s="1107">
        <f t="shared" si="8"/>
        <v>1.0469</v>
      </c>
      <c r="L166" s="1107">
        <f t="shared" si="9"/>
        <v>1.0499</v>
      </c>
      <c r="M166" s="1107">
        <f t="shared" si="10"/>
        <v>1.693</v>
      </c>
      <c r="N166" s="1106">
        <f t="array" ref="N166">LET(
totalShards, F$10,
AtMax, OR(F$3&lt;$B166,totalShards&lt;$E166),
primeShards, $E166,
PrimeMulti, F166,
AssPer, F$4,
AssLevel, IF(AtMax,1,index(optimizer[Level],XMATCH(totalShards-primeShards,optimizer[Total discounted cost],-1,2))),
AssMulti,IF(F$16="",1,index(optimizer[cannonAssist],XMATCH(AssLevel,optimizer[Level],-1,2))),
TooLow, OR(AssLevel&lt;$F$18,$B166&lt;$F$15),
IF(OR(AtMax,TooLow), 0, PrimeMulti * (AssMulti)))</f>
        <v>5.74</v>
      </c>
      <c r="O166" s="1106">
        <f t="array" ref="O166">LET(
totalShards, G$10,
AtMax, OR(G$3&lt;$B166,totalShards&lt;$E166),
primeShards, $E166,
PrimeMulti, G166,
AssPer, G$4,
AssLevel, IF(AtMax,1,index(optimizer[Level],XMATCH(totalShards-primeShards,optimizer[Total discounted cost],-1,2))),
AssMulti,IF(G$16="",1,index(optimizer[armorAssist],XMATCH(AssLevel,optimizer[Level],-1,2))),
TooLow, OR(AssLevel&lt;$G$18,$B166&lt;$G$15),
IF(OR(AtMax,TooLow), 0, PrimeMulti * (AssMulti)))</f>
        <v>6.014946</v>
      </c>
      <c r="P166" s="1106">
        <f t="array" ref="P166">LET(
totalShards, H$10,
AtMax, OR(H$3&lt;$B166,totalShards&lt;$E166),
primeShards, $E166,
PrimeMulti, H166,
AssPer, H$4,
AssLevel, IF(AtMax,1,index(optimizer[Level],XMATCH(totalShards-primeShards,optimizer[Total discounted cost],-1,2))),
AssMulti,IF(H$16="",1,index(optimizer[generatorAssist],XMATCH(AssLevel,optimizer[Level],-1,2))),
TooLow, OR(AssLevel&lt;$H$18,$B166&lt;$H$15),
IF(OR(AtMax,TooLow), 0, PrimeMulti * (AssMulti)))</f>
        <v>1.5782971</v>
      </c>
      <c r="Q166" s="1108">
        <f t="array" ref="Q166">LET(
totalShards, I$10,
AtMax, OR(I$3&lt;$B166,totalShards&lt;$E166),
primeShards, $E166,
PrimeMulti, I166,
AssPer, I$4,
AssLevel, IF(AtMax,1,index(optimizer[Level],XMATCH(totalShards-primeShards,optimizer[Total discounted cost],-1,2))),
AssMulti,IF(I$16="",1,index(optimizer[coreAssist],XMATCH(AssLevel,optimizer[Level],-1,2))),
TooLow, OR(AssLevel&lt;$I$18,$B166&lt;$I$15),
IF(OR(AtMax,TooLow), 0, PrimeMulti * (AssMulti)))</f>
        <v>14.59248</v>
      </c>
    </row>
    <row r="167" ht="22.5" hidden="1" customHeight="1" outlineLevel="1">
      <c r="A167" s="1097"/>
      <c r="B167" s="1109">
        <v>140.0</v>
      </c>
      <c r="C167" s="1110">
        <v>2500.0</v>
      </c>
      <c r="D167" s="1110">
        <f t="shared" si="2"/>
        <v>1750</v>
      </c>
      <c r="E167" s="1111">
        <f t="shared" si="11"/>
        <v>62015</v>
      </c>
      <c r="F167" s="1112">
        <f t="shared" si="3"/>
        <v>5.84</v>
      </c>
      <c r="G167" s="1112">
        <f t="shared" si="4"/>
        <v>5.84</v>
      </c>
      <c r="H167" s="1112">
        <f t="shared" si="5"/>
        <v>1.505</v>
      </c>
      <c r="I167" s="1112">
        <f t="shared" si="6"/>
        <v>8.614</v>
      </c>
      <c r="J167" s="1113">
        <f t="shared" si="7"/>
        <v>1</v>
      </c>
      <c r="K167" s="1107">
        <f t="shared" si="8"/>
        <v>1.0479</v>
      </c>
      <c r="L167" s="1107">
        <f t="shared" si="9"/>
        <v>1.0505</v>
      </c>
      <c r="M167" s="1107">
        <f t="shared" si="10"/>
        <v>1.705</v>
      </c>
      <c r="N167" s="1106">
        <f t="array" ref="N167">LET(
totalShards, F$10,
AtMax, OR(F$3&lt;$B167,totalShards&lt;$E167),
primeShards, $E167,
PrimeMulti, F167,
AssPer, F$4,
AssLevel, IF(AtMax,1,index(optimizer[Level],XMATCH(totalShards-primeShards,optimizer[Total discounted cost],-1,2))),
AssMulti,IF(F$16="",1,index(optimizer[cannonAssist],XMATCH(AssLevel,optimizer[Level],-1,2))),
TooLow, OR(AssLevel&lt;$F$18,$B167&lt;$F$15),
IF(OR(AtMax,TooLow), 0, PrimeMulti * (AssMulti)))</f>
        <v>5.84</v>
      </c>
      <c r="O167" s="1112">
        <f t="array" ref="O167">LET(
totalShards, G$10,
AtMax, OR(G$3&lt;$B167,totalShards&lt;$E167),
primeShards, $E167,
PrimeMulti, G167,
AssPer, G$4,
AssLevel, IF(AtMax,1,index(optimizer[Level],XMATCH(totalShards-primeShards,optimizer[Total discounted cost],-1,2))),
AssMulti,IF(G$16="",1,index(optimizer[armorAssist],XMATCH(AssLevel,optimizer[Level],-1,2))),
TooLow, OR(AssLevel&lt;$G$18,$B167&lt;$G$15),
IF(OR(AtMax,TooLow), 0, PrimeMulti * (AssMulti)))</f>
        <v>6.113896</v>
      </c>
      <c r="P167" s="1112">
        <f t="array" ref="P167">LET(
totalShards, H$10,
AtMax, OR(H$3&lt;$B167,totalShards&lt;$E167),
primeShards, $E167,
PrimeMulti, H167,
AssPer, H$4,
AssLevel, IF(AtMax,1,index(optimizer[Level],XMATCH(totalShards-primeShards,optimizer[Total discounted cost],-1,2))),
AssMulti,IF(H$16="",1,index(optimizer[generatorAssist],XMATCH(AssLevel,optimizer[Level],-1,2))),
TooLow, OR(AssLevel&lt;$H$18,$B167&lt;$H$15),
IF(OR(AtMax,TooLow), 0, PrimeMulti * (AssMulti)))</f>
        <v>1.5834105</v>
      </c>
      <c r="Q167" s="1114">
        <f t="array" ref="Q167">LET(
totalShards, I$10,
AtMax, OR(I$3&lt;$B167,totalShards&lt;$E167),
primeShards, $E167,
PrimeMulti, I167,
AssPer, I$4,
AssLevel, IF(AtMax,1,index(optimizer[Level],XMATCH(totalShards-primeShards,optimizer[Total discounted cost],-1,2))),
AssMulti,IF(I$16="",1,index(optimizer[coreAssist],XMATCH(AssLevel,optimizer[Level],-1,2))),
TooLow, OR(AssLevel&lt;$I$18,$B167&lt;$I$15),
IF(OR(AtMax,TooLow), 0, PrimeMulti * (AssMulti)))</f>
        <v>14.68687</v>
      </c>
    </row>
    <row r="168" ht="22.5" hidden="1" customHeight="1" outlineLevel="1">
      <c r="A168" s="1097"/>
      <c r="B168" s="1103">
        <v>141.0</v>
      </c>
      <c r="C168" s="1104">
        <v>3000.0</v>
      </c>
      <c r="D168" s="1104">
        <f t="shared" si="2"/>
        <v>2100</v>
      </c>
      <c r="E168" s="1105">
        <f t="shared" si="11"/>
        <v>64115</v>
      </c>
      <c r="F168" s="1106">
        <f t="shared" si="3"/>
        <v>5.96</v>
      </c>
      <c r="G168" s="1106">
        <f t="shared" si="4"/>
        <v>5.96</v>
      </c>
      <c r="H168" s="1106">
        <f t="shared" si="5"/>
        <v>1.513</v>
      </c>
      <c r="I168" s="1106">
        <f t="shared" si="6"/>
        <v>8.776</v>
      </c>
      <c r="J168" s="1107">
        <f t="shared" si="7"/>
        <v>1</v>
      </c>
      <c r="K168" s="1107">
        <f t="shared" si="8"/>
        <v>1.0491</v>
      </c>
      <c r="L168" s="1107">
        <f t="shared" si="9"/>
        <v>1.0513</v>
      </c>
      <c r="M168" s="1107">
        <f t="shared" si="10"/>
        <v>1.72</v>
      </c>
      <c r="N168" s="1106">
        <f t="array" ref="N168">LET(
totalShards, F$10,
AtMax, OR(F$3&lt;$B168,totalShards&lt;$E168),
primeShards, $E168,
PrimeMulti, F168,
AssPer, F$4,
AssLevel, IF(AtMax,1,index(optimizer[Level],XMATCH(totalShards-primeShards,optimizer[Total discounted cost],-1,2))),
AssMulti,IF(F$16="",1,index(optimizer[cannonAssist],XMATCH(AssLevel,optimizer[Level],-1,2))),
TooLow, OR(AssLevel&lt;$F$18,$B168&lt;$F$15),
IF(OR(AtMax,TooLow), 0, PrimeMulti * (AssMulti)))</f>
        <v>5.96</v>
      </c>
      <c r="O168" s="1106">
        <f t="array" ref="O168">LET(
totalShards, G$10,
AtMax, OR(G$3&lt;$B168,totalShards&lt;$E168),
primeShards, $E168,
PrimeMulti, G168,
AssPer, G$4,
AssLevel, IF(AtMax,1,index(optimizer[Level],XMATCH(totalShards-primeShards,optimizer[Total discounted cost],-1,2))),
AssMulti,IF(G$16="",1,index(optimizer[armorAssist],XMATCH(AssLevel,optimizer[Level],-1,2))),
TooLow, OR(AssLevel&lt;$G$18,$B168&lt;$G$15),
IF(OR(AtMax,TooLow), 0, PrimeMulti * (AssMulti)))</f>
        <v>6.233564</v>
      </c>
      <c r="P168" s="1106">
        <f t="array" ref="P168">LET(
totalShards, H$10,
AtMax, OR(H$3&lt;$B168,totalShards&lt;$E168),
primeShards, $E168,
PrimeMulti, H168,
AssPer, H$4,
AssLevel, IF(AtMax,1,index(optimizer[Level],XMATCH(totalShards-primeShards,optimizer[Total discounted cost],-1,2))),
AssMulti,IF(H$16="",1,index(optimizer[generatorAssist],XMATCH(AssLevel,optimizer[Level],-1,2))),
TooLow, OR(AssLevel&lt;$H$18,$B168&lt;$H$15),
IF(OR(AtMax,TooLow), 0, PrimeMulti * (AssMulti)))</f>
        <v>1.5906169</v>
      </c>
      <c r="Q168" s="1108">
        <f t="array" ref="Q168">LET(
totalShards, I$10,
AtMax, OR(I$3&lt;$B168,totalShards&lt;$E168),
primeShards, $E168,
PrimeMulti, I168,
AssPer, I$4,
AssLevel, IF(AtMax,1,index(optimizer[Level],XMATCH(totalShards-primeShards,optimizer[Total discounted cost],-1,2))),
AssMulti,IF(I$16="",1,index(optimizer[coreAssist],XMATCH(AssLevel,optimizer[Level],-1,2))),
TooLow, OR(AssLevel&lt;$I$18,$B168&lt;$I$15),
IF(OR(AtMax,TooLow), 0, PrimeMulti * (AssMulti)))</f>
        <v>14.857768</v>
      </c>
    </row>
    <row r="169" ht="22.5" hidden="1" customHeight="1" outlineLevel="1">
      <c r="A169" s="1097"/>
      <c r="B169" s="1109">
        <v>142.0</v>
      </c>
      <c r="C169" s="1110">
        <v>3000.0</v>
      </c>
      <c r="D169" s="1110">
        <f t="shared" si="2"/>
        <v>2100</v>
      </c>
      <c r="E169" s="1111">
        <f t="shared" si="11"/>
        <v>66215</v>
      </c>
      <c r="F169" s="1112">
        <f t="shared" si="3"/>
        <v>6.08</v>
      </c>
      <c r="G169" s="1112">
        <f t="shared" si="4"/>
        <v>6.08</v>
      </c>
      <c r="H169" s="1112">
        <f t="shared" si="5"/>
        <v>1.521</v>
      </c>
      <c r="I169" s="1112">
        <f t="shared" si="6"/>
        <v>8.938</v>
      </c>
      <c r="J169" s="1113">
        <f t="shared" si="7"/>
        <v>1</v>
      </c>
      <c r="K169" s="1107">
        <f t="shared" si="8"/>
        <v>1.0503</v>
      </c>
      <c r="L169" s="1107">
        <f t="shared" si="9"/>
        <v>1.0521</v>
      </c>
      <c r="M169" s="1107">
        <f t="shared" si="10"/>
        <v>1.735</v>
      </c>
      <c r="N169" s="1106">
        <f t="array" ref="N169">LET(
totalShards, F$10,
AtMax, OR(F$3&lt;$B169,totalShards&lt;$E169),
primeShards, $E169,
PrimeMulti, F169,
AssPer, F$4,
AssLevel, IF(AtMax,1,index(optimizer[Level],XMATCH(totalShards-primeShards,optimizer[Total discounted cost],-1,2))),
AssMulti,IF(F$16="",1,index(optimizer[cannonAssist],XMATCH(AssLevel,optimizer[Level],-1,2))),
TooLow, OR(AssLevel&lt;$F$18,$B169&lt;$F$15),
IF(OR(AtMax,TooLow), 0, PrimeMulti * (AssMulti)))</f>
        <v>6.08</v>
      </c>
      <c r="O169" s="1112">
        <f t="array" ref="O169">LET(
totalShards, G$10,
AtMax, OR(G$3&lt;$B169,totalShards&lt;$E169),
primeShards, $E169,
PrimeMulti, G169,
AssPer, G$4,
AssLevel, IF(AtMax,1,index(optimizer[Level],XMATCH(totalShards-primeShards,optimizer[Total discounted cost],-1,2))),
AssMulti,IF(G$16="",1,index(optimizer[armorAssist],XMATCH(AssLevel,optimizer[Level],-1,2))),
TooLow, OR(AssLevel&lt;$G$18,$B169&lt;$G$15),
IF(OR(AtMax,TooLow), 0, PrimeMulti * (AssMulti)))</f>
        <v>6.346912</v>
      </c>
      <c r="P169" s="1112">
        <f t="array" ref="P169">LET(
totalShards, H$10,
AtMax, OR(H$3&lt;$B169,totalShards&lt;$E169),
primeShards, $E169,
PrimeMulti, H169,
AssPer, H$4,
AssLevel, IF(AtMax,1,index(optimizer[Level],XMATCH(totalShards-primeShards,optimizer[Total discounted cost],-1,2))),
AssMulti,IF(H$16="",1,index(optimizer[generatorAssist],XMATCH(AssLevel,optimizer[Level],-1,2))),
TooLow, OR(AssLevel&lt;$H$18,$B169&lt;$H$15),
IF(OR(AtMax,TooLow), 0, PrimeMulti * (AssMulti)))</f>
        <v>1.5978105</v>
      </c>
      <c r="Q169" s="1114">
        <f t="array" ref="Q169">LET(
totalShards, I$10,
AtMax, OR(I$3&lt;$B169,totalShards&lt;$E169),
primeShards, $E169,
PrimeMulti, I169,
AssPer, I$4,
AssLevel, IF(AtMax,1,index(optimizer[Level],XMATCH(totalShards-primeShards,optimizer[Total discounted cost],-1,2))),
AssMulti,IF(I$16="",1,index(optimizer[coreAssist],XMATCH(AssLevel,optimizer[Level],-1,2))),
TooLow, OR(AssLevel&lt;$I$18,$B169&lt;$I$15),
IF(OR(AtMax,TooLow), 0, PrimeMulti * (AssMulti)))</f>
        <v>15.024778</v>
      </c>
    </row>
    <row r="170" ht="22.5" hidden="1" customHeight="1" outlineLevel="1">
      <c r="A170" s="1097"/>
      <c r="B170" s="1103">
        <v>143.0</v>
      </c>
      <c r="C170" s="1104">
        <v>3000.0</v>
      </c>
      <c r="D170" s="1104">
        <f t="shared" si="2"/>
        <v>2100</v>
      </c>
      <c r="E170" s="1105">
        <f t="shared" si="11"/>
        <v>68315</v>
      </c>
      <c r="F170" s="1106">
        <f t="shared" si="3"/>
        <v>6.2</v>
      </c>
      <c r="G170" s="1106">
        <f t="shared" si="4"/>
        <v>6.2</v>
      </c>
      <c r="H170" s="1106">
        <f t="shared" si="5"/>
        <v>1.529</v>
      </c>
      <c r="I170" s="1106">
        <f t="shared" si="6"/>
        <v>9.1</v>
      </c>
      <c r="J170" s="1107">
        <f t="shared" si="7"/>
        <v>1</v>
      </c>
      <c r="K170" s="1107">
        <f t="shared" si="8"/>
        <v>1.0515</v>
      </c>
      <c r="L170" s="1107">
        <f t="shared" si="9"/>
        <v>1.0529</v>
      </c>
      <c r="M170" s="1107">
        <f t="shared" si="10"/>
        <v>1.75</v>
      </c>
      <c r="N170" s="1106">
        <f t="array" ref="N170">LET(
totalShards, F$10,
AtMax, OR(F$3&lt;$B170,totalShards&lt;$E170),
primeShards, $E170,
PrimeMulti, F170,
AssPer, F$4,
AssLevel, IF(AtMax,1,index(optimizer[Level],XMATCH(totalShards-primeShards,optimizer[Total discounted cost],-1,2))),
AssMulti,IF(F$16="",1,index(optimizer[cannonAssist],XMATCH(AssLevel,optimizer[Level],-1,2))),
TooLow, OR(AssLevel&lt;$F$18,$B170&lt;$F$15),
IF(OR(AtMax,TooLow), 0, PrimeMulti * (AssMulti)))</f>
        <v>6.2</v>
      </c>
      <c r="O170" s="1106">
        <f t="array" ref="O170">LET(
totalShards, G$10,
AtMax, OR(G$3&lt;$B170,totalShards&lt;$E170),
primeShards, $E170,
PrimeMulti, G170,
AssPer, G$4,
AssLevel, IF(AtMax,1,index(optimizer[Level],XMATCH(totalShards-primeShards,optimizer[Total discounted cost],-1,2))),
AssMulti,IF(G$16="",1,index(optimizer[armorAssist],XMATCH(AssLevel,optimizer[Level],-1,2))),
TooLow, OR(AssLevel&lt;$G$18,$B170&lt;$G$15),
IF(OR(AtMax,TooLow), 0, PrimeMulti * (AssMulti)))</f>
        <v>6.46598</v>
      </c>
      <c r="P170" s="1106">
        <f t="array" ref="P170">LET(
totalShards, H$10,
AtMax, OR(H$3&lt;$B170,totalShards&lt;$E170),
primeShards, $E170,
PrimeMulti, H170,
AssPer, H$4,
AssLevel, IF(AtMax,1,index(optimizer[Level],XMATCH(totalShards-primeShards,optimizer[Total discounted cost],-1,2))),
AssMulti,IF(H$16="",1,index(optimizer[generatorAssist],XMATCH(AssLevel,optimizer[Level],-1,2))),
TooLow, OR(AssLevel&lt;$H$18,$B170&lt;$H$15),
IF(OR(AtMax,TooLow), 0, PrimeMulti * (AssMulti)))</f>
        <v>1.6052971</v>
      </c>
      <c r="Q170" s="1108">
        <f t="array" ref="Q170">LET(
totalShards, I$10,
AtMax, OR(I$3&lt;$B170,totalShards&lt;$E170),
primeShards, $E170,
PrimeMulti, I170,
AssPer, I$4,
AssLevel, IF(AtMax,1,index(optimizer[Level],XMATCH(totalShards-primeShards,optimizer[Total discounted cost],-1,2))),
AssMulti,IF(I$16="",1,index(optimizer[coreAssist],XMATCH(AssLevel,optimizer[Level],-1,2))),
TooLow, OR(AssLevel&lt;$I$18,$B170&lt;$I$15),
IF(OR(AtMax,TooLow), 0, PrimeMulti * (AssMulti)))</f>
        <v>15.0787</v>
      </c>
    </row>
    <row r="171" ht="22.5" hidden="1" customHeight="1" outlineLevel="1">
      <c r="A171" s="1097"/>
      <c r="B171" s="1109">
        <v>144.0</v>
      </c>
      <c r="C171" s="1110">
        <v>3000.0</v>
      </c>
      <c r="D171" s="1110">
        <f t="shared" si="2"/>
        <v>2100</v>
      </c>
      <c r="E171" s="1111">
        <f t="shared" si="11"/>
        <v>70415</v>
      </c>
      <c r="F171" s="1112">
        <f t="shared" si="3"/>
        <v>6.32</v>
      </c>
      <c r="G171" s="1112">
        <f t="shared" si="4"/>
        <v>6.32</v>
      </c>
      <c r="H171" s="1112">
        <f t="shared" si="5"/>
        <v>1.537</v>
      </c>
      <c r="I171" s="1112">
        <f t="shared" si="6"/>
        <v>9.262</v>
      </c>
      <c r="J171" s="1113">
        <f t="shared" si="7"/>
        <v>1</v>
      </c>
      <c r="K171" s="1107">
        <f t="shared" si="8"/>
        <v>1.0527</v>
      </c>
      <c r="L171" s="1107">
        <f t="shared" si="9"/>
        <v>1.0537</v>
      </c>
      <c r="M171" s="1107">
        <f t="shared" si="10"/>
        <v>1.765</v>
      </c>
      <c r="N171" s="1106">
        <f t="array" ref="N171">LET(
totalShards, F$10,
AtMax, OR(F$3&lt;$B171,totalShards&lt;$E171),
primeShards, $E171,
PrimeMulti, F171,
AssPer, F$4,
AssLevel, IF(AtMax,1,index(optimizer[Level],XMATCH(totalShards-primeShards,optimizer[Total discounted cost],-1,2))),
AssMulti,IF(F$16="",1,index(optimizer[cannonAssist],XMATCH(AssLevel,optimizer[Level],-1,2))),
TooLow, OR(AssLevel&lt;$F$18,$B171&lt;$F$15),
IF(OR(AtMax,TooLow), 0, PrimeMulti * (AssMulti)))</f>
        <v>6.32</v>
      </c>
      <c r="O171" s="1112">
        <f t="array" ref="O171">LET(
totalShards, G$10,
AtMax, OR(G$3&lt;$B171,totalShards&lt;$E171),
primeShards, $E171,
PrimeMulti, G171,
AssPer, G$4,
AssLevel, IF(AtMax,1,index(optimizer[Level],XMATCH(totalShards-primeShards,optimizer[Total discounted cost],-1,2))),
AssMulti,IF(G$16="",1,index(optimizer[armorAssist],XMATCH(AssLevel,optimizer[Level],-1,2))),
TooLow, OR(AssLevel&lt;$G$18,$B171&lt;$G$15),
IF(OR(AtMax,TooLow), 0, PrimeMulti * (AssMulti)))</f>
        <v>6.584808</v>
      </c>
      <c r="P171" s="1112">
        <f t="array" ref="P171">LET(
totalShards, H$10,
AtMax, OR(H$3&lt;$B171,totalShards&lt;$E171),
primeShards, $E171,
PrimeMulti, H171,
AssPer, H$4,
AssLevel, IF(AtMax,1,index(optimizer[Level],XMATCH(totalShards-primeShards,optimizer[Total discounted cost],-1,2))),
AssMulti,IF(H$16="",1,index(optimizer[generatorAssist],XMATCH(AssLevel,optimizer[Level],-1,2))),
TooLow, OR(AssLevel&lt;$H$18,$B171&lt;$H$15),
IF(OR(AtMax,TooLow), 0, PrimeMulti * (AssMulti)))</f>
        <v>1.6118519</v>
      </c>
      <c r="Q171" s="1114">
        <f t="array" ref="Q171">LET(
totalShards, I$10,
AtMax, OR(I$3&lt;$B171,totalShards&lt;$E171),
primeShards, $E171,
PrimeMulti, I171,
AssPer, I$4,
AssLevel, IF(AtMax,1,index(optimizer[Level],XMATCH(totalShards-primeShards,optimizer[Total discounted cost],-1,2))),
AssMulti,IF(I$16="",1,index(optimizer[coreAssist],XMATCH(AssLevel,optimizer[Level],-1,2))),
TooLow, OR(AssLevel&lt;$I$18,$B171&lt;$I$15),
IF(OR(AtMax,TooLow), 0, PrimeMulti * (AssMulti)))</f>
        <v>15.23599</v>
      </c>
    </row>
    <row r="172" ht="22.5" hidden="1" customHeight="1" outlineLevel="1">
      <c r="A172" s="1097"/>
      <c r="B172" s="1103">
        <v>145.0</v>
      </c>
      <c r="C172" s="1104">
        <v>3000.0</v>
      </c>
      <c r="D172" s="1104">
        <f t="shared" si="2"/>
        <v>2100</v>
      </c>
      <c r="E172" s="1105">
        <f t="shared" si="11"/>
        <v>72515</v>
      </c>
      <c r="F172" s="1106">
        <f t="shared" si="3"/>
        <v>6.44</v>
      </c>
      <c r="G172" s="1106">
        <f t="shared" si="4"/>
        <v>6.44</v>
      </c>
      <c r="H172" s="1106">
        <f t="shared" si="5"/>
        <v>1.545</v>
      </c>
      <c r="I172" s="1106">
        <f t="shared" si="6"/>
        <v>9.424</v>
      </c>
      <c r="J172" s="1107">
        <f t="shared" si="7"/>
        <v>1</v>
      </c>
      <c r="K172" s="1107">
        <f t="shared" si="8"/>
        <v>1.0539</v>
      </c>
      <c r="L172" s="1107">
        <f t="shared" si="9"/>
        <v>1.0545</v>
      </c>
      <c r="M172" s="1107">
        <f t="shared" si="10"/>
        <v>1.78</v>
      </c>
      <c r="N172" s="1106">
        <f t="array" ref="N172">LET(
totalShards, F$10,
AtMax, OR(F$3&lt;$B172,totalShards&lt;$E172),
primeShards, $E172,
PrimeMulti, F172,
AssPer, F$4,
AssLevel, IF(AtMax,1,index(optimizer[Level],XMATCH(totalShards-primeShards,optimizer[Total discounted cost],-1,2))),
AssMulti,IF(F$16="",1,index(optimizer[cannonAssist],XMATCH(AssLevel,optimizer[Level],-1,2))),
TooLow, OR(AssLevel&lt;$F$18,$B172&lt;$F$15),
IF(OR(AtMax,TooLow), 0, PrimeMulti * (AssMulti)))</f>
        <v>6.44</v>
      </c>
      <c r="O172" s="1106">
        <f t="array" ref="O172">LET(
totalShards, G$10,
AtMax, OR(G$3&lt;$B172,totalShards&lt;$E172),
primeShards, $E172,
PrimeMulti, G172,
AssPer, G$4,
AssLevel, IF(AtMax,1,index(optimizer[Level],XMATCH(totalShards-primeShards,optimizer[Total discounted cost],-1,2))),
AssMulti,IF(G$16="",1,index(optimizer[armorAssist],XMATCH(AssLevel,optimizer[Level],-1,2))),
TooLow, OR(AssLevel&lt;$G$18,$B172&lt;$G$15),
IF(OR(AtMax,TooLow), 0, PrimeMulti * (AssMulti)))</f>
        <v>6.703396</v>
      </c>
      <c r="P172" s="1106">
        <f t="array" ref="P172">LET(
totalShards, H$10,
AtMax, OR(H$3&lt;$B172,totalShards&lt;$E172),
primeShards, $E172,
PrimeMulti, H172,
AssPer, H$4,
AssLevel, IF(AtMax,1,index(optimizer[Level],XMATCH(totalShards-primeShards,optimizer[Total discounted cost],-1,2))),
AssMulti,IF(H$16="",1,index(optimizer[generatorAssist],XMATCH(AssLevel,optimizer[Level],-1,2))),
TooLow, OR(AssLevel&lt;$H$18,$B172&lt;$H$15),
IF(OR(AtMax,TooLow), 0, PrimeMulti * (AssMulti)))</f>
        <v>1.6193145</v>
      </c>
      <c r="Q172" s="1108">
        <f t="array" ref="Q172">LET(
totalShards, I$10,
AtMax, OR(I$3&lt;$B172,totalShards&lt;$E172),
primeShards, $E172,
PrimeMulti, I172,
AssPer, I$4,
AssLevel, IF(AtMax,1,index(optimizer[Level],XMATCH(totalShards-primeShards,optimizer[Total discounted cost],-1,2))),
AssMulti,IF(I$16="",1,index(optimizer[coreAssist],XMATCH(AssLevel,optimizer[Level],-1,2))),
TooLow, OR(AssLevel&lt;$I$18,$B172&lt;$I$15),
IF(OR(AtMax,TooLow), 0, PrimeMulti * (AssMulti)))</f>
        <v>15.389392</v>
      </c>
    </row>
    <row r="173" ht="22.5" hidden="1" customHeight="1" outlineLevel="1">
      <c r="A173" s="1097"/>
      <c r="B173" s="1109">
        <v>146.0</v>
      </c>
      <c r="C173" s="1110">
        <v>3000.0</v>
      </c>
      <c r="D173" s="1110">
        <f t="shared" si="2"/>
        <v>2100</v>
      </c>
      <c r="E173" s="1111">
        <f t="shared" si="11"/>
        <v>74615</v>
      </c>
      <c r="F173" s="1112">
        <f t="shared" si="3"/>
        <v>6.56</v>
      </c>
      <c r="G173" s="1112">
        <f t="shared" si="4"/>
        <v>6.56</v>
      </c>
      <c r="H173" s="1112">
        <f t="shared" si="5"/>
        <v>1.553</v>
      </c>
      <c r="I173" s="1112">
        <f t="shared" si="6"/>
        <v>9.586</v>
      </c>
      <c r="J173" s="1113">
        <f t="shared" si="7"/>
        <v>1</v>
      </c>
      <c r="K173" s="1107">
        <f t="shared" si="8"/>
        <v>1.0551</v>
      </c>
      <c r="L173" s="1107">
        <f t="shared" si="9"/>
        <v>1.0553</v>
      </c>
      <c r="M173" s="1107">
        <f t="shared" si="10"/>
        <v>1.795</v>
      </c>
      <c r="N173" s="1106">
        <f t="array" ref="N173">LET(
totalShards, F$10,
AtMax, OR(F$3&lt;$B173,totalShards&lt;$E173),
primeShards, $E173,
PrimeMulti, F173,
AssPer, F$4,
AssLevel, IF(AtMax,1,index(optimizer[Level],XMATCH(totalShards-primeShards,optimizer[Total discounted cost],-1,2))),
AssMulti,IF(F$16="",1,index(optimizer[cannonAssist],XMATCH(AssLevel,optimizer[Level],-1,2))),
TooLow, OR(AssLevel&lt;$F$18,$B173&lt;$F$15),
IF(OR(AtMax,TooLow), 0, PrimeMulti * (AssMulti)))</f>
        <v>6.56</v>
      </c>
      <c r="O173" s="1112">
        <f t="array" ref="O173">LET(
totalShards, G$10,
AtMax, OR(G$3&lt;$B173,totalShards&lt;$E173),
primeShards, $E173,
PrimeMulti, G173,
AssPer, G$4,
AssLevel, IF(AtMax,1,index(optimizer[Level],XMATCH(totalShards-primeShards,optimizer[Total discounted cost],-1,2))),
AssMulti,IF(G$16="",1,index(optimizer[armorAssist],XMATCH(AssLevel,optimizer[Level],-1,2))),
TooLow, OR(AssLevel&lt;$G$18,$B173&lt;$G$15),
IF(OR(AtMax,TooLow), 0, PrimeMulti * (AssMulti)))</f>
        <v>6.821744</v>
      </c>
      <c r="P173" s="1112">
        <f t="array" ref="P173">LET(
totalShards, H$10,
AtMax, OR(H$3&lt;$B173,totalShards&lt;$E173),
primeShards, $E173,
PrimeMulti, H173,
AssPer, H$4,
AssLevel, IF(AtMax,1,index(optimizer[Level],XMATCH(totalShards-primeShards,optimizer[Total discounted cost],-1,2))),
AssMulti,IF(H$16="",1,index(optimizer[generatorAssist],XMATCH(AssLevel,optimizer[Level],-1,2))),
TooLow, OR(AssLevel&lt;$H$18,$B173&lt;$H$15),
IF(OR(AtMax,TooLow), 0, PrimeMulti * (AssMulti)))</f>
        <v>1.6267675</v>
      </c>
      <c r="Q173" s="1114">
        <f t="array" ref="Q173">LET(
totalShards, I$10,
AtMax, OR(I$3&lt;$B173,totalShards&lt;$E173),
primeShards, $E173,
PrimeMulti, I173,
AssPer, I$4,
AssLevel, IF(AtMax,1,index(optimizer[Level],XMATCH(totalShards-primeShards,optimizer[Total discounted cost],-1,2))),
AssMulti,IF(I$16="",1,index(optimizer[coreAssist],XMATCH(AssLevel,optimizer[Level],-1,2))),
TooLow, OR(AssLevel&lt;$I$18,$B173&lt;$I$15),
IF(OR(AtMax,TooLow), 0, PrimeMulti * (AssMulti)))</f>
        <v>15.538906</v>
      </c>
    </row>
    <row r="174" ht="22.5" hidden="1" customHeight="1" outlineLevel="1">
      <c r="A174" s="1097"/>
      <c r="B174" s="1103">
        <v>147.0</v>
      </c>
      <c r="C174" s="1104">
        <v>3000.0</v>
      </c>
      <c r="D174" s="1104">
        <f t="shared" si="2"/>
        <v>2100</v>
      </c>
      <c r="E174" s="1105">
        <f t="shared" si="11"/>
        <v>76715</v>
      </c>
      <c r="F174" s="1106">
        <f t="shared" si="3"/>
        <v>6.68</v>
      </c>
      <c r="G174" s="1106">
        <f t="shared" si="4"/>
        <v>6.68</v>
      </c>
      <c r="H174" s="1106">
        <f t="shared" si="5"/>
        <v>1.561</v>
      </c>
      <c r="I174" s="1106">
        <f t="shared" si="6"/>
        <v>9.748</v>
      </c>
      <c r="J174" s="1107">
        <f t="shared" si="7"/>
        <v>1</v>
      </c>
      <c r="K174" s="1107">
        <f t="shared" si="8"/>
        <v>1.0563</v>
      </c>
      <c r="L174" s="1107">
        <f t="shared" si="9"/>
        <v>1.0561</v>
      </c>
      <c r="M174" s="1107">
        <f t="shared" si="10"/>
        <v>1.81</v>
      </c>
      <c r="N174" s="1106">
        <f t="array" ref="N174">LET(
totalShards, F$10,
AtMax, OR(F$3&lt;$B174,totalShards&lt;$E174),
primeShards, $E174,
PrimeMulti, F174,
AssPer, F$4,
AssLevel, IF(AtMax,1,index(optimizer[Level],XMATCH(totalShards-primeShards,optimizer[Total discounted cost],-1,2))),
AssMulti,IF(F$16="",1,index(optimizer[cannonAssist],XMATCH(AssLevel,optimizer[Level],-1,2))),
TooLow, OR(AssLevel&lt;$F$18,$B174&lt;$F$15),
IF(OR(AtMax,TooLow), 0, PrimeMulti * (AssMulti)))</f>
        <v>6.68</v>
      </c>
      <c r="O174" s="1106">
        <f t="array" ref="O174">LET(
totalShards, G$10,
AtMax, OR(G$3&lt;$B174,totalShards&lt;$E174),
primeShards, $E174,
PrimeMulti, G174,
AssPer, G$4,
AssLevel, IF(AtMax,1,index(optimizer[Level],XMATCH(totalShards-primeShards,optimizer[Total discounted cost],-1,2))),
AssMulti,IF(G$16="",1,index(optimizer[armorAssist],XMATCH(AssLevel,optimizer[Level],-1,2))),
TooLow, OR(AssLevel&lt;$G$18,$B174&lt;$G$15),
IF(OR(AtMax,TooLow), 0, PrimeMulti * (AssMulti)))</f>
        <v>6.933172</v>
      </c>
      <c r="P174" s="1106">
        <f t="array" ref="P174">LET(
totalShards, H$10,
AtMax, OR(H$3&lt;$B174,totalShards&lt;$E174),
primeShards, $E174,
PrimeMulti, H174,
AssPer, H$4,
AssLevel, IF(AtMax,1,index(optimizer[Level],XMATCH(totalShards-primeShards,optimizer[Total discounted cost],-1,2))),
AssMulti,IF(H$16="",1,index(optimizer[generatorAssist],XMATCH(AssLevel,optimizer[Level],-1,2))),
TooLow, OR(AssLevel&lt;$H$18,$B174&lt;$H$15),
IF(OR(AtMax,TooLow), 0, PrimeMulti * (AssMulti)))</f>
        <v>1.6342109</v>
      </c>
      <c r="Q174" s="1108">
        <f t="array" ref="Q174">LET(
totalShards, I$10,
AtMax, OR(I$3&lt;$B174,totalShards&lt;$E174),
primeShards, $E174,
PrimeMulti, I174,
AssPer, I$4,
AssLevel, IF(AtMax,1,index(optimizer[Level],XMATCH(totalShards-primeShards,optimizer[Total discounted cost],-1,2))),
AssMulti,IF(I$16="",1,index(optimizer[coreAssist],XMATCH(AssLevel,optimizer[Level],-1,2))),
TooLow, OR(AssLevel&lt;$I$18,$B174&lt;$I$15),
IF(OR(AtMax,TooLow), 0, PrimeMulti * (AssMulti)))</f>
        <v>15.684532</v>
      </c>
    </row>
    <row r="175" ht="22.5" hidden="1" customHeight="1" outlineLevel="1">
      <c r="A175" s="1097"/>
      <c r="B175" s="1109">
        <v>148.0</v>
      </c>
      <c r="C175" s="1110">
        <v>3000.0</v>
      </c>
      <c r="D175" s="1110">
        <f t="shared" si="2"/>
        <v>2100</v>
      </c>
      <c r="E175" s="1111">
        <f t="shared" si="11"/>
        <v>78815</v>
      </c>
      <c r="F175" s="1112">
        <f t="shared" si="3"/>
        <v>6.8</v>
      </c>
      <c r="G175" s="1112">
        <f t="shared" si="4"/>
        <v>6.8</v>
      </c>
      <c r="H175" s="1112">
        <f t="shared" si="5"/>
        <v>1.569</v>
      </c>
      <c r="I175" s="1112">
        <f t="shared" si="6"/>
        <v>9.91</v>
      </c>
      <c r="J175" s="1113">
        <f t="shared" si="7"/>
        <v>1</v>
      </c>
      <c r="K175" s="1107">
        <f t="shared" si="8"/>
        <v>1.0575</v>
      </c>
      <c r="L175" s="1107">
        <f t="shared" si="9"/>
        <v>1.0569</v>
      </c>
      <c r="M175" s="1107">
        <f t="shared" si="10"/>
        <v>1.825</v>
      </c>
      <c r="N175" s="1106">
        <f t="array" ref="N175">LET(
totalShards, F$10,
AtMax, OR(F$3&lt;$B175,totalShards&lt;$E175),
primeShards, $E175,
PrimeMulti, F175,
AssPer, F$4,
AssLevel, IF(AtMax,1,index(optimizer[Level],XMATCH(totalShards-primeShards,optimizer[Total discounted cost],-1,2))),
AssMulti,IF(F$16="",1,index(optimizer[cannonAssist],XMATCH(AssLevel,optimizer[Level],-1,2))),
TooLow, OR(AssLevel&lt;$F$18,$B175&lt;$F$15),
IF(OR(AtMax,TooLow), 0, PrimeMulti * (AssMulti)))</f>
        <v>6.8</v>
      </c>
      <c r="O175" s="1112">
        <f t="array" ref="O175">LET(
totalShards, G$10,
AtMax, OR(G$3&lt;$B175,totalShards&lt;$E175),
primeShards, $E175,
PrimeMulti, G175,
AssPer, G$4,
AssLevel, IF(AtMax,1,index(optimizer[Level],XMATCH(totalShards-primeShards,optimizer[Total discounted cost],-1,2))),
AssMulti,IF(G$16="",1,index(optimizer[armorAssist],XMATCH(AssLevel,optimizer[Level],-1,2))),
TooLow, OR(AssLevel&lt;$G$18,$B175&lt;$G$15),
IF(OR(AtMax,TooLow), 0, PrimeMulti * (AssMulti)))</f>
        <v>7.05092</v>
      </c>
      <c r="P175" s="1112">
        <f t="array" ref="P175">LET(
totalShards, H$10,
AtMax, OR(H$3&lt;$B175,totalShards&lt;$E175),
primeShards, $E175,
PrimeMulti, H175,
AssPer, H$4,
AssLevel, IF(AtMax,1,index(optimizer[Level],XMATCH(totalShards-primeShards,optimizer[Total discounted cost],-1,2))),
AssMulti,IF(H$16="",1,index(optimizer[generatorAssist],XMATCH(AssLevel,optimizer[Level],-1,2))),
TooLow, OR(AssLevel&lt;$H$18,$B175&lt;$H$15),
IF(OR(AtMax,TooLow), 0, PrimeMulti * (AssMulti)))</f>
        <v>1.6416447</v>
      </c>
      <c r="Q175" s="1114">
        <f t="array" ref="Q175">LET(
totalShards, I$10,
AtMax, OR(I$3&lt;$B175,totalShards&lt;$E175),
primeShards, $E175,
PrimeMulti, I175,
AssPer, I$4,
AssLevel, IF(AtMax,1,index(optimizer[Level],XMATCH(totalShards-primeShards,optimizer[Total discounted cost],-1,2))),
AssMulti,IF(I$16="",1,index(optimizer[coreAssist],XMATCH(AssLevel,optimizer[Level],-1,2))),
TooLow, OR(AssLevel&lt;$I$18,$B175&lt;$I$15),
IF(OR(AtMax,TooLow), 0, PrimeMulti * (AssMulti)))</f>
        <v>15.70735</v>
      </c>
    </row>
    <row r="176" ht="22.5" hidden="1" customHeight="1" outlineLevel="1">
      <c r="A176" s="1097"/>
      <c r="B176" s="1103">
        <v>149.0</v>
      </c>
      <c r="C176" s="1104">
        <v>3000.0</v>
      </c>
      <c r="D176" s="1104">
        <f t="shared" si="2"/>
        <v>2100</v>
      </c>
      <c r="E176" s="1105">
        <f t="shared" si="11"/>
        <v>80915</v>
      </c>
      <c r="F176" s="1106">
        <f t="shared" si="3"/>
        <v>6.92</v>
      </c>
      <c r="G176" s="1106">
        <f t="shared" si="4"/>
        <v>6.92</v>
      </c>
      <c r="H176" s="1106">
        <f t="shared" si="5"/>
        <v>1.577</v>
      </c>
      <c r="I176" s="1106">
        <f t="shared" si="6"/>
        <v>10.072</v>
      </c>
      <c r="J176" s="1107">
        <f t="shared" si="7"/>
        <v>1</v>
      </c>
      <c r="K176" s="1107">
        <f t="shared" si="8"/>
        <v>1.0587</v>
      </c>
      <c r="L176" s="1107">
        <f t="shared" si="9"/>
        <v>1.0577</v>
      </c>
      <c r="M176" s="1107">
        <f t="shared" si="10"/>
        <v>1.84</v>
      </c>
      <c r="N176" s="1106">
        <f t="array" ref="N176">LET(
totalShards, F$10,
AtMax, OR(F$3&lt;$B176,totalShards&lt;$E176),
primeShards, $E176,
PrimeMulti, F176,
AssPer, F$4,
AssLevel, IF(AtMax,1,index(optimizer[Level],XMATCH(totalShards-primeShards,optimizer[Total discounted cost],-1,2))),
AssMulti,IF(F$16="",1,index(optimizer[cannonAssist],XMATCH(AssLevel,optimizer[Level],-1,2))),
TooLow, OR(AssLevel&lt;$F$18,$B176&lt;$F$15),
IF(OR(AtMax,TooLow), 0, PrimeMulti * (AssMulti)))</f>
        <v>6.92</v>
      </c>
      <c r="O176" s="1106">
        <f t="array" ref="O176">LET(
totalShards, G$10,
AtMax, OR(G$3&lt;$B176,totalShards&lt;$E176),
primeShards, $E176,
PrimeMulti, G176,
AssPer, G$4,
AssLevel, IF(AtMax,1,index(optimizer[Level],XMATCH(totalShards-primeShards,optimizer[Total discounted cost],-1,2))),
AssMulti,IF(G$16="",1,index(optimizer[armorAssist],XMATCH(AssLevel,optimizer[Level],-1,2))),
TooLow, OR(AssLevel&lt;$G$18,$B176&lt;$G$15),
IF(OR(AtMax,TooLow), 0, PrimeMulti * (AssMulti)))</f>
        <v>7.168428</v>
      </c>
      <c r="P176" s="1106">
        <f t="array" ref="P176">LET(
totalShards, H$10,
AtMax, OR(H$3&lt;$B176,totalShards&lt;$E176),
primeShards, $E176,
PrimeMulti, H176,
AssPer, H$4,
AssLevel, IF(AtMax,1,index(optimizer[Level],XMATCH(totalShards-primeShards,optimizer[Total discounted cost],-1,2))),
AssMulti,IF(H$16="",1,index(optimizer[generatorAssist],XMATCH(AssLevel,optimizer[Level],-1,2))),
TooLow, OR(AssLevel&lt;$H$18,$B176&lt;$H$15),
IF(OR(AtMax,TooLow), 0, PrimeMulti * (AssMulti)))</f>
        <v>1.6481227</v>
      </c>
      <c r="Q176" s="1108">
        <f t="array" ref="Q176">LET(
totalShards, I$10,
AtMax, OR(I$3&lt;$B176,totalShards&lt;$E176),
primeShards, $E176,
PrimeMulti, I176,
AssPer, I$4,
AssLevel, IF(AtMax,1,index(optimizer[Level],XMATCH(totalShards-primeShards,optimizer[Total discounted cost],-1,2))),
AssMulti,IF(I$16="",1,index(optimizer[coreAssist],XMATCH(AssLevel,optimizer[Level],-1,2))),
TooLow, OR(AssLevel&lt;$I$18,$B176&lt;$I$15),
IF(OR(AtMax,TooLow), 0, PrimeMulti * (AssMulti)))</f>
        <v>15.843256</v>
      </c>
    </row>
    <row r="177" ht="22.5" hidden="1" customHeight="1" outlineLevel="1">
      <c r="A177" s="1097"/>
      <c r="B177" s="1109">
        <v>150.0</v>
      </c>
      <c r="C177" s="1110">
        <v>3000.0</v>
      </c>
      <c r="D177" s="1110">
        <f t="shared" si="2"/>
        <v>2100</v>
      </c>
      <c r="E177" s="1111">
        <f t="shared" si="11"/>
        <v>83015</v>
      </c>
      <c r="F177" s="1112">
        <f t="shared" si="3"/>
        <v>7.04</v>
      </c>
      <c r="G177" s="1112">
        <f t="shared" si="4"/>
        <v>7.04</v>
      </c>
      <c r="H177" s="1112">
        <f t="shared" si="5"/>
        <v>1.585</v>
      </c>
      <c r="I177" s="1112">
        <f t="shared" si="6"/>
        <v>10.234</v>
      </c>
      <c r="J177" s="1113">
        <f t="shared" si="7"/>
        <v>1</v>
      </c>
      <c r="K177" s="1107">
        <f t="shared" si="8"/>
        <v>1.0599</v>
      </c>
      <c r="L177" s="1107">
        <f t="shared" si="9"/>
        <v>1.0585</v>
      </c>
      <c r="M177" s="1107">
        <f t="shared" si="10"/>
        <v>1.855</v>
      </c>
      <c r="N177" s="1106">
        <f t="array" ref="N177">LET(
totalShards, F$10,
AtMax, OR(F$3&lt;$B177,totalShards&lt;$E177),
primeShards, $E177,
PrimeMulti, F177,
AssPer, F$4,
AssLevel, IF(AtMax,1,index(optimizer[Level],XMATCH(totalShards-primeShards,optimizer[Total discounted cost],-1,2))),
AssMulti,IF(F$16="",1,index(optimizer[cannonAssist],XMATCH(AssLevel,optimizer[Level],-1,2))),
TooLow, OR(AssLevel&lt;$F$18,$B177&lt;$F$15),
IF(OR(AtMax,TooLow), 0, PrimeMulti * (AssMulti)))</f>
        <v>7.04</v>
      </c>
      <c r="O177" s="1112">
        <f t="array" ref="O177">LET(
totalShards, G$10,
AtMax, OR(G$3&lt;$B177,totalShards&lt;$E177),
primeShards, $E177,
PrimeMulti, G177,
AssPer, G$4,
AssLevel, IF(AtMax,1,index(optimizer[Level],XMATCH(totalShards-primeShards,optimizer[Total discounted cost],-1,2))),
AssMulti,IF(G$16="",1,index(optimizer[armorAssist],XMATCH(AssLevel,optimizer[Level],-1,2))),
TooLow, OR(AssLevel&lt;$G$18,$B177&lt;$G$15),
IF(OR(AtMax,TooLow), 0, PrimeMulti * (AssMulti)))</f>
        <v>7.278656</v>
      </c>
      <c r="P177" s="1112">
        <f t="array" ref="P177">LET(
totalShards, H$10,
AtMax, OR(H$3&lt;$B177,totalShards&lt;$E177),
primeShards, $E177,
PrimeMulti, H177,
AssPer, H$4,
AssLevel, IF(AtMax,1,index(optimizer[Level],XMATCH(totalShards-primeShards,optimizer[Total discounted cost],-1,2))),
AssMulti,IF(H$16="",1,index(optimizer[generatorAssist],XMATCH(AssLevel,optimizer[Level],-1,2))),
TooLow, OR(AssLevel&lt;$H$18,$B177&lt;$H$15),
IF(OR(AtMax,TooLow), 0, PrimeMulti * (AssMulti)))</f>
        <v>1.6555325</v>
      </c>
      <c r="Q177" s="1114">
        <f t="array" ref="Q177">LET(
totalShards, I$10,
AtMax, OR(I$3&lt;$B177,totalShards&lt;$E177),
primeShards, $E177,
PrimeMulti, I177,
AssPer, I$4,
AssLevel, IF(AtMax,1,index(optimizer[Level],XMATCH(totalShards-primeShards,optimizer[Total discounted cost],-1,2))),
AssMulti,IF(I$16="",1,index(optimizer[coreAssist],XMATCH(AssLevel,optimizer[Level],-1,2))),
TooLow, OR(AssLevel&lt;$I$18,$B177&lt;$I$15),
IF(OR(AtMax,TooLow), 0, PrimeMulti * (AssMulti)))</f>
        <v>15.852466</v>
      </c>
    </row>
    <row r="178" ht="22.5" hidden="1" customHeight="1" outlineLevel="1">
      <c r="A178" s="1097"/>
      <c r="B178" s="1103">
        <v>151.0</v>
      </c>
      <c r="C178" s="1104">
        <v>4000.0</v>
      </c>
      <c r="D178" s="1104">
        <f t="shared" si="2"/>
        <v>2800</v>
      </c>
      <c r="E178" s="1105">
        <f t="shared" si="11"/>
        <v>85815</v>
      </c>
      <c r="F178" s="1106">
        <f t="shared" si="3"/>
        <v>7.16</v>
      </c>
      <c r="G178" s="1106">
        <f t="shared" si="4"/>
        <v>7.16</v>
      </c>
      <c r="H178" s="1106">
        <f t="shared" si="5"/>
        <v>1.593</v>
      </c>
      <c r="I178" s="1106">
        <f t="shared" si="6"/>
        <v>10.396</v>
      </c>
      <c r="J178" s="1107">
        <f t="shared" si="7"/>
        <v>1</v>
      </c>
      <c r="K178" s="1107">
        <f t="shared" si="8"/>
        <v>1.0611</v>
      </c>
      <c r="L178" s="1107">
        <f t="shared" si="9"/>
        <v>1.0593</v>
      </c>
      <c r="M178" s="1107">
        <f t="shared" si="10"/>
        <v>1.87</v>
      </c>
      <c r="N178" s="1106">
        <f t="array" ref="N178">LET(
totalShards, F$10,
AtMax, OR(F$3&lt;$B178,totalShards&lt;$E178),
primeShards, $E178,
PrimeMulti, F178,
AssPer, F$4,
AssLevel, IF(AtMax,1,index(optimizer[Level],XMATCH(totalShards-primeShards,optimizer[Total discounted cost],-1,2))),
AssMulti,IF(F$16="",1,index(optimizer[cannonAssist],XMATCH(AssLevel,optimizer[Level],-1,2))),
TooLow, OR(AssLevel&lt;$F$18,$B178&lt;$F$15),
IF(OR(AtMax,TooLow), 0, PrimeMulti * (AssMulti)))</f>
        <v>7.16</v>
      </c>
      <c r="O178" s="1106">
        <f t="array" ref="O178">LET(
totalShards, G$10,
AtMax, OR(G$3&lt;$B178,totalShards&lt;$E178),
primeShards, $E178,
PrimeMulti, G178,
AssPer, G$4,
AssLevel, IF(AtMax,1,index(optimizer[Level],XMATCH(totalShards-primeShards,optimizer[Total discounted cost],-1,2))),
AssMulti,IF(G$16="",1,index(optimizer[armorAssist],XMATCH(AssLevel,optimizer[Level],-1,2))),
TooLow, OR(AssLevel&lt;$G$18,$B178&lt;$G$15),
IF(OR(AtMax,TooLow), 0, PrimeMulti * (AssMulti)))</f>
        <v>7.388404</v>
      </c>
      <c r="P178" s="1106">
        <f t="array" ref="P178">LET(
totalShards, H$10,
AtMax, OR(H$3&lt;$B178,totalShards&lt;$E178),
primeShards, $E178,
PrimeMulti, H178,
AssPer, H$4,
AssLevel, IF(AtMax,1,index(optimizer[Level],XMATCH(totalShards-primeShards,optimizer[Total discounted cost],-1,2))),
AssMulti,IF(H$16="",1,index(optimizer[generatorAssist],XMATCH(AssLevel,optimizer[Level],-1,2))),
TooLow, OR(AssLevel&lt;$H$18,$B178&lt;$H$15),
IF(OR(AtMax,TooLow), 0, PrimeMulti * (AssMulti)))</f>
        <v>1.6619769</v>
      </c>
      <c r="Q178" s="1108">
        <f t="array" ref="Q178">LET(
totalShards, I$10,
AtMax, OR(I$3&lt;$B178,totalShards&lt;$E178),
primeShards, $E178,
PrimeMulti, I178,
AssPer, I$4,
AssLevel, IF(AtMax,1,index(optimizer[Level],XMATCH(totalShards-primeShards,optimizer[Total discounted cost],-1,2))),
AssMulti,IF(I$16="",1,index(optimizer[coreAssist],XMATCH(AssLevel,optimizer[Level],-1,2))),
TooLow, OR(AssLevel&lt;$I$18,$B178&lt;$I$15),
IF(OR(AtMax,TooLow), 0, PrimeMulti * (AssMulti)))</f>
        <v>15.8539</v>
      </c>
    </row>
    <row r="179" ht="22.5" hidden="1" customHeight="1" outlineLevel="1">
      <c r="A179" s="1097"/>
      <c r="B179" s="1109">
        <v>152.0</v>
      </c>
      <c r="C179" s="1110">
        <v>4000.0</v>
      </c>
      <c r="D179" s="1110">
        <f t="shared" si="2"/>
        <v>2800</v>
      </c>
      <c r="E179" s="1111">
        <f t="shared" si="11"/>
        <v>88615</v>
      </c>
      <c r="F179" s="1112">
        <f t="shared" si="3"/>
        <v>7.28</v>
      </c>
      <c r="G179" s="1112">
        <f t="shared" si="4"/>
        <v>7.28</v>
      </c>
      <c r="H179" s="1112">
        <f t="shared" si="5"/>
        <v>1.601</v>
      </c>
      <c r="I179" s="1112">
        <f t="shared" si="6"/>
        <v>10.558</v>
      </c>
      <c r="J179" s="1113">
        <f t="shared" si="7"/>
        <v>1</v>
      </c>
      <c r="K179" s="1107">
        <f t="shared" si="8"/>
        <v>1.0623</v>
      </c>
      <c r="L179" s="1107">
        <f t="shared" si="9"/>
        <v>1.0601</v>
      </c>
      <c r="M179" s="1107">
        <f t="shared" si="10"/>
        <v>1.885</v>
      </c>
      <c r="N179" s="1106">
        <f t="array" ref="N179">LET(
totalShards, F$10,
AtMax, OR(F$3&lt;$B179,totalShards&lt;$E179),
primeShards, $E179,
PrimeMulti, F179,
AssPer, F$4,
AssLevel, IF(AtMax,1,index(optimizer[Level],XMATCH(totalShards-primeShards,optimizer[Total discounted cost],-1,2))),
AssMulti,IF(F$16="",1,index(optimizer[cannonAssist],XMATCH(AssLevel,optimizer[Level],-1,2))),
TooLow, OR(AssLevel&lt;$F$18,$B179&lt;$F$15),
IF(OR(AtMax,TooLow), 0, PrimeMulti * (AssMulti)))</f>
        <v>7.28</v>
      </c>
      <c r="O179" s="1112">
        <f t="array" ref="O179">LET(
totalShards, G$10,
AtMax, OR(G$3&lt;$B179,totalShards&lt;$E179),
primeShards, $E179,
PrimeMulti, G179,
AssPer, G$4,
AssLevel, IF(AtMax,1,index(optimizer[Level],XMATCH(totalShards-primeShards,optimizer[Total discounted cost],-1,2))),
AssMulti,IF(G$16="",1,index(optimizer[armorAssist],XMATCH(AssLevel,optimizer[Level],-1,2))),
TooLow, OR(AssLevel&lt;$G$18,$B179&lt;$G$15),
IF(OR(AtMax,TooLow), 0, PrimeMulti * (AssMulti)))</f>
        <v>7.490392</v>
      </c>
      <c r="P179" s="1112">
        <f t="array" ref="P179">LET(
totalShards, H$10,
AtMax, OR(H$3&lt;$B179,totalShards&lt;$E179),
primeShards, $E179,
PrimeMulti, H179,
AssPer, H$4,
AssLevel, IF(AtMax,1,index(optimizer[Level],XMATCH(totalShards-primeShards,optimizer[Total discounted cost],-1,2))),
AssMulti,IF(H$16="",1,index(optimizer[generatorAssist],XMATCH(AssLevel,optimizer[Level],-1,2))),
TooLow, OR(AssLevel&lt;$H$18,$B179&lt;$H$15),
IF(OR(AtMax,TooLow), 0, PrimeMulti * (AssMulti)))</f>
        <v>1.6684021</v>
      </c>
      <c r="Q179" s="1114">
        <f t="array" ref="Q179">LET(
totalShards, I$10,
AtMax, OR(I$3&lt;$B179,totalShards&lt;$E179),
primeShards, $E179,
PrimeMulti, I179,
AssPer, I$4,
AssLevel, IF(AtMax,1,index(optimizer[Level],XMATCH(totalShards-primeShards,optimizer[Total discounted cost],-1,2))),
AssMulti,IF(I$16="",1,index(optimizer[coreAssist],XMATCH(AssLevel,optimizer[Level],-1,2))),
TooLow, OR(AssLevel&lt;$I$18,$B179&lt;$I$15),
IF(OR(AtMax,TooLow), 0, PrimeMulti * (AssMulti)))</f>
        <v>15.847558</v>
      </c>
    </row>
    <row r="180" ht="22.5" hidden="1" customHeight="1" outlineLevel="1">
      <c r="A180" s="1097"/>
      <c r="B180" s="1103">
        <v>153.0</v>
      </c>
      <c r="C180" s="1104">
        <v>4000.0</v>
      </c>
      <c r="D180" s="1104">
        <f t="shared" si="2"/>
        <v>2800</v>
      </c>
      <c r="E180" s="1105">
        <f t="shared" si="11"/>
        <v>91415</v>
      </c>
      <c r="F180" s="1106">
        <f t="shared" si="3"/>
        <v>7.4</v>
      </c>
      <c r="G180" s="1106">
        <f t="shared" si="4"/>
        <v>7.4</v>
      </c>
      <c r="H180" s="1106">
        <f t="shared" si="5"/>
        <v>1.609</v>
      </c>
      <c r="I180" s="1106">
        <f t="shared" si="6"/>
        <v>10.72</v>
      </c>
      <c r="J180" s="1107">
        <f t="shared" si="7"/>
        <v>1</v>
      </c>
      <c r="K180" s="1107">
        <f t="shared" si="8"/>
        <v>1.0635</v>
      </c>
      <c r="L180" s="1107">
        <f t="shared" si="9"/>
        <v>1.0609</v>
      </c>
      <c r="M180" s="1107">
        <f t="shared" si="10"/>
        <v>1.9</v>
      </c>
      <c r="N180" s="1106">
        <f t="array" ref="N180">LET(
totalShards, F$10,
AtMax, OR(F$3&lt;$B180,totalShards&lt;$E180),
primeShards, $E180,
PrimeMulti, F180,
AssPer, F$4,
AssLevel, IF(AtMax,1,index(optimizer[Level],XMATCH(totalShards-primeShards,optimizer[Total discounted cost],-1,2))),
AssMulti,IF(F$16="",1,index(optimizer[cannonAssist],XMATCH(AssLevel,optimizer[Level],-1,2))),
TooLow, OR(AssLevel&lt;$F$18,$B180&lt;$F$15),
IF(OR(AtMax,TooLow), 0, PrimeMulti * (AssMulti)))</f>
        <v>7.4</v>
      </c>
      <c r="O180" s="1106">
        <f t="array" ref="O180">LET(
totalShards, G$10,
AtMax, OR(G$3&lt;$B180,totalShards&lt;$E180),
primeShards, $E180,
PrimeMulti, G180,
AssPer, G$4,
AssLevel, IF(AtMax,1,index(optimizer[Level],XMATCH(totalShards-primeShards,optimizer[Total discounted cost],-1,2))),
AssMulti,IF(G$16="",1,index(optimizer[armorAssist],XMATCH(AssLevel,optimizer[Level],-1,2))),
TooLow, OR(AssLevel&lt;$G$18,$B180&lt;$G$15),
IF(OR(AtMax,TooLow), 0, PrimeMulti * (AssMulti)))</f>
        <v>7.60128</v>
      </c>
      <c r="P180" s="1106">
        <f t="array" ref="P180">LET(
totalShards, H$10,
AtMax, OR(H$3&lt;$B180,totalShards&lt;$E180),
primeShards, $E180,
PrimeMulti, H180,
AssPer, H$4,
AssLevel, IF(AtMax,1,index(optimizer[Level],XMATCH(totalShards-primeShards,optimizer[Total discounted cost],-1,2))),
AssMulti,IF(H$16="",1,index(optimizer[generatorAssist],XMATCH(AssLevel,optimizer[Level],-1,2))),
TooLow, OR(AssLevel&lt;$H$18,$B180&lt;$H$15),
IF(OR(AtMax,TooLow), 0, PrimeMulti * (AssMulti)))</f>
        <v>1.6748081</v>
      </c>
      <c r="Q180" s="1108">
        <f t="array" ref="Q180">LET(
totalShards, I$10,
AtMax, OR(I$3&lt;$B180,totalShards&lt;$E180),
primeShards, $E180,
PrimeMulti, I180,
AssPer, I$4,
AssLevel, IF(AtMax,1,index(optimizer[Level],XMATCH(totalShards-primeShards,optimizer[Total discounted cost],-1,2))),
AssMulti,IF(I$16="",1,index(optimizer[coreAssist],XMATCH(AssLevel,optimizer[Level],-1,2))),
TooLow, OR(AssLevel&lt;$I$18,$B180&lt;$I$15),
IF(OR(AtMax,TooLow), 0, PrimeMulti * (AssMulti)))</f>
        <v>15.83344</v>
      </c>
    </row>
    <row r="181" ht="22.5" hidden="1" customHeight="1" outlineLevel="1">
      <c r="A181" s="1097"/>
      <c r="B181" s="1109">
        <v>154.0</v>
      </c>
      <c r="C181" s="1110">
        <v>4000.0</v>
      </c>
      <c r="D181" s="1110">
        <f t="shared" si="2"/>
        <v>2800</v>
      </c>
      <c r="E181" s="1111">
        <f t="shared" si="11"/>
        <v>94215</v>
      </c>
      <c r="F181" s="1112">
        <f t="shared" si="3"/>
        <v>7.52</v>
      </c>
      <c r="G181" s="1112">
        <f t="shared" si="4"/>
        <v>7.52</v>
      </c>
      <c r="H181" s="1112">
        <f t="shared" si="5"/>
        <v>1.617</v>
      </c>
      <c r="I181" s="1112">
        <f t="shared" si="6"/>
        <v>10.882</v>
      </c>
      <c r="J181" s="1113">
        <f t="shared" si="7"/>
        <v>1</v>
      </c>
      <c r="K181" s="1107">
        <f t="shared" si="8"/>
        <v>1.0647</v>
      </c>
      <c r="L181" s="1107">
        <f t="shared" si="9"/>
        <v>1.0617</v>
      </c>
      <c r="M181" s="1107">
        <f t="shared" si="10"/>
        <v>1.915</v>
      </c>
      <c r="N181" s="1106">
        <f t="array" ref="N181">LET(
totalShards, F$10,
AtMax, OR(F$3&lt;$B181,totalShards&lt;$E181),
primeShards, $E181,
PrimeMulti, F181,
AssPer, F$4,
AssLevel, IF(AtMax,1,index(optimizer[Level],XMATCH(totalShards-primeShards,optimizer[Total discounted cost],-1,2))),
AssMulti,IF(F$16="",1,index(optimizer[cannonAssist],XMATCH(AssLevel,optimizer[Level],-1,2))),
TooLow, OR(AssLevel&lt;$F$18,$B181&lt;$F$15),
IF(OR(AtMax,TooLow), 0, PrimeMulti * (AssMulti)))</f>
        <v>7.52</v>
      </c>
      <c r="O181" s="1112">
        <f t="array" ref="O181">LET(
totalShards, G$10,
AtMax, OR(G$3&lt;$B181,totalShards&lt;$E181),
primeShards, $E181,
PrimeMulti, G181,
AssPer, G$4,
AssLevel, IF(AtMax,1,index(optimizer[Level],XMATCH(totalShards-primeShards,optimizer[Total discounted cost],-1,2))),
AssMulti,IF(G$16="",1,index(optimizer[armorAssist],XMATCH(AssLevel,optimizer[Level],-1,2))),
TooLow, OR(AssLevel&lt;$G$18,$B181&lt;$G$15),
IF(OR(AtMax,TooLow), 0, PrimeMulti * (AssMulti)))</f>
        <v>7.708752</v>
      </c>
      <c r="P181" s="1112">
        <f t="array" ref="P181">LET(
totalShards, H$10,
AtMax, OR(H$3&lt;$B181,totalShards&lt;$E181),
primeShards, $E181,
PrimeMulti, H181,
AssPer, H$4,
AssLevel, IF(AtMax,1,index(optimizer[Level],XMATCH(totalShards-primeShards,optimizer[Total discounted cost],-1,2))),
AssMulti,IF(H$16="",1,index(optimizer[generatorAssist],XMATCH(AssLevel,optimizer[Level],-1,2))),
TooLow, OR(AssLevel&lt;$H$18,$B181&lt;$H$15),
IF(OR(AtMax,TooLow), 0, PrimeMulti * (AssMulti)))</f>
        <v>1.6811949</v>
      </c>
      <c r="Q181" s="1114">
        <f t="array" ref="Q181">LET(
totalShards, I$10,
AtMax, OR(I$3&lt;$B181,totalShards&lt;$E181),
primeShards, $E181,
PrimeMulti, I181,
AssPer, I$4,
AssLevel, IF(AtMax,1,index(optimizer[Level],XMATCH(totalShards-primeShards,optimizer[Total discounted cost],-1,2))),
AssMulti,IF(I$16="",1,index(optimizer[coreAssist],XMATCH(AssLevel,optimizer[Level],-1,2))),
TooLow, OR(AssLevel&lt;$I$18,$B181&lt;$I$15),
IF(OR(AtMax,TooLow), 0, PrimeMulti * (AssMulti)))</f>
        <v>15.768018</v>
      </c>
    </row>
    <row r="182" ht="22.5" hidden="1" customHeight="1" outlineLevel="1">
      <c r="A182" s="1097"/>
      <c r="B182" s="1103">
        <v>155.0</v>
      </c>
      <c r="C182" s="1104">
        <v>4000.0</v>
      </c>
      <c r="D182" s="1104">
        <f t="shared" si="2"/>
        <v>2800</v>
      </c>
      <c r="E182" s="1105">
        <f t="shared" si="11"/>
        <v>97015</v>
      </c>
      <c r="F182" s="1106">
        <f t="shared" si="3"/>
        <v>7.64</v>
      </c>
      <c r="G182" s="1106">
        <f t="shared" si="4"/>
        <v>7.64</v>
      </c>
      <c r="H182" s="1106">
        <f t="shared" si="5"/>
        <v>1.625</v>
      </c>
      <c r="I182" s="1106">
        <f t="shared" si="6"/>
        <v>11.044</v>
      </c>
      <c r="J182" s="1107">
        <f t="shared" si="7"/>
        <v>1</v>
      </c>
      <c r="K182" s="1107">
        <f t="shared" si="8"/>
        <v>1.0659</v>
      </c>
      <c r="L182" s="1107">
        <f t="shared" si="9"/>
        <v>1.0625</v>
      </c>
      <c r="M182" s="1107">
        <f t="shared" si="10"/>
        <v>1.93</v>
      </c>
      <c r="N182" s="1106">
        <f t="array" ref="N182">LET(
totalShards, F$10,
AtMax, OR(F$3&lt;$B182,totalShards&lt;$E182),
primeShards, $E182,
PrimeMulti, F182,
AssPer, F$4,
AssLevel, IF(AtMax,1,index(optimizer[Level],XMATCH(totalShards-primeShards,optimizer[Total discounted cost],-1,2))),
AssMulti,IF(F$16="",1,index(optimizer[cannonAssist],XMATCH(AssLevel,optimizer[Level],-1,2))),
TooLow, OR(AssLevel&lt;$F$18,$B182&lt;$F$15),
IF(OR(AtMax,TooLow), 0, PrimeMulti * (AssMulti)))</f>
        <v>7.64</v>
      </c>
      <c r="O182" s="1106">
        <f t="array" ref="O182">LET(
totalShards, G$10,
AtMax, OR(G$3&lt;$B182,totalShards&lt;$E182),
primeShards, $E182,
PrimeMulti, G182,
AssPer, G$4,
AssLevel, IF(AtMax,1,index(optimizer[Level],XMATCH(totalShards-primeShards,optimizer[Total discounted cost],-1,2))),
AssMulti,IF(G$16="",1,index(optimizer[armorAssist],XMATCH(AssLevel,optimizer[Level],-1,2))),
TooLow, OR(AssLevel&lt;$G$18,$B182&lt;$G$15),
IF(OR(AtMax,TooLow), 0, PrimeMulti * (AssMulti)))</f>
        <v>7.81572</v>
      </c>
      <c r="P182" s="1106">
        <f t="array" ref="P182">LET(
totalShards, H$10,
AtMax, OR(H$3&lt;$B182,totalShards&lt;$E182),
primeShards, $E182,
PrimeMulti, H182,
AssPer, H$4,
AssLevel, IF(AtMax,1,index(optimizer[Level],XMATCH(totalShards-primeShards,optimizer[Total discounted cost],-1,2))),
AssMulti,IF(H$16="",1,index(optimizer[generatorAssist],XMATCH(AssLevel,optimizer[Level],-1,2))),
TooLow, OR(AssLevel&lt;$H$18,$B182&lt;$H$15),
IF(OR(AtMax,TooLow), 0, PrimeMulti * (AssMulti)))</f>
        <v>1.68675</v>
      </c>
      <c r="Q182" s="1108">
        <f t="array" ref="Q182">LET(
totalShards, I$10,
AtMax, OR(I$3&lt;$B182,totalShards&lt;$E182),
primeShards, $E182,
PrimeMulti, I182,
AssPer, I$4,
AssLevel, IF(AtMax,1,index(optimizer[Level],XMATCH(totalShards-primeShards,optimizer[Total discounted cost],-1,2))),
AssMulti,IF(I$16="",1,index(optimizer[coreAssist],XMATCH(AssLevel,optimizer[Level],-1,2))),
TooLow, OR(AssLevel&lt;$I$18,$B182&lt;$I$15),
IF(OR(AtMax,TooLow), 0, PrimeMulti * (AssMulti)))</f>
        <v>15.7377</v>
      </c>
    </row>
    <row r="183" ht="22.5" hidden="1" customHeight="1" outlineLevel="1">
      <c r="A183" s="1097"/>
      <c r="B183" s="1109">
        <v>156.0</v>
      </c>
      <c r="C183" s="1110">
        <v>4000.0</v>
      </c>
      <c r="D183" s="1110">
        <f t="shared" si="2"/>
        <v>2800</v>
      </c>
      <c r="E183" s="1111">
        <f t="shared" si="11"/>
        <v>99815</v>
      </c>
      <c r="F183" s="1112">
        <f t="shared" si="3"/>
        <v>7.76</v>
      </c>
      <c r="G183" s="1112">
        <f t="shared" si="4"/>
        <v>7.76</v>
      </c>
      <c r="H183" s="1112">
        <f t="shared" si="5"/>
        <v>1.633</v>
      </c>
      <c r="I183" s="1112">
        <f t="shared" si="6"/>
        <v>11.206</v>
      </c>
      <c r="J183" s="1113">
        <f t="shared" si="7"/>
        <v>1</v>
      </c>
      <c r="K183" s="1107">
        <f t="shared" si="8"/>
        <v>1.0671</v>
      </c>
      <c r="L183" s="1107">
        <f t="shared" si="9"/>
        <v>1.0633</v>
      </c>
      <c r="M183" s="1107">
        <f t="shared" si="10"/>
        <v>1.945</v>
      </c>
      <c r="N183" s="1106">
        <f t="array" ref="N183">LET(
totalShards, F$10,
AtMax, OR(F$3&lt;$B183,totalShards&lt;$E183),
primeShards, $E183,
PrimeMulti, F183,
AssPer, F$4,
AssLevel, IF(AtMax,1,index(optimizer[Level],XMATCH(totalShards-primeShards,optimizer[Total discounted cost],-1,2))),
AssMulti,IF(F$16="",1,index(optimizer[cannonAssist],XMATCH(AssLevel,optimizer[Level],-1,2))),
TooLow, OR(AssLevel&lt;$F$18,$B183&lt;$F$15),
IF(OR(AtMax,TooLow), 0, PrimeMulti * (AssMulti)))</f>
        <v>7.76</v>
      </c>
      <c r="O183" s="1112">
        <f t="array" ref="O183">LET(
totalShards, G$10,
AtMax, OR(G$3&lt;$B183,totalShards&lt;$E183),
primeShards, $E183,
PrimeMulti, G183,
AssPer, G$4,
AssLevel, IF(AtMax,1,index(optimizer[Level],XMATCH(totalShards-primeShards,optimizer[Total discounted cost],-1,2))),
AssMulti,IF(G$16="",1,index(optimizer[armorAssist],XMATCH(AssLevel,optimizer[Level],-1,2))),
TooLow, OR(AssLevel&lt;$G$18,$B183&lt;$G$15),
IF(OR(AtMax,TooLow), 0, PrimeMulti * (AssMulti)))</f>
        <v>7.922184</v>
      </c>
      <c r="P183" s="1112">
        <f t="array" ref="P183">LET(
totalShards, H$10,
AtMax, OR(H$3&lt;$B183,totalShards&lt;$E183),
primeShards, $E183,
PrimeMulti, H183,
AssPer, H$4,
AssLevel, IF(AtMax,1,index(optimizer[Level],XMATCH(totalShards-primeShards,optimizer[Total discounted cost],-1,2))),
AssMulti,IF(H$16="",1,index(optimizer[generatorAssist],XMATCH(AssLevel,optimizer[Level],-1,2))),
TooLow, OR(AssLevel&lt;$H$18,$B183&lt;$H$15),
IF(OR(AtMax,TooLow), 0, PrimeMulti * (AssMulti)))</f>
        <v>1.6926045</v>
      </c>
      <c r="Q183" s="1114">
        <f t="array" ref="Q183">LET(
totalShards, I$10,
AtMax, OR(I$3&lt;$B183,totalShards&lt;$E183),
primeShards, $E183,
PrimeMulti, I183,
AssPer, I$4,
AssLevel, IF(AtMax,1,index(optimizer[Level],XMATCH(totalShards-primeShards,optimizer[Total discounted cost],-1,2))),
AssMulti,IF(I$16="",1,index(optimizer[coreAssist],XMATCH(AssLevel,optimizer[Level],-1,2))),
TooLow, OR(AssLevel&lt;$I$18,$B183&lt;$I$15),
IF(OR(AtMax,TooLow), 0, PrimeMulti * (AssMulti)))</f>
        <v>15.699606</v>
      </c>
    </row>
    <row r="184" ht="22.5" hidden="1" customHeight="1" outlineLevel="1">
      <c r="A184" s="1097"/>
      <c r="B184" s="1103">
        <v>157.0</v>
      </c>
      <c r="C184" s="1104">
        <v>4000.0</v>
      </c>
      <c r="D184" s="1104">
        <f t="shared" si="2"/>
        <v>2800</v>
      </c>
      <c r="E184" s="1105">
        <f t="shared" si="11"/>
        <v>102615</v>
      </c>
      <c r="F184" s="1106">
        <f t="shared" si="3"/>
        <v>7.88</v>
      </c>
      <c r="G184" s="1106">
        <f t="shared" si="4"/>
        <v>7.88</v>
      </c>
      <c r="H184" s="1106">
        <f t="shared" si="5"/>
        <v>1.641</v>
      </c>
      <c r="I184" s="1106">
        <f t="shared" si="6"/>
        <v>11.368</v>
      </c>
      <c r="J184" s="1107">
        <f t="shared" si="7"/>
        <v>1</v>
      </c>
      <c r="K184" s="1107">
        <f t="shared" si="8"/>
        <v>1.0683</v>
      </c>
      <c r="L184" s="1107">
        <f t="shared" si="9"/>
        <v>1.0641</v>
      </c>
      <c r="M184" s="1107">
        <f t="shared" si="10"/>
        <v>1.96</v>
      </c>
      <c r="N184" s="1106">
        <f t="array" ref="N184">LET(
totalShards, F$10,
AtMax, OR(F$3&lt;$B184,totalShards&lt;$E184),
primeShards, $E184,
PrimeMulti, F184,
AssPer, F$4,
AssLevel, IF(AtMax,1,index(optimizer[Level],XMATCH(totalShards-primeShards,optimizer[Total discounted cost],-1,2))),
AssMulti,IF(F$16="",1,index(optimizer[cannonAssist],XMATCH(AssLevel,optimizer[Level],-1,2))),
TooLow, OR(AssLevel&lt;$F$18,$B184&lt;$F$15),
IF(OR(AtMax,TooLow), 0, PrimeMulti * (AssMulti)))</f>
        <v>7.88</v>
      </c>
      <c r="O184" s="1106">
        <f t="array" ref="O184">LET(
totalShards, G$10,
AtMax, OR(G$3&lt;$B184,totalShards&lt;$E184),
primeShards, $E184,
PrimeMulti, G184,
AssPer, G$4,
AssLevel, IF(AtMax,1,index(optimizer[Level],XMATCH(totalShards-primeShards,optimizer[Total discounted cost],-1,2))),
AssMulti,IF(G$16="",1,index(optimizer[armorAssist],XMATCH(AssLevel,optimizer[Level],-1,2))),
TooLow, OR(AssLevel&lt;$G$18,$B184&lt;$G$15),
IF(OR(AtMax,TooLow), 0, PrimeMulti * (AssMulti)))</f>
        <v>8.022628</v>
      </c>
      <c r="P184" s="1106">
        <f t="array" ref="P184">LET(
totalShards, H$10,
AtMax, OR(H$3&lt;$B184,totalShards&lt;$E184),
primeShards, $E184,
PrimeMulti, H184,
AssPer, H$4,
AssLevel, IF(AtMax,1,index(optimizer[Level],XMATCH(totalShards-primeShards,optimizer[Total discounted cost],-1,2))),
AssMulti,IF(H$16="",1,index(optimizer[generatorAssist],XMATCH(AssLevel,optimizer[Level],-1,2))),
TooLow, OR(AssLevel&lt;$H$18,$B184&lt;$H$15),
IF(OR(AtMax,TooLow), 0, PrimeMulti * (AssMulti)))</f>
        <v>1.698435</v>
      </c>
      <c r="Q184" s="1108">
        <f t="array" ref="Q184">LET(
totalShards, I$10,
AtMax, OR(I$3&lt;$B184,totalShards&lt;$E184),
primeShards, $E184,
PrimeMulti, I184,
AssPer, I$4,
AssLevel, IF(AtMax,1,index(optimizer[Level],XMATCH(totalShards-primeShards,optimizer[Total discounted cost],-1,2))),
AssMulti,IF(I$16="",1,index(optimizer[coreAssist],XMATCH(AssLevel,optimizer[Level],-1,2))),
TooLow, OR(AssLevel&lt;$I$18,$B184&lt;$I$15),
IF(OR(AtMax,TooLow), 0, PrimeMulti * (AssMulti)))</f>
        <v>15.653736</v>
      </c>
    </row>
    <row r="185" ht="22.5" hidden="1" customHeight="1" outlineLevel="1">
      <c r="A185" s="1097"/>
      <c r="B185" s="1109">
        <v>158.0</v>
      </c>
      <c r="C185" s="1110">
        <v>4000.0</v>
      </c>
      <c r="D185" s="1110">
        <f t="shared" si="2"/>
        <v>2800</v>
      </c>
      <c r="E185" s="1111">
        <f t="shared" si="11"/>
        <v>105415</v>
      </c>
      <c r="F185" s="1112">
        <f t="shared" si="3"/>
        <v>8</v>
      </c>
      <c r="G185" s="1112">
        <f t="shared" si="4"/>
        <v>8</v>
      </c>
      <c r="H185" s="1112">
        <f t="shared" si="5"/>
        <v>1.649</v>
      </c>
      <c r="I185" s="1112">
        <f t="shared" si="6"/>
        <v>11.53</v>
      </c>
      <c r="J185" s="1113">
        <f t="shared" si="7"/>
        <v>1</v>
      </c>
      <c r="K185" s="1107">
        <f t="shared" si="8"/>
        <v>1.0695</v>
      </c>
      <c r="L185" s="1107">
        <f t="shared" si="9"/>
        <v>1.0649</v>
      </c>
      <c r="M185" s="1107">
        <f t="shared" si="10"/>
        <v>1.975</v>
      </c>
      <c r="N185" s="1106">
        <f t="array" ref="N185">LET(
totalShards, F$10,
AtMax, OR(F$3&lt;$B185,totalShards&lt;$E185),
primeShards, $E185,
PrimeMulti, F185,
AssPer, F$4,
AssLevel, IF(AtMax,1,index(optimizer[Level],XMATCH(totalShards-primeShards,optimizer[Total discounted cost],-1,2))),
AssMulti,IF(F$16="",1,index(optimizer[cannonAssist],XMATCH(AssLevel,optimizer[Level],-1,2))),
TooLow, OR(AssLevel&lt;$F$18,$B185&lt;$F$15),
IF(OR(AtMax,TooLow), 0, PrimeMulti * (AssMulti)))</f>
        <v>8</v>
      </c>
      <c r="O185" s="1112">
        <f t="array" ref="O185">LET(
totalShards, G$10,
AtMax, OR(G$3&lt;$B185,totalShards&lt;$E185),
primeShards, $E185,
PrimeMulti, G185,
AssPer, G$4,
AssLevel, IF(AtMax,1,index(optimizer[Level],XMATCH(totalShards-primeShards,optimizer[Total discounted cost],-1,2))),
AssMulti,IF(G$16="",1,index(optimizer[armorAssist],XMATCH(AssLevel,optimizer[Level],-1,2))),
TooLow, OR(AssLevel&lt;$G$18,$B185&lt;$G$15),
IF(OR(AtMax,TooLow), 0, PrimeMulti * (AssMulti)))</f>
        <v>8.1224</v>
      </c>
      <c r="P185" s="1112">
        <f t="array" ref="P185">LET(
totalShards, H$10,
AtMax, OR(H$3&lt;$B185,totalShards&lt;$E185),
primeShards, $E185,
PrimeMulti, H185,
AssPer, H$4,
AssLevel, IF(AtMax,1,index(optimizer[Level],XMATCH(totalShards-primeShards,optimizer[Total discounted cost],-1,2))),
AssMulti,IF(H$16="",1,index(optimizer[generatorAssist],XMATCH(AssLevel,optimizer[Level],-1,2))),
TooLow, OR(AssLevel&lt;$H$18,$B185&lt;$H$15),
IF(OR(AtMax,TooLow), 0, PrimeMulti * (AssMulti)))</f>
        <v>1.7042415</v>
      </c>
      <c r="Q185" s="1114">
        <f t="array" ref="Q185">LET(
totalShards, I$10,
AtMax, OR(I$3&lt;$B185,totalShards&lt;$E185),
primeShards, $E185,
PrimeMulti, I185,
AssPer, I$4,
AssLevel, IF(AtMax,1,index(optimizer[Level],XMATCH(totalShards-primeShards,optimizer[Total discounted cost],-1,2))),
AssMulti,IF(I$16="",1,index(optimizer[coreAssist],XMATCH(AssLevel,optimizer[Level],-1,2))),
TooLow, OR(AssLevel&lt;$I$18,$B185&lt;$I$15),
IF(OR(AtMax,TooLow), 0, PrimeMulti * (AssMulti)))</f>
        <v>15.50785</v>
      </c>
    </row>
    <row r="186" ht="22.5" hidden="1" customHeight="1" outlineLevel="1">
      <c r="A186" s="1097"/>
      <c r="B186" s="1103">
        <v>159.0</v>
      </c>
      <c r="C186" s="1104">
        <v>4000.0</v>
      </c>
      <c r="D186" s="1104">
        <f t="shared" si="2"/>
        <v>2800</v>
      </c>
      <c r="E186" s="1105">
        <f t="shared" si="11"/>
        <v>108215</v>
      </c>
      <c r="F186" s="1106">
        <f t="shared" si="3"/>
        <v>8.12</v>
      </c>
      <c r="G186" s="1106">
        <f t="shared" si="4"/>
        <v>8.12</v>
      </c>
      <c r="H186" s="1106">
        <f t="shared" si="5"/>
        <v>1.657</v>
      </c>
      <c r="I186" s="1106">
        <f t="shared" si="6"/>
        <v>11.692</v>
      </c>
      <c r="J186" s="1107">
        <f t="shared" si="7"/>
        <v>1</v>
      </c>
      <c r="K186" s="1107">
        <f t="shared" si="8"/>
        <v>1.0707</v>
      </c>
      <c r="L186" s="1107">
        <f t="shared" si="9"/>
        <v>1.0657</v>
      </c>
      <c r="M186" s="1107">
        <f t="shared" si="10"/>
        <v>1.99</v>
      </c>
      <c r="N186" s="1106">
        <f t="array" ref="N186">LET(
totalShards, F$10,
AtMax, OR(F$3&lt;$B186,totalShards&lt;$E186),
primeShards, $E186,
PrimeMulti, F186,
AssPer, F$4,
AssLevel, IF(AtMax,1,index(optimizer[Level],XMATCH(totalShards-primeShards,optimizer[Total discounted cost],-1,2))),
AssMulti,IF(F$16="",1,index(optimizer[cannonAssist],XMATCH(AssLevel,optimizer[Level],-1,2))),
TooLow, OR(AssLevel&lt;$F$18,$B186&lt;$F$15),
IF(OR(AtMax,TooLow), 0, PrimeMulti * (AssMulti)))</f>
        <v>8.12</v>
      </c>
      <c r="O186" s="1106">
        <f t="array" ref="O186">LET(
totalShards, G$10,
AtMax, OR(G$3&lt;$B186,totalShards&lt;$E186),
primeShards, $E186,
PrimeMulti, G186,
AssPer, G$4,
AssLevel, IF(AtMax,1,index(optimizer[Level],XMATCH(totalShards-primeShards,optimizer[Total discounted cost],-1,2))),
AssMulti,IF(G$16="",1,index(optimizer[armorAssist],XMATCH(AssLevel,optimizer[Level],-1,2))),
TooLow, OR(AssLevel&lt;$G$18,$B186&lt;$G$15),
IF(OR(AtMax,TooLow), 0, PrimeMulti * (AssMulti)))</f>
        <v>8.22556</v>
      </c>
      <c r="P186" s="1106">
        <f t="array" ref="P186">LET(
totalShards, H$10,
AtMax, OR(H$3&lt;$B186,totalShards&lt;$E186),
primeShards, $E186,
PrimeMulti, H186,
AssPer, H$4,
AssLevel, IF(AtMax,1,index(optimizer[Level],XMATCH(totalShards-primeShards,optimizer[Total discounted cost],-1,2))),
AssMulti,IF(H$16="",1,index(optimizer[generatorAssist],XMATCH(AssLevel,optimizer[Level],-1,2))),
TooLow, OR(AssLevel&lt;$H$18,$B186&lt;$H$15),
IF(OR(AtMax,TooLow), 0, PrimeMulti * (AssMulti)))</f>
        <v>1.7091955</v>
      </c>
      <c r="Q186" s="1108">
        <f t="array" ref="Q186">LET(
totalShards, I$10,
AtMax, OR(I$3&lt;$B186,totalShards&lt;$E186),
primeShards, $E186,
PrimeMulti, I186,
AssPer, I$4,
AssLevel, IF(AtMax,1,index(optimizer[Level],XMATCH(totalShards-primeShards,optimizer[Total discounted cost],-1,2))),
AssMulti,IF(I$16="",1,index(optimizer[coreAssist],XMATCH(AssLevel,optimizer[Level],-1,2))),
TooLow, OR(AssLevel&lt;$I$18,$B186&lt;$I$15),
IF(OR(AtMax,TooLow), 0, PrimeMulti * (AssMulti)))</f>
        <v>15.351596</v>
      </c>
    </row>
    <row r="187" ht="22.5" hidden="1" customHeight="1" outlineLevel="1">
      <c r="A187" s="1097"/>
      <c r="B187" s="1109">
        <v>160.0</v>
      </c>
      <c r="C187" s="1110">
        <v>4000.0</v>
      </c>
      <c r="D187" s="1110">
        <f t="shared" si="2"/>
        <v>2800</v>
      </c>
      <c r="E187" s="1111">
        <f t="shared" si="11"/>
        <v>111015</v>
      </c>
      <c r="F187" s="1112">
        <f t="shared" si="3"/>
        <v>8.24</v>
      </c>
      <c r="G187" s="1112">
        <f t="shared" si="4"/>
        <v>8.24</v>
      </c>
      <c r="H187" s="1112">
        <f t="shared" si="5"/>
        <v>1.665</v>
      </c>
      <c r="I187" s="1112">
        <f t="shared" si="6"/>
        <v>11.854</v>
      </c>
      <c r="J187" s="1113">
        <f t="shared" si="7"/>
        <v>1</v>
      </c>
      <c r="K187" s="1107">
        <f t="shared" si="8"/>
        <v>1.0719</v>
      </c>
      <c r="L187" s="1107">
        <f t="shared" si="9"/>
        <v>1.0665</v>
      </c>
      <c r="M187" s="1107">
        <f t="shared" si="10"/>
        <v>2.005</v>
      </c>
      <c r="N187" s="1106">
        <f t="array" ref="N187">LET(
totalShards, F$10,
AtMax, OR(F$3&lt;$B187,totalShards&lt;$E187),
primeShards, $E187,
PrimeMulti, F187,
AssPer, F$4,
AssLevel, IF(AtMax,1,index(optimizer[Level],XMATCH(totalShards-primeShards,optimizer[Total discounted cost],-1,2))),
AssMulti,IF(F$16="",1,index(optimizer[cannonAssist],XMATCH(AssLevel,optimizer[Level],-1,2))),
TooLow, OR(AssLevel&lt;$F$18,$B187&lt;$F$15),
IF(OR(AtMax,TooLow), 0, PrimeMulti * (AssMulti)))</f>
        <v>8.24</v>
      </c>
      <c r="O187" s="1112">
        <f t="array" ref="O187">LET(
totalShards, G$10,
AtMax, OR(G$3&lt;$B187,totalShards&lt;$E187),
primeShards, $E187,
PrimeMulti, G187,
AssPer, G$4,
AssLevel, IF(AtMax,1,index(optimizer[Level],XMATCH(totalShards-primeShards,optimizer[Total discounted cost],-1,2))),
AssMulti,IF(G$16="",1,index(optimizer[armorAssist],XMATCH(AssLevel,optimizer[Level],-1,2))),
TooLow, OR(AssLevel&lt;$G$18,$B187&lt;$G$15),
IF(OR(AtMax,TooLow), 0, PrimeMulti * (AssMulti)))</f>
        <v>8.33476</v>
      </c>
      <c r="P187" s="1112">
        <f t="array" ref="P187">LET(
totalShards, H$10,
AtMax, OR(H$3&lt;$B187,totalShards&lt;$E187),
primeShards, $E187,
PrimeMulti, H187,
AssPer, H$4,
AssLevel, IF(AtMax,1,index(optimizer[Level],XMATCH(totalShards-primeShards,optimizer[Total discounted cost],-1,2))),
AssMulti,IF(H$16="",1,index(optimizer[generatorAssist],XMATCH(AssLevel,optimizer[Level],-1,2))),
TooLow, OR(AssLevel&lt;$H$18,$B187&lt;$H$15),
IF(OR(AtMax,TooLow), 0, PrimeMulti * (AssMulti)))</f>
        <v>1.7141175</v>
      </c>
      <c r="Q187" s="1114">
        <f t="array" ref="Q187">LET(
totalShards, I$10,
AtMax, OR(I$3&lt;$B187,totalShards&lt;$E187),
primeShards, $E187,
PrimeMulti, I187,
AssPer, I$4,
AssLevel, IF(AtMax,1,index(optimizer[Level],XMATCH(totalShards-primeShards,optimizer[Total discounted cost],-1,2))),
AssMulti,IF(I$16="",1,index(optimizer[coreAssist],XMATCH(AssLevel,optimizer[Level],-1,2))),
TooLow, OR(AssLevel&lt;$I$18,$B187&lt;$I$15),
IF(OR(AtMax,TooLow), 0, PrimeMulti * (AssMulti)))</f>
        <v>15.17312</v>
      </c>
    </row>
    <row r="188" ht="22.5" hidden="1" customHeight="1" outlineLevel="1">
      <c r="A188" s="1097"/>
      <c r="B188" s="1103">
        <v>161.0</v>
      </c>
      <c r="C188" s="1104">
        <v>5000.0</v>
      </c>
      <c r="D188" s="1104">
        <f t="shared" si="2"/>
        <v>3500</v>
      </c>
      <c r="E188" s="1105">
        <f t="shared" si="11"/>
        <v>114515</v>
      </c>
      <c r="F188" s="1106">
        <f t="shared" si="3"/>
        <v>8.44</v>
      </c>
      <c r="G188" s="1106">
        <f t="shared" si="4"/>
        <v>8.44</v>
      </c>
      <c r="H188" s="1106">
        <f t="shared" si="5"/>
        <v>1.675</v>
      </c>
      <c r="I188" s="1106">
        <f t="shared" si="6"/>
        <v>12.124</v>
      </c>
      <c r="J188" s="1107">
        <f t="shared" si="7"/>
        <v>1</v>
      </c>
      <c r="K188" s="1107">
        <f t="shared" si="8"/>
        <v>1.0739</v>
      </c>
      <c r="L188" s="1107">
        <f t="shared" si="9"/>
        <v>1.0675</v>
      </c>
      <c r="M188" s="1107">
        <f t="shared" si="10"/>
        <v>2.03</v>
      </c>
      <c r="N188" s="1106">
        <f t="array" ref="N188">LET(
totalShards, F$10,
AtMax, OR(F$3&lt;$B188,totalShards&lt;$E188),
primeShards, $E188,
PrimeMulti, F188,
AssPer, F$4,
AssLevel, IF(AtMax,1,index(optimizer[Level],XMATCH(totalShards-primeShards,optimizer[Total discounted cost],-1,2))),
AssMulti,IF(F$16="",1,index(optimizer[cannonAssist],XMATCH(AssLevel,optimizer[Level],-1,2))),
TooLow, OR(AssLevel&lt;$F$18,$B188&lt;$F$15),
IF(OR(AtMax,TooLow), 0, PrimeMulti * (AssMulti)))</f>
        <v>8.44</v>
      </c>
      <c r="O188" s="1106">
        <f t="array" ref="O188">LET(
totalShards, G$10,
AtMax, OR(G$3&lt;$B188,totalShards&lt;$E188),
primeShards, $E188,
PrimeMulti, G188,
AssPer, G$4,
AssLevel, IF(AtMax,1,index(optimizer[Level],XMATCH(totalShards-primeShards,optimizer[Total discounted cost],-1,2))),
AssMulti,IF(G$16="",1,index(optimizer[armorAssist],XMATCH(AssLevel,optimizer[Level],-1,2))),
TooLow, OR(AssLevel&lt;$G$18,$B188&lt;$G$15),
IF(OR(AtMax,TooLow), 0, PrimeMulti * (AssMulti)))</f>
        <v>8.51174</v>
      </c>
      <c r="P188" s="1106">
        <f t="array" ref="P188">LET(
totalShards, H$10,
AtMax, OR(H$3&lt;$B188,totalShards&lt;$E188),
primeShards, $E188,
PrimeMulti, H188,
AssPer, H$4,
AssLevel, IF(AtMax,1,index(optimizer[Level],XMATCH(totalShards-primeShards,optimizer[Total discounted cost],-1,2))),
AssMulti,IF(H$16="",1,index(optimizer[generatorAssist],XMATCH(AssLevel,optimizer[Level],-1,2))),
TooLow, OR(AssLevel&lt;$H$18,$B188&lt;$H$15),
IF(OR(AtMax,TooLow), 0, PrimeMulti * (AssMulti)))</f>
        <v>1.7207275</v>
      </c>
      <c r="Q188" s="1108">
        <f t="array" ref="Q188">LET(
totalShards, I$10,
AtMax, OR(I$3&lt;$B188,totalShards&lt;$E188),
primeShards, $E188,
PrimeMulti, I188,
AssPer, I$4,
AssLevel, IF(AtMax,1,index(optimizer[Level],XMATCH(totalShards-primeShards,optimizer[Total discounted cost],-1,2))),
AssMulti,IF(I$16="",1,index(optimizer[coreAssist],XMATCH(AssLevel,optimizer[Level],-1,2))),
TooLow, OR(AssLevel&lt;$I$18,$B188&lt;$I$15),
IF(OR(AtMax,TooLow), 0, PrimeMulti * (AssMulti)))</f>
        <v>15.09438</v>
      </c>
    </row>
    <row r="189" ht="22.5" hidden="1" customHeight="1" outlineLevel="1">
      <c r="A189" s="1097"/>
      <c r="B189" s="1109">
        <v>162.0</v>
      </c>
      <c r="C189" s="1110">
        <f t="shared" ref="C189:C228" si="12">C188+125</f>
        <v>5125</v>
      </c>
      <c r="D189" s="1110">
        <f t="shared" si="2"/>
        <v>3588</v>
      </c>
      <c r="E189" s="1111">
        <f t="shared" si="11"/>
        <v>118103</v>
      </c>
      <c r="F189" s="1112">
        <f t="shared" si="3"/>
        <v>8.64</v>
      </c>
      <c r="G189" s="1112">
        <f t="shared" si="4"/>
        <v>8.64</v>
      </c>
      <c r="H189" s="1112">
        <f t="shared" si="5"/>
        <v>1.685</v>
      </c>
      <c r="I189" s="1112">
        <f t="shared" si="6"/>
        <v>12.394</v>
      </c>
      <c r="J189" s="1113">
        <f t="shared" si="7"/>
        <v>1</v>
      </c>
      <c r="K189" s="1107">
        <f t="shared" si="8"/>
        <v>1.0759</v>
      </c>
      <c r="L189" s="1107">
        <f t="shared" si="9"/>
        <v>1.0685</v>
      </c>
      <c r="M189" s="1107">
        <f t="shared" si="10"/>
        <v>2.055</v>
      </c>
      <c r="N189" s="1106">
        <f t="array" ref="N189">LET(
totalShards, F$10,
AtMax, OR(F$3&lt;$B189,totalShards&lt;$E189),
primeShards, $E189,
PrimeMulti, F189,
AssPer, F$4,
AssLevel, IF(AtMax,1,index(optimizer[Level],XMATCH(totalShards-primeShards,optimizer[Total discounted cost],-1,2))),
AssMulti,IF(F$16="",1,index(optimizer[cannonAssist],XMATCH(AssLevel,optimizer[Level],-1,2))),
TooLow, OR(AssLevel&lt;$F$18,$B189&lt;$F$15),
IF(OR(AtMax,TooLow), 0, PrimeMulti * (AssMulti)))</f>
        <v>8.64</v>
      </c>
      <c r="O189" s="1112">
        <f t="array" ref="O189">LET(
totalShards, G$10,
AtMax, OR(G$3&lt;$B189,totalShards&lt;$E189),
primeShards, $E189,
PrimeMulti, G189,
AssPer, G$4,
AssLevel, IF(AtMax,1,index(optimizer[Level],XMATCH(totalShards-primeShards,optimizer[Total discounted cost],-1,2))),
AssMulti,IF(G$16="",1,index(optimizer[armorAssist],XMATCH(AssLevel,optimizer[Level],-1,2))),
TooLow, OR(AssLevel&lt;$G$18,$B189&lt;$G$15),
IF(OR(AtMax,TooLow), 0, PrimeMulti * (AssMulti)))</f>
        <v>8.6968512</v>
      </c>
      <c r="P189" s="1112">
        <f t="array" ref="P189">LET(
totalShards, H$10,
AtMax, OR(H$3&lt;$B189,totalShards&lt;$E189),
primeShards, $E189,
PrimeMulti, H189,
AssPer, H$4,
AssLevel, IF(AtMax,1,index(optimizer[Level],XMATCH(totalShards-primeShards,optimizer[Total discounted cost],-1,2))),
AssMulti,IF(H$16="",1,index(optimizer[generatorAssist],XMATCH(AssLevel,optimizer[Level],-1,2))),
TooLow, OR(AssLevel&lt;$H$18,$B189&lt;$H$15),
IF(OR(AtMax,TooLow), 0, PrimeMulti * (AssMulti)))</f>
        <v>1.7256085</v>
      </c>
      <c r="Q189" s="1114">
        <f t="array" ref="Q189">LET(
totalShards, I$10,
AtMax, OR(I$3&lt;$B189,totalShards&lt;$E189),
primeShards, $E189,
PrimeMulti, I189,
AssPer, I$4,
AssLevel, IF(AtMax,1,index(optimizer[Level],XMATCH(totalShards-primeShards,optimizer[Total discounted cost],-1,2))),
AssMulti,IF(I$16="",1,index(optimizer[coreAssist],XMATCH(AssLevel,optimizer[Level],-1,2))),
TooLow, OR(AssLevel&lt;$I$18,$B189&lt;$I$15),
IF(OR(AtMax,TooLow), 0, PrimeMulti * (AssMulti)))</f>
        <v>14.786042</v>
      </c>
    </row>
    <row r="190" ht="22.5" hidden="1" customHeight="1" outlineLevel="1">
      <c r="A190" s="1097"/>
      <c r="B190" s="1103">
        <v>163.0</v>
      </c>
      <c r="C190" s="1104">
        <f t="shared" si="12"/>
        <v>5250</v>
      </c>
      <c r="D190" s="1104">
        <f t="shared" si="2"/>
        <v>3675</v>
      </c>
      <c r="E190" s="1105">
        <f t="shared" si="11"/>
        <v>121778</v>
      </c>
      <c r="F190" s="1106">
        <f t="shared" si="3"/>
        <v>8.84</v>
      </c>
      <c r="G190" s="1106">
        <f t="shared" si="4"/>
        <v>8.84</v>
      </c>
      <c r="H190" s="1106">
        <f t="shared" si="5"/>
        <v>1.695</v>
      </c>
      <c r="I190" s="1106">
        <f t="shared" si="6"/>
        <v>12.664</v>
      </c>
      <c r="J190" s="1107">
        <f t="shared" si="7"/>
        <v>1</v>
      </c>
      <c r="K190" s="1107">
        <f t="shared" si="8"/>
        <v>1.0779</v>
      </c>
      <c r="L190" s="1107">
        <f t="shared" si="9"/>
        <v>1.0695</v>
      </c>
      <c r="M190" s="1107">
        <f t="shared" si="10"/>
        <v>2.08</v>
      </c>
      <c r="N190" s="1106">
        <f t="array" ref="N190">LET(
totalShards, F$10,
AtMax, OR(F$3&lt;$B190,totalShards&lt;$E190),
primeShards, $E190,
PrimeMulti, F190,
AssPer, F$4,
AssLevel, IF(AtMax,1,index(optimizer[Level],XMATCH(totalShards-primeShards,optimizer[Total discounted cost],-1,2))),
AssMulti,IF(F$16="",1,index(optimizer[cannonAssist],XMATCH(AssLevel,optimizer[Level],-1,2))),
TooLow, OR(AssLevel&lt;$F$18,$B190&lt;$F$15),
IF(OR(AtMax,TooLow), 0, PrimeMulti * (AssMulti)))</f>
        <v>8.84</v>
      </c>
      <c r="O190" s="1106">
        <f t="array" ref="O190">LET(
totalShards, G$10,
AtMax, OR(G$3&lt;$B190,totalShards&lt;$E190),
primeShards, $E190,
PrimeMulti, G190,
AssPer, G$4,
AssLevel, IF(AtMax,1,index(optimizer[Level],XMATCH(totalShards-primeShards,optimizer[Total discounted cost],-1,2))),
AssMulti,IF(G$16="",1,index(optimizer[armorAssist],XMATCH(AssLevel,optimizer[Level],-1,2))),
TooLow, OR(AssLevel&lt;$G$18,$B190&lt;$G$15),
IF(OR(AtMax,TooLow), 0, PrimeMulti * (AssMulti)))</f>
        <v>8.8751832</v>
      </c>
      <c r="P190" s="1106">
        <f t="array" ref="P190">LET(
totalShards, H$10,
AtMax, OR(H$3&lt;$B190,totalShards&lt;$E190),
primeShards, $E190,
PrimeMulti, H190,
AssPer, H$4,
AssLevel, IF(AtMax,1,index(optimizer[Level],XMATCH(totalShards-primeShards,optimizer[Total discounted cost],-1,2))),
AssMulti,IF(H$16="",1,index(optimizer[generatorAssist],XMATCH(AssLevel,optimizer[Level],-1,2))),
TooLow, OR(AssLevel&lt;$H$18,$B190&lt;$H$15),
IF(OR(AtMax,TooLow), 0, PrimeMulti * (AssMulti)))</f>
        <v>1.7287305</v>
      </c>
      <c r="Q190" s="1108">
        <f t="array" ref="Q190">LET(
totalShards, I$10,
AtMax, OR(I$3&lt;$B190,totalShards&lt;$E190),
primeShards, $E190,
PrimeMulti, I190,
AssPer, I$4,
AssLevel, IF(AtMax,1,index(optimizer[Level],XMATCH(totalShards-primeShards,optimizer[Total discounted cost],-1,2))),
AssMulti,IF(I$16="",1,index(optimizer[coreAssist],XMATCH(AssLevel,optimizer[Level],-1,2))),
TooLow, OR(AssLevel&lt;$I$18,$B190&lt;$I$15),
IF(OR(AtMax,TooLow), 0, PrimeMulti * (AssMulti)))</f>
        <v>14.4053</v>
      </c>
    </row>
    <row r="191" ht="22.5" hidden="1" customHeight="1" outlineLevel="1">
      <c r="A191" s="1097"/>
      <c r="B191" s="1109">
        <v>164.0</v>
      </c>
      <c r="C191" s="1110">
        <f t="shared" si="12"/>
        <v>5375</v>
      </c>
      <c r="D191" s="1110">
        <f t="shared" si="2"/>
        <v>3763</v>
      </c>
      <c r="E191" s="1111">
        <f t="shared" si="11"/>
        <v>125541</v>
      </c>
      <c r="F191" s="1112">
        <f t="shared" si="3"/>
        <v>9.04</v>
      </c>
      <c r="G191" s="1112">
        <f t="shared" si="4"/>
        <v>9.04</v>
      </c>
      <c r="H191" s="1112">
        <f t="shared" si="5"/>
        <v>1.705</v>
      </c>
      <c r="I191" s="1112">
        <f t="shared" si="6"/>
        <v>12.934</v>
      </c>
      <c r="J191" s="1113">
        <f t="shared" si="7"/>
        <v>1</v>
      </c>
      <c r="K191" s="1107">
        <f t="shared" si="8"/>
        <v>1.0799</v>
      </c>
      <c r="L191" s="1107">
        <f t="shared" si="9"/>
        <v>1.0705</v>
      </c>
      <c r="M191" s="1107">
        <f t="shared" si="10"/>
        <v>2.105</v>
      </c>
      <c r="N191" s="1106">
        <f t="array" ref="N191">LET(
totalShards, F$10,
AtMax, OR(F$3&lt;$B191,totalShards&lt;$E191),
primeShards, $E191,
PrimeMulti, F191,
AssPer, F$4,
AssLevel, IF(AtMax,1,index(optimizer[Level],XMATCH(totalShards-primeShards,optimizer[Total discounted cost],-1,2))),
AssMulti,IF(F$16="",1,index(optimizer[cannonAssist],XMATCH(AssLevel,optimizer[Level],-1,2))),
TooLow, OR(AssLevel&lt;$F$18,$B191&lt;$F$15),
IF(OR(AtMax,TooLow), 0, PrimeMulti * (AssMulti)))</f>
        <v>9.04</v>
      </c>
      <c r="O191" s="1112">
        <f t="array" ref="O191">LET(
totalShards, G$10,
AtMax, OR(G$3&lt;$B191,totalShards&lt;$E191),
primeShards, $E191,
PrimeMulti, G191,
AssPer, G$4,
AssLevel, IF(AtMax,1,index(optimizer[Level],XMATCH(totalShards-primeShards,optimizer[Total discounted cost],-1,2))),
AssMulti,IF(G$16="",1,index(optimizer[armorAssist],XMATCH(AssLevel,optimizer[Level],-1,2))),
TooLow, OR(AssLevel&lt;$G$18,$B191&lt;$G$15),
IF(OR(AtMax,TooLow), 0, PrimeMulti * (AssMulti)))</f>
        <v>0</v>
      </c>
      <c r="P191" s="1112">
        <f t="array" ref="P191">LET(
totalShards, H$10,
AtMax, OR(H$3&lt;$B191,totalShards&lt;$E191),
primeShards, $E191,
PrimeMulti, H191,
AssPer, H$4,
AssLevel, IF(AtMax,1,index(optimizer[Level],XMATCH(totalShards-primeShards,optimizer[Total discounted cost],-1,2))),
AssMulti,IF(H$16="",1,index(optimizer[generatorAssist],XMATCH(AssLevel,optimizer[Level],-1,2))),
TooLow, OR(AssLevel&lt;$H$18,$B191&lt;$H$15),
IF(OR(AtMax,TooLow), 0, PrimeMulti * (AssMulti)))</f>
        <v>1.7297225</v>
      </c>
      <c r="Q191" s="1114">
        <f t="array" ref="Q191">LET(
totalShards, I$10,
AtMax, OR(I$3&lt;$B191,totalShards&lt;$E191),
primeShards, $E191,
PrimeMulti, I191,
AssPer, I$4,
AssLevel, IF(AtMax,1,index(optimizer[Level],XMATCH(totalShards-primeShards,optimizer[Total discounted cost],-1,2))),
AssMulti,IF(I$16="",1,index(optimizer[coreAssist],XMATCH(AssLevel,optimizer[Level],-1,2))),
TooLow, OR(AssLevel&lt;$I$18,$B191&lt;$I$15),
IF(OR(AtMax,TooLow), 0, PrimeMulti * (AssMulti)))</f>
        <v>0</v>
      </c>
    </row>
    <row r="192" ht="22.5" hidden="1" customHeight="1" outlineLevel="1">
      <c r="A192" s="1097"/>
      <c r="B192" s="1103">
        <v>165.0</v>
      </c>
      <c r="C192" s="1104">
        <f t="shared" si="12"/>
        <v>5500</v>
      </c>
      <c r="D192" s="1104">
        <f t="shared" si="2"/>
        <v>3850</v>
      </c>
      <c r="E192" s="1105">
        <f t="shared" si="11"/>
        <v>129391</v>
      </c>
      <c r="F192" s="1106">
        <f t="shared" si="3"/>
        <v>9.24</v>
      </c>
      <c r="G192" s="1106">
        <f t="shared" si="4"/>
        <v>9.24</v>
      </c>
      <c r="H192" s="1106">
        <f t="shared" si="5"/>
        <v>1.715</v>
      </c>
      <c r="I192" s="1106">
        <f t="shared" si="6"/>
        <v>13.204</v>
      </c>
      <c r="J192" s="1107">
        <f t="shared" si="7"/>
        <v>1</v>
      </c>
      <c r="K192" s="1107">
        <f t="shared" si="8"/>
        <v>1.0819</v>
      </c>
      <c r="L192" s="1107">
        <f t="shared" si="9"/>
        <v>1.0715</v>
      </c>
      <c r="M192" s="1107">
        <f t="shared" si="10"/>
        <v>2.13</v>
      </c>
      <c r="N192" s="1106">
        <f t="array" ref="N192">LET(
totalShards, F$10,
AtMax, OR(F$3&lt;$B192,totalShards&lt;$E192),
primeShards, $E192,
PrimeMulti, F192,
AssPer, F$4,
AssLevel, IF(AtMax,1,index(optimizer[Level],XMATCH(totalShards-primeShards,optimizer[Total discounted cost],-1,2))),
AssMulti,IF(F$16="",1,index(optimizer[cannonAssist],XMATCH(AssLevel,optimizer[Level],-1,2))),
TooLow, OR(AssLevel&lt;$F$18,$B192&lt;$F$15),
IF(OR(AtMax,TooLow), 0, PrimeMulti * (AssMulti)))</f>
        <v>0</v>
      </c>
      <c r="O192" s="1106">
        <f t="array" ref="O192">LET(
totalShards, G$10,
AtMax, OR(G$3&lt;$B192,totalShards&lt;$E192),
primeShards, $E192,
PrimeMulti, G192,
AssPer, G$4,
AssLevel, IF(AtMax,1,index(optimizer[Level],XMATCH(totalShards-primeShards,optimizer[Total discounted cost],-1,2))),
AssMulti,IF(G$16="",1,index(optimizer[armorAssist],XMATCH(AssLevel,optimizer[Level],-1,2))),
TooLow, OR(AssLevel&lt;$G$18,$B192&lt;$G$15),
IF(OR(AtMax,TooLow), 0, PrimeMulti * (AssMulti)))</f>
        <v>0</v>
      </c>
      <c r="P192" s="1106">
        <f t="array" ref="P192">LET(
totalShards, H$10,
AtMax, OR(H$3&lt;$B192,totalShards&lt;$E192),
primeShards, $E192,
PrimeMulti, H192,
AssPer, H$4,
AssLevel, IF(AtMax,1,index(optimizer[Level],XMATCH(totalShards-primeShards,optimizer[Total discounted cost],-1,2))),
AssMulti,IF(H$16="",1,index(optimizer[generatorAssist],XMATCH(AssLevel,optimizer[Level],-1,2))),
TooLow, OR(AssLevel&lt;$H$18,$B192&lt;$H$15),
IF(OR(AtMax,TooLow), 0, PrimeMulti * (AssMulti)))</f>
        <v>0</v>
      </c>
      <c r="Q192" s="1108">
        <f t="array" ref="Q192">LET(
totalShards, I$10,
AtMax, OR(I$3&lt;$B192,totalShards&lt;$E192),
primeShards, $E192,
PrimeMulti, I192,
AssPer, I$4,
AssLevel, IF(AtMax,1,index(optimizer[Level],XMATCH(totalShards-primeShards,optimizer[Total discounted cost],-1,2))),
AssMulti,IF(I$16="",1,index(optimizer[coreAssist],XMATCH(AssLevel,optimizer[Level],-1,2))),
TooLow, OR(AssLevel&lt;$I$18,$B192&lt;$I$15),
IF(OR(AtMax,TooLow), 0, PrimeMulti * (AssMulti)))</f>
        <v>0</v>
      </c>
    </row>
    <row r="193" ht="22.5" hidden="1" customHeight="1" outlineLevel="1">
      <c r="A193" s="1097"/>
      <c r="B193" s="1109">
        <v>166.0</v>
      </c>
      <c r="C193" s="1110">
        <f t="shared" si="12"/>
        <v>5625</v>
      </c>
      <c r="D193" s="1110">
        <f t="shared" si="2"/>
        <v>3938</v>
      </c>
      <c r="E193" s="1111">
        <f t="shared" si="11"/>
        <v>133329</v>
      </c>
      <c r="F193" s="1112">
        <f t="shared" si="3"/>
        <v>9.44</v>
      </c>
      <c r="G193" s="1112">
        <f t="shared" si="4"/>
        <v>9.44</v>
      </c>
      <c r="H193" s="1112">
        <f t="shared" si="5"/>
        <v>1.725</v>
      </c>
      <c r="I193" s="1112">
        <f t="shared" si="6"/>
        <v>13.474</v>
      </c>
      <c r="J193" s="1113">
        <f t="shared" si="7"/>
        <v>1</v>
      </c>
      <c r="K193" s="1107">
        <f t="shared" si="8"/>
        <v>1.0839</v>
      </c>
      <c r="L193" s="1107">
        <f t="shared" si="9"/>
        <v>1.0725</v>
      </c>
      <c r="M193" s="1107">
        <f t="shared" si="10"/>
        <v>2.155</v>
      </c>
      <c r="N193" s="1106">
        <f t="array" ref="N193">LET(
totalShards, F$10,
AtMax, OR(F$3&lt;$B193,totalShards&lt;$E193),
primeShards, $E193,
PrimeMulti, F193,
AssPer, F$4,
AssLevel, IF(AtMax,1,index(optimizer[Level],XMATCH(totalShards-primeShards,optimizer[Total discounted cost],-1,2))),
AssMulti,IF(F$16="",1,index(optimizer[cannonAssist],XMATCH(AssLevel,optimizer[Level],-1,2))),
TooLow, OR(AssLevel&lt;$F$18,$B193&lt;$F$15),
IF(OR(AtMax,TooLow), 0, PrimeMulti * (AssMulti)))</f>
        <v>0</v>
      </c>
      <c r="O193" s="1112">
        <f t="array" ref="O193">LET(
totalShards, G$10,
AtMax, OR(G$3&lt;$B193,totalShards&lt;$E193),
primeShards, $E193,
PrimeMulti, G193,
AssPer, G$4,
AssLevel, IF(AtMax,1,index(optimizer[Level],XMATCH(totalShards-primeShards,optimizer[Total discounted cost],-1,2))),
AssMulti,IF(G$16="",1,index(optimizer[armorAssist],XMATCH(AssLevel,optimizer[Level],-1,2))),
TooLow, OR(AssLevel&lt;$G$18,$B193&lt;$G$15),
IF(OR(AtMax,TooLow), 0, PrimeMulti * (AssMulti)))</f>
        <v>0</v>
      </c>
      <c r="P193" s="1112">
        <f t="array" ref="P193">LET(
totalShards, H$10,
AtMax, OR(H$3&lt;$B193,totalShards&lt;$E193),
primeShards, $E193,
PrimeMulti, H193,
AssPer, H$4,
AssLevel, IF(AtMax,1,index(optimizer[Level],XMATCH(totalShards-primeShards,optimizer[Total discounted cost],-1,2))),
AssMulti,IF(H$16="",1,index(optimizer[generatorAssist],XMATCH(AssLevel,optimizer[Level],-1,2))),
TooLow, OR(AssLevel&lt;$H$18,$B193&lt;$H$15),
IF(OR(AtMax,TooLow), 0, PrimeMulti * (AssMulti)))</f>
        <v>0</v>
      </c>
      <c r="Q193" s="1114">
        <f t="array" ref="Q193">LET(
totalShards, I$10,
AtMax, OR(I$3&lt;$B193,totalShards&lt;$E193),
primeShards, $E193,
PrimeMulti, I193,
AssPer, I$4,
AssLevel, IF(AtMax,1,index(optimizer[Level],XMATCH(totalShards-primeShards,optimizer[Total discounted cost],-1,2))),
AssMulti,IF(I$16="",1,index(optimizer[coreAssist],XMATCH(AssLevel,optimizer[Level],-1,2))),
TooLow, OR(AssLevel&lt;$I$18,$B193&lt;$I$15),
IF(OR(AtMax,TooLow), 0, PrimeMulti * (AssMulti)))</f>
        <v>0</v>
      </c>
    </row>
    <row r="194" ht="22.5" hidden="1" customHeight="1" outlineLevel="1">
      <c r="A194" s="1097"/>
      <c r="B194" s="1103">
        <v>167.0</v>
      </c>
      <c r="C194" s="1104">
        <f t="shared" si="12"/>
        <v>5750</v>
      </c>
      <c r="D194" s="1104">
        <f t="shared" si="2"/>
        <v>4025</v>
      </c>
      <c r="E194" s="1105">
        <f t="shared" si="11"/>
        <v>137354</v>
      </c>
      <c r="F194" s="1106">
        <f t="shared" si="3"/>
        <v>9.64</v>
      </c>
      <c r="G194" s="1106">
        <f t="shared" si="4"/>
        <v>9.64</v>
      </c>
      <c r="H194" s="1106">
        <f t="shared" si="5"/>
        <v>1.735</v>
      </c>
      <c r="I194" s="1106">
        <f t="shared" si="6"/>
        <v>13.744</v>
      </c>
      <c r="J194" s="1107">
        <f t="shared" si="7"/>
        <v>1</v>
      </c>
      <c r="K194" s="1107">
        <f t="shared" si="8"/>
        <v>1.0859</v>
      </c>
      <c r="L194" s="1107">
        <f t="shared" si="9"/>
        <v>1.0735</v>
      </c>
      <c r="M194" s="1107">
        <f t="shared" si="10"/>
        <v>2.18</v>
      </c>
      <c r="N194" s="1106">
        <f t="array" ref="N194">LET(
totalShards, F$10,
AtMax, OR(F$3&lt;$B194,totalShards&lt;$E194),
primeShards, $E194,
PrimeMulti, F194,
AssPer, F$4,
AssLevel, IF(AtMax,1,index(optimizer[Level],XMATCH(totalShards-primeShards,optimizer[Total discounted cost],-1,2))),
AssMulti,IF(F$16="",1,index(optimizer[cannonAssist],XMATCH(AssLevel,optimizer[Level],-1,2))),
TooLow, OR(AssLevel&lt;$F$18,$B194&lt;$F$15),
IF(OR(AtMax,TooLow), 0, PrimeMulti * (AssMulti)))</f>
        <v>0</v>
      </c>
      <c r="O194" s="1106">
        <f t="array" ref="O194">LET(
totalShards, G$10,
AtMax, OR(G$3&lt;$B194,totalShards&lt;$E194),
primeShards, $E194,
PrimeMulti, G194,
AssPer, G$4,
AssLevel, IF(AtMax,1,index(optimizer[Level],XMATCH(totalShards-primeShards,optimizer[Total discounted cost],-1,2))),
AssMulti,IF(G$16="",1,index(optimizer[armorAssist],XMATCH(AssLevel,optimizer[Level],-1,2))),
TooLow, OR(AssLevel&lt;$G$18,$B194&lt;$G$15),
IF(OR(AtMax,TooLow), 0, PrimeMulti * (AssMulti)))</f>
        <v>0</v>
      </c>
      <c r="P194" s="1106">
        <f t="array" ref="P194">LET(
totalShards, H$10,
AtMax, OR(H$3&lt;$B194,totalShards&lt;$E194),
primeShards, $E194,
PrimeMulti, H194,
AssPer, H$4,
AssLevel, IF(AtMax,1,index(optimizer[Level],XMATCH(totalShards-primeShards,optimizer[Total discounted cost],-1,2))),
AssMulti,IF(H$16="",1,index(optimizer[generatorAssist],XMATCH(AssLevel,optimizer[Level],-1,2))),
TooLow, OR(AssLevel&lt;$H$18,$B194&lt;$H$15),
IF(OR(AtMax,TooLow), 0, PrimeMulti * (AssMulti)))</f>
        <v>0</v>
      </c>
      <c r="Q194" s="1108">
        <f t="array" ref="Q194">LET(
totalShards, I$10,
AtMax, OR(I$3&lt;$B194,totalShards&lt;$E194),
primeShards, $E194,
PrimeMulti, I194,
AssPer, I$4,
AssLevel, IF(AtMax,1,index(optimizer[Level],XMATCH(totalShards-primeShards,optimizer[Total discounted cost],-1,2))),
AssMulti,IF(I$16="",1,index(optimizer[coreAssist],XMATCH(AssLevel,optimizer[Level],-1,2))),
TooLow, OR(AssLevel&lt;$I$18,$B194&lt;$I$15),
IF(OR(AtMax,TooLow), 0, PrimeMulti * (AssMulti)))</f>
        <v>0</v>
      </c>
    </row>
    <row r="195" ht="22.5" hidden="1" customHeight="1" outlineLevel="1">
      <c r="A195" s="1097"/>
      <c r="B195" s="1109">
        <v>168.0</v>
      </c>
      <c r="C195" s="1110">
        <f t="shared" si="12"/>
        <v>5875</v>
      </c>
      <c r="D195" s="1110">
        <f t="shared" si="2"/>
        <v>4113</v>
      </c>
      <c r="E195" s="1111">
        <f t="shared" si="11"/>
        <v>141467</v>
      </c>
      <c r="F195" s="1112">
        <f t="shared" si="3"/>
        <v>9.84</v>
      </c>
      <c r="G195" s="1112">
        <f t="shared" si="4"/>
        <v>9.84</v>
      </c>
      <c r="H195" s="1112">
        <f t="shared" si="5"/>
        <v>1.745</v>
      </c>
      <c r="I195" s="1112">
        <f t="shared" si="6"/>
        <v>14.014</v>
      </c>
      <c r="J195" s="1113">
        <f t="shared" si="7"/>
        <v>1</v>
      </c>
      <c r="K195" s="1107">
        <f t="shared" si="8"/>
        <v>1.0879</v>
      </c>
      <c r="L195" s="1107">
        <f t="shared" si="9"/>
        <v>1.0745</v>
      </c>
      <c r="M195" s="1107">
        <f t="shared" si="10"/>
        <v>2.205</v>
      </c>
      <c r="N195" s="1106">
        <f t="array" ref="N195">LET(
totalShards, F$10,
AtMax, OR(F$3&lt;$B195,totalShards&lt;$E195),
primeShards, $E195,
PrimeMulti, F195,
AssPer, F$4,
AssLevel, IF(AtMax,1,index(optimizer[Level],XMATCH(totalShards-primeShards,optimizer[Total discounted cost],-1,2))),
AssMulti,IF(F$16="",1,index(optimizer[cannonAssist],XMATCH(AssLevel,optimizer[Level],-1,2))),
TooLow, OR(AssLevel&lt;$F$18,$B195&lt;$F$15),
IF(OR(AtMax,TooLow), 0, PrimeMulti * (AssMulti)))</f>
        <v>0</v>
      </c>
      <c r="O195" s="1112">
        <f t="array" ref="O195">LET(
totalShards, G$10,
AtMax, OR(G$3&lt;$B195,totalShards&lt;$E195),
primeShards, $E195,
PrimeMulti, G195,
AssPer, G$4,
AssLevel, IF(AtMax,1,index(optimizer[Level],XMATCH(totalShards-primeShards,optimizer[Total discounted cost],-1,2))),
AssMulti,IF(G$16="",1,index(optimizer[armorAssist],XMATCH(AssLevel,optimizer[Level],-1,2))),
TooLow, OR(AssLevel&lt;$G$18,$B195&lt;$G$15),
IF(OR(AtMax,TooLow), 0, PrimeMulti * (AssMulti)))</f>
        <v>0</v>
      </c>
      <c r="P195" s="1112">
        <f t="array" ref="P195">LET(
totalShards, H$10,
AtMax, OR(H$3&lt;$B195,totalShards&lt;$E195),
primeShards, $E195,
PrimeMulti, H195,
AssPer, H$4,
AssLevel, IF(AtMax,1,index(optimizer[Level],XMATCH(totalShards-primeShards,optimizer[Total discounted cost],-1,2))),
AssMulti,IF(H$16="",1,index(optimizer[generatorAssist],XMATCH(AssLevel,optimizer[Level],-1,2))),
TooLow, OR(AssLevel&lt;$H$18,$B195&lt;$H$15),
IF(OR(AtMax,TooLow), 0, PrimeMulti * (AssMulti)))</f>
        <v>0</v>
      </c>
      <c r="Q195" s="1114">
        <f t="array" ref="Q195">LET(
totalShards, I$10,
AtMax, OR(I$3&lt;$B195,totalShards&lt;$E195),
primeShards, $E195,
PrimeMulti, I195,
AssPer, I$4,
AssLevel, IF(AtMax,1,index(optimizer[Level],XMATCH(totalShards-primeShards,optimizer[Total discounted cost],-1,2))),
AssMulti,IF(I$16="",1,index(optimizer[coreAssist],XMATCH(AssLevel,optimizer[Level],-1,2))),
TooLow, OR(AssLevel&lt;$I$18,$B195&lt;$I$15),
IF(OR(AtMax,TooLow), 0, PrimeMulti * (AssMulti)))</f>
        <v>0</v>
      </c>
    </row>
    <row r="196" ht="22.5" hidden="1" customHeight="1" outlineLevel="1">
      <c r="A196" s="1097"/>
      <c r="B196" s="1103">
        <v>169.0</v>
      </c>
      <c r="C196" s="1104">
        <f t="shared" si="12"/>
        <v>6000</v>
      </c>
      <c r="D196" s="1104">
        <f t="shared" si="2"/>
        <v>4200</v>
      </c>
      <c r="E196" s="1105">
        <f t="shared" si="11"/>
        <v>145667</v>
      </c>
      <c r="F196" s="1106">
        <f t="shared" si="3"/>
        <v>10.04</v>
      </c>
      <c r="G196" s="1106">
        <f t="shared" si="4"/>
        <v>10.04</v>
      </c>
      <c r="H196" s="1106">
        <f t="shared" si="5"/>
        <v>1.755</v>
      </c>
      <c r="I196" s="1106">
        <f t="shared" si="6"/>
        <v>14.284</v>
      </c>
      <c r="J196" s="1107">
        <f t="shared" si="7"/>
        <v>1</v>
      </c>
      <c r="K196" s="1107">
        <f t="shared" si="8"/>
        <v>1.0899</v>
      </c>
      <c r="L196" s="1107">
        <f t="shared" si="9"/>
        <v>1.0755</v>
      </c>
      <c r="M196" s="1107">
        <f t="shared" si="10"/>
        <v>2.23</v>
      </c>
      <c r="N196" s="1106">
        <f t="array" ref="N196">LET(
totalShards, F$10,
AtMax, OR(F$3&lt;$B196,totalShards&lt;$E196),
primeShards, $E196,
PrimeMulti, F196,
AssPer, F$4,
AssLevel, IF(AtMax,1,index(optimizer[Level],XMATCH(totalShards-primeShards,optimizer[Total discounted cost],-1,2))),
AssMulti,IF(F$16="",1,index(optimizer[cannonAssist],XMATCH(AssLevel,optimizer[Level],-1,2))),
TooLow, OR(AssLevel&lt;$F$18,$B196&lt;$F$15),
IF(OR(AtMax,TooLow), 0, PrimeMulti * (AssMulti)))</f>
        <v>0</v>
      </c>
      <c r="O196" s="1106">
        <f t="array" ref="O196">LET(
totalShards, G$10,
AtMax, OR(G$3&lt;$B196,totalShards&lt;$E196),
primeShards, $E196,
PrimeMulti, G196,
AssPer, G$4,
AssLevel, IF(AtMax,1,index(optimizer[Level],XMATCH(totalShards-primeShards,optimizer[Total discounted cost],-1,2))),
AssMulti,IF(G$16="",1,index(optimizer[armorAssist],XMATCH(AssLevel,optimizer[Level],-1,2))),
TooLow, OR(AssLevel&lt;$G$18,$B196&lt;$G$15),
IF(OR(AtMax,TooLow), 0, PrimeMulti * (AssMulti)))</f>
        <v>0</v>
      </c>
      <c r="P196" s="1106">
        <f t="array" ref="P196">LET(
totalShards, H$10,
AtMax, OR(H$3&lt;$B196,totalShards&lt;$E196),
primeShards, $E196,
PrimeMulti, H196,
AssPer, H$4,
AssLevel, IF(AtMax,1,index(optimizer[Level],XMATCH(totalShards-primeShards,optimizer[Total discounted cost],-1,2))),
AssMulti,IF(H$16="",1,index(optimizer[generatorAssist],XMATCH(AssLevel,optimizer[Level],-1,2))),
TooLow, OR(AssLevel&lt;$H$18,$B196&lt;$H$15),
IF(OR(AtMax,TooLow), 0, PrimeMulti * (AssMulti)))</f>
        <v>0</v>
      </c>
      <c r="Q196" s="1108">
        <f t="array" ref="Q196">LET(
totalShards, I$10,
AtMax, OR(I$3&lt;$B196,totalShards&lt;$E196),
primeShards, $E196,
PrimeMulti, I196,
AssPer, I$4,
AssLevel, IF(AtMax,1,index(optimizer[Level],XMATCH(totalShards-primeShards,optimizer[Total discounted cost],-1,2))),
AssMulti,IF(I$16="",1,index(optimizer[coreAssist],XMATCH(AssLevel,optimizer[Level],-1,2))),
TooLow, OR(AssLevel&lt;$I$18,$B196&lt;$I$15),
IF(OR(AtMax,TooLow), 0, PrimeMulti * (AssMulti)))</f>
        <v>0</v>
      </c>
    </row>
    <row r="197" ht="22.5" hidden="1" customHeight="1" outlineLevel="1">
      <c r="A197" s="1097"/>
      <c r="B197" s="1109">
        <v>170.0</v>
      </c>
      <c r="C197" s="1110">
        <f t="shared" si="12"/>
        <v>6125</v>
      </c>
      <c r="D197" s="1110">
        <f t="shared" si="2"/>
        <v>4288</v>
      </c>
      <c r="E197" s="1111">
        <f t="shared" si="11"/>
        <v>149955</v>
      </c>
      <c r="F197" s="1112">
        <f t="shared" si="3"/>
        <v>10.24</v>
      </c>
      <c r="G197" s="1112">
        <f t="shared" si="4"/>
        <v>10.24</v>
      </c>
      <c r="H197" s="1112">
        <f t="shared" si="5"/>
        <v>1.765</v>
      </c>
      <c r="I197" s="1112">
        <f t="shared" si="6"/>
        <v>14.554</v>
      </c>
      <c r="J197" s="1113">
        <f t="shared" si="7"/>
        <v>1</v>
      </c>
      <c r="K197" s="1107">
        <f t="shared" si="8"/>
        <v>1.0919</v>
      </c>
      <c r="L197" s="1107">
        <f t="shared" si="9"/>
        <v>1.0765</v>
      </c>
      <c r="M197" s="1107">
        <f t="shared" si="10"/>
        <v>2.255</v>
      </c>
      <c r="N197" s="1106">
        <f t="array" ref="N197">LET(
totalShards, F$10,
AtMax, OR(F$3&lt;$B197,totalShards&lt;$E197),
primeShards, $E197,
PrimeMulti, F197,
AssPer, F$4,
AssLevel, IF(AtMax,1,index(optimizer[Level],XMATCH(totalShards-primeShards,optimizer[Total discounted cost],-1,2))),
AssMulti,IF(F$16="",1,index(optimizer[cannonAssist],XMATCH(AssLevel,optimizer[Level],-1,2))),
TooLow, OR(AssLevel&lt;$F$18,$B197&lt;$F$15),
IF(OR(AtMax,TooLow), 0, PrimeMulti * (AssMulti)))</f>
        <v>0</v>
      </c>
      <c r="O197" s="1112">
        <f t="array" ref="O197">LET(
totalShards, G$10,
AtMax, OR(G$3&lt;$B197,totalShards&lt;$E197),
primeShards, $E197,
PrimeMulti, G197,
AssPer, G$4,
AssLevel, IF(AtMax,1,index(optimizer[Level],XMATCH(totalShards-primeShards,optimizer[Total discounted cost],-1,2))),
AssMulti,IF(G$16="",1,index(optimizer[armorAssist],XMATCH(AssLevel,optimizer[Level],-1,2))),
TooLow, OR(AssLevel&lt;$G$18,$B197&lt;$G$15),
IF(OR(AtMax,TooLow), 0, PrimeMulti * (AssMulti)))</f>
        <v>0</v>
      </c>
      <c r="P197" s="1112">
        <f t="array" ref="P197">LET(
totalShards, H$10,
AtMax, OR(H$3&lt;$B197,totalShards&lt;$E197),
primeShards, $E197,
PrimeMulti, H197,
AssPer, H$4,
AssLevel, IF(AtMax,1,index(optimizer[Level],XMATCH(totalShards-primeShards,optimizer[Total discounted cost],-1,2))),
AssMulti,IF(H$16="",1,index(optimizer[generatorAssist],XMATCH(AssLevel,optimizer[Level],-1,2))),
TooLow, OR(AssLevel&lt;$H$18,$B197&lt;$H$15),
IF(OR(AtMax,TooLow), 0, PrimeMulti * (AssMulti)))</f>
        <v>0</v>
      </c>
      <c r="Q197" s="1114">
        <f t="array" ref="Q197">LET(
totalShards, I$10,
AtMax, OR(I$3&lt;$B197,totalShards&lt;$E197),
primeShards, $E197,
PrimeMulti, I197,
AssPer, I$4,
AssLevel, IF(AtMax,1,index(optimizer[Level],XMATCH(totalShards-primeShards,optimizer[Total discounted cost],-1,2))),
AssMulti,IF(I$16="",1,index(optimizer[coreAssist],XMATCH(AssLevel,optimizer[Level],-1,2))),
TooLow, OR(AssLevel&lt;$I$18,$B197&lt;$I$15),
IF(OR(AtMax,TooLow), 0, PrimeMulti * (AssMulti)))</f>
        <v>0</v>
      </c>
    </row>
    <row r="198" ht="22.5" hidden="1" customHeight="1" outlineLevel="1">
      <c r="A198" s="1097"/>
      <c r="B198" s="1103">
        <v>171.0</v>
      </c>
      <c r="C198" s="1104">
        <f t="shared" si="12"/>
        <v>6250</v>
      </c>
      <c r="D198" s="1104">
        <f t="shared" si="2"/>
        <v>4375</v>
      </c>
      <c r="E198" s="1105">
        <f t="shared" si="11"/>
        <v>154330</v>
      </c>
      <c r="F198" s="1106">
        <f t="shared" si="3"/>
        <v>10.44</v>
      </c>
      <c r="G198" s="1106">
        <f t="shared" si="4"/>
        <v>10.44</v>
      </c>
      <c r="H198" s="1106">
        <f t="shared" si="5"/>
        <v>1.775</v>
      </c>
      <c r="I198" s="1106">
        <f t="shared" si="6"/>
        <v>14.824</v>
      </c>
      <c r="J198" s="1107">
        <f t="shared" si="7"/>
        <v>1</v>
      </c>
      <c r="K198" s="1107">
        <f t="shared" si="8"/>
        <v>1.0939</v>
      </c>
      <c r="L198" s="1107">
        <f t="shared" si="9"/>
        <v>1.0775</v>
      </c>
      <c r="M198" s="1107">
        <f t="shared" si="10"/>
        <v>2.28</v>
      </c>
      <c r="N198" s="1106">
        <f t="array" ref="N198">LET(
totalShards, F$10,
AtMax, OR(F$3&lt;$B198,totalShards&lt;$E198),
primeShards, $E198,
PrimeMulti, F198,
AssPer, F$4,
AssLevel, IF(AtMax,1,index(optimizer[Level],XMATCH(totalShards-primeShards,optimizer[Total discounted cost],-1,2))),
AssMulti,IF(F$16="",1,index(optimizer[cannonAssist],XMATCH(AssLevel,optimizer[Level],-1,2))),
TooLow, OR(AssLevel&lt;$F$18,$B198&lt;$F$15),
IF(OR(AtMax,TooLow), 0, PrimeMulti * (AssMulti)))</f>
        <v>0</v>
      </c>
      <c r="O198" s="1106">
        <f t="array" ref="O198">LET(
totalShards, G$10,
AtMax, OR(G$3&lt;$B198,totalShards&lt;$E198),
primeShards, $E198,
PrimeMulti, G198,
AssPer, G$4,
AssLevel, IF(AtMax,1,index(optimizer[Level],XMATCH(totalShards-primeShards,optimizer[Total discounted cost],-1,2))),
AssMulti,IF(G$16="",1,index(optimizer[armorAssist],XMATCH(AssLevel,optimizer[Level],-1,2))),
TooLow, OR(AssLevel&lt;$G$18,$B198&lt;$G$15),
IF(OR(AtMax,TooLow), 0, PrimeMulti * (AssMulti)))</f>
        <v>0</v>
      </c>
      <c r="P198" s="1106">
        <f t="array" ref="P198">LET(
totalShards, H$10,
AtMax, OR(H$3&lt;$B198,totalShards&lt;$E198),
primeShards, $E198,
PrimeMulti, H198,
AssPer, H$4,
AssLevel, IF(AtMax,1,index(optimizer[Level],XMATCH(totalShards-primeShards,optimizer[Total discounted cost],-1,2))),
AssMulti,IF(H$16="",1,index(optimizer[generatorAssist],XMATCH(AssLevel,optimizer[Level],-1,2))),
TooLow, OR(AssLevel&lt;$H$18,$B198&lt;$H$15),
IF(OR(AtMax,TooLow), 0, PrimeMulti * (AssMulti)))</f>
        <v>0</v>
      </c>
      <c r="Q198" s="1108">
        <f t="array" ref="Q198">LET(
totalShards, I$10,
AtMax, OR(I$3&lt;$B198,totalShards&lt;$E198),
primeShards, $E198,
PrimeMulti, I198,
AssPer, I$4,
AssLevel, IF(AtMax,1,index(optimizer[Level],XMATCH(totalShards-primeShards,optimizer[Total discounted cost],-1,2))),
AssMulti,IF(I$16="",1,index(optimizer[coreAssist],XMATCH(AssLevel,optimizer[Level],-1,2))),
TooLow, OR(AssLevel&lt;$I$18,$B198&lt;$I$15),
IF(OR(AtMax,TooLow), 0, PrimeMulti * (AssMulti)))</f>
        <v>0</v>
      </c>
    </row>
    <row r="199" ht="22.5" hidden="1" customHeight="1" outlineLevel="1">
      <c r="A199" s="1097"/>
      <c r="B199" s="1109">
        <v>172.0</v>
      </c>
      <c r="C199" s="1110">
        <f t="shared" si="12"/>
        <v>6375</v>
      </c>
      <c r="D199" s="1110">
        <f t="shared" si="2"/>
        <v>4463</v>
      </c>
      <c r="E199" s="1111">
        <f t="shared" si="11"/>
        <v>158793</v>
      </c>
      <c r="F199" s="1112">
        <f t="shared" si="3"/>
        <v>10.64</v>
      </c>
      <c r="G199" s="1112">
        <f t="shared" si="4"/>
        <v>10.64</v>
      </c>
      <c r="H199" s="1112">
        <f t="shared" si="5"/>
        <v>1.785</v>
      </c>
      <c r="I199" s="1112">
        <f t="shared" si="6"/>
        <v>15.094</v>
      </c>
      <c r="J199" s="1113">
        <f t="shared" si="7"/>
        <v>1</v>
      </c>
      <c r="K199" s="1107">
        <f t="shared" si="8"/>
        <v>1.0959</v>
      </c>
      <c r="L199" s="1107">
        <f t="shared" si="9"/>
        <v>1.0785</v>
      </c>
      <c r="M199" s="1107">
        <f t="shared" si="10"/>
        <v>2.305</v>
      </c>
      <c r="N199" s="1106">
        <f t="array" ref="N199">LET(
totalShards, F$10,
AtMax, OR(F$3&lt;$B199,totalShards&lt;$E199),
primeShards, $E199,
PrimeMulti, F199,
AssPer, F$4,
AssLevel, IF(AtMax,1,index(optimizer[Level],XMATCH(totalShards-primeShards,optimizer[Total discounted cost],-1,2))),
AssMulti,IF(F$16="",1,index(optimizer[cannonAssist],XMATCH(AssLevel,optimizer[Level],-1,2))),
TooLow, OR(AssLevel&lt;$F$18,$B199&lt;$F$15),
IF(OR(AtMax,TooLow), 0, PrimeMulti * (AssMulti)))</f>
        <v>0</v>
      </c>
      <c r="O199" s="1112">
        <f t="array" ref="O199">LET(
totalShards, G$10,
AtMax, OR(G$3&lt;$B199,totalShards&lt;$E199),
primeShards, $E199,
PrimeMulti, G199,
AssPer, G$4,
AssLevel, IF(AtMax,1,index(optimizer[Level],XMATCH(totalShards-primeShards,optimizer[Total discounted cost],-1,2))),
AssMulti,IF(G$16="",1,index(optimizer[armorAssist],XMATCH(AssLevel,optimizer[Level],-1,2))),
TooLow, OR(AssLevel&lt;$G$18,$B199&lt;$G$15),
IF(OR(AtMax,TooLow), 0, PrimeMulti * (AssMulti)))</f>
        <v>0</v>
      </c>
      <c r="P199" s="1112">
        <f t="array" ref="P199">LET(
totalShards, H$10,
AtMax, OR(H$3&lt;$B199,totalShards&lt;$E199),
primeShards, $E199,
PrimeMulti, H199,
AssPer, H$4,
AssLevel, IF(AtMax,1,index(optimizer[Level],XMATCH(totalShards-primeShards,optimizer[Total discounted cost],-1,2))),
AssMulti,IF(H$16="",1,index(optimizer[generatorAssist],XMATCH(AssLevel,optimizer[Level],-1,2))),
TooLow, OR(AssLevel&lt;$H$18,$B199&lt;$H$15),
IF(OR(AtMax,TooLow), 0, PrimeMulti * (AssMulti)))</f>
        <v>0</v>
      </c>
      <c r="Q199" s="1114">
        <f t="array" ref="Q199">LET(
totalShards, I$10,
AtMax, OR(I$3&lt;$B199,totalShards&lt;$E199),
primeShards, $E199,
PrimeMulti, I199,
AssPer, I$4,
AssLevel, IF(AtMax,1,index(optimizer[Level],XMATCH(totalShards-primeShards,optimizer[Total discounted cost],-1,2))),
AssMulti,IF(I$16="",1,index(optimizer[coreAssist],XMATCH(AssLevel,optimizer[Level],-1,2))),
TooLow, OR(AssLevel&lt;$I$18,$B199&lt;$I$15),
IF(OR(AtMax,TooLow), 0, PrimeMulti * (AssMulti)))</f>
        <v>0</v>
      </c>
    </row>
    <row r="200" ht="22.5" hidden="1" customHeight="1" outlineLevel="1">
      <c r="A200" s="1097"/>
      <c r="B200" s="1103">
        <v>173.0</v>
      </c>
      <c r="C200" s="1104">
        <f t="shared" si="12"/>
        <v>6500</v>
      </c>
      <c r="D200" s="1104">
        <f t="shared" si="2"/>
        <v>4550</v>
      </c>
      <c r="E200" s="1105">
        <f t="shared" si="11"/>
        <v>163343</v>
      </c>
      <c r="F200" s="1106">
        <f t="shared" si="3"/>
        <v>10.84</v>
      </c>
      <c r="G200" s="1106">
        <f t="shared" si="4"/>
        <v>10.84</v>
      </c>
      <c r="H200" s="1106">
        <f t="shared" si="5"/>
        <v>1.795</v>
      </c>
      <c r="I200" s="1106">
        <f t="shared" si="6"/>
        <v>15.364</v>
      </c>
      <c r="J200" s="1107">
        <f t="shared" si="7"/>
        <v>1</v>
      </c>
      <c r="K200" s="1107">
        <f t="shared" si="8"/>
        <v>1.0979</v>
      </c>
      <c r="L200" s="1107">
        <f t="shared" si="9"/>
        <v>1.0795</v>
      </c>
      <c r="M200" s="1107">
        <f t="shared" si="10"/>
        <v>2.33</v>
      </c>
      <c r="N200" s="1106">
        <f t="array" ref="N200">LET(
totalShards, F$10,
AtMax, OR(F$3&lt;$B200,totalShards&lt;$E200),
primeShards, $E200,
PrimeMulti, F200,
AssPer, F$4,
AssLevel, IF(AtMax,1,index(optimizer[Level],XMATCH(totalShards-primeShards,optimizer[Total discounted cost],-1,2))),
AssMulti,IF(F$16="",1,index(optimizer[cannonAssist],XMATCH(AssLevel,optimizer[Level],-1,2))),
TooLow, OR(AssLevel&lt;$F$18,$B200&lt;$F$15),
IF(OR(AtMax,TooLow), 0, PrimeMulti * (AssMulti)))</f>
        <v>0</v>
      </c>
      <c r="O200" s="1106">
        <f t="array" ref="O200">LET(
totalShards, G$10,
AtMax, OR(G$3&lt;$B200,totalShards&lt;$E200),
primeShards, $E200,
PrimeMulti, G200,
AssPer, G$4,
AssLevel, IF(AtMax,1,index(optimizer[Level],XMATCH(totalShards-primeShards,optimizer[Total discounted cost],-1,2))),
AssMulti,IF(G$16="",1,index(optimizer[armorAssist],XMATCH(AssLevel,optimizer[Level],-1,2))),
TooLow, OR(AssLevel&lt;$G$18,$B200&lt;$G$15),
IF(OR(AtMax,TooLow), 0, PrimeMulti * (AssMulti)))</f>
        <v>0</v>
      </c>
      <c r="P200" s="1106">
        <f t="array" ref="P200">LET(
totalShards, H$10,
AtMax, OR(H$3&lt;$B200,totalShards&lt;$E200),
primeShards, $E200,
PrimeMulti, H200,
AssPer, H$4,
AssLevel, IF(AtMax,1,index(optimizer[Level],XMATCH(totalShards-primeShards,optimizer[Total discounted cost],-1,2))),
AssMulti,IF(H$16="",1,index(optimizer[generatorAssist],XMATCH(AssLevel,optimizer[Level],-1,2))),
TooLow, OR(AssLevel&lt;$H$18,$B200&lt;$H$15),
IF(OR(AtMax,TooLow), 0, PrimeMulti * (AssMulti)))</f>
        <v>0</v>
      </c>
      <c r="Q200" s="1108">
        <f t="array" ref="Q200">LET(
totalShards, I$10,
AtMax, OR(I$3&lt;$B200,totalShards&lt;$E200),
primeShards, $E200,
PrimeMulti, I200,
AssPer, I$4,
AssLevel, IF(AtMax,1,index(optimizer[Level],XMATCH(totalShards-primeShards,optimizer[Total discounted cost],-1,2))),
AssMulti,IF(I$16="",1,index(optimizer[coreAssist],XMATCH(AssLevel,optimizer[Level],-1,2))),
TooLow, OR(AssLevel&lt;$I$18,$B200&lt;$I$15),
IF(OR(AtMax,TooLow), 0, PrimeMulti * (AssMulti)))</f>
        <v>0</v>
      </c>
    </row>
    <row r="201" ht="22.5" hidden="1" customHeight="1" outlineLevel="1">
      <c r="A201" s="1097"/>
      <c r="B201" s="1109">
        <v>174.0</v>
      </c>
      <c r="C201" s="1110">
        <f t="shared" si="12"/>
        <v>6625</v>
      </c>
      <c r="D201" s="1110">
        <f t="shared" si="2"/>
        <v>4638</v>
      </c>
      <c r="E201" s="1111">
        <f t="shared" si="11"/>
        <v>167981</v>
      </c>
      <c r="F201" s="1112">
        <f t="shared" si="3"/>
        <v>11.04</v>
      </c>
      <c r="G201" s="1112">
        <f t="shared" si="4"/>
        <v>11.04</v>
      </c>
      <c r="H201" s="1112">
        <f t="shared" si="5"/>
        <v>1.805</v>
      </c>
      <c r="I201" s="1112">
        <f t="shared" si="6"/>
        <v>15.634</v>
      </c>
      <c r="J201" s="1113">
        <f t="shared" si="7"/>
        <v>1</v>
      </c>
      <c r="K201" s="1107">
        <f t="shared" si="8"/>
        <v>1.0999</v>
      </c>
      <c r="L201" s="1107">
        <f t="shared" si="9"/>
        <v>1.0805</v>
      </c>
      <c r="M201" s="1107">
        <f t="shared" si="10"/>
        <v>2.355</v>
      </c>
      <c r="N201" s="1106">
        <f t="array" ref="N201">LET(
totalShards, F$10,
AtMax, OR(F$3&lt;$B201,totalShards&lt;$E201),
primeShards, $E201,
PrimeMulti, F201,
AssPer, F$4,
AssLevel, IF(AtMax,1,index(optimizer[Level],XMATCH(totalShards-primeShards,optimizer[Total discounted cost],-1,2))),
AssMulti,IF(F$16="",1,index(optimizer[cannonAssist],XMATCH(AssLevel,optimizer[Level],-1,2))),
TooLow, OR(AssLevel&lt;$F$18,$B201&lt;$F$15),
IF(OR(AtMax,TooLow), 0, PrimeMulti * (AssMulti)))</f>
        <v>0</v>
      </c>
      <c r="O201" s="1112">
        <f t="array" ref="O201">LET(
totalShards, G$10,
AtMax, OR(G$3&lt;$B201,totalShards&lt;$E201),
primeShards, $E201,
PrimeMulti, G201,
AssPer, G$4,
AssLevel, IF(AtMax,1,index(optimizer[Level],XMATCH(totalShards-primeShards,optimizer[Total discounted cost],-1,2))),
AssMulti,IF(G$16="",1,index(optimizer[armorAssist],XMATCH(AssLevel,optimizer[Level],-1,2))),
TooLow, OR(AssLevel&lt;$G$18,$B201&lt;$G$15),
IF(OR(AtMax,TooLow), 0, PrimeMulti * (AssMulti)))</f>
        <v>0</v>
      </c>
      <c r="P201" s="1112">
        <f t="array" ref="P201">LET(
totalShards, H$10,
AtMax, OR(H$3&lt;$B201,totalShards&lt;$E201),
primeShards, $E201,
PrimeMulti, H201,
AssPer, H$4,
AssLevel, IF(AtMax,1,index(optimizer[Level],XMATCH(totalShards-primeShards,optimizer[Total discounted cost],-1,2))),
AssMulti,IF(H$16="",1,index(optimizer[generatorAssist],XMATCH(AssLevel,optimizer[Level],-1,2))),
TooLow, OR(AssLevel&lt;$H$18,$B201&lt;$H$15),
IF(OR(AtMax,TooLow), 0, PrimeMulti * (AssMulti)))</f>
        <v>0</v>
      </c>
      <c r="Q201" s="1114">
        <f t="array" ref="Q201">LET(
totalShards, I$10,
AtMax, OR(I$3&lt;$B201,totalShards&lt;$E201),
primeShards, $E201,
PrimeMulti, I201,
AssPer, I$4,
AssLevel, IF(AtMax,1,index(optimizer[Level],XMATCH(totalShards-primeShards,optimizer[Total discounted cost],-1,2))),
AssMulti,IF(I$16="",1,index(optimizer[coreAssist],XMATCH(AssLevel,optimizer[Level],-1,2))),
TooLow, OR(AssLevel&lt;$I$18,$B201&lt;$I$15),
IF(OR(AtMax,TooLow), 0, PrimeMulti * (AssMulti)))</f>
        <v>0</v>
      </c>
    </row>
    <row r="202" ht="22.5" hidden="1" customHeight="1" outlineLevel="1">
      <c r="A202" s="1097"/>
      <c r="B202" s="1103">
        <v>175.0</v>
      </c>
      <c r="C202" s="1104">
        <f t="shared" si="12"/>
        <v>6750</v>
      </c>
      <c r="D202" s="1104">
        <f t="shared" si="2"/>
        <v>4725</v>
      </c>
      <c r="E202" s="1105">
        <f t="shared" si="11"/>
        <v>172706</v>
      </c>
      <c r="F202" s="1106">
        <f t="shared" si="3"/>
        <v>11.24</v>
      </c>
      <c r="G202" s="1106">
        <f t="shared" si="4"/>
        <v>11.24</v>
      </c>
      <c r="H202" s="1106">
        <f t="shared" si="5"/>
        <v>1.815</v>
      </c>
      <c r="I202" s="1106">
        <f t="shared" si="6"/>
        <v>15.904</v>
      </c>
      <c r="J202" s="1107">
        <f t="shared" si="7"/>
        <v>1</v>
      </c>
      <c r="K202" s="1107">
        <f t="shared" si="8"/>
        <v>1.1019</v>
      </c>
      <c r="L202" s="1107">
        <f t="shared" si="9"/>
        <v>1.0815</v>
      </c>
      <c r="M202" s="1107">
        <f t="shared" si="10"/>
        <v>2.38</v>
      </c>
      <c r="N202" s="1106">
        <f t="array" ref="N202">LET(
totalShards, F$10,
AtMax, OR(F$3&lt;$B202,totalShards&lt;$E202),
primeShards, $E202,
PrimeMulti, F202,
AssPer, F$4,
AssLevel, IF(AtMax,1,index(optimizer[Level],XMATCH(totalShards-primeShards,optimizer[Total discounted cost],-1,2))),
AssMulti,IF(F$16="",1,index(optimizer[cannonAssist],XMATCH(AssLevel,optimizer[Level],-1,2))),
TooLow, OR(AssLevel&lt;$F$18,$B202&lt;$F$15),
IF(OR(AtMax,TooLow), 0, PrimeMulti * (AssMulti)))</f>
        <v>0</v>
      </c>
      <c r="O202" s="1106">
        <f t="array" ref="O202">LET(
totalShards, G$10,
AtMax, OR(G$3&lt;$B202,totalShards&lt;$E202),
primeShards, $E202,
PrimeMulti, G202,
AssPer, G$4,
AssLevel, IF(AtMax,1,index(optimizer[Level],XMATCH(totalShards-primeShards,optimizer[Total discounted cost],-1,2))),
AssMulti,IF(G$16="",1,index(optimizer[armorAssist],XMATCH(AssLevel,optimizer[Level],-1,2))),
TooLow, OR(AssLevel&lt;$G$18,$B202&lt;$G$15),
IF(OR(AtMax,TooLow), 0, PrimeMulti * (AssMulti)))</f>
        <v>0</v>
      </c>
      <c r="P202" s="1106">
        <f t="array" ref="P202">LET(
totalShards, H$10,
AtMax, OR(H$3&lt;$B202,totalShards&lt;$E202),
primeShards, $E202,
PrimeMulti, H202,
AssPer, H$4,
AssLevel, IF(AtMax,1,index(optimizer[Level],XMATCH(totalShards-primeShards,optimizer[Total discounted cost],-1,2))),
AssMulti,IF(H$16="",1,index(optimizer[generatorAssist],XMATCH(AssLevel,optimizer[Level],-1,2))),
TooLow, OR(AssLevel&lt;$H$18,$B202&lt;$H$15),
IF(OR(AtMax,TooLow), 0, PrimeMulti * (AssMulti)))</f>
        <v>0</v>
      </c>
      <c r="Q202" s="1108">
        <f t="array" ref="Q202">LET(
totalShards, I$10,
AtMax, OR(I$3&lt;$B202,totalShards&lt;$E202),
primeShards, $E202,
PrimeMulti, I202,
AssPer, I$4,
AssLevel, IF(AtMax,1,index(optimizer[Level],XMATCH(totalShards-primeShards,optimizer[Total discounted cost],-1,2))),
AssMulti,IF(I$16="",1,index(optimizer[coreAssist],XMATCH(AssLevel,optimizer[Level],-1,2))),
TooLow, OR(AssLevel&lt;$I$18,$B202&lt;$I$15),
IF(OR(AtMax,TooLow), 0, PrimeMulti * (AssMulti)))</f>
        <v>0</v>
      </c>
    </row>
    <row r="203" ht="22.5" hidden="1" customHeight="1" outlineLevel="1">
      <c r="A203" s="1097"/>
      <c r="B203" s="1109">
        <v>176.0</v>
      </c>
      <c r="C203" s="1110">
        <f t="shared" si="12"/>
        <v>6875</v>
      </c>
      <c r="D203" s="1110">
        <f t="shared" si="2"/>
        <v>4813</v>
      </c>
      <c r="E203" s="1111">
        <f t="shared" si="11"/>
        <v>177519</v>
      </c>
      <c r="F203" s="1112">
        <f t="shared" si="3"/>
        <v>11.44</v>
      </c>
      <c r="G203" s="1112">
        <f t="shared" si="4"/>
        <v>11.44</v>
      </c>
      <c r="H203" s="1112">
        <f t="shared" si="5"/>
        <v>1.825</v>
      </c>
      <c r="I203" s="1112">
        <f t="shared" si="6"/>
        <v>16.174</v>
      </c>
      <c r="J203" s="1113">
        <f t="shared" si="7"/>
        <v>1</v>
      </c>
      <c r="K203" s="1107">
        <f t="shared" si="8"/>
        <v>1.1039</v>
      </c>
      <c r="L203" s="1107">
        <f t="shared" si="9"/>
        <v>1.0825</v>
      </c>
      <c r="M203" s="1107">
        <f t="shared" si="10"/>
        <v>2.405</v>
      </c>
      <c r="N203" s="1106">
        <f t="array" ref="N203">LET(
totalShards, F$10,
AtMax, OR(F$3&lt;$B203,totalShards&lt;$E203),
primeShards, $E203,
PrimeMulti, F203,
AssPer, F$4,
AssLevel, IF(AtMax,1,index(optimizer[Level],XMATCH(totalShards-primeShards,optimizer[Total discounted cost],-1,2))),
AssMulti,IF(F$16="",1,index(optimizer[cannonAssist],XMATCH(AssLevel,optimizer[Level],-1,2))),
TooLow, OR(AssLevel&lt;$F$18,$B203&lt;$F$15),
IF(OR(AtMax,TooLow), 0, PrimeMulti * (AssMulti)))</f>
        <v>0</v>
      </c>
      <c r="O203" s="1112">
        <f t="array" ref="O203">LET(
totalShards, G$10,
AtMax, OR(G$3&lt;$B203,totalShards&lt;$E203),
primeShards, $E203,
PrimeMulti, G203,
AssPer, G$4,
AssLevel, IF(AtMax,1,index(optimizer[Level],XMATCH(totalShards-primeShards,optimizer[Total discounted cost],-1,2))),
AssMulti,IF(G$16="",1,index(optimizer[armorAssist],XMATCH(AssLevel,optimizer[Level],-1,2))),
TooLow, OR(AssLevel&lt;$G$18,$B203&lt;$G$15),
IF(OR(AtMax,TooLow), 0, PrimeMulti * (AssMulti)))</f>
        <v>0</v>
      </c>
      <c r="P203" s="1112">
        <f t="array" ref="P203">LET(
totalShards, H$10,
AtMax, OR(H$3&lt;$B203,totalShards&lt;$E203),
primeShards, $E203,
PrimeMulti, H203,
AssPer, H$4,
AssLevel, IF(AtMax,1,index(optimizer[Level],XMATCH(totalShards-primeShards,optimizer[Total discounted cost],-1,2))),
AssMulti,IF(H$16="",1,index(optimizer[generatorAssist],XMATCH(AssLevel,optimizer[Level],-1,2))),
TooLow, OR(AssLevel&lt;$H$18,$B203&lt;$H$15),
IF(OR(AtMax,TooLow), 0, PrimeMulti * (AssMulti)))</f>
        <v>0</v>
      </c>
      <c r="Q203" s="1114">
        <f t="array" ref="Q203">LET(
totalShards, I$10,
AtMax, OR(I$3&lt;$B203,totalShards&lt;$E203),
primeShards, $E203,
PrimeMulti, I203,
AssPer, I$4,
AssLevel, IF(AtMax,1,index(optimizer[Level],XMATCH(totalShards-primeShards,optimizer[Total discounted cost],-1,2))),
AssMulti,IF(I$16="",1,index(optimizer[coreAssist],XMATCH(AssLevel,optimizer[Level],-1,2))),
TooLow, OR(AssLevel&lt;$I$18,$B203&lt;$I$15),
IF(OR(AtMax,TooLow), 0, PrimeMulti * (AssMulti)))</f>
        <v>0</v>
      </c>
    </row>
    <row r="204" ht="22.5" hidden="1" customHeight="1" outlineLevel="1">
      <c r="A204" s="1097"/>
      <c r="B204" s="1103">
        <v>177.0</v>
      </c>
      <c r="C204" s="1104">
        <f t="shared" si="12"/>
        <v>7000</v>
      </c>
      <c r="D204" s="1104">
        <f t="shared" si="2"/>
        <v>4900</v>
      </c>
      <c r="E204" s="1105">
        <f t="shared" si="11"/>
        <v>182419</v>
      </c>
      <c r="F204" s="1106">
        <f t="shared" si="3"/>
        <v>11.64</v>
      </c>
      <c r="G204" s="1106">
        <f t="shared" si="4"/>
        <v>11.64</v>
      </c>
      <c r="H204" s="1106">
        <f t="shared" si="5"/>
        <v>1.835</v>
      </c>
      <c r="I204" s="1106">
        <f t="shared" si="6"/>
        <v>16.444</v>
      </c>
      <c r="J204" s="1107">
        <f t="shared" si="7"/>
        <v>1</v>
      </c>
      <c r="K204" s="1107">
        <f t="shared" si="8"/>
        <v>1.1059</v>
      </c>
      <c r="L204" s="1107">
        <f t="shared" si="9"/>
        <v>1.0835</v>
      </c>
      <c r="M204" s="1107">
        <f t="shared" si="10"/>
        <v>2.43</v>
      </c>
      <c r="N204" s="1106">
        <f t="array" ref="N204">LET(
totalShards, F$10,
AtMax, OR(F$3&lt;$B204,totalShards&lt;$E204),
primeShards, $E204,
PrimeMulti, F204,
AssPer, F$4,
AssLevel, IF(AtMax,1,index(optimizer[Level],XMATCH(totalShards-primeShards,optimizer[Total discounted cost],-1,2))),
AssMulti,IF(F$16="",1,index(optimizer[cannonAssist],XMATCH(AssLevel,optimizer[Level],-1,2))),
TooLow, OR(AssLevel&lt;$F$18,$B204&lt;$F$15),
IF(OR(AtMax,TooLow), 0, PrimeMulti * (AssMulti)))</f>
        <v>0</v>
      </c>
      <c r="O204" s="1106">
        <f t="array" ref="O204">LET(
totalShards, G$10,
AtMax, OR(G$3&lt;$B204,totalShards&lt;$E204),
primeShards, $E204,
PrimeMulti, G204,
AssPer, G$4,
AssLevel, IF(AtMax,1,index(optimizer[Level],XMATCH(totalShards-primeShards,optimizer[Total discounted cost],-1,2))),
AssMulti,IF(G$16="",1,index(optimizer[armorAssist],XMATCH(AssLevel,optimizer[Level],-1,2))),
TooLow, OR(AssLevel&lt;$G$18,$B204&lt;$G$15),
IF(OR(AtMax,TooLow), 0, PrimeMulti * (AssMulti)))</f>
        <v>0</v>
      </c>
      <c r="P204" s="1106">
        <f t="array" ref="P204">LET(
totalShards, H$10,
AtMax, OR(H$3&lt;$B204,totalShards&lt;$E204),
primeShards, $E204,
PrimeMulti, H204,
AssPer, H$4,
AssLevel, IF(AtMax,1,index(optimizer[Level],XMATCH(totalShards-primeShards,optimizer[Total discounted cost],-1,2))),
AssMulti,IF(H$16="",1,index(optimizer[generatorAssist],XMATCH(AssLevel,optimizer[Level],-1,2))),
TooLow, OR(AssLevel&lt;$H$18,$B204&lt;$H$15),
IF(OR(AtMax,TooLow), 0, PrimeMulti * (AssMulti)))</f>
        <v>0</v>
      </c>
      <c r="Q204" s="1108">
        <f t="array" ref="Q204">LET(
totalShards, I$10,
AtMax, OR(I$3&lt;$B204,totalShards&lt;$E204),
primeShards, $E204,
PrimeMulti, I204,
AssPer, I$4,
AssLevel, IF(AtMax,1,index(optimizer[Level],XMATCH(totalShards-primeShards,optimizer[Total discounted cost],-1,2))),
AssMulti,IF(I$16="",1,index(optimizer[coreAssist],XMATCH(AssLevel,optimizer[Level],-1,2))),
TooLow, OR(AssLevel&lt;$I$18,$B204&lt;$I$15),
IF(OR(AtMax,TooLow), 0, PrimeMulti * (AssMulti)))</f>
        <v>0</v>
      </c>
    </row>
    <row r="205" ht="22.5" hidden="1" customHeight="1" outlineLevel="1">
      <c r="A205" s="1097"/>
      <c r="B205" s="1109">
        <v>178.0</v>
      </c>
      <c r="C205" s="1110">
        <f t="shared" si="12"/>
        <v>7125</v>
      </c>
      <c r="D205" s="1110">
        <f t="shared" si="2"/>
        <v>4988</v>
      </c>
      <c r="E205" s="1111">
        <f t="shared" si="11"/>
        <v>187407</v>
      </c>
      <c r="F205" s="1112">
        <f t="shared" si="3"/>
        <v>11.84</v>
      </c>
      <c r="G205" s="1112">
        <f t="shared" si="4"/>
        <v>11.84</v>
      </c>
      <c r="H205" s="1112">
        <f t="shared" si="5"/>
        <v>1.845</v>
      </c>
      <c r="I205" s="1112">
        <f t="shared" si="6"/>
        <v>16.714</v>
      </c>
      <c r="J205" s="1113">
        <f t="shared" si="7"/>
        <v>1</v>
      </c>
      <c r="K205" s="1107">
        <f t="shared" si="8"/>
        <v>1.1079</v>
      </c>
      <c r="L205" s="1107">
        <f t="shared" si="9"/>
        <v>1.0845</v>
      </c>
      <c r="M205" s="1107">
        <f t="shared" si="10"/>
        <v>2.455</v>
      </c>
      <c r="N205" s="1106">
        <f t="array" ref="N205">LET(
totalShards, F$10,
AtMax, OR(F$3&lt;$B205,totalShards&lt;$E205),
primeShards, $E205,
PrimeMulti, F205,
AssPer, F$4,
AssLevel, IF(AtMax,1,index(optimizer[Level],XMATCH(totalShards-primeShards,optimizer[Total discounted cost],-1,2))),
AssMulti,IF(F$16="",1,index(optimizer[cannonAssist],XMATCH(AssLevel,optimizer[Level],-1,2))),
TooLow, OR(AssLevel&lt;$F$18,$B205&lt;$F$15),
IF(OR(AtMax,TooLow), 0, PrimeMulti * (AssMulti)))</f>
        <v>0</v>
      </c>
      <c r="O205" s="1112">
        <f t="array" ref="O205">LET(
totalShards, G$10,
AtMax, OR(G$3&lt;$B205,totalShards&lt;$E205),
primeShards, $E205,
PrimeMulti, G205,
AssPer, G$4,
AssLevel, IF(AtMax,1,index(optimizer[Level],XMATCH(totalShards-primeShards,optimizer[Total discounted cost],-1,2))),
AssMulti,IF(G$16="",1,index(optimizer[armorAssist],XMATCH(AssLevel,optimizer[Level],-1,2))),
TooLow, OR(AssLevel&lt;$G$18,$B205&lt;$G$15),
IF(OR(AtMax,TooLow), 0, PrimeMulti * (AssMulti)))</f>
        <v>0</v>
      </c>
      <c r="P205" s="1112">
        <f t="array" ref="P205">LET(
totalShards, H$10,
AtMax, OR(H$3&lt;$B205,totalShards&lt;$E205),
primeShards, $E205,
PrimeMulti, H205,
AssPer, H$4,
AssLevel, IF(AtMax,1,index(optimizer[Level],XMATCH(totalShards-primeShards,optimizer[Total discounted cost],-1,2))),
AssMulti,IF(H$16="",1,index(optimizer[generatorAssist],XMATCH(AssLevel,optimizer[Level],-1,2))),
TooLow, OR(AssLevel&lt;$H$18,$B205&lt;$H$15),
IF(OR(AtMax,TooLow), 0, PrimeMulti * (AssMulti)))</f>
        <v>0</v>
      </c>
      <c r="Q205" s="1114">
        <f t="array" ref="Q205">LET(
totalShards, I$10,
AtMax, OR(I$3&lt;$B205,totalShards&lt;$E205),
primeShards, $E205,
PrimeMulti, I205,
AssPer, I$4,
AssLevel, IF(AtMax,1,index(optimizer[Level],XMATCH(totalShards-primeShards,optimizer[Total discounted cost],-1,2))),
AssMulti,IF(I$16="",1,index(optimizer[coreAssist],XMATCH(AssLevel,optimizer[Level],-1,2))),
TooLow, OR(AssLevel&lt;$I$18,$B205&lt;$I$15),
IF(OR(AtMax,TooLow), 0, PrimeMulti * (AssMulti)))</f>
        <v>0</v>
      </c>
    </row>
    <row r="206" ht="22.5" hidden="1" customHeight="1" outlineLevel="1">
      <c r="A206" s="1097"/>
      <c r="B206" s="1103">
        <v>179.0</v>
      </c>
      <c r="C206" s="1104">
        <f t="shared" si="12"/>
        <v>7250</v>
      </c>
      <c r="D206" s="1104">
        <f t="shared" si="2"/>
        <v>5075</v>
      </c>
      <c r="E206" s="1105">
        <f t="shared" si="11"/>
        <v>192482</v>
      </c>
      <c r="F206" s="1106">
        <f t="shared" si="3"/>
        <v>12.04</v>
      </c>
      <c r="G206" s="1106">
        <f t="shared" si="4"/>
        <v>12.04</v>
      </c>
      <c r="H206" s="1106">
        <f t="shared" si="5"/>
        <v>1.855</v>
      </c>
      <c r="I206" s="1106">
        <f t="shared" si="6"/>
        <v>16.984</v>
      </c>
      <c r="J206" s="1107">
        <f t="shared" si="7"/>
        <v>1</v>
      </c>
      <c r="K206" s="1107">
        <f t="shared" si="8"/>
        <v>1.1099</v>
      </c>
      <c r="L206" s="1107">
        <f t="shared" si="9"/>
        <v>1.0855</v>
      </c>
      <c r="M206" s="1107">
        <f t="shared" si="10"/>
        <v>2.48</v>
      </c>
      <c r="N206" s="1106">
        <f t="array" ref="N206">LET(
totalShards, F$10,
AtMax, OR(F$3&lt;$B206,totalShards&lt;$E206),
primeShards, $E206,
PrimeMulti, F206,
AssPer, F$4,
AssLevel, IF(AtMax,1,index(optimizer[Level],XMATCH(totalShards-primeShards,optimizer[Total discounted cost],-1,2))),
AssMulti,IF(F$16="",1,index(optimizer[cannonAssist],XMATCH(AssLevel,optimizer[Level],-1,2))),
TooLow, OR(AssLevel&lt;$F$18,$B206&lt;$F$15),
IF(OR(AtMax,TooLow), 0, PrimeMulti * (AssMulti)))</f>
        <v>0</v>
      </c>
      <c r="O206" s="1106">
        <f t="array" ref="O206">LET(
totalShards, G$10,
AtMax, OR(G$3&lt;$B206,totalShards&lt;$E206),
primeShards, $E206,
PrimeMulti, G206,
AssPer, G$4,
AssLevel, IF(AtMax,1,index(optimizer[Level],XMATCH(totalShards-primeShards,optimizer[Total discounted cost],-1,2))),
AssMulti,IF(G$16="",1,index(optimizer[armorAssist],XMATCH(AssLevel,optimizer[Level],-1,2))),
TooLow, OR(AssLevel&lt;$G$18,$B206&lt;$G$15),
IF(OR(AtMax,TooLow), 0, PrimeMulti * (AssMulti)))</f>
        <v>0</v>
      </c>
      <c r="P206" s="1106">
        <f t="array" ref="P206">LET(
totalShards, H$10,
AtMax, OR(H$3&lt;$B206,totalShards&lt;$E206),
primeShards, $E206,
PrimeMulti, H206,
AssPer, H$4,
AssLevel, IF(AtMax,1,index(optimizer[Level],XMATCH(totalShards-primeShards,optimizer[Total discounted cost],-1,2))),
AssMulti,IF(H$16="",1,index(optimizer[generatorAssist],XMATCH(AssLevel,optimizer[Level],-1,2))),
TooLow, OR(AssLevel&lt;$H$18,$B206&lt;$H$15),
IF(OR(AtMax,TooLow), 0, PrimeMulti * (AssMulti)))</f>
        <v>0</v>
      </c>
      <c r="Q206" s="1108">
        <f t="array" ref="Q206">LET(
totalShards, I$10,
AtMax, OR(I$3&lt;$B206,totalShards&lt;$E206),
primeShards, $E206,
PrimeMulti, I206,
AssPer, I$4,
AssLevel, IF(AtMax,1,index(optimizer[Level],XMATCH(totalShards-primeShards,optimizer[Total discounted cost],-1,2))),
AssMulti,IF(I$16="",1,index(optimizer[coreAssist],XMATCH(AssLevel,optimizer[Level],-1,2))),
TooLow, OR(AssLevel&lt;$I$18,$B206&lt;$I$15),
IF(OR(AtMax,TooLow), 0, PrimeMulti * (AssMulti)))</f>
        <v>0</v>
      </c>
    </row>
    <row r="207" ht="22.5" hidden="1" customHeight="1" outlineLevel="1">
      <c r="A207" s="1097"/>
      <c r="B207" s="1109">
        <v>180.0</v>
      </c>
      <c r="C207" s="1110">
        <f t="shared" si="12"/>
        <v>7375</v>
      </c>
      <c r="D207" s="1110">
        <f t="shared" si="2"/>
        <v>5163</v>
      </c>
      <c r="E207" s="1111">
        <f t="shared" si="11"/>
        <v>197645</v>
      </c>
      <c r="F207" s="1112">
        <f t="shared" si="3"/>
        <v>12.24</v>
      </c>
      <c r="G207" s="1112">
        <f t="shared" si="4"/>
        <v>12.24</v>
      </c>
      <c r="H207" s="1112">
        <f t="shared" si="5"/>
        <v>1.865</v>
      </c>
      <c r="I207" s="1112">
        <f t="shared" si="6"/>
        <v>17.254</v>
      </c>
      <c r="J207" s="1113">
        <f t="shared" si="7"/>
        <v>1</v>
      </c>
      <c r="K207" s="1107">
        <f t="shared" si="8"/>
        <v>1.1119</v>
      </c>
      <c r="L207" s="1107">
        <f t="shared" si="9"/>
        <v>1.0865</v>
      </c>
      <c r="M207" s="1107">
        <f t="shared" si="10"/>
        <v>2.505</v>
      </c>
      <c r="N207" s="1106">
        <f t="array" ref="N207">LET(
totalShards, F$10,
AtMax, OR(F$3&lt;$B207,totalShards&lt;$E207),
primeShards, $E207,
PrimeMulti, F207,
AssPer, F$4,
AssLevel, IF(AtMax,1,index(optimizer[Level],XMATCH(totalShards-primeShards,optimizer[Total discounted cost],-1,2))),
AssMulti,IF(F$16="",1,index(optimizer[cannonAssist],XMATCH(AssLevel,optimizer[Level],-1,2))),
TooLow, OR(AssLevel&lt;$F$18,$B207&lt;$F$15),
IF(OR(AtMax,TooLow), 0, PrimeMulti * (AssMulti)))</f>
        <v>0</v>
      </c>
      <c r="O207" s="1112">
        <f t="array" ref="O207">LET(
totalShards, G$10,
AtMax, OR(G$3&lt;$B207,totalShards&lt;$E207),
primeShards, $E207,
PrimeMulti, G207,
AssPer, G$4,
AssLevel, IF(AtMax,1,index(optimizer[Level],XMATCH(totalShards-primeShards,optimizer[Total discounted cost],-1,2))),
AssMulti,IF(G$16="",1,index(optimizer[armorAssist],XMATCH(AssLevel,optimizer[Level],-1,2))),
TooLow, OR(AssLevel&lt;$G$18,$B207&lt;$G$15),
IF(OR(AtMax,TooLow), 0, PrimeMulti * (AssMulti)))</f>
        <v>0</v>
      </c>
      <c r="P207" s="1112">
        <f t="array" ref="P207">LET(
totalShards, H$10,
AtMax, OR(H$3&lt;$B207,totalShards&lt;$E207),
primeShards, $E207,
PrimeMulti, H207,
AssPer, H$4,
AssLevel, IF(AtMax,1,index(optimizer[Level],XMATCH(totalShards-primeShards,optimizer[Total discounted cost],-1,2))),
AssMulti,IF(H$16="",1,index(optimizer[generatorAssist],XMATCH(AssLevel,optimizer[Level],-1,2))),
TooLow, OR(AssLevel&lt;$H$18,$B207&lt;$H$15),
IF(OR(AtMax,TooLow), 0, PrimeMulti * (AssMulti)))</f>
        <v>0</v>
      </c>
      <c r="Q207" s="1114">
        <f t="array" ref="Q207">LET(
totalShards, I$10,
AtMax, OR(I$3&lt;$B207,totalShards&lt;$E207),
primeShards, $E207,
PrimeMulti, I207,
AssPer, I$4,
AssLevel, IF(AtMax,1,index(optimizer[Level],XMATCH(totalShards-primeShards,optimizer[Total discounted cost],-1,2))),
AssMulti,IF(I$16="",1,index(optimizer[coreAssist],XMATCH(AssLevel,optimizer[Level],-1,2))),
TooLow, OR(AssLevel&lt;$I$18,$B207&lt;$I$15),
IF(OR(AtMax,TooLow), 0, PrimeMulti * (AssMulti)))</f>
        <v>0</v>
      </c>
    </row>
    <row r="208" ht="22.5" hidden="1" customHeight="1" outlineLevel="1">
      <c r="A208" s="1097"/>
      <c r="B208" s="1103">
        <v>181.0</v>
      </c>
      <c r="C208" s="1104">
        <f t="shared" si="12"/>
        <v>7500</v>
      </c>
      <c r="D208" s="1104">
        <f t="shared" si="2"/>
        <v>5250</v>
      </c>
      <c r="E208" s="1105">
        <f t="shared" si="11"/>
        <v>202895</v>
      </c>
      <c r="F208" s="1106">
        <f t="shared" si="3"/>
        <v>12.44</v>
      </c>
      <c r="G208" s="1106">
        <f t="shared" si="4"/>
        <v>12.44</v>
      </c>
      <c r="H208" s="1106">
        <f t="shared" si="5"/>
        <v>1.875</v>
      </c>
      <c r="I208" s="1106">
        <f t="shared" si="6"/>
        <v>17.524</v>
      </c>
      <c r="J208" s="1107">
        <f t="shared" si="7"/>
        <v>1</v>
      </c>
      <c r="K208" s="1107">
        <f t="shared" si="8"/>
        <v>1.1139</v>
      </c>
      <c r="L208" s="1107">
        <f t="shared" si="9"/>
        <v>1.0875</v>
      </c>
      <c r="M208" s="1107">
        <f t="shared" si="10"/>
        <v>2.53</v>
      </c>
      <c r="N208" s="1106">
        <f t="array" ref="N208">LET(
totalShards, F$10,
AtMax, OR(F$3&lt;$B208,totalShards&lt;$E208),
primeShards, $E208,
PrimeMulti, F208,
AssPer, F$4,
AssLevel, IF(AtMax,1,index(optimizer[Level],XMATCH(totalShards-primeShards,optimizer[Total discounted cost],-1,2))),
AssMulti,IF(F$16="",1,index(optimizer[cannonAssist],XMATCH(AssLevel,optimizer[Level],-1,2))),
TooLow, OR(AssLevel&lt;$F$18,$B208&lt;$F$15),
IF(OR(AtMax,TooLow), 0, PrimeMulti * (AssMulti)))</f>
        <v>0</v>
      </c>
      <c r="O208" s="1106">
        <f t="array" ref="O208">LET(
totalShards, G$10,
AtMax, OR(G$3&lt;$B208,totalShards&lt;$E208),
primeShards, $E208,
PrimeMulti, G208,
AssPer, G$4,
AssLevel, IF(AtMax,1,index(optimizer[Level],XMATCH(totalShards-primeShards,optimizer[Total discounted cost],-1,2))),
AssMulti,IF(G$16="",1,index(optimizer[armorAssist],XMATCH(AssLevel,optimizer[Level],-1,2))),
TooLow, OR(AssLevel&lt;$G$18,$B208&lt;$G$15),
IF(OR(AtMax,TooLow), 0, PrimeMulti * (AssMulti)))</f>
        <v>0</v>
      </c>
      <c r="P208" s="1106">
        <f t="array" ref="P208">LET(
totalShards, H$10,
AtMax, OR(H$3&lt;$B208,totalShards&lt;$E208),
primeShards, $E208,
PrimeMulti, H208,
AssPer, H$4,
AssLevel, IF(AtMax,1,index(optimizer[Level],XMATCH(totalShards-primeShards,optimizer[Total discounted cost],-1,2))),
AssMulti,IF(H$16="",1,index(optimizer[generatorAssist],XMATCH(AssLevel,optimizer[Level],-1,2))),
TooLow, OR(AssLevel&lt;$H$18,$B208&lt;$H$15),
IF(OR(AtMax,TooLow), 0, PrimeMulti * (AssMulti)))</f>
        <v>0</v>
      </c>
      <c r="Q208" s="1108">
        <f t="array" ref="Q208">LET(
totalShards, I$10,
AtMax, OR(I$3&lt;$B208,totalShards&lt;$E208),
primeShards, $E208,
PrimeMulti, I208,
AssPer, I$4,
AssLevel, IF(AtMax,1,index(optimizer[Level],XMATCH(totalShards-primeShards,optimizer[Total discounted cost],-1,2))),
AssMulti,IF(I$16="",1,index(optimizer[coreAssist],XMATCH(AssLevel,optimizer[Level],-1,2))),
TooLow, OR(AssLevel&lt;$I$18,$B208&lt;$I$15),
IF(OR(AtMax,TooLow), 0, PrimeMulti * (AssMulti)))</f>
        <v>0</v>
      </c>
    </row>
    <row r="209" ht="22.5" hidden="1" customHeight="1" outlineLevel="1">
      <c r="A209" s="1097"/>
      <c r="B209" s="1109">
        <v>182.0</v>
      </c>
      <c r="C209" s="1110">
        <f t="shared" si="12"/>
        <v>7625</v>
      </c>
      <c r="D209" s="1110">
        <f t="shared" si="2"/>
        <v>5338</v>
      </c>
      <c r="E209" s="1111">
        <f t="shared" si="11"/>
        <v>208233</v>
      </c>
      <c r="F209" s="1112">
        <f t="shared" si="3"/>
        <v>12.64</v>
      </c>
      <c r="G209" s="1112">
        <f t="shared" si="4"/>
        <v>12.64</v>
      </c>
      <c r="H209" s="1112">
        <f t="shared" si="5"/>
        <v>1.885</v>
      </c>
      <c r="I209" s="1112">
        <f t="shared" si="6"/>
        <v>17.794</v>
      </c>
      <c r="J209" s="1113">
        <f t="shared" si="7"/>
        <v>1</v>
      </c>
      <c r="K209" s="1107">
        <f t="shared" si="8"/>
        <v>1.1159</v>
      </c>
      <c r="L209" s="1107">
        <f t="shared" si="9"/>
        <v>1.0885</v>
      </c>
      <c r="M209" s="1107">
        <f t="shared" si="10"/>
        <v>2.555</v>
      </c>
      <c r="N209" s="1106">
        <f t="array" ref="N209">LET(
totalShards, F$10,
AtMax, OR(F$3&lt;$B209,totalShards&lt;$E209),
primeShards, $E209,
PrimeMulti, F209,
AssPer, F$4,
AssLevel, IF(AtMax,1,index(optimizer[Level],XMATCH(totalShards-primeShards,optimizer[Total discounted cost],-1,2))),
AssMulti,IF(F$16="",1,index(optimizer[cannonAssist],XMATCH(AssLevel,optimizer[Level],-1,2))),
TooLow, OR(AssLevel&lt;$F$18,$B209&lt;$F$15),
IF(OR(AtMax,TooLow), 0, PrimeMulti * (AssMulti)))</f>
        <v>0</v>
      </c>
      <c r="O209" s="1112">
        <f t="array" ref="O209">LET(
totalShards, G$10,
AtMax, OR(G$3&lt;$B209,totalShards&lt;$E209),
primeShards, $E209,
PrimeMulti, G209,
AssPer, G$4,
AssLevel, IF(AtMax,1,index(optimizer[Level],XMATCH(totalShards-primeShards,optimizer[Total discounted cost],-1,2))),
AssMulti,IF(G$16="",1,index(optimizer[armorAssist],XMATCH(AssLevel,optimizer[Level],-1,2))),
TooLow, OR(AssLevel&lt;$G$18,$B209&lt;$G$15),
IF(OR(AtMax,TooLow), 0, PrimeMulti * (AssMulti)))</f>
        <v>0</v>
      </c>
      <c r="P209" s="1112">
        <f t="array" ref="P209">LET(
totalShards, H$10,
AtMax, OR(H$3&lt;$B209,totalShards&lt;$E209),
primeShards, $E209,
PrimeMulti, H209,
AssPer, H$4,
AssLevel, IF(AtMax,1,index(optimizer[Level],XMATCH(totalShards-primeShards,optimizer[Total discounted cost],-1,2))),
AssMulti,IF(H$16="",1,index(optimizer[generatorAssist],XMATCH(AssLevel,optimizer[Level],-1,2))),
TooLow, OR(AssLevel&lt;$H$18,$B209&lt;$H$15),
IF(OR(AtMax,TooLow), 0, PrimeMulti * (AssMulti)))</f>
        <v>0</v>
      </c>
      <c r="Q209" s="1114">
        <f t="array" ref="Q209">LET(
totalShards, I$10,
AtMax, OR(I$3&lt;$B209,totalShards&lt;$E209),
primeShards, $E209,
PrimeMulti, I209,
AssPer, I$4,
AssLevel, IF(AtMax,1,index(optimizer[Level],XMATCH(totalShards-primeShards,optimizer[Total discounted cost],-1,2))),
AssMulti,IF(I$16="",1,index(optimizer[coreAssist],XMATCH(AssLevel,optimizer[Level],-1,2))),
TooLow, OR(AssLevel&lt;$I$18,$B209&lt;$I$15),
IF(OR(AtMax,TooLow), 0, PrimeMulti * (AssMulti)))</f>
        <v>0</v>
      </c>
    </row>
    <row r="210" ht="22.5" hidden="1" customHeight="1" outlineLevel="1">
      <c r="A210" s="1097"/>
      <c r="B210" s="1103">
        <v>183.0</v>
      </c>
      <c r="C210" s="1104">
        <f t="shared" si="12"/>
        <v>7750</v>
      </c>
      <c r="D210" s="1104">
        <f t="shared" si="2"/>
        <v>5425</v>
      </c>
      <c r="E210" s="1105">
        <f t="shared" si="11"/>
        <v>213658</v>
      </c>
      <c r="F210" s="1106">
        <f t="shared" si="3"/>
        <v>12.84</v>
      </c>
      <c r="G210" s="1106">
        <f t="shared" si="4"/>
        <v>12.84</v>
      </c>
      <c r="H210" s="1106">
        <f t="shared" si="5"/>
        <v>1.895</v>
      </c>
      <c r="I210" s="1106">
        <f t="shared" si="6"/>
        <v>18.064</v>
      </c>
      <c r="J210" s="1107">
        <f t="shared" si="7"/>
        <v>1</v>
      </c>
      <c r="K210" s="1107">
        <f t="shared" si="8"/>
        <v>1.1179</v>
      </c>
      <c r="L210" s="1107">
        <f t="shared" si="9"/>
        <v>1.0895</v>
      </c>
      <c r="M210" s="1107">
        <f t="shared" si="10"/>
        <v>2.58</v>
      </c>
      <c r="N210" s="1106">
        <f t="array" ref="N210">LET(
totalShards, F$10,
AtMax, OR(F$3&lt;$B210,totalShards&lt;$E210),
primeShards, $E210,
PrimeMulti, F210,
AssPer, F$4,
AssLevel, IF(AtMax,1,index(optimizer[Level],XMATCH(totalShards-primeShards,optimizer[Total discounted cost],-1,2))),
AssMulti,IF(F$16="",1,index(optimizer[cannonAssist],XMATCH(AssLevel,optimizer[Level],-1,2))),
TooLow, OR(AssLevel&lt;$F$18,$B210&lt;$F$15),
IF(OR(AtMax,TooLow), 0, PrimeMulti * (AssMulti)))</f>
        <v>0</v>
      </c>
      <c r="O210" s="1106">
        <f t="array" ref="O210">LET(
totalShards, G$10,
AtMax, OR(G$3&lt;$B210,totalShards&lt;$E210),
primeShards, $E210,
PrimeMulti, G210,
AssPer, G$4,
AssLevel, IF(AtMax,1,index(optimizer[Level],XMATCH(totalShards-primeShards,optimizer[Total discounted cost],-1,2))),
AssMulti,IF(G$16="",1,index(optimizer[armorAssist],XMATCH(AssLevel,optimizer[Level],-1,2))),
TooLow, OR(AssLevel&lt;$G$18,$B210&lt;$G$15),
IF(OR(AtMax,TooLow), 0, PrimeMulti * (AssMulti)))</f>
        <v>0</v>
      </c>
      <c r="P210" s="1106">
        <f t="array" ref="P210">LET(
totalShards, H$10,
AtMax, OR(H$3&lt;$B210,totalShards&lt;$E210),
primeShards, $E210,
PrimeMulti, H210,
AssPer, H$4,
AssLevel, IF(AtMax,1,index(optimizer[Level],XMATCH(totalShards-primeShards,optimizer[Total discounted cost],-1,2))),
AssMulti,IF(H$16="",1,index(optimizer[generatorAssist],XMATCH(AssLevel,optimizer[Level],-1,2))),
TooLow, OR(AssLevel&lt;$H$18,$B210&lt;$H$15),
IF(OR(AtMax,TooLow), 0, PrimeMulti * (AssMulti)))</f>
        <v>0</v>
      </c>
      <c r="Q210" s="1108">
        <f t="array" ref="Q210">LET(
totalShards, I$10,
AtMax, OR(I$3&lt;$B210,totalShards&lt;$E210),
primeShards, $E210,
PrimeMulti, I210,
AssPer, I$4,
AssLevel, IF(AtMax,1,index(optimizer[Level],XMATCH(totalShards-primeShards,optimizer[Total discounted cost],-1,2))),
AssMulti,IF(I$16="",1,index(optimizer[coreAssist],XMATCH(AssLevel,optimizer[Level],-1,2))),
TooLow, OR(AssLevel&lt;$I$18,$B210&lt;$I$15),
IF(OR(AtMax,TooLow), 0, PrimeMulti * (AssMulti)))</f>
        <v>0</v>
      </c>
    </row>
    <row r="211" ht="22.5" hidden="1" customHeight="1" outlineLevel="1">
      <c r="A211" s="1097"/>
      <c r="B211" s="1109">
        <v>184.0</v>
      </c>
      <c r="C211" s="1110">
        <f t="shared" si="12"/>
        <v>7875</v>
      </c>
      <c r="D211" s="1110">
        <f t="shared" si="2"/>
        <v>5513</v>
      </c>
      <c r="E211" s="1111">
        <f t="shared" si="11"/>
        <v>219171</v>
      </c>
      <c r="F211" s="1112">
        <f t="shared" si="3"/>
        <v>13.04</v>
      </c>
      <c r="G211" s="1112">
        <f t="shared" si="4"/>
        <v>13.04</v>
      </c>
      <c r="H211" s="1112">
        <f t="shared" si="5"/>
        <v>1.905</v>
      </c>
      <c r="I211" s="1112">
        <f t="shared" si="6"/>
        <v>18.334</v>
      </c>
      <c r="J211" s="1113">
        <f t="shared" si="7"/>
        <v>1</v>
      </c>
      <c r="K211" s="1107">
        <f t="shared" si="8"/>
        <v>1.1199</v>
      </c>
      <c r="L211" s="1107">
        <f t="shared" si="9"/>
        <v>1.0905</v>
      </c>
      <c r="M211" s="1107">
        <f t="shared" si="10"/>
        <v>2.605</v>
      </c>
      <c r="N211" s="1106">
        <f t="array" ref="N211">LET(
totalShards, F$10,
AtMax, OR(F$3&lt;$B211,totalShards&lt;$E211),
primeShards, $E211,
PrimeMulti, F211,
AssPer, F$4,
AssLevel, IF(AtMax,1,index(optimizer[Level],XMATCH(totalShards-primeShards,optimizer[Total discounted cost],-1,2))),
AssMulti,IF(F$16="",1,index(optimizer[cannonAssist],XMATCH(AssLevel,optimizer[Level],-1,2))),
TooLow, OR(AssLevel&lt;$F$18,$B211&lt;$F$15),
IF(OR(AtMax,TooLow), 0, PrimeMulti * (AssMulti)))</f>
        <v>0</v>
      </c>
      <c r="O211" s="1112">
        <f t="array" ref="O211">LET(
totalShards, G$10,
AtMax, OR(G$3&lt;$B211,totalShards&lt;$E211),
primeShards, $E211,
PrimeMulti, G211,
AssPer, G$4,
AssLevel, IF(AtMax,1,index(optimizer[Level],XMATCH(totalShards-primeShards,optimizer[Total discounted cost],-1,2))),
AssMulti,IF(G$16="",1,index(optimizer[armorAssist],XMATCH(AssLevel,optimizer[Level],-1,2))),
TooLow, OR(AssLevel&lt;$G$18,$B211&lt;$G$15),
IF(OR(AtMax,TooLow), 0, PrimeMulti * (AssMulti)))</f>
        <v>0</v>
      </c>
      <c r="P211" s="1112">
        <f t="array" ref="P211">LET(
totalShards, H$10,
AtMax, OR(H$3&lt;$B211,totalShards&lt;$E211),
primeShards, $E211,
PrimeMulti, H211,
AssPer, H$4,
AssLevel, IF(AtMax,1,index(optimizer[Level],XMATCH(totalShards-primeShards,optimizer[Total discounted cost],-1,2))),
AssMulti,IF(H$16="",1,index(optimizer[generatorAssist],XMATCH(AssLevel,optimizer[Level],-1,2))),
TooLow, OR(AssLevel&lt;$H$18,$B211&lt;$H$15),
IF(OR(AtMax,TooLow), 0, PrimeMulti * (AssMulti)))</f>
        <v>0</v>
      </c>
      <c r="Q211" s="1114">
        <f t="array" ref="Q211">LET(
totalShards, I$10,
AtMax, OR(I$3&lt;$B211,totalShards&lt;$E211),
primeShards, $E211,
PrimeMulti, I211,
AssPer, I$4,
AssLevel, IF(AtMax,1,index(optimizer[Level],XMATCH(totalShards-primeShards,optimizer[Total discounted cost],-1,2))),
AssMulti,IF(I$16="",1,index(optimizer[coreAssist],XMATCH(AssLevel,optimizer[Level],-1,2))),
TooLow, OR(AssLevel&lt;$I$18,$B211&lt;$I$15),
IF(OR(AtMax,TooLow), 0, PrimeMulti * (AssMulti)))</f>
        <v>0</v>
      </c>
    </row>
    <row r="212" ht="22.5" hidden="1" customHeight="1" outlineLevel="1">
      <c r="A212" s="1097"/>
      <c r="B212" s="1103">
        <v>185.0</v>
      </c>
      <c r="C212" s="1104">
        <f t="shared" si="12"/>
        <v>8000</v>
      </c>
      <c r="D212" s="1104">
        <f t="shared" si="2"/>
        <v>5600</v>
      </c>
      <c r="E212" s="1105">
        <f t="shared" si="11"/>
        <v>224771</v>
      </c>
      <c r="F212" s="1106">
        <f t="shared" si="3"/>
        <v>13.24</v>
      </c>
      <c r="G212" s="1106">
        <f t="shared" si="4"/>
        <v>13.24</v>
      </c>
      <c r="H212" s="1106">
        <f t="shared" si="5"/>
        <v>1.915</v>
      </c>
      <c r="I212" s="1106">
        <f t="shared" si="6"/>
        <v>18.604</v>
      </c>
      <c r="J212" s="1107">
        <f t="shared" si="7"/>
        <v>1</v>
      </c>
      <c r="K212" s="1107">
        <f t="shared" si="8"/>
        <v>1.1219</v>
      </c>
      <c r="L212" s="1107">
        <f t="shared" si="9"/>
        <v>1.0915</v>
      </c>
      <c r="M212" s="1107">
        <f t="shared" si="10"/>
        <v>2.63</v>
      </c>
      <c r="N212" s="1106">
        <f t="array" ref="N212">LET(
totalShards, F$10,
AtMax, OR(F$3&lt;$B212,totalShards&lt;$E212),
primeShards, $E212,
PrimeMulti, F212,
AssPer, F$4,
AssLevel, IF(AtMax,1,index(optimizer[Level],XMATCH(totalShards-primeShards,optimizer[Total discounted cost],-1,2))),
AssMulti,IF(F$16="",1,index(optimizer[cannonAssist],XMATCH(AssLevel,optimizer[Level],-1,2))),
TooLow, OR(AssLevel&lt;$F$18,$B212&lt;$F$15),
IF(OR(AtMax,TooLow), 0, PrimeMulti * (AssMulti)))</f>
        <v>0</v>
      </c>
      <c r="O212" s="1106">
        <f t="array" ref="O212">LET(
totalShards, G$10,
AtMax, OR(G$3&lt;$B212,totalShards&lt;$E212),
primeShards, $E212,
PrimeMulti, G212,
AssPer, G$4,
AssLevel, IF(AtMax,1,index(optimizer[Level],XMATCH(totalShards-primeShards,optimizer[Total discounted cost],-1,2))),
AssMulti,IF(G$16="",1,index(optimizer[armorAssist],XMATCH(AssLevel,optimizer[Level],-1,2))),
TooLow, OR(AssLevel&lt;$G$18,$B212&lt;$G$15),
IF(OR(AtMax,TooLow), 0, PrimeMulti * (AssMulti)))</f>
        <v>0</v>
      </c>
      <c r="P212" s="1106">
        <f t="array" ref="P212">LET(
totalShards, H$10,
AtMax, OR(H$3&lt;$B212,totalShards&lt;$E212),
primeShards, $E212,
PrimeMulti, H212,
AssPer, H$4,
AssLevel, IF(AtMax,1,index(optimizer[Level],XMATCH(totalShards-primeShards,optimizer[Total discounted cost],-1,2))),
AssMulti,IF(H$16="",1,index(optimizer[generatorAssist],XMATCH(AssLevel,optimizer[Level],-1,2))),
TooLow, OR(AssLevel&lt;$H$18,$B212&lt;$H$15),
IF(OR(AtMax,TooLow), 0, PrimeMulti * (AssMulti)))</f>
        <v>0</v>
      </c>
      <c r="Q212" s="1108">
        <f t="array" ref="Q212">LET(
totalShards, I$10,
AtMax, OR(I$3&lt;$B212,totalShards&lt;$E212),
primeShards, $E212,
PrimeMulti, I212,
AssPer, I$4,
AssLevel, IF(AtMax,1,index(optimizer[Level],XMATCH(totalShards-primeShards,optimizer[Total discounted cost],-1,2))),
AssMulti,IF(I$16="",1,index(optimizer[coreAssist],XMATCH(AssLevel,optimizer[Level],-1,2))),
TooLow, OR(AssLevel&lt;$I$18,$B212&lt;$I$15),
IF(OR(AtMax,TooLow), 0, PrimeMulti * (AssMulti)))</f>
        <v>0</v>
      </c>
    </row>
    <row r="213" ht="22.5" hidden="1" customHeight="1" outlineLevel="1">
      <c r="A213" s="1097"/>
      <c r="B213" s="1109">
        <v>186.0</v>
      </c>
      <c r="C213" s="1110">
        <f t="shared" si="12"/>
        <v>8125</v>
      </c>
      <c r="D213" s="1110">
        <f t="shared" si="2"/>
        <v>5688</v>
      </c>
      <c r="E213" s="1111">
        <f t="shared" si="11"/>
        <v>230459</v>
      </c>
      <c r="F213" s="1112">
        <f t="shared" si="3"/>
        <v>13.44</v>
      </c>
      <c r="G213" s="1112">
        <f t="shared" si="4"/>
        <v>13.44</v>
      </c>
      <c r="H213" s="1112">
        <f t="shared" si="5"/>
        <v>1.925</v>
      </c>
      <c r="I213" s="1112">
        <f t="shared" si="6"/>
        <v>18.874</v>
      </c>
      <c r="J213" s="1113">
        <f t="shared" si="7"/>
        <v>1</v>
      </c>
      <c r="K213" s="1107">
        <f t="shared" si="8"/>
        <v>1.1239</v>
      </c>
      <c r="L213" s="1107">
        <f t="shared" si="9"/>
        <v>1.0925</v>
      </c>
      <c r="M213" s="1107">
        <f t="shared" si="10"/>
        <v>2.655</v>
      </c>
      <c r="N213" s="1106">
        <f t="array" ref="N213">LET(
totalShards, F$10,
AtMax, OR(F$3&lt;$B213,totalShards&lt;$E213),
primeShards, $E213,
PrimeMulti, F213,
AssPer, F$4,
AssLevel, IF(AtMax,1,index(optimizer[Level],XMATCH(totalShards-primeShards,optimizer[Total discounted cost],-1,2))),
AssMulti,IF(F$16="",1,index(optimizer[cannonAssist],XMATCH(AssLevel,optimizer[Level],-1,2))),
TooLow, OR(AssLevel&lt;$F$18,$B213&lt;$F$15),
IF(OR(AtMax,TooLow), 0, PrimeMulti * (AssMulti)))</f>
        <v>0</v>
      </c>
      <c r="O213" s="1112">
        <f t="array" ref="O213">LET(
totalShards, G$10,
AtMax, OR(G$3&lt;$B213,totalShards&lt;$E213),
primeShards, $E213,
PrimeMulti, G213,
AssPer, G$4,
AssLevel, IF(AtMax,1,index(optimizer[Level],XMATCH(totalShards-primeShards,optimizer[Total discounted cost],-1,2))),
AssMulti,IF(G$16="",1,index(optimizer[armorAssist],XMATCH(AssLevel,optimizer[Level],-1,2))),
TooLow, OR(AssLevel&lt;$G$18,$B213&lt;$G$15),
IF(OR(AtMax,TooLow), 0, PrimeMulti * (AssMulti)))</f>
        <v>0</v>
      </c>
      <c r="P213" s="1112">
        <f t="array" ref="P213">LET(
totalShards, H$10,
AtMax, OR(H$3&lt;$B213,totalShards&lt;$E213),
primeShards, $E213,
PrimeMulti, H213,
AssPer, H$4,
AssLevel, IF(AtMax,1,index(optimizer[Level],XMATCH(totalShards-primeShards,optimizer[Total discounted cost],-1,2))),
AssMulti,IF(H$16="",1,index(optimizer[generatorAssist],XMATCH(AssLevel,optimizer[Level],-1,2))),
TooLow, OR(AssLevel&lt;$H$18,$B213&lt;$H$15),
IF(OR(AtMax,TooLow), 0, PrimeMulti * (AssMulti)))</f>
        <v>0</v>
      </c>
      <c r="Q213" s="1114">
        <f t="array" ref="Q213">LET(
totalShards, I$10,
AtMax, OR(I$3&lt;$B213,totalShards&lt;$E213),
primeShards, $E213,
PrimeMulti, I213,
AssPer, I$4,
AssLevel, IF(AtMax,1,index(optimizer[Level],XMATCH(totalShards-primeShards,optimizer[Total discounted cost],-1,2))),
AssMulti,IF(I$16="",1,index(optimizer[coreAssist],XMATCH(AssLevel,optimizer[Level],-1,2))),
TooLow, OR(AssLevel&lt;$I$18,$B213&lt;$I$15),
IF(OR(AtMax,TooLow), 0, PrimeMulti * (AssMulti)))</f>
        <v>0</v>
      </c>
    </row>
    <row r="214" ht="22.5" hidden="1" customHeight="1" outlineLevel="1">
      <c r="A214" s="1097"/>
      <c r="B214" s="1103">
        <v>187.0</v>
      </c>
      <c r="C214" s="1104">
        <f t="shared" si="12"/>
        <v>8250</v>
      </c>
      <c r="D214" s="1104">
        <f t="shared" si="2"/>
        <v>5775</v>
      </c>
      <c r="E214" s="1105">
        <f t="shared" si="11"/>
        <v>236234</v>
      </c>
      <c r="F214" s="1106">
        <f t="shared" si="3"/>
        <v>13.64</v>
      </c>
      <c r="G214" s="1106">
        <f t="shared" si="4"/>
        <v>13.64</v>
      </c>
      <c r="H214" s="1106">
        <f t="shared" si="5"/>
        <v>1.935</v>
      </c>
      <c r="I214" s="1106">
        <f t="shared" si="6"/>
        <v>19.144</v>
      </c>
      <c r="J214" s="1107">
        <f t="shared" si="7"/>
        <v>1</v>
      </c>
      <c r="K214" s="1107">
        <f t="shared" si="8"/>
        <v>1.1259</v>
      </c>
      <c r="L214" s="1107">
        <f t="shared" si="9"/>
        <v>1.0935</v>
      </c>
      <c r="M214" s="1107">
        <f t="shared" si="10"/>
        <v>2.68</v>
      </c>
      <c r="N214" s="1106">
        <f t="array" ref="N214">LET(
totalShards, F$10,
AtMax, OR(F$3&lt;$B214,totalShards&lt;$E214),
primeShards, $E214,
PrimeMulti, F214,
AssPer, F$4,
AssLevel, IF(AtMax,1,index(optimizer[Level],XMATCH(totalShards-primeShards,optimizer[Total discounted cost],-1,2))),
AssMulti,IF(F$16="",1,index(optimizer[cannonAssist],XMATCH(AssLevel,optimizer[Level],-1,2))),
TooLow, OR(AssLevel&lt;$F$18,$B214&lt;$F$15),
IF(OR(AtMax,TooLow), 0, PrimeMulti * (AssMulti)))</f>
        <v>0</v>
      </c>
      <c r="O214" s="1106">
        <f t="array" ref="O214">LET(
totalShards, G$10,
AtMax, OR(G$3&lt;$B214,totalShards&lt;$E214),
primeShards, $E214,
PrimeMulti, G214,
AssPer, G$4,
AssLevel, IF(AtMax,1,index(optimizer[Level],XMATCH(totalShards-primeShards,optimizer[Total discounted cost],-1,2))),
AssMulti,IF(G$16="",1,index(optimizer[armorAssist],XMATCH(AssLevel,optimizer[Level],-1,2))),
TooLow, OR(AssLevel&lt;$G$18,$B214&lt;$G$15),
IF(OR(AtMax,TooLow), 0, PrimeMulti * (AssMulti)))</f>
        <v>0</v>
      </c>
      <c r="P214" s="1106">
        <f t="array" ref="P214">LET(
totalShards, H$10,
AtMax, OR(H$3&lt;$B214,totalShards&lt;$E214),
primeShards, $E214,
PrimeMulti, H214,
AssPer, H$4,
AssLevel, IF(AtMax,1,index(optimizer[Level],XMATCH(totalShards-primeShards,optimizer[Total discounted cost],-1,2))),
AssMulti,IF(H$16="",1,index(optimizer[generatorAssist],XMATCH(AssLevel,optimizer[Level],-1,2))),
TooLow, OR(AssLevel&lt;$H$18,$B214&lt;$H$15),
IF(OR(AtMax,TooLow), 0, PrimeMulti * (AssMulti)))</f>
        <v>0</v>
      </c>
      <c r="Q214" s="1108">
        <f t="array" ref="Q214">LET(
totalShards, I$10,
AtMax, OR(I$3&lt;$B214,totalShards&lt;$E214),
primeShards, $E214,
PrimeMulti, I214,
AssPer, I$4,
AssLevel, IF(AtMax,1,index(optimizer[Level],XMATCH(totalShards-primeShards,optimizer[Total discounted cost],-1,2))),
AssMulti,IF(I$16="",1,index(optimizer[coreAssist],XMATCH(AssLevel,optimizer[Level],-1,2))),
TooLow, OR(AssLevel&lt;$I$18,$B214&lt;$I$15),
IF(OR(AtMax,TooLow), 0, PrimeMulti * (AssMulti)))</f>
        <v>0</v>
      </c>
    </row>
    <row r="215" ht="22.5" hidden="1" customHeight="1" outlineLevel="1">
      <c r="A215" s="1097"/>
      <c r="B215" s="1109">
        <v>188.0</v>
      </c>
      <c r="C215" s="1110">
        <f t="shared" si="12"/>
        <v>8375</v>
      </c>
      <c r="D215" s="1110">
        <f t="shared" si="2"/>
        <v>5863</v>
      </c>
      <c r="E215" s="1111">
        <f t="shared" si="11"/>
        <v>242097</v>
      </c>
      <c r="F215" s="1112">
        <f t="shared" si="3"/>
        <v>13.84</v>
      </c>
      <c r="G215" s="1112">
        <f t="shared" si="4"/>
        <v>13.84</v>
      </c>
      <c r="H215" s="1112">
        <f t="shared" si="5"/>
        <v>1.945</v>
      </c>
      <c r="I215" s="1112">
        <f t="shared" si="6"/>
        <v>19.414</v>
      </c>
      <c r="J215" s="1113">
        <f t="shared" si="7"/>
        <v>1</v>
      </c>
      <c r="K215" s="1107">
        <f t="shared" si="8"/>
        <v>1.1279</v>
      </c>
      <c r="L215" s="1107">
        <f t="shared" si="9"/>
        <v>1.0945</v>
      </c>
      <c r="M215" s="1107">
        <f t="shared" si="10"/>
        <v>2.705</v>
      </c>
      <c r="N215" s="1106">
        <f t="array" ref="N215">LET(
totalShards, F$10,
AtMax, OR(F$3&lt;$B215,totalShards&lt;$E215),
primeShards, $E215,
PrimeMulti, F215,
AssPer, F$4,
AssLevel, IF(AtMax,1,index(optimizer[Level],XMATCH(totalShards-primeShards,optimizer[Total discounted cost],-1,2))),
AssMulti,IF(F$16="",1,index(optimizer[cannonAssist],XMATCH(AssLevel,optimizer[Level],-1,2))),
TooLow, OR(AssLevel&lt;$F$18,$B215&lt;$F$15),
IF(OR(AtMax,TooLow), 0, PrimeMulti * (AssMulti)))</f>
        <v>0</v>
      </c>
      <c r="O215" s="1112">
        <f t="array" ref="O215">LET(
totalShards, G$10,
AtMax, OR(G$3&lt;$B215,totalShards&lt;$E215),
primeShards, $E215,
PrimeMulti, G215,
AssPer, G$4,
AssLevel, IF(AtMax,1,index(optimizer[Level],XMATCH(totalShards-primeShards,optimizer[Total discounted cost],-1,2))),
AssMulti,IF(G$16="",1,index(optimizer[armorAssist],XMATCH(AssLevel,optimizer[Level],-1,2))),
TooLow, OR(AssLevel&lt;$G$18,$B215&lt;$G$15),
IF(OR(AtMax,TooLow), 0, PrimeMulti * (AssMulti)))</f>
        <v>0</v>
      </c>
      <c r="P215" s="1112">
        <f t="array" ref="P215">LET(
totalShards, H$10,
AtMax, OR(H$3&lt;$B215,totalShards&lt;$E215),
primeShards, $E215,
PrimeMulti, H215,
AssPer, H$4,
AssLevel, IF(AtMax,1,index(optimizer[Level],XMATCH(totalShards-primeShards,optimizer[Total discounted cost],-1,2))),
AssMulti,IF(H$16="",1,index(optimizer[generatorAssist],XMATCH(AssLevel,optimizer[Level],-1,2))),
TooLow, OR(AssLevel&lt;$H$18,$B215&lt;$H$15),
IF(OR(AtMax,TooLow), 0, PrimeMulti * (AssMulti)))</f>
        <v>0</v>
      </c>
      <c r="Q215" s="1114">
        <f t="array" ref="Q215">LET(
totalShards, I$10,
AtMax, OR(I$3&lt;$B215,totalShards&lt;$E215),
primeShards, $E215,
PrimeMulti, I215,
AssPer, I$4,
AssLevel, IF(AtMax,1,index(optimizer[Level],XMATCH(totalShards-primeShards,optimizer[Total discounted cost],-1,2))),
AssMulti,IF(I$16="",1,index(optimizer[coreAssist],XMATCH(AssLevel,optimizer[Level],-1,2))),
TooLow, OR(AssLevel&lt;$I$18,$B215&lt;$I$15),
IF(OR(AtMax,TooLow), 0, PrimeMulti * (AssMulti)))</f>
        <v>0</v>
      </c>
    </row>
    <row r="216" ht="22.5" hidden="1" customHeight="1" outlineLevel="1">
      <c r="A216" s="1097"/>
      <c r="B216" s="1103">
        <v>189.0</v>
      </c>
      <c r="C216" s="1104">
        <f t="shared" si="12"/>
        <v>8500</v>
      </c>
      <c r="D216" s="1104">
        <f t="shared" si="2"/>
        <v>5950</v>
      </c>
      <c r="E216" s="1105">
        <f t="shared" si="11"/>
        <v>248047</v>
      </c>
      <c r="F216" s="1106">
        <f t="shared" si="3"/>
        <v>14.04</v>
      </c>
      <c r="G216" s="1106">
        <f t="shared" si="4"/>
        <v>14.04</v>
      </c>
      <c r="H216" s="1106">
        <f t="shared" si="5"/>
        <v>1.955</v>
      </c>
      <c r="I216" s="1106">
        <f t="shared" si="6"/>
        <v>19.684</v>
      </c>
      <c r="J216" s="1107">
        <f t="shared" si="7"/>
        <v>1</v>
      </c>
      <c r="K216" s="1107">
        <f t="shared" si="8"/>
        <v>1.1299</v>
      </c>
      <c r="L216" s="1107">
        <f t="shared" si="9"/>
        <v>1.0955</v>
      </c>
      <c r="M216" s="1107">
        <f t="shared" si="10"/>
        <v>2.73</v>
      </c>
      <c r="N216" s="1106">
        <f t="array" ref="N216">LET(
totalShards, F$10,
AtMax, OR(F$3&lt;$B216,totalShards&lt;$E216),
primeShards, $E216,
PrimeMulti, F216,
AssPer, F$4,
AssLevel, IF(AtMax,1,index(optimizer[Level],XMATCH(totalShards-primeShards,optimizer[Total discounted cost],-1,2))),
AssMulti,IF(F$16="",1,index(optimizer[cannonAssist],XMATCH(AssLevel,optimizer[Level],-1,2))),
TooLow, OR(AssLevel&lt;$F$18,$B216&lt;$F$15),
IF(OR(AtMax,TooLow), 0, PrimeMulti * (AssMulti)))</f>
        <v>0</v>
      </c>
      <c r="O216" s="1106">
        <f t="array" ref="O216">LET(
totalShards, G$10,
AtMax, OR(G$3&lt;$B216,totalShards&lt;$E216),
primeShards, $E216,
PrimeMulti, G216,
AssPer, G$4,
AssLevel, IF(AtMax,1,index(optimizer[Level],XMATCH(totalShards-primeShards,optimizer[Total discounted cost],-1,2))),
AssMulti,IF(G$16="",1,index(optimizer[armorAssist],XMATCH(AssLevel,optimizer[Level],-1,2))),
TooLow, OR(AssLevel&lt;$G$18,$B216&lt;$G$15),
IF(OR(AtMax,TooLow), 0, PrimeMulti * (AssMulti)))</f>
        <v>0</v>
      </c>
      <c r="P216" s="1106">
        <f t="array" ref="P216">LET(
totalShards, H$10,
AtMax, OR(H$3&lt;$B216,totalShards&lt;$E216),
primeShards, $E216,
PrimeMulti, H216,
AssPer, H$4,
AssLevel, IF(AtMax,1,index(optimizer[Level],XMATCH(totalShards-primeShards,optimizer[Total discounted cost],-1,2))),
AssMulti,IF(H$16="",1,index(optimizer[generatorAssist],XMATCH(AssLevel,optimizer[Level],-1,2))),
TooLow, OR(AssLevel&lt;$H$18,$B216&lt;$H$15),
IF(OR(AtMax,TooLow), 0, PrimeMulti * (AssMulti)))</f>
        <v>0</v>
      </c>
      <c r="Q216" s="1108">
        <f t="array" ref="Q216">LET(
totalShards, I$10,
AtMax, OR(I$3&lt;$B216,totalShards&lt;$E216),
primeShards, $E216,
PrimeMulti, I216,
AssPer, I$4,
AssLevel, IF(AtMax,1,index(optimizer[Level],XMATCH(totalShards-primeShards,optimizer[Total discounted cost],-1,2))),
AssMulti,IF(I$16="",1,index(optimizer[coreAssist],XMATCH(AssLevel,optimizer[Level],-1,2))),
TooLow, OR(AssLevel&lt;$I$18,$B216&lt;$I$15),
IF(OR(AtMax,TooLow), 0, PrimeMulti * (AssMulti)))</f>
        <v>0</v>
      </c>
    </row>
    <row r="217" ht="22.5" hidden="1" customHeight="1" outlineLevel="1">
      <c r="A217" s="1097"/>
      <c r="B217" s="1109">
        <v>190.0</v>
      </c>
      <c r="C217" s="1110">
        <f t="shared" si="12"/>
        <v>8625</v>
      </c>
      <c r="D217" s="1110">
        <f t="shared" si="2"/>
        <v>6038</v>
      </c>
      <c r="E217" s="1111">
        <f t="shared" si="11"/>
        <v>254085</v>
      </c>
      <c r="F217" s="1112">
        <f t="shared" si="3"/>
        <v>14.24</v>
      </c>
      <c r="G217" s="1112">
        <f t="shared" si="4"/>
        <v>14.24</v>
      </c>
      <c r="H217" s="1112">
        <f t="shared" si="5"/>
        <v>1.965</v>
      </c>
      <c r="I217" s="1112">
        <f t="shared" si="6"/>
        <v>19.954</v>
      </c>
      <c r="J217" s="1113">
        <f t="shared" si="7"/>
        <v>1</v>
      </c>
      <c r="K217" s="1107">
        <f t="shared" si="8"/>
        <v>1.1319</v>
      </c>
      <c r="L217" s="1107">
        <f t="shared" si="9"/>
        <v>1.0965</v>
      </c>
      <c r="M217" s="1107">
        <f t="shared" si="10"/>
        <v>2.755</v>
      </c>
      <c r="N217" s="1106">
        <f t="array" ref="N217">LET(
totalShards, F$10,
AtMax, OR(F$3&lt;$B217,totalShards&lt;$E217),
primeShards, $E217,
PrimeMulti, F217,
AssPer, F$4,
AssLevel, IF(AtMax,1,index(optimizer[Level],XMATCH(totalShards-primeShards,optimizer[Total discounted cost],-1,2))),
AssMulti,IF(F$16="",1,index(optimizer[cannonAssist],XMATCH(AssLevel,optimizer[Level],-1,2))),
TooLow, OR(AssLevel&lt;$F$18,$B217&lt;$F$15),
IF(OR(AtMax,TooLow), 0, PrimeMulti * (AssMulti)))</f>
        <v>0</v>
      </c>
      <c r="O217" s="1112">
        <f t="array" ref="O217">LET(
totalShards, G$10,
AtMax, OR(G$3&lt;$B217,totalShards&lt;$E217),
primeShards, $E217,
PrimeMulti, G217,
AssPer, G$4,
AssLevel, IF(AtMax,1,index(optimizer[Level],XMATCH(totalShards-primeShards,optimizer[Total discounted cost],-1,2))),
AssMulti,IF(G$16="",1,index(optimizer[armorAssist],XMATCH(AssLevel,optimizer[Level],-1,2))),
TooLow, OR(AssLevel&lt;$G$18,$B217&lt;$G$15),
IF(OR(AtMax,TooLow), 0, PrimeMulti * (AssMulti)))</f>
        <v>0</v>
      </c>
      <c r="P217" s="1112">
        <f t="array" ref="P217">LET(
totalShards, H$10,
AtMax, OR(H$3&lt;$B217,totalShards&lt;$E217),
primeShards, $E217,
PrimeMulti, H217,
AssPer, H$4,
AssLevel, IF(AtMax,1,index(optimizer[Level],XMATCH(totalShards-primeShards,optimizer[Total discounted cost],-1,2))),
AssMulti,IF(H$16="",1,index(optimizer[generatorAssist],XMATCH(AssLevel,optimizer[Level],-1,2))),
TooLow, OR(AssLevel&lt;$H$18,$B217&lt;$H$15),
IF(OR(AtMax,TooLow), 0, PrimeMulti * (AssMulti)))</f>
        <v>0</v>
      </c>
      <c r="Q217" s="1114">
        <f t="array" ref="Q217">LET(
totalShards, I$10,
AtMax, OR(I$3&lt;$B217,totalShards&lt;$E217),
primeShards, $E217,
PrimeMulti, I217,
AssPer, I$4,
AssLevel, IF(AtMax,1,index(optimizer[Level],XMATCH(totalShards-primeShards,optimizer[Total discounted cost],-1,2))),
AssMulti,IF(I$16="",1,index(optimizer[coreAssist],XMATCH(AssLevel,optimizer[Level],-1,2))),
TooLow, OR(AssLevel&lt;$I$18,$B217&lt;$I$15),
IF(OR(AtMax,TooLow), 0, PrimeMulti * (AssMulti)))</f>
        <v>0</v>
      </c>
    </row>
    <row r="218" ht="22.5" hidden="1" customHeight="1" outlineLevel="1">
      <c r="A218" s="1097"/>
      <c r="B218" s="1103">
        <v>191.0</v>
      </c>
      <c r="C218" s="1104">
        <f t="shared" si="12"/>
        <v>8750</v>
      </c>
      <c r="D218" s="1104">
        <f t="shared" si="2"/>
        <v>6125</v>
      </c>
      <c r="E218" s="1105">
        <f t="shared" si="11"/>
        <v>260210</v>
      </c>
      <c r="F218" s="1106">
        <f t="shared" si="3"/>
        <v>14.44</v>
      </c>
      <c r="G218" s="1106">
        <f t="shared" si="4"/>
        <v>14.44</v>
      </c>
      <c r="H218" s="1106">
        <f t="shared" si="5"/>
        <v>1.975</v>
      </c>
      <c r="I218" s="1106">
        <f t="shared" si="6"/>
        <v>20.224</v>
      </c>
      <c r="J218" s="1107">
        <f t="shared" si="7"/>
        <v>1</v>
      </c>
      <c r="K218" s="1107">
        <f t="shared" si="8"/>
        <v>1.1339</v>
      </c>
      <c r="L218" s="1107">
        <f t="shared" si="9"/>
        <v>1.0975</v>
      </c>
      <c r="M218" s="1107">
        <f t="shared" si="10"/>
        <v>2.78</v>
      </c>
      <c r="N218" s="1106">
        <f t="array" ref="N218">LET(
totalShards, F$10,
AtMax, OR(F$3&lt;$B218,totalShards&lt;$E218),
primeShards, $E218,
PrimeMulti, F218,
AssPer, F$4,
AssLevel, IF(AtMax,1,index(optimizer[Level],XMATCH(totalShards-primeShards,optimizer[Total discounted cost],-1,2))),
AssMulti,IF(F$16="",1,index(optimizer[cannonAssist],XMATCH(AssLevel,optimizer[Level],-1,2))),
TooLow, OR(AssLevel&lt;$F$18,$B218&lt;$F$15),
IF(OR(AtMax,TooLow), 0, PrimeMulti * (AssMulti)))</f>
        <v>0</v>
      </c>
      <c r="O218" s="1106">
        <f t="array" ref="O218">LET(
totalShards, G$10,
AtMax, OR(G$3&lt;$B218,totalShards&lt;$E218),
primeShards, $E218,
PrimeMulti, G218,
AssPer, G$4,
AssLevel, IF(AtMax,1,index(optimizer[Level],XMATCH(totalShards-primeShards,optimizer[Total discounted cost],-1,2))),
AssMulti,IF(G$16="",1,index(optimizer[armorAssist],XMATCH(AssLevel,optimizer[Level],-1,2))),
TooLow, OR(AssLevel&lt;$G$18,$B218&lt;$G$15),
IF(OR(AtMax,TooLow), 0, PrimeMulti * (AssMulti)))</f>
        <v>0</v>
      </c>
      <c r="P218" s="1106">
        <f t="array" ref="P218">LET(
totalShards, H$10,
AtMax, OR(H$3&lt;$B218,totalShards&lt;$E218),
primeShards, $E218,
PrimeMulti, H218,
AssPer, H$4,
AssLevel, IF(AtMax,1,index(optimizer[Level],XMATCH(totalShards-primeShards,optimizer[Total discounted cost],-1,2))),
AssMulti,IF(H$16="",1,index(optimizer[generatorAssist],XMATCH(AssLevel,optimizer[Level],-1,2))),
TooLow, OR(AssLevel&lt;$H$18,$B218&lt;$H$15),
IF(OR(AtMax,TooLow), 0, PrimeMulti * (AssMulti)))</f>
        <v>0</v>
      </c>
      <c r="Q218" s="1108">
        <f t="array" ref="Q218">LET(
totalShards, I$10,
AtMax, OR(I$3&lt;$B218,totalShards&lt;$E218),
primeShards, $E218,
PrimeMulti, I218,
AssPer, I$4,
AssLevel, IF(AtMax,1,index(optimizer[Level],XMATCH(totalShards-primeShards,optimizer[Total discounted cost],-1,2))),
AssMulti,IF(I$16="",1,index(optimizer[coreAssist],XMATCH(AssLevel,optimizer[Level],-1,2))),
TooLow, OR(AssLevel&lt;$I$18,$B218&lt;$I$15),
IF(OR(AtMax,TooLow), 0, PrimeMulti * (AssMulti)))</f>
        <v>0</v>
      </c>
    </row>
    <row r="219" ht="22.5" hidden="1" customHeight="1" outlineLevel="1">
      <c r="A219" s="1097"/>
      <c r="B219" s="1109">
        <v>192.0</v>
      </c>
      <c r="C219" s="1110">
        <f t="shared" si="12"/>
        <v>8875</v>
      </c>
      <c r="D219" s="1110">
        <f t="shared" si="2"/>
        <v>6213</v>
      </c>
      <c r="E219" s="1111">
        <f t="shared" si="11"/>
        <v>266423</v>
      </c>
      <c r="F219" s="1112">
        <f t="shared" si="3"/>
        <v>14.64</v>
      </c>
      <c r="G219" s="1112">
        <f t="shared" si="4"/>
        <v>14.64</v>
      </c>
      <c r="H219" s="1112">
        <f t="shared" si="5"/>
        <v>1.985</v>
      </c>
      <c r="I219" s="1112">
        <f t="shared" si="6"/>
        <v>20.494</v>
      </c>
      <c r="J219" s="1113">
        <f t="shared" si="7"/>
        <v>1</v>
      </c>
      <c r="K219" s="1107">
        <f t="shared" si="8"/>
        <v>1.1359</v>
      </c>
      <c r="L219" s="1107">
        <f t="shared" si="9"/>
        <v>1.0985</v>
      </c>
      <c r="M219" s="1107">
        <f t="shared" si="10"/>
        <v>2.805</v>
      </c>
      <c r="N219" s="1106">
        <f t="array" ref="N219">LET(
totalShards, F$10,
AtMax, OR(F$3&lt;$B219,totalShards&lt;$E219),
primeShards, $E219,
PrimeMulti, F219,
AssPer, F$4,
AssLevel, IF(AtMax,1,index(optimizer[Level],XMATCH(totalShards-primeShards,optimizer[Total discounted cost],-1,2))),
AssMulti,IF(F$16="",1,index(optimizer[cannonAssist],XMATCH(AssLevel,optimizer[Level],-1,2))),
TooLow, OR(AssLevel&lt;$F$18,$B219&lt;$F$15),
IF(OR(AtMax,TooLow), 0, PrimeMulti * (AssMulti)))</f>
        <v>0</v>
      </c>
      <c r="O219" s="1112">
        <f t="array" ref="O219">LET(
totalShards, G$10,
AtMax, OR(G$3&lt;$B219,totalShards&lt;$E219),
primeShards, $E219,
PrimeMulti, G219,
AssPer, G$4,
AssLevel, IF(AtMax,1,index(optimizer[Level],XMATCH(totalShards-primeShards,optimizer[Total discounted cost],-1,2))),
AssMulti,IF(G$16="",1,index(optimizer[armorAssist],XMATCH(AssLevel,optimizer[Level],-1,2))),
TooLow, OR(AssLevel&lt;$G$18,$B219&lt;$G$15),
IF(OR(AtMax,TooLow), 0, PrimeMulti * (AssMulti)))</f>
        <v>0</v>
      </c>
      <c r="P219" s="1112">
        <f t="array" ref="P219">LET(
totalShards, H$10,
AtMax, OR(H$3&lt;$B219,totalShards&lt;$E219),
primeShards, $E219,
PrimeMulti, H219,
AssPer, H$4,
AssLevel, IF(AtMax,1,index(optimizer[Level],XMATCH(totalShards-primeShards,optimizer[Total discounted cost],-1,2))),
AssMulti,IF(H$16="",1,index(optimizer[generatorAssist],XMATCH(AssLevel,optimizer[Level],-1,2))),
TooLow, OR(AssLevel&lt;$H$18,$B219&lt;$H$15),
IF(OR(AtMax,TooLow), 0, PrimeMulti * (AssMulti)))</f>
        <v>0</v>
      </c>
      <c r="Q219" s="1114">
        <f t="array" ref="Q219">LET(
totalShards, I$10,
AtMax, OR(I$3&lt;$B219,totalShards&lt;$E219),
primeShards, $E219,
PrimeMulti, I219,
AssPer, I$4,
AssLevel, IF(AtMax,1,index(optimizer[Level],XMATCH(totalShards-primeShards,optimizer[Total discounted cost],-1,2))),
AssMulti,IF(I$16="",1,index(optimizer[coreAssist],XMATCH(AssLevel,optimizer[Level],-1,2))),
TooLow, OR(AssLevel&lt;$I$18,$B219&lt;$I$15),
IF(OR(AtMax,TooLow), 0, PrimeMulti * (AssMulti)))</f>
        <v>0</v>
      </c>
    </row>
    <row r="220" ht="22.5" hidden="1" customHeight="1" outlineLevel="1">
      <c r="A220" s="1097"/>
      <c r="B220" s="1103">
        <v>193.0</v>
      </c>
      <c r="C220" s="1104">
        <f t="shared" si="12"/>
        <v>9000</v>
      </c>
      <c r="D220" s="1104">
        <f t="shared" si="2"/>
        <v>6300</v>
      </c>
      <c r="E220" s="1105">
        <f t="shared" si="11"/>
        <v>272723</v>
      </c>
      <c r="F220" s="1106">
        <f t="shared" si="3"/>
        <v>14.84</v>
      </c>
      <c r="G220" s="1106">
        <f t="shared" si="4"/>
        <v>14.84</v>
      </c>
      <c r="H220" s="1106">
        <f t="shared" si="5"/>
        <v>1.995</v>
      </c>
      <c r="I220" s="1106">
        <f t="shared" si="6"/>
        <v>20.764</v>
      </c>
      <c r="J220" s="1107">
        <f t="shared" si="7"/>
        <v>1</v>
      </c>
      <c r="K220" s="1107">
        <f t="shared" si="8"/>
        <v>1.1379</v>
      </c>
      <c r="L220" s="1107">
        <f t="shared" si="9"/>
        <v>1.0995</v>
      </c>
      <c r="M220" s="1107">
        <f t="shared" si="10"/>
        <v>2.83</v>
      </c>
      <c r="N220" s="1106">
        <f t="array" ref="N220">LET(
totalShards, F$10,
AtMax, OR(F$3&lt;$B220,totalShards&lt;$E220),
primeShards, $E220,
PrimeMulti, F220,
AssPer, F$4,
AssLevel, IF(AtMax,1,index(optimizer[Level],XMATCH(totalShards-primeShards,optimizer[Total discounted cost],-1,2))),
AssMulti,IF(F$16="",1,index(optimizer[cannonAssist],XMATCH(AssLevel,optimizer[Level],-1,2))),
TooLow, OR(AssLevel&lt;$F$18,$B220&lt;$F$15),
IF(OR(AtMax,TooLow), 0, PrimeMulti * (AssMulti)))</f>
        <v>0</v>
      </c>
      <c r="O220" s="1106">
        <f t="array" ref="O220">LET(
totalShards, G$10,
AtMax, OR(G$3&lt;$B220,totalShards&lt;$E220),
primeShards, $E220,
PrimeMulti, G220,
AssPer, G$4,
AssLevel, IF(AtMax,1,index(optimizer[Level],XMATCH(totalShards-primeShards,optimizer[Total discounted cost],-1,2))),
AssMulti,IF(G$16="",1,index(optimizer[armorAssist],XMATCH(AssLevel,optimizer[Level],-1,2))),
TooLow, OR(AssLevel&lt;$G$18,$B220&lt;$G$15),
IF(OR(AtMax,TooLow), 0, PrimeMulti * (AssMulti)))</f>
        <v>0</v>
      </c>
      <c r="P220" s="1106">
        <f t="array" ref="P220">LET(
totalShards, H$10,
AtMax, OR(H$3&lt;$B220,totalShards&lt;$E220),
primeShards, $E220,
PrimeMulti, H220,
AssPer, H$4,
AssLevel, IF(AtMax,1,index(optimizer[Level],XMATCH(totalShards-primeShards,optimizer[Total discounted cost],-1,2))),
AssMulti,IF(H$16="",1,index(optimizer[generatorAssist],XMATCH(AssLevel,optimizer[Level],-1,2))),
TooLow, OR(AssLevel&lt;$H$18,$B220&lt;$H$15),
IF(OR(AtMax,TooLow), 0, PrimeMulti * (AssMulti)))</f>
        <v>0</v>
      </c>
      <c r="Q220" s="1108">
        <f t="array" ref="Q220">LET(
totalShards, I$10,
AtMax, OR(I$3&lt;$B220,totalShards&lt;$E220),
primeShards, $E220,
PrimeMulti, I220,
AssPer, I$4,
AssLevel, IF(AtMax,1,index(optimizer[Level],XMATCH(totalShards-primeShards,optimizer[Total discounted cost],-1,2))),
AssMulti,IF(I$16="",1,index(optimizer[coreAssist],XMATCH(AssLevel,optimizer[Level],-1,2))),
TooLow, OR(AssLevel&lt;$I$18,$B220&lt;$I$15),
IF(OR(AtMax,TooLow), 0, PrimeMulti * (AssMulti)))</f>
        <v>0</v>
      </c>
    </row>
    <row r="221" ht="22.5" hidden="1" customHeight="1" outlineLevel="1">
      <c r="A221" s="1097"/>
      <c r="B221" s="1109">
        <v>194.0</v>
      </c>
      <c r="C221" s="1110">
        <f t="shared" si="12"/>
        <v>9125</v>
      </c>
      <c r="D221" s="1110">
        <f t="shared" si="2"/>
        <v>6388</v>
      </c>
      <c r="E221" s="1111">
        <f t="shared" si="11"/>
        <v>279111</v>
      </c>
      <c r="F221" s="1112">
        <f t="shared" si="3"/>
        <v>15.04</v>
      </c>
      <c r="G221" s="1112">
        <f t="shared" si="4"/>
        <v>15.04</v>
      </c>
      <c r="H221" s="1112">
        <f t="shared" si="5"/>
        <v>2.005</v>
      </c>
      <c r="I221" s="1112">
        <f t="shared" si="6"/>
        <v>21.034</v>
      </c>
      <c r="J221" s="1113">
        <f t="shared" si="7"/>
        <v>1</v>
      </c>
      <c r="K221" s="1107">
        <f t="shared" si="8"/>
        <v>1.1399</v>
      </c>
      <c r="L221" s="1107">
        <f t="shared" si="9"/>
        <v>1.1005</v>
      </c>
      <c r="M221" s="1107">
        <f t="shared" si="10"/>
        <v>2.855</v>
      </c>
      <c r="N221" s="1106">
        <f t="array" ref="N221">LET(
totalShards, F$10,
AtMax, OR(F$3&lt;$B221,totalShards&lt;$E221),
primeShards, $E221,
PrimeMulti, F221,
AssPer, F$4,
AssLevel, IF(AtMax,1,index(optimizer[Level],XMATCH(totalShards-primeShards,optimizer[Total discounted cost],-1,2))),
AssMulti,IF(F$16="",1,index(optimizer[cannonAssist],XMATCH(AssLevel,optimizer[Level],-1,2))),
TooLow, OR(AssLevel&lt;$F$18,$B221&lt;$F$15),
IF(OR(AtMax,TooLow), 0, PrimeMulti * (AssMulti)))</f>
        <v>0</v>
      </c>
      <c r="O221" s="1112">
        <f t="array" ref="O221">LET(
totalShards, G$10,
AtMax, OR(G$3&lt;$B221,totalShards&lt;$E221),
primeShards, $E221,
PrimeMulti, G221,
AssPer, G$4,
AssLevel, IF(AtMax,1,index(optimizer[Level],XMATCH(totalShards-primeShards,optimizer[Total discounted cost],-1,2))),
AssMulti,IF(G$16="",1,index(optimizer[armorAssist],XMATCH(AssLevel,optimizer[Level],-1,2))),
TooLow, OR(AssLevel&lt;$G$18,$B221&lt;$G$15),
IF(OR(AtMax,TooLow), 0, PrimeMulti * (AssMulti)))</f>
        <v>0</v>
      </c>
      <c r="P221" s="1112">
        <f t="array" ref="P221">LET(
totalShards, H$10,
AtMax, OR(H$3&lt;$B221,totalShards&lt;$E221),
primeShards, $E221,
PrimeMulti, H221,
AssPer, H$4,
AssLevel, IF(AtMax,1,index(optimizer[Level],XMATCH(totalShards-primeShards,optimizer[Total discounted cost],-1,2))),
AssMulti,IF(H$16="",1,index(optimizer[generatorAssist],XMATCH(AssLevel,optimizer[Level],-1,2))),
TooLow, OR(AssLevel&lt;$H$18,$B221&lt;$H$15),
IF(OR(AtMax,TooLow), 0, PrimeMulti * (AssMulti)))</f>
        <v>0</v>
      </c>
      <c r="Q221" s="1114">
        <f t="array" ref="Q221">LET(
totalShards, I$10,
AtMax, OR(I$3&lt;$B221,totalShards&lt;$E221),
primeShards, $E221,
PrimeMulti, I221,
AssPer, I$4,
AssLevel, IF(AtMax,1,index(optimizer[Level],XMATCH(totalShards-primeShards,optimizer[Total discounted cost],-1,2))),
AssMulti,IF(I$16="",1,index(optimizer[coreAssist],XMATCH(AssLevel,optimizer[Level],-1,2))),
TooLow, OR(AssLevel&lt;$I$18,$B221&lt;$I$15),
IF(OR(AtMax,TooLow), 0, PrimeMulti * (AssMulti)))</f>
        <v>0</v>
      </c>
    </row>
    <row r="222" ht="22.5" hidden="1" customHeight="1" outlineLevel="1">
      <c r="A222" s="1097"/>
      <c r="B222" s="1103">
        <v>195.0</v>
      </c>
      <c r="C222" s="1104">
        <f t="shared" si="12"/>
        <v>9250</v>
      </c>
      <c r="D222" s="1104">
        <f t="shared" si="2"/>
        <v>6475</v>
      </c>
      <c r="E222" s="1105">
        <f t="shared" si="11"/>
        <v>285586</v>
      </c>
      <c r="F222" s="1106">
        <f t="shared" si="3"/>
        <v>15.24</v>
      </c>
      <c r="G222" s="1106">
        <f t="shared" si="4"/>
        <v>15.24</v>
      </c>
      <c r="H222" s="1106">
        <f t="shared" si="5"/>
        <v>2.015</v>
      </c>
      <c r="I222" s="1106">
        <f t="shared" si="6"/>
        <v>21.304</v>
      </c>
      <c r="J222" s="1107">
        <f t="shared" si="7"/>
        <v>1</v>
      </c>
      <c r="K222" s="1107">
        <f t="shared" si="8"/>
        <v>1.1419</v>
      </c>
      <c r="L222" s="1107">
        <f t="shared" si="9"/>
        <v>1.1015</v>
      </c>
      <c r="M222" s="1107">
        <f t="shared" si="10"/>
        <v>2.88</v>
      </c>
      <c r="N222" s="1106">
        <f t="array" ref="N222">LET(
totalShards, F$10,
AtMax, OR(F$3&lt;$B222,totalShards&lt;$E222),
primeShards, $E222,
PrimeMulti, F222,
AssPer, F$4,
AssLevel, IF(AtMax,1,index(optimizer[Level],XMATCH(totalShards-primeShards,optimizer[Total discounted cost],-1,2))),
AssMulti,IF(F$16="",1,index(optimizer[cannonAssist],XMATCH(AssLevel,optimizer[Level],-1,2))),
TooLow, OR(AssLevel&lt;$F$18,$B222&lt;$F$15),
IF(OR(AtMax,TooLow), 0, PrimeMulti * (AssMulti)))</f>
        <v>0</v>
      </c>
      <c r="O222" s="1106">
        <f t="array" ref="O222">LET(
totalShards, G$10,
AtMax, OR(G$3&lt;$B222,totalShards&lt;$E222),
primeShards, $E222,
PrimeMulti, G222,
AssPer, G$4,
AssLevel, IF(AtMax,1,index(optimizer[Level],XMATCH(totalShards-primeShards,optimizer[Total discounted cost],-1,2))),
AssMulti,IF(G$16="",1,index(optimizer[armorAssist],XMATCH(AssLevel,optimizer[Level],-1,2))),
TooLow, OR(AssLevel&lt;$G$18,$B222&lt;$G$15),
IF(OR(AtMax,TooLow), 0, PrimeMulti * (AssMulti)))</f>
        <v>0</v>
      </c>
      <c r="P222" s="1106">
        <f t="array" ref="P222">LET(
totalShards, H$10,
AtMax, OR(H$3&lt;$B222,totalShards&lt;$E222),
primeShards, $E222,
PrimeMulti, H222,
AssPer, H$4,
AssLevel, IF(AtMax,1,index(optimizer[Level],XMATCH(totalShards-primeShards,optimizer[Total discounted cost],-1,2))),
AssMulti,IF(H$16="",1,index(optimizer[generatorAssist],XMATCH(AssLevel,optimizer[Level],-1,2))),
TooLow, OR(AssLevel&lt;$H$18,$B222&lt;$H$15),
IF(OR(AtMax,TooLow), 0, PrimeMulti * (AssMulti)))</f>
        <v>0</v>
      </c>
      <c r="Q222" s="1108">
        <f t="array" ref="Q222">LET(
totalShards, I$10,
AtMax, OR(I$3&lt;$B222,totalShards&lt;$E222),
primeShards, $E222,
PrimeMulti, I222,
AssPer, I$4,
AssLevel, IF(AtMax,1,index(optimizer[Level],XMATCH(totalShards-primeShards,optimizer[Total discounted cost],-1,2))),
AssMulti,IF(I$16="",1,index(optimizer[coreAssist],XMATCH(AssLevel,optimizer[Level],-1,2))),
TooLow, OR(AssLevel&lt;$I$18,$B222&lt;$I$15),
IF(OR(AtMax,TooLow), 0, PrimeMulti * (AssMulti)))</f>
        <v>0</v>
      </c>
    </row>
    <row r="223" ht="22.5" hidden="1" customHeight="1" outlineLevel="1">
      <c r="A223" s="1097"/>
      <c r="B223" s="1109">
        <v>196.0</v>
      </c>
      <c r="C223" s="1110">
        <f t="shared" si="12"/>
        <v>9375</v>
      </c>
      <c r="D223" s="1110">
        <f t="shared" si="2"/>
        <v>6563</v>
      </c>
      <c r="E223" s="1111">
        <f t="shared" si="11"/>
        <v>292149</v>
      </c>
      <c r="F223" s="1112">
        <f t="shared" si="3"/>
        <v>15.44</v>
      </c>
      <c r="G223" s="1112">
        <f t="shared" si="4"/>
        <v>15.44</v>
      </c>
      <c r="H223" s="1112">
        <f t="shared" si="5"/>
        <v>2.025</v>
      </c>
      <c r="I223" s="1112">
        <f t="shared" si="6"/>
        <v>21.574</v>
      </c>
      <c r="J223" s="1113">
        <f t="shared" si="7"/>
        <v>1</v>
      </c>
      <c r="K223" s="1107">
        <f t="shared" si="8"/>
        <v>1.1439</v>
      </c>
      <c r="L223" s="1107">
        <f t="shared" si="9"/>
        <v>1.1025</v>
      </c>
      <c r="M223" s="1107">
        <f t="shared" si="10"/>
        <v>2.905</v>
      </c>
      <c r="N223" s="1106">
        <f t="array" ref="N223">LET(
totalShards, F$10,
AtMax, OR(F$3&lt;$B223,totalShards&lt;$E223),
primeShards, $E223,
PrimeMulti, F223,
AssPer, F$4,
AssLevel, IF(AtMax,1,index(optimizer[Level],XMATCH(totalShards-primeShards,optimizer[Total discounted cost],-1,2))),
AssMulti,IF(F$16="",1,index(optimizer[cannonAssist],XMATCH(AssLevel,optimizer[Level],-1,2))),
TooLow, OR(AssLevel&lt;$F$18,$B223&lt;$F$15),
IF(OR(AtMax,TooLow), 0, PrimeMulti * (AssMulti)))</f>
        <v>0</v>
      </c>
      <c r="O223" s="1112">
        <f t="array" ref="O223">LET(
totalShards, G$10,
AtMax, OR(G$3&lt;$B223,totalShards&lt;$E223),
primeShards, $E223,
PrimeMulti, G223,
AssPer, G$4,
AssLevel, IF(AtMax,1,index(optimizer[Level],XMATCH(totalShards-primeShards,optimizer[Total discounted cost],-1,2))),
AssMulti,IF(G$16="",1,index(optimizer[armorAssist],XMATCH(AssLevel,optimizer[Level],-1,2))),
TooLow, OR(AssLevel&lt;$G$18,$B223&lt;$G$15),
IF(OR(AtMax,TooLow), 0, PrimeMulti * (AssMulti)))</f>
        <v>0</v>
      </c>
      <c r="P223" s="1112">
        <f t="array" ref="P223">LET(
totalShards, H$10,
AtMax, OR(H$3&lt;$B223,totalShards&lt;$E223),
primeShards, $E223,
PrimeMulti, H223,
AssPer, H$4,
AssLevel, IF(AtMax,1,index(optimizer[Level],XMATCH(totalShards-primeShards,optimizer[Total discounted cost],-1,2))),
AssMulti,IF(H$16="",1,index(optimizer[generatorAssist],XMATCH(AssLevel,optimizer[Level],-1,2))),
TooLow, OR(AssLevel&lt;$H$18,$B223&lt;$H$15),
IF(OR(AtMax,TooLow), 0, PrimeMulti * (AssMulti)))</f>
        <v>0</v>
      </c>
      <c r="Q223" s="1114">
        <f t="array" ref="Q223">LET(
totalShards, I$10,
AtMax, OR(I$3&lt;$B223,totalShards&lt;$E223),
primeShards, $E223,
PrimeMulti, I223,
AssPer, I$4,
AssLevel, IF(AtMax,1,index(optimizer[Level],XMATCH(totalShards-primeShards,optimizer[Total discounted cost],-1,2))),
AssMulti,IF(I$16="",1,index(optimizer[coreAssist],XMATCH(AssLevel,optimizer[Level],-1,2))),
TooLow, OR(AssLevel&lt;$I$18,$B223&lt;$I$15),
IF(OR(AtMax,TooLow), 0, PrimeMulti * (AssMulti)))</f>
        <v>0</v>
      </c>
    </row>
    <row r="224" ht="22.5" hidden="1" customHeight="1" outlineLevel="1">
      <c r="A224" s="1097"/>
      <c r="B224" s="1103">
        <v>197.0</v>
      </c>
      <c r="C224" s="1104">
        <f t="shared" si="12"/>
        <v>9500</v>
      </c>
      <c r="D224" s="1104">
        <f t="shared" si="2"/>
        <v>6650</v>
      </c>
      <c r="E224" s="1105">
        <f t="shared" si="11"/>
        <v>298799</v>
      </c>
      <c r="F224" s="1106">
        <f t="shared" si="3"/>
        <v>15.64</v>
      </c>
      <c r="G224" s="1106">
        <f t="shared" si="4"/>
        <v>15.64</v>
      </c>
      <c r="H224" s="1106">
        <f t="shared" si="5"/>
        <v>2.035</v>
      </c>
      <c r="I224" s="1106">
        <f t="shared" si="6"/>
        <v>21.844</v>
      </c>
      <c r="J224" s="1107">
        <f t="shared" si="7"/>
        <v>1</v>
      </c>
      <c r="K224" s="1107">
        <f t="shared" si="8"/>
        <v>1.1459</v>
      </c>
      <c r="L224" s="1107">
        <f t="shared" si="9"/>
        <v>1.1035</v>
      </c>
      <c r="M224" s="1107">
        <f t="shared" si="10"/>
        <v>2.93</v>
      </c>
      <c r="N224" s="1106">
        <f t="array" ref="N224">LET(
totalShards, F$10,
AtMax, OR(F$3&lt;$B224,totalShards&lt;$E224),
primeShards, $E224,
PrimeMulti, F224,
AssPer, F$4,
AssLevel, IF(AtMax,1,index(optimizer[Level],XMATCH(totalShards-primeShards,optimizer[Total discounted cost],-1,2))),
AssMulti,IF(F$16="",1,index(optimizer[cannonAssist],XMATCH(AssLevel,optimizer[Level],-1,2))),
TooLow, OR(AssLevel&lt;$F$18,$B224&lt;$F$15),
IF(OR(AtMax,TooLow), 0, PrimeMulti * (AssMulti)))</f>
        <v>0</v>
      </c>
      <c r="O224" s="1106">
        <f t="array" ref="O224">LET(
totalShards, G$10,
AtMax, OR(G$3&lt;$B224,totalShards&lt;$E224),
primeShards, $E224,
PrimeMulti, G224,
AssPer, G$4,
AssLevel, IF(AtMax,1,index(optimizer[Level],XMATCH(totalShards-primeShards,optimizer[Total discounted cost],-1,2))),
AssMulti,IF(G$16="",1,index(optimizer[armorAssist],XMATCH(AssLevel,optimizer[Level],-1,2))),
TooLow, OR(AssLevel&lt;$G$18,$B224&lt;$G$15),
IF(OR(AtMax,TooLow), 0, PrimeMulti * (AssMulti)))</f>
        <v>0</v>
      </c>
      <c r="P224" s="1106">
        <f t="array" ref="P224">LET(
totalShards, H$10,
AtMax, OR(H$3&lt;$B224,totalShards&lt;$E224),
primeShards, $E224,
PrimeMulti, H224,
AssPer, H$4,
AssLevel, IF(AtMax,1,index(optimizer[Level],XMATCH(totalShards-primeShards,optimizer[Total discounted cost],-1,2))),
AssMulti,IF(H$16="",1,index(optimizer[generatorAssist],XMATCH(AssLevel,optimizer[Level],-1,2))),
TooLow, OR(AssLevel&lt;$H$18,$B224&lt;$H$15),
IF(OR(AtMax,TooLow), 0, PrimeMulti * (AssMulti)))</f>
        <v>0</v>
      </c>
      <c r="Q224" s="1108">
        <f t="array" ref="Q224">LET(
totalShards, I$10,
AtMax, OR(I$3&lt;$B224,totalShards&lt;$E224),
primeShards, $E224,
PrimeMulti, I224,
AssPer, I$4,
AssLevel, IF(AtMax,1,index(optimizer[Level],XMATCH(totalShards-primeShards,optimizer[Total discounted cost],-1,2))),
AssMulti,IF(I$16="",1,index(optimizer[coreAssist],XMATCH(AssLevel,optimizer[Level],-1,2))),
TooLow, OR(AssLevel&lt;$I$18,$B224&lt;$I$15),
IF(OR(AtMax,TooLow), 0, PrimeMulti * (AssMulti)))</f>
        <v>0</v>
      </c>
    </row>
    <row r="225" ht="22.5" hidden="1" customHeight="1" outlineLevel="1">
      <c r="A225" s="1097"/>
      <c r="B225" s="1109">
        <v>198.0</v>
      </c>
      <c r="C225" s="1110">
        <f t="shared" si="12"/>
        <v>9625</v>
      </c>
      <c r="D225" s="1110">
        <f t="shared" si="2"/>
        <v>6738</v>
      </c>
      <c r="E225" s="1111">
        <f t="shared" si="11"/>
        <v>305537</v>
      </c>
      <c r="F225" s="1112">
        <f t="shared" si="3"/>
        <v>15.84</v>
      </c>
      <c r="G225" s="1112">
        <f t="shared" si="4"/>
        <v>15.84</v>
      </c>
      <c r="H225" s="1112">
        <f t="shared" si="5"/>
        <v>2.045</v>
      </c>
      <c r="I225" s="1112">
        <f t="shared" si="6"/>
        <v>22.114</v>
      </c>
      <c r="J225" s="1113">
        <f t="shared" si="7"/>
        <v>1</v>
      </c>
      <c r="K225" s="1107">
        <f t="shared" si="8"/>
        <v>1.1479</v>
      </c>
      <c r="L225" s="1107">
        <f t="shared" si="9"/>
        <v>1.1045</v>
      </c>
      <c r="M225" s="1107">
        <f t="shared" si="10"/>
        <v>2.955</v>
      </c>
      <c r="N225" s="1106">
        <f t="array" ref="N225">LET(
totalShards, F$10,
AtMax, OR(F$3&lt;$B225,totalShards&lt;$E225),
primeShards, $E225,
PrimeMulti, F225,
AssPer, F$4,
AssLevel, IF(AtMax,1,index(optimizer[Level],XMATCH(totalShards-primeShards,optimizer[Total discounted cost],-1,2))),
AssMulti,IF(F$16="",1,index(optimizer[cannonAssist],XMATCH(AssLevel,optimizer[Level],-1,2))),
TooLow, OR(AssLevel&lt;$F$18,$B225&lt;$F$15),
IF(OR(AtMax,TooLow), 0, PrimeMulti * (AssMulti)))</f>
        <v>0</v>
      </c>
      <c r="O225" s="1112">
        <f t="array" ref="O225">LET(
totalShards, G$10,
AtMax, OR(G$3&lt;$B225,totalShards&lt;$E225),
primeShards, $E225,
PrimeMulti, G225,
AssPer, G$4,
AssLevel, IF(AtMax,1,index(optimizer[Level],XMATCH(totalShards-primeShards,optimizer[Total discounted cost],-1,2))),
AssMulti,IF(G$16="",1,index(optimizer[armorAssist],XMATCH(AssLevel,optimizer[Level],-1,2))),
TooLow, OR(AssLevel&lt;$G$18,$B225&lt;$G$15),
IF(OR(AtMax,TooLow), 0, PrimeMulti * (AssMulti)))</f>
        <v>0</v>
      </c>
      <c r="P225" s="1112">
        <f t="array" ref="P225">LET(
totalShards, H$10,
AtMax, OR(H$3&lt;$B225,totalShards&lt;$E225),
primeShards, $E225,
PrimeMulti, H225,
AssPer, H$4,
AssLevel, IF(AtMax,1,index(optimizer[Level],XMATCH(totalShards-primeShards,optimizer[Total discounted cost],-1,2))),
AssMulti,IF(H$16="",1,index(optimizer[generatorAssist],XMATCH(AssLevel,optimizer[Level],-1,2))),
TooLow, OR(AssLevel&lt;$H$18,$B225&lt;$H$15),
IF(OR(AtMax,TooLow), 0, PrimeMulti * (AssMulti)))</f>
        <v>0</v>
      </c>
      <c r="Q225" s="1114">
        <f t="array" ref="Q225">LET(
totalShards, I$10,
AtMax, OR(I$3&lt;$B225,totalShards&lt;$E225),
primeShards, $E225,
PrimeMulti, I225,
AssPer, I$4,
AssLevel, IF(AtMax,1,index(optimizer[Level],XMATCH(totalShards-primeShards,optimizer[Total discounted cost],-1,2))),
AssMulti,IF(I$16="",1,index(optimizer[coreAssist],XMATCH(AssLevel,optimizer[Level],-1,2))),
TooLow, OR(AssLevel&lt;$I$18,$B225&lt;$I$15),
IF(OR(AtMax,TooLow), 0, PrimeMulti * (AssMulti)))</f>
        <v>0</v>
      </c>
    </row>
    <row r="226" ht="22.5" hidden="1" customHeight="1" outlineLevel="1">
      <c r="A226" s="1097"/>
      <c r="B226" s="1103">
        <v>199.0</v>
      </c>
      <c r="C226" s="1104">
        <f t="shared" si="12"/>
        <v>9750</v>
      </c>
      <c r="D226" s="1104">
        <f t="shared" si="2"/>
        <v>6825</v>
      </c>
      <c r="E226" s="1105">
        <f t="shared" si="11"/>
        <v>312362</v>
      </c>
      <c r="F226" s="1106">
        <f t="shared" si="3"/>
        <v>16.04</v>
      </c>
      <c r="G226" s="1106">
        <f t="shared" si="4"/>
        <v>16.04</v>
      </c>
      <c r="H226" s="1106">
        <f t="shared" si="5"/>
        <v>2.055</v>
      </c>
      <c r="I226" s="1106">
        <f t="shared" si="6"/>
        <v>22.384</v>
      </c>
      <c r="J226" s="1107">
        <f t="shared" si="7"/>
        <v>1</v>
      </c>
      <c r="K226" s="1107">
        <f t="shared" si="8"/>
        <v>1.1499</v>
      </c>
      <c r="L226" s="1107">
        <f t="shared" si="9"/>
        <v>1.1055</v>
      </c>
      <c r="M226" s="1107">
        <f t="shared" si="10"/>
        <v>2.98</v>
      </c>
      <c r="N226" s="1106">
        <f t="array" ref="N226">LET(
totalShards, F$10,
AtMax, OR(F$3&lt;$B226,totalShards&lt;$E226),
primeShards, $E226,
PrimeMulti, F226,
AssPer, F$4,
AssLevel, IF(AtMax,1,index(optimizer[Level],XMATCH(totalShards-primeShards,optimizer[Total discounted cost],-1,2))),
AssMulti,IF(F$16="",1,index(optimizer[cannonAssist],XMATCH(AssLevel,optimizer[Level],-1,2))),
TooLow, OR(AssLevel&lt;$F$18,$B226&lt;$F$15),
IF(OR(AtMax,TooLow), 0, PrimeMulti * (AssMulti)))</f>
        <v>0</v>
      </c>
      <c r="O226" s="1106">
        <f t="array" ref="O226">LET(
totalShards, G$10,
AtMax, OR(G$3&lt;$B226,totalShards&lt;$E226),
primeShards, $E226,
PrimeMulti, G226,
AssPer, G$4,
AssLevel, IF(AtMax,1,index(optimizer[Level],XMATCH(totalShards-primeShards,optimizer[Total discounted cost],-1,2))),
AssMulti,IF(G$16="",1,index(optimizer[armorAssist],XMATCH(AssLevel,optimizer[Level],-1,2))),
TooLow, OR(AssLevel&lt;$G$18,$B226&lt;$G$15),
IF(OR(AtMax,TooLow), 0, PrimeMulti * (AssMulti)))</f>
        <v>0</v>
      </c>
      <c r="P226" s="1106">
        <f t="array" ref="P226">LET(
totalShards, H$10,
AtMax, OR(H$3&lt;$B226,totalShards&lt;$E226),
primeShards, $E226,
PrimeMulti, H226,
AssPer, H$4,
AssLevel, IF(AtMax,1,index(optimizer[Level],XMATCH(totalShards-primeShards,optimizer[Total discounted cost],-1,2))),
AssMulti,IF(H$16="",1,index(optimizer[generatorAssist],XMATCH(AssLevel,optimizer[Level],-1,2))),
TooLow, OR(AssLevel&lt;$H$18,$B226&lt;$H$15),
IF(OR(AtMax,TooLow), 0, PrimeMulti * (AssMulti)))</f>
        <v>0</v>
      </c>
      <c r="Q226" s="1108">
        <f t="array" ref="Q226">LET(
totalShards, I$10,
AtMax, OR(I$3&lt;$B226,totalShards&lt;$E226),
primeShards, $E226,
PrimeMulti, I226,
AssPer, I$4,
AssLevel, IF(AtMax,1,index(optimizer[Level],XMATCH(totalShards-primeShards,optimizer[Total discounted cost],-1,2))),
AssMulti,IF(I$16="",1,index(optimizer[coreAssist],XMATCH(AssLevel,optimizer[Level],-1,2))),
TooLow, OR(AssLevel&lt;$I$18,$B226&lt;$I$15),
IF(OR(AtMax,TooLow), 0, PrimeMulti * (AssMulti)))</f>
        <v>0</v>
      </c>
    </row>
    <row r="227" ht="22.5" hidden="1" customHeight="1" outlineLevel="1">
      <c r="A227" s="1097"/>
      <c r="B227" s="1109">
        <v>200.0</v>
      </c>
      <c r="C227" s="1110">
        <f t="shared" si="12"/>
        <v>9875</v>
      </c>
      <c r="D227" s="1110">
        <f t="shared" si="2"/>
        <v>6913</v>
      </c>
      <c r="E227" s="1111">
        <f t="shared" si="11"/>
        <v>319275</v>
      </c>
      <c r="F227" s="1112">
        <f t="shared" si="3"/>
        <v>16.24</v>
      </c>
      <c r="G227" s="1112">
        <f t="shared" si="4"/>
        <v>16.24</v>
      </c>
      <c r="H227" s="1112">
        <f t="shared" si="5"/>
        <v>2.065</v>
      </c>
      <c r="I227" s="1112">
        <f t="shared" si="6"/>
        <v>22.654</v>
      </c>
      <c r="J227" s="1113">
        <f t="shared" si="7"/>
        <v>1</v>
      </c>
      <c r="K227" s="1107">
        <f t="shared" si="8"/>
        <v>1.1519</v>
      </c>
      <c r="L227" s="1107">
        <f t="shared" si="9"/>
        <v>1.1065</v>
      </c>
      <c r="M227" s="1107">
        <f t="shared" si="10"/>
        <v>3.005</v>
      </c>
      <c r="N227" s="1106">
        <f t="array" ref="N227">LET(
totalShards, F$10,
AtMax, OR(F$3&lt;$B227,totalShards&lt;$E227),
primeShards, $E227,
PrimeMulti, F227,
AssPer, F$4,
AssLevel, IF(AtMax,1,index(optimizer[Level],XMATCH(totalShards-primeShards,optimizer[Total discounted cost],-1,2))),
AssMulti,IF(F$16="",1,index(optimizer[cannonAssist],XMATCH(AssLevel,optimizer[Level],-1,2))),
TooLow, OR(AssLevel&lt;$F$18,$B227&lt;$F$15),
IF(OR(AtMax,TooLow), 0, PrimeMulti * (AssMulti)))</f>
        <v>0</v>
      </c>
      <c r="O227" s="1112">
        <f t="array" ref="O227">LET(
totalShards, G$10,
AtMax, OR(G$3&lt;$B227,totalShards&lt;$E227),
primeShards, $E227,
PrimeMulti, G227,
AssPer, G$4,
AssLevel, IF(AtMax,1,index(optimizer[Level],XMATCH(totalShards-primeShards,optimizer[Total discounted cost],-1,2))),
AssMulti,IF(G$16="",1,index(optimizer[armorAssist],XMATCH(AssLevel,optimizer[Level],-1,2))),
TooLow, OR(AssLevel&lt;$G$18,$B227&lt;$G$15),
IF(OR(AtMax,TooLow), 0, PrimeMulti * (AssMulti)))</f>
        <v>0</v>
      </c>
      <c r="P227" s="1112">
        <f t="array" ref="P227">LET(
totalShards, H$10,
AtMax, OR(H$3&lt;$B227,totalShards&lt;$E227),
primeShards, $E227,
PrimeMulti, H227,
AssPer, H$4,
AssLevel, IF(AtMax,1,index(optimizer[Level],XMATCH(totalShards-primeShards,optimizer[Total discounted cost],-1,2))),
AssMulti,IF(H$16="",1,index(optimizer[generatorAssist],XMATCH(AssLevel,optimizer[Level],-1,2))),
TooLow, OR(AssLevel&lt;$H$18,$B227&lt;$H$15),
IF(OR(AtMax,TooLow), 0, PrimeMulti * (AssMulti)))</f>
        <v>0</v>
      </c>
      <c r="Q227" s="1114">
        <f t="array" ref="Q227">LET(
totalShards, I$10,
AtMax, OR(I$3&lt;$B227,totalShards&lt;$E227),
primeShards, $E227,
PrimeMulti, I227,
AssPer, I$4,
AssLevel, IF(AtMax,1,index(optimizer[Level],XMATCH(totalShards-primeShards,optimizer[Total discounted cost],-1,2))),
AssMulti,IF(I$16="",1,index(optimizer[coreAssist],XMATCH(AssLevel,optimizer[Level],-1,2))),
TooLow, OR(AssLevel&lt;$I$18,$B227&lt;$I$15),
IF(OR(AtMax,TooLow), 0, PrimeMulti * (AssMulti)))</f>
        <v>0</v>
      </c>
    </row>
    <row r="228" ht="22.5" hidden="1" customHeight="1" outlineLevel="1">
      <c r="A228" s="1097"/>
      <c r="B228" s="1103">
        <v>201.0</v>
      </c>
      <c r="C228" s="1104">
        <f t="shared" si="12"/>
        <v>10000</v>
      </c>
      <c r="D228" s="1104">
        <f t="shared" si="2"/>
        <v>7000</v>
      </c>
      <c r="E228" s="1105">
        <f t="shared" si="11"/>
        <v>326275</v>
      </c>
      <c r="F228" s="1106">
        <f t="shared" si="3"/>
        <v>16.44</v>
      </c>
      <c r="G228" s="1106">
        <f t="shared" si="4"/>
        <v>16.44</v>
      </c>
      <c r="H228" s="1106">
        <f t="shared" si="5"/>
        <v>2.075</v>
      </c>
      <c r="I228" s="1106">
        <f t="shared" si="6"/>
        <v>22.924</v>
      </c>
      <c r="J228" s="1107">
        <f t="shared" si="7"/>
        <v>1</v>
      </c>
      <c r="K228" s="1107">
        <f t="shared" si="8"/>
        <v>1.1539</v>
      </c>
      <c r="L228" s="1107">
        <f t="shared" si="9"/>
        <v>1.1075</v>
      </c>
      <c r="M228" s="1107">
        <f t="shared" si="10"/>
        <v>3.03</v>
      </c>
      <c r="N228" s="1106">
        <f t="array" ref="N228">LET(
totalShards, F$10,
AtMax, OR(F$3&lt;$B228,totalShards&lt;$E228),
primeShards, $E228,
PrimeMulti, F228,
AssPer, F$4,
AssLevel, IF(AtMax,1,index(optimizer[Level],XMATCH(totalShards-primeShards,optimizer[Total discounted cost],-1,2))),
AssMulti,IF(F$16="",1,index(optimizer[cannonAssist],XMATCH(AssLevel,optimizer[Level],-1,2))),
TooLow, OR(AssLevel&lt;$F$18,$B228&lt;$F$15),
IF(OR(AtMax,TooLow), 0, PrimeMulti * (AssMulti)))</f>
        <v>0</v>
      </c>
      <c r="O228" s="1106">
        <f t="array" ref="O228">LET(
totalShards, G$10,
AtMax, OR(G$3&lt;$B228,totalShards&lt;$E228),
primeShards, $E228,
PrimeMulti, G228,
AssPer, G$4,
AssLevel, IF(AtMax,1,index(optimizer[Level],XMATCH(totalShards-primeShards,optimizer[Total discounted cost],-1,2))),
AssMulti,IF(G$16="",1,index(optimizer[armorAssist],XMATCH(AssLevel,optimizer[Level],-1,2))),
TooLow, OR(AssLevel&lt;$G$18,$B228&lt;$G$15),
IF(OR(AtMax,TooLow), 0, PrimeMulti * (AssMulti)))</f>
        <v>0</v>
      </c>
      <c r="P228" s="1106">
        <f t="array" ref="P228">LET(
totalShards, H$10,
AtMax, OR(H$3&lt;$B228,totalShards&lt;$E228),
primeShards, $E228,
PrimeMulti, H228,
AssPer, H$4,
AssLevel, IF(AtMax,1,index(optimizer[Level],XMATCH(totalShards-primeShards,optimizer[Total discounted cost],-1,2))),
AssMulti,IF(H$16="",1,index(optimizer[generatorAssist],XMATCH(AssLevel,optimizer[Level],-1,2))),
TooLow, OR(AssLevel&lt;$H$18,$B228&lt;$H$15),
IF(OR(AtMax,TooLow), 0, PrimeMulti * (AssMulti)))</f>
        <v>0</v>
      </c>
      <c r="Q228" s="1108">
        <f t="array" ref="Q228">LET(
totalShards, I$10,
AtMax, OR(I$3&lt;$B228,totalShards&lt;$E228),
primeShards, $E228,
PrimeMulti, I228,
AssPer, I$4,
AssLevel, IF(AtMax,1,index(optimizer[Level],XMATCH(totalShards-primeShards,optimizer[Total discounted cost],-1,2))),
AssMulti,IF(I$16="",1,index(optimizer[coreAssist],XMATCH(AssLevel,optimizer[Level],-1,2))),
TooLow, OR(AssLevel&lt;$I$18,$B228&lt;$I$15),
IF(OR(AtMax,TooLow), 0, PrimeMulti * (AssMulti)))</f>
        <v>0</v>
      </c>
    </row>
    <row r="229" ht="22.5" hidden="1" customHeight="1" outlineLevel="1">
      <c r="A229" s="1097"/>
      <c r="B229" s="1109">
        <v>202.0</v>
      </c>
      <c r="C229" s="1110">
        <f t="shared" ref="C229:C268" si="13">C228+250</f>
        <v>10250</v>
      </c>
      <c r="D229" s="1110">
        <f t="shared" si="2"/>
        <v>7175</v>
      </c>
      <c r="E229" s="1111">
        <f t="shared" si="11"/>
        <v>333450</v>
      </c>
      <c r="F229" s="1112">
        <f t="shared" si="3"/>
        <v>16.64</v>
      </c>
      <c r="G229" s="1112">
        <f t="shared" si="4"/>
        <v>16.64</v>
      </c>
      <c r="H229" s="1112">
        <f t="shared" si="5"/>
        <v>2.085</v>
      </c>
      <c r="I229" s="1112">
        <f t="shared" si="6"/>
        <v>23.194</v>
      </c>
      <c r="J229" s="1113">
        <f t="shared" si="7"/>
        <v>1</v>
      </c>
      <c r="K229" s="1107">
        <f t="shared" si="8"/>
        <v>1.1559</v>
      </c>
      <c r="L229" s="1107">
        <f t="shared" si="9"/>
        <v>1.1085</v>
      </c>
      <c r="M229" s="1107">
        <f t="shared" si="10"/>
        <v>3.055</v>
      </c>
      <c r="N229" s="1106">
        <f t="array" ref="N229">LET(
totalShards, F$10,
AtMax, OR(F$3&lt;$B229,totalShards&lt;$E229),
primeShards, $E229,
PrimeMulti, F229,
AssPer, F$4,
AssLevel, IF(AtMax,1,index(optimizer[Level],XMATCH(totalShards-primeShards,optimizer[Total discounted cost],-1,2))),
AssMulti,IF(F$16="",1,index(optimizer[cannonAssist],XMATCH(AssLevel,optimizer[Level],-1,2))),
TooLow, OR(AssLevel&lt;$F$18,$B229&lt;$F$15),
IF(OR(AtMax,TooLow), 0, PrimeMulti * (AssMulti)))</f>
        <v>0</v>
      </c>
      <c r="O229" s="1112">
        <f t="array" ref="O229">LET(
totalShards, G$10,
AtMax, OR(G$3&lt;$B229,totalShards&lt;$E229),
primeShards, $E229,
PrimeMulti, G229,
AssPer, G$4,
AssLevel, IF(AtMax,1,index(optimizer[Level],XMATCH(totalShards-primeShards,optimizer[Total discounted cost],-1,2))),
AssMulti,IF(G$16="",1,index(optimizer[armorAssist],XMATCH(AssLevel,optimizer[Level],-1,2))),
TooLow, OR(AssLevel&lt;$G$18,$B229&lt;$G$15),
IF(OR(AtMax,TooLow), 0, PrimeMulti * (AssMulti)))</f>
        <v>0</v>
      </c>
      <c r="P229" s="1112">
        <f t="array" ref="P229">LET(
totalShards, H$10,
AtMax, OR(H$3&lt;$B229,totalShards&lt;$E229),
primeShards, $E229,
PrimeMulti, H229,
AssPer, H$4,
AssLevel, IF(AtMax,1,index(optimizer[Level],XMATCH(totalShards-primeShards,optimizer[Total discounted cost],-1,2))),
AssMulti,IF(H$16="",1,index(optimizer[generatorAssist],XMATCH(AssLevel,optimizer[Level],-1,2))),
TooLow, OR(AssLevel&lt;$H$18,$B229&lt;$H$15),
IF(OR(AtMax,TooLow), 0, PrimeMulti * (AssMulti)))</f>
        <v>0</v>
      </c>
      <c r="Q229" s="1114">
        <f t="array" ref="Q229">LET(
totalShards, I$10,
AtMax, OR(I$3&lt;$B229,totalShards&lt;$E229),
primeShards, $E229,
PrimeMulti, I229,
AssPer, I$4,
AssLevel, IF(AtMax,1,index(optimizer[Level],XMATCH(totalShards-primeShards,optimizer[Total discounted cost],-1,2))),
AssMulti,IF(I$16="",1,index(optimizer[coreAssist],XMATCH(AssLevel,optimizer[Level],-1,2))),
TooLow, OR(AssLevel&lt;$I$18,$B229&lt;$I$15),
IF(OR(AtMax,TooLow), 0, PrimeMulti * (AssMulti)))</f>
        <v>0</v>
      </c>
    </row>
    <row r="230" ht="22.5" hidden="1" customHeight="1" outlineLevel="1">
      <c r="A230" s="1097"/>
      <c r="B230" s="1103">
        <v>203.0</v>
      </c>
      <c r="C230" s="1104">
        <f t="shared" si="13"/>
        <v>10500</v>
      </c>
      <c r="D230" s="1104">
        <f t="shared" si="2"/>
        <v>7350</v>
      </c>
      <c r="E230" s="1105">
        <f t="shared" si="11"/>
        <v>340800</v>
      </c>
      <c r="F230" s="1106">
        <f t="shared" si="3"/>
        <v>16.84</v>
      </c>
      <c r="G230" s="1106">
        <f t="shared" si="4"/>
        <v>16.84</v>
      </c>
      <c r="H230" s="1106">
        <f t="shared" si="5"/>
        <v>2.095</v>
      </c>
      <c r="I230" s="1106">
        <f t="shared" si="6"/>
        <v>23.464</v>
      </c>
      <c r="J230" s="1107">
        <f t="shared" si="7"/>
        <v>1</v>
      </c>
      <c r="K230" s="1107">
        <f t="shared" si="8"/>
        <v>1.1579</v>
      </c>
      <c r="L230" s="1107">
        <f t="shared" si="9"/>
        <v>1.1095</v>
      </c>
      <c r="M230" s="1107">
        <f t="shared" si="10"/>
        <v>3.08</v>
      </c>
      <c r="N230" s="1106">
        <f t="array" ref="N230">LET(
totalShards, F$10,
AtMax, OR(F$3&lt;$B230,totalShards&lt;$E230),
primeShards, $E230,
PrimeMulti, F230,
AssPer, F$4,
AssLevel, IF(AtMax,1,index(optimizer[Level],XMATCH(totalShards-primeShards,optimizer[Total discounted cost],-1,2))),
AssMulti,IF(F$16="",1,index(optimizer[cannonAssist],XMATCH(AssLevel,optimizer[Level],-1,2))),
TooLow, OR(AssLevel&lt;$F$18,$B230&lt;$F$15),
IF(OR(AtMax,TooLow), 0, PrimeMulti * (AssMulti)))</f>
        <v>0</v>
      </c>
      <c r="O230" s="1106">
        <f t="array" ref="O230">LET(
totalShards, G$10,
AtMax, OR(G$3&lt;$B230,totalShards&lt;$E230),
primeShards, $E230,
PrimeMulti, G230,
AssPer, G$4,
AssLevel, IF(AtMax,1,index(optimizer[Level],XMATCH(totalShards-primeShards,optimizer[Total discounted cost],-1,2))),
AssMulti,IF(G$16="",1,index(optimizer[armorAssist],XMATCH(AssLevel,optimizer[Level],-1,2))),
TooLow, OR(AssLevel&lt;$G$18,$B230&lt;$G$15),
IF(OR(AtMax,TooLow), 0, PrimeMulti * (AssMulti)))</f>
        <v>0</v>
      </c>
      <c r="P230" s="1106">
        <f t="array" ref="P230">LET(
totalShards, H$10,
AtMax, OR(H$3&lt;$B230,totalShards&lt;$E230),
primeShards, $E230,
PrimeMulti, H230,
AssPer, H$4,
AssLevel, IF(AtMax,1,index(optimizer[Level],XMATCH(totalShards-primeShards,optimizer[Total discounted cost],-1,2))),
AssMulti,IF(H$16="",1,index(optimizer[generatorAssist],XMATCH(AssLevel,optimizer[Level],-1,2))),
TooLow, OR(AssLevel&lt;$H$18,$B230&lt;$H$15),
IF(OR(AtMax,TooLow), 0, PrimeMulti * (AssMulti)))</f>
        <v>0</v>
      </c>
      <c r="Q230" s="1108">
        <f t="array" ref="Q230">LET(
totalShards, I$10,
AtMax, OR(I$3&lt;$B230,totalShards&lt;$E230),
primeShards, $E230,
PrimeMulti, I230,
AssPer, I$4,
AssLevel, IF(AtMax,1,index(optimizer[Level],XMATCH(totalShards-primeShards,optimizer[Total discounted cost],-1,2))),
AssMulti,IF(I$16="",1,index(optimizer[coreAssist],XMATCH(AssLevel,optimizer[Level],-1,2))),
TooLow, OR(AssLevel&lt;$I$18,$B230&lt;$I$15),
IF(OR(AtMax,TooLow), 0, PrimeMulti * (AssMulti)))</f>
        <v>0</v>
      </c>
    </row>
    <row r="231" ht="22.5" hidden="1" customHeight="1" outlineLevel="1">
      <c r="A231" s="1097"/>
      <c r="B231" s="1109">
        <v>204.0</v>
      </c>
      <c r="C231" s="1110">
        <f t="shared" si="13"/>
        <v>10750</v>
      </c>
      <c r="D231" s="1110">
        <f t="shared" si="2"/>
        <v>7525</v>
      </c>
      <c r="E231" s="1111">
        <f t="shared" si="11"/>
        <v>348325</v>
      </c>
      <c r="F231" s="1112">
        <f t="shared" si="3"/>
        <v>17.04</v>
      </c>
      <c r="G231" s="1112">
        <f t="shared" si="4"/>
        <v>17.04</v>
      </c>
      <c r="H231" s="1112">
        <f t="shared" si="5"/>
        <v>2.105</v>
      </c>
      <c r="I231" s="1112">
        <f t="shared" si="6"/>
        <v>23.734</v>
      </c>
      <c r="J231" s="1113">
        <f t="shared" si="7"/>
        <v>1</v>
      </c>
      <c r="K231" s="1107">
        <f t="shared" si="8"/>
        <v>1.1599</v>
      </c>
      <c r="L231" s="1107">
        <f t="shared" si="9"/>
        <v>1.1105</v>
      </c>
      <c r="M231" s="1107">
        <f t="shared" si="10"/>
        <v>3.105</v>
      </c>
      <c r="N231" s="1106">
        <f t="array" ref="N231">LET(
totalShards, F$10,
AtMax, OR(F$3&lt;$B231,totalShards&lt;$E231),
primeShards, $E231,
PrimeMulti, F231,
AssPer, F$4,
AssLevel, IF(AtMax,1,index(optimizer[Level],XMATCH(totalShards-primeShards,optimizer[Total discounted cost],-1,2))),
AssMulti,IF(F$16="",1,index(optimizer[cannonAssist],XMATCH(AssLevel,optimizer[Level],-1,2))),
TooLow, OR(AssLevel&lt;$F$18,$B231&lt;$F$15),
IF(OR(AtMax,TooLow), 0, PrimeMulti * (AssMulti)))</f>
        <v>0</v>
      </c>
      <c r="O231" s="1112">
        <f t="array" ref="O231">LET(
totalShards, G$10,
AtMax, OR(G$3&lt;$B231,totalShards&lt;$E231),
primeShards, $E231,
PrimeMulti, G231,
AssPer, G$4,
AssLevel, IF(AtMax,1,index(optimizer[Level],XMATCH(totalShards-primeShards,optimizer[Total discounted cost],-1,2))),
AssMulti,IF(G$16="",1,index(optimizer[armorAssist],XMATCH(AssLevel,optimizer[Level],-1,2))),
TooLow, OR(AssLevel&lt;$G$18,$B231&lt;$G$15),
IF(OR(AtMax,TooLow), 0, PrimeMulti * (AssMulti)))</f>
        <v>0</v>
      </c>
      <c r="P231" s="1112">
        <f t="array" ref="P231">LET(
totalShards, H$10,
AtMax, OR(H$3&lt;$B231,totalShards&lt;$E231),
primeShards, $E231,
PrimeMulti, H231,
AssPer, H$4,
AssLevel, IF(AtMax,1,index(optimizer[Level],XMATCH(totalShards-primeShards,optimizer[Total discounted cost],-1,2))),
AssMulti,IF(H$16="",1,index(optimizer[generatorAssist],XMATCH(AssLevel,optimizer[Level],-1,2))),
TooLow, OR(AssLevel&lt;$H$18,$B231&lt;$H$15),
IF(OR(AtMax,TooLow), 0, PrimeMulti * (AssMulti)))</f>
        <v>0</v>
      </c>
      <c r="Q231" s="1114">
        <f t="array" ref="Q231">LET(
totalShards, I$10,
AtMax, OR(I$3&lt;$B231,totalShards&lt;$E231),
primeShards, $E231,
PrimeMulti, I231,
AssPer, I$4,
AssLevel, IF(AtMax,1,index(optimizer[Level],XMATCH(totalShards-primeShards,optimizer[Total discounted cost],-1,2))),
AssMulti,IF(I$16="",1,index(optimizer[coreAssist],XMATCH(AssLevel,optimizer[Level],-1,2))),
TooLow, OR(AssLevel&lt;$I$18,$B231&lt;$I$15),
IF(OR(AtMax,TooLow), 0, PrimeMulti * (AssMulti)))</f>
        <v>0</v>
      </c>
    </row>
    <row r="232" ht="22.5" hidden="1" customHeight="1" outlineLevel="1">
      <c r="A232" s="1097"/>
      <c r="B232" s="1103">
        <v>205.0</v>
      </c>
      <c r="C232" s="1104">
        <f t="shared" si="13"/>
        <v>11000</v>
      </c>
      <c r="D232" s="1104">
        <f t="shared" si="2"/>
        <v>7700</v>
      </c>
      <c r="E232" s="1105">
        <f t="shared" si="11"/>
        <v>356025</v>
      </c>
      <c r="F232" s="1106">
        <f t="shared" si="3"/>
        <v>17.24</v>
      </c>
      <c r="G232" s="1106">
        <f t="shared" si="4"/>
        <v>17.24</v>
      </c>
      <c r="H232" s="1106">
        <f t="shared" si="5"/>
        <v>2.115</v>
      </c>
      <c r="I232" s="1106">
        <f t="shared" si="6"/>
        <v>24.004</v>
      </c>
      <c r="J232" s="1107">
        <f t="shared" si="7"/>
        <v>1</v>
      </c>
      <c r="K232" s="1107">
        <f t="shared" si="8"/>
        <v>1.1619</v>
      </c>
      <c r="L232" s="1107">
        <f t="shared" si="9"/>
        <v>1.1115</v>
      </c>
      <c r="M232" s="1107">
        <f t="shared" si="10"/>
        <v>3.13</v>
      </c>
      <c r="N232" s="1106">
        <f t="array" ref="N232">LET(
totalShards, F$10,
AtMax, OR(F$3&lt;$B232,totalShards&lt;$E232),
primeShards, $E232,
PrimeMulti, F232,
AssPer, F$4,
AssLevel, IF(AtMax,1,index(optimizer[Level],XMATCH(totalShards-primeShards,optimizer[Total discounted cost],-1,2))),
AssMulti,IF(F$16="",1,index(optimizer[cannonAssist],XMATCH(AssLevel,optimizer[Level],-1,2))),
TooLow, OR(AssLevel&lt;$F$18,$B232&lt;$F$15),
IF(OR(AtMax,TooLow), 0, PrimeMulti * (AssMulti)))</f>
        <v>0</v>
      </c>
      <c r="O232" s="1106">
        <f t="array" ref="O232">LET(
totalShards, G$10,
AtMax, OR(G$3&lt;$B232,totalShards&lt;$E232),
primeShards, $E232,
PrimeMulti, G232,
AssPer, G$4,
AssLevel, IF(AtMax,1,index(optimizer[Level],XMATCH(totalShards-primeShards,optimizer[Total discounted cost],-1,2))),
AssMulti,IF(G$16="",1,index(optimizer[armorAssist],XMATCH(AssLevel,optimizer[Level],-1,2))),
TooLow, OR(AssLevel&lt;$G$18,$B232&lt;$G$15),
IF(OR(AtMax,TooLow), 0, PrimeMulti * (AssMulti)))</f>
        <v>0</v>
      </c>
      <c r="P232" s="1106">
        <f t="array" ref="P232">LET(
totalShards, H$10,
AtMax, OR(H$3&lt;$B232,totalShards&lt;$E232),
primeShards, $E232,
PrimeMulti, H232,
AssPer, H$4,
AssLevel, IF(AtMax,1,index(optimizer[Level],XMATCH(totalShards-primeShards,optimizer[Total discounted cost],-1,2))),
AssMulti,IF(H$16="",1,index(optimizer[generatorAssist],XMATCH(AssLevel,optimizer[Level],-1,2))),
TooLow, OR(AssLevel&lt;$H$18,$B232&lt;$H$15),
IF(OR(AtMax,TooLow), 0, PrimeMulti * (AssMulti)))</f>
        <v>0</v>
      </c>
      <c r="Q232" s="1108">
        <f t="array" ref="Q232">LET(
totalShards, I$10,
AtMax, OR(I$3&lt;$B232,totalShards&lt;$E232),
primeShards, $E232,
PrimeMulti, I232,
AssPer, I$4,
AssLevel, IF(AtMax,1,index(optimizer[Level],XMATCH(totalShards-primeShards,optimizer[Total discounted cost],-1,2))),
AssMulti,IF(I$16="",1,index(optimizer[coreAssist],XMATCH(AssLevel,optimizer[Level],-1,2))),
TooLow, OR(AssLevel&lt;$I$18,$B232&lt;$I$15),
IF(OR(AtMax,TooLow), 0, PrimeMulti * (AssMulti)))</f>
        <v>0</v>
      </c>
    </row>
    <row r="233" ht="22.5" hidden="1" customHeight="1" outlineLevel="1">
      <c r="A233" s="1097"/>
      <c r="B233" s="1109">
        <v>206.0</v>
      </c>
      <c r="C233" s="1110">
        <f t="shared" si="13"/>
        <v>11250</v>
      </c>
      <c r="D233" s="1110">
        <f t="shared" si="2"/>
        <v>7875</v>
      </c>
      <c r="E233" s="1111">
        <f t="shared" si="11"/>
        <v>363900</v>
      </c>
      <c r="F233" s="1112">
        <f t="shared" si="3"/>
        <v>17.44</v>
      </c>
      <c r="G233" s="1112">
        <f t="shared" si="4"/>
        <v>17.44</v>
      </c>
      <c r="H233" s="1112">
        <f t="shared" si="5"/>
        <v>2.125</v>
      </c>
      <c r="I233" s="1112">
        <f t="shared" si="6"/>
        <v>24.274</v>
      </c>
      <c r="J233" s="1113">
        <f t="shared" si="7"/>
        <v>1</v>
      </c>
      <c r="K233" s="1107">
        <f t="shared" si="8"/>
        <v>1.1639</v>
      </c>
      <c r="L233" s="1107">
        <f t="shared" si="9"/>
        <v>1.1125</v>
      </c>
      <c r="M233" s="1107">
        <f t="shared" si="10"/>
        <v>3.155</v>
      </c>
      <c r="N233" s="1106">
        <f t="array" ref="N233">LET(
totalShards, F$10,
AtMax, OR(F$3&lt;$B233,totalShards&lt;$E233),
primeShards, $E233,
PrimeMulti, F233,
AssPer, F$4,
AssLevel, IF(AtMax,1,index(optimizer[Level],XMATCH(totalShards-primeShards,optimizer[Total discounted cost],-1,2))),
AssMulti,IF(F$16="",1,index(optimizer[cannonAssist],XMATCH(AssLevel,optimizer[Level],-1,2))),
TooLow, OR(AssLevel&lt;$F$18,$B233&lt;$F$15),
IF(OR(AtMax,TooLow), 0, PrimeMulti * (AssMulti)))</f>
        <v>0</v>
      </c>
      <c r="O233" s="1112">
        <f t="array" ref="O233">LET(
totalShards, G$10,
AtMax, OR(G$3&lt;$B233,totalShards&lt;$E233),
primeShards, $E233,
PrimeMulti, G233,
AssPer, G$4,
AssLevel, IF(AtMax,1,index(optimizer[Level],XMATCH(totalShards-primeShards,optimizer[Total discounted cost],-1,2))),
AssMulti,IF(G$16="",1,index(optimizer[armorAssist],XMATCH(AssLevel,optimizer[Level],-1,2))),
TooLow, OR(AssLevel&lt;$G$18,$B233&lt;$G$15),
IF(OR(AtMax,TooLow), 0, PrimeMulti * (AssMulti)))</f>
        <v>0</v>
      </c>
      <c r="P233" s="1112">
        <f t="array" ref="P233">LET(
totalShards, H$10,
AtMax, OR(H$3&lt;$B233,totalShards&lt;$E233),
primeShards, $E233,
PrimeMulti, H233,
AssPer, H$4,
AssLevel, IF(AtMax,1,index(optimizer[Level],XMATCH(totalShards-primeShards,optimizer[Total discounted cost],-1,2))),
AssMulti,IF(H$16="",1,index(optimizer[generatorAssist],XMATCH(AssLevel,optimizer[Level],-1,2))),
TooLow, OR(AssLevel&lt;$H$18,$B233&lt;$H$15),
IF(OR(AtMax,TooLow), 0, PrimeMulti * (AssMulti)))</f>
        <v>0</v>
      </c>
      <c r="Q233" s="1114">
        <f t="array" ref="Q233">LET(
totalShards, I$10,
AtMax, OR(I$3&lt;$B233,totalShards&lt;$E233),
primeShards, $E233,
PrimeMulti, I233,
AssPer, I$4,
AssLevel, IF(AtMax,1,index(optimizer[Level],XMATCH(totalShards-primeShards,optimizer[Total discounted cost],-1,2))),
AssMulti,IF(I$16="",1,index(optimizer[coreAssist],XMATCH(AssLevel,optimizer[Level],-1,2))),
TooLow, OR(AssLevel&lt;$I$18,$B233&lt;$I$15),
IF(OR(AtMax,TooLow), 0, PrimeMulti * (AssMulti)))</f>
        <v>0</v>
      </c>
    </row>
    <row r="234" ht="22.5" hidden="1" customHeight="1" outlineLevel="1">
      <c r="A234" s="1097"/>
      <c r="B234" s="1103">
        <v>207.0</v>
      </c>
      <c r="C234" s="1104">
        <f t="shared" si="13"/>
        <v>11500</v>
      </c>
      <c r="D234" s="1104">
        <f t="shared" si="2"/>
        <v>8050</v>
      </c>
      <c r="E234" s="1105">
        <f t="shared" si="11"/>
        <v>371950</v>
      </c>
      <c r="F234" s="1106">
        <f t="shared" si="3"/>
        <v>17.64</v>
      </c>
      <c r="G234" s="1106">
        <f t="shared" si="4"/>
        <v>17.64</v>
      </c>
      <c r="H234" s="1106">
        <f t="shared" si="5"/>
        <v>2.135</v>
      </c>
      <c r="I234" s="1106">
        <f t="shared" si="6"/>
        <v>24.544</v>
      </c>
      <c r="J234" s="1107">
        <f t="shared" si="7"/>
        <v>1</v>
      </c>
      <c r="K234" s="1107">
        <f t="shared" si="8"/>
        <v>1.1659</v>
      </c>
      <c r="L234" s="1107">
        <f t="shared" si="9"/>
        <v>1.1135</v>
      </c>
      <c r="M234" s="1107">
        <f t="shared" si="10"/>
        <v>3.18</v>
      </c>
      <c r="N234" s="1106">
        <f t="array" ref="N234">LET(
totalShards, F$10,
AtMax, OR(F$3&lt;$B234,totalShards&lt;$E234),
primeShards, $E234,
PrimeMulti, F234,
AssPer, F$4,
AssLevel, IF(AtMax,1,index(optimizer[Level],XMATCH(totalShards-primeShards,optimizer[Total discounted cost],-1,2))),
AssMulti,IF(F$16="",1,index(optimizer[cannonAssist],XMATCH(AssLevel,optimizer[Level],-1,2))),
TooLow, OR(AssLevel&lt;$F$18,$B234&lt;$F$15),
IF(OR(AtMax,TooLow), 0, PrimeMulti * (AssMulti)))</f>
        <v>0</v>
      </c>
      <c r="O234" s="1106">
        <f t="array" ref="O234">LET(
totalShards, G$10,
AtMax, OR(G$3&lt;$B234,totalShards&lt;$E234),
primeShards, $E234,
PrimeMulti, G234,
AssPer, G$4,
AssLevel, IF(AtMax,1,index(optimizer[Level],XMATCH(totalShards-primeShards,optimizer[Total discounted cost],-1,2))),
AssMulti,IF(G$16="",1,index(optimizer[armorAssist],XMATCH(AssLevel,optimizer[Level],-1,2))),
TooLow, OR(AssLevel&lt;$G$18,$B234&lt;$G$15),
IF(OR(AtMax,TooLow), 0, PrimeMulti * (AssMulti)))</f>
        <v>0</v>
      </c>
      <c r="P234" s="1106">
        <f t="array" ref="P234">LET(
totalShards, H$10,
AtMax, OR(H$3&lt;$B234,totalShards&lt;$E234),
primeShards, $E234,
PrimeMulti, H234,
AssPer, H$4,
AssLevel, IF(AtMax,1,index(optimizer[Level],XMATCH(totalShards-primeShards,optimizer[Total discounted cost],-1,2))),
AssMulti,IF(H$16="",1,index(optimizer[generatorAssist],XMATCH(AssLevel,optimizer[Level],-1,2))),
TooLow, OR(AssLevel&lt;$H$18,$B234&lt;$H$15),
IF(OR(AtMax,TooLow), 0, PrimeMulti * (AssMulti)))</f>
        <v>0</v>
      </c>
      <c r="Q234" s="1108">
        <f t="array" ref="Q234">LET(
totalShards, I$10,
AtMax, OR(I$3&lt;$B234,totalShards&lt;$E234),
primeShards, $E234,
PrimeMulti, I234,
AssPer, I$4,
AssLevel, IF(AtMax,1,index(optimizer[Level],XMATCH(totalShards-primeShards,optimizer[Total discounted cost],-1,2))),
AssMulti,IF(I$16="",1,index(optimizer[coreAssist],XMATCH(AssLevel,optimizer[Level],-1,2))),
TooLow, OR(AssLevel&lt;$I$18,$B234&lt;$I$15),
IF(OR(AtMax,TooLow), 0, PrimeMulti * (AssMulti)))</f>
        <v>0</v>
      </c>
    </row>
    <row r="235" ht="22.5" hidden="1" customHeight="1" outlineLevel="1">
      <c r="A235" s="1097"/>
      <c r="B235" s="1109">
        <v>208.0</v>
      </c>
      <c r="C235" s="1110">
        <f t="shared" si="13"/>
        <v>11750</v>
      </c>
      <c r="D235" s="1110">
        <f t="shared" si="2"/>
        <v>8225</v>
      </c>
      <c r="E235" s="1111">
        <f t="shared" si="11"/>
        <v>380175</v>
      </c>
      <c r="F235" s="1112">
        <f t="shared" si="3"/>
        <v>17.84</v>
      </c>
      <c r="G235" s="1112">
        <f t="shared" si="4"/>
        <v>17.84</v>
      </c>
      <c r="H235" s="1112">
        <f t="shared" si="5"/>
        <v>2.145</v>
      </c>
      <c r="I235" s="1112">
        <f t="shared" si="6"/>
        <v>24.814</v>
      </c>
      <c r="J235" s="1113">
        <f t="shared" si="7"/>
        <v>1</v>
      </c>
      <c r="K235" s="1107">
        <f t="shared" si="8"/>
        <v>1.1679</v>
      </c>
      <c r="L235" s="1107">
        <f t="shared" si="9"/>
        <v>1.1145</v>
      </c>
      <c r="M235" s="1107">
        <f t="shared" si="10"/>
        <v>3.205</v>
      </c>
      <c r="N235" s="1106">
        <f t="array" ref="N235">LET(
totalShards, F$10,
AtMax, OR(F$3&lt;$B235,totalShards&lt;$E235),
primeShards, $E235,
PrimeMulti, F235,
AssPer, F$4,
AssLevel, IF(AtMax,1,index(optimizer[Level],XMATCH(totalShards-primeShards,optimizer[Total discounted cost],-1,2))),
AssMulti,IF(F$16="",1,index(optimizer[cannonAssist],XMATCH(AssLevel,optimizer[Level],-1,2))),
TooLow, OR(AssLevel&lt;$F$18,$B235&lt;$F$15),
IF(OR(AtMax,TooLow), 0, PrimeMulti * (AssMulti)))</f>
        <v>0</v>
      </c>
      <c r="O235" s="1112">
        <f t="array" ref="O235">LET(
totalShards, G$10,
AtMax, OR(G$3&lt;$B235,totalShards&lt;$E235),
primeShards, $E235,
PrimeMulti, G235,
AssPer, G$4,
AssLevel, IF(AtMax,1,index(optimizer[Level],XMATCH(totalShards-primeShards,optimizer[Total discounted cost],-1,2))),
AssMulti,IF(G$16="",1,index(optimizer[armorAssist],XMATCH(AssLevel,optimizer[Level],-1,2))),
TooLow, OR(AssLevel&lt;$G$18,$B235&lt;$G$15),
IF(OR(AtMax,TooLow), 0, PrimeMulti * (AssMulti)))</f>
        <v>0</v>
      </c>
      <c r="P235" s="1112">
        <f t="array" ref="P235">LET(
totalShards, H$10,
AtMax, OR(H$3&lt;$B235,totalShards&lt;$E235),
primeShards, $E235,
PrimeMulti, H235,
AssPer, H$4,
AssLevel, IF(AtMax,1,index(optimizer[Level],XMATCH(totalShards-primeShards,optimizer[Total discounted cost],-1,2))),
AssMulti,IF(H$16="",1,index(optimizer[generatorAssist],XMATCH(AssLevel,optimizer[Level],-1,2))),
TooLow, OR(AssLevel&lt;$H$18,$B235&lt;$H$15),
IF(OR(AtMax,TooLow), 0, PrimeMulti * (AssMulti)))</f>
        <v>0</v>
      </c>
      <c r="Q235" s="1114">
        <f t="array" ref="Q235">LET(
totalShards, I$10,
AtMax, OR(I$3&lt;$B235,totalShards&lt;$E235),
primeShards, $E235,
PrimeMulti, I235,
AssPer, I$4,
AssLevel, IF(AtMax,1,index(optimizer[Level],XMATCH(totalShards-primeShards,optimizer[Total discounted cost],-1,2))),
AssMulti,IF(I$16="",1,index(optimizer[coreAssist],XMATCH(AssLevel,optimizer[Level],-1,2))),
TooLow, OR(AssLevel&lt;$I$18,$B235&lt;$I$15),
IF(OR(AtMax,TooLow), 0, PrimeMulti * (AssMulti)))</f>
        <v>0</v>
      </c>
    </row>
    <row r="236" ht="22.5" hidden="1" customHeight="1" outlineLevel="1">
      <c r="A236" s="1097"/>
      <c r="B236" s="1103">
        <v>209.0</v>
      </c>
      <c r="C236" s="1104">
        <f t="shared" si="13"/>
        <v>12000</v>
      </c>
      <c r="D236" s="1104">
        <f t="shared" si="2"/>
        <v>8400</v>
      </c>
      <c r="E236" s="1105">
        <f t="shared" si="11"/>
        <v>388575</v>
      </c>
      <c r="F236" s="1106">
        <f t="shared" si="3"/>
        <v>18.04</v>
      </c>
      <c r="G236" s="1106">
        <f t="shared" si="4"/>
        <v>18.04</v>
      </c>
      <c r="H236" s="1106">
        <f t="shared" si="5"/>
        <v>2.155</v>
      </c>
      <c r="I236" s="1106">
        <f t="shared" si="6"/>
        <v>25.084</v>
      </c>
      <c r="J236" s="1107">
        <f t="shared" si="7"/>
        <v>1</v>
      </c>
      <c r="K236" s="1107">
        <f t="shared" si="8"/>
        <v>1.1699</v>
      </c>
      <c r="L236" s="1107">
        <f t="shared" si="9"/>
        <v>1.1155</v>
      </c>
      <c r="M236" s="1107">
        <f t="shared" si="10"/>
        <v>3.23</v>
      </c>
      <c r="N236" s="1106">
        <f t="array" ref="N236">LET(
totalShards, F$10,
AtMax, OR(F$3&lt;$B236,totalShards&lt;$E236),
primeShards, $E236,
PrimeMulti, F236,
AssPer, F$4,
AssLevel, IF(AtMax,1,index(optimizer[Level],XMATCH(totalShards-primeShards,optimizer[Total discounted cost],-1,2))),
AssMulti,IF(F$16="",1,index(optimizer[cannonAssist],XMATCH(AssLevel,optimizer[Level],-1,2))),
TooLow, OR(AssLevel&lt;$F$18,$B236&lt;$F$15),
IF(OR(AtMax,TooLow), 0, PrimeMulti * (AssMulti)))</f>
        <v>0</v>
      </c>
      <c r="O236" s="1106">
        <f t="array" ref="O236">LET(
totalShards, G$10,
AtMax, OR(G$3&lt;$B236,totalShards&lt;$E236),
primeShards, $E236,
PrimeMulti, G236,
AssPer, G$4,
AssLevel, IF(AtMax,1,index(optimizer[Level],XMATCH(totalShards-primeShards,optimizer[Total discounted cost],-1,2))),
AssMulti,IF(G$16="",1,index(optimizer[armorAssist],XMATCH(AssLevel,optimizer[Level],-1,2))),
TooLow, OR(AssLevel&lt;$G$18,$B236&lt;$G$15),
IF(OR(AtMax,TooLow), 0, PrimeMulti * (AssMulti)))</f>
        <v>0</v>
      </c>
      <c r="P236" s="1106">
        <f t="array" ref="P236">LET(
totalShards, H$10,
AtMax, OR(H$3&lt;$B236,totalShards&lt;$E236),
primeShards, $E236,
PrimeMulti, H236,
AssPer, H$4,
AssLevel, IF(AtMax,1,index(optimizer[Level],XMATCH(totalShards-primeShards,optimizer[Total discounted cost],-1,2))),
AssMulti,IF(H$16="",1,index(optimizer[generatorAssist],XMATCH(AssLevel,optimizer[Level],-1,2))),
TooLow, OR(AssLevel&lt;$H$18,$B236&lt;$H$15),
IF(OR(AtMax,TooLow), 0, PrimeMulti * (AssMulti)))</f>
        <v>0</v>
      </c>
      <c r="Q236" s="1108">
        <f t="array" ref="Q236">LET(
totalShards, I$10,
AtMax, OR(I$3&lt;$B236,totalShards&lt;$E236),
primeShards, $E236,
PrimeMulti, I236,
AssPer, I$4,
AssLevel, IF(AtMax,1,index(optimizer[Level],XMATCH(totalShards-primeShards,optimizer[Total discounted cost],-1,2))),
AssMulti,IF(I$16="",1,index(optimizer[coreAssist],XMATCH(AssLevel,optimizer[Level],-1,2))),
TooLow, OR(AssLevel&lt;$I$18,$B236&lt;$I$15),
IF(OR(AtMax,TooLow), 0, PrimeMulti * (AssMulti)))</f>
        <v>0</v>
      </c>
    </row>
    <row r="237" ht="22.5" hidden="1" customHeight="1" outlineLevel="1">
      <c r="A237" s="1097"/>
      <c r="B237" s="1109">
        <v>210.0</v>
      </c>
      <c r="C237" s="1110">
        <f t="shared" si="13"/>
        <v>12250</v>
      </c>
      <c r="D237" s="1110">
        <f t="shared" si="2"/>
        <v>8575</v>
      </c>
      <c r="E237" s="1111">
        <f t="shared" si="11"/>
        <v>397150</v>
      </c>
      <c r="F237" s="1112">
        <f t="shared" si="3"/>
        <v>18.24</v>
      </c>
      <c r="G237" s="1112">
        <f t="shared" si="4"/>
        <v>18.24</v>
      </c>
      <c r="H237" s="1112">
        <f t="shared" si="5"/>
        <v>2.165</v>
      </c>
      <c r="I237" s="1112">
        <f t="shared" si="6"/>
        <v>25.354</v>
      </c>
      <c r="J237" s="1113">
        <f t="shared" si="7"/>
        <v>1</v>
      </c>
      <c r="K237" s="1107">
        <f t="shared" si="8"/>
        <v>1.1719</v>
      </c>
      <c r="L237" s="1107">
        <f t="shared" si="9"/>
        <v>1.1165</v>
      </c>
      <c r="M237" s="1107">
        <f t="shared" si="10"/>
        <v>3.255</v>
      </c>
      <c r="N237" s="1106">
        <f t="array" ref="N237">LET(
totalShards, F$10,
AtMax, OR(F$3&lt;$B237,totalShards&lt;$E237),
primeShards, $E237,
PrimeMulti, F237,
AssPer, F$4,
AssLevel, IF(AtMax,1,index(optimizer[Level],XMATCH(totalShards-primeShards,optimizer[Total discounted cost],-1,2))),
AssMulti,IF(F$16="",1,index(optimizer[cannonAssist],XMATCH(AssLevel,optimizer[Level],-1,2))),
TooLow, OR(AssLevel&lt;$F$18,$B237&lt;$F$15),
IF(OR(AtMax,TooLow), 0, PrimeMulti * (AssMulti)))</f>
        <v>0</v>
      </c>
      <c r="O237" s="1112">
        <f t="array" ref="O237">LET(
totalShards, G$10,
AtMax, OR(G$3&lt;$B237,totalShards&lt;$E237),
primeShards, $E237,
PrimeMulti, G237,
AssPer, G$4,
AssLevel, IF(AtMax,1,index(optimizer[Level],XMATCH(totalShards-primeShards,optimizer[Total discounted cost],-1,2))),
AssMulti,IF(G$16="",1,index(optimizer[armorAssist],XMATCH(AssLevel,optimizer[Level],-1,2))),
TooLow, OR(AssLevel&lt;$G$18,$B237&lt;$G$15),
IF(OR(AtMax,TooLow), 0, PrimeMulti * (AssMulti)))</f>
        <v>0</v>
      </c>
      <c r="P237" s="1112">
        <f t="array" ref="P237">LET(
totalShards, H$10,
AtMax, OR(H$3&lt;$B237,totalShards&lt;$E237),
primeShards, $E237,
PrimeMulti, H237,
AssPer, H$4,
AssLevel, IF(AtMax,1,index(optimizer[Level],XMATCH(totalShards-primeShards,optimizer[Total discounted cost],-1,2))),
AssMulti,IF(H$16="",1,index(optimizer[generatorAssist],XMATCH(AssLevel,optimizer[Level],-1,2))),
TooLow, OR(AssLevel&lt;$H$18,$B237&lt;$H$15),
IF(OR(AtMax,TooLow), 0, PrimeMulti * (AssMulti)))</f>
        <v>0</v>
      </c>
      <c r="Q237" s="1114">
        <f t="array" ref="Q237">LET(
totalShards, I$10,
AtMax, OR(I$3&lt;$B237,totalShards&lt;$E237),
primeShards, $E237,
PrimeMulti, I237,
AssPer, I$4,
AssLevel, IF(AtMax,1,index(optimizer[Level],XMATCH(totalShards-primeShards,optimizer[Total discounted cost],-1,2))),
AssMulti,IF(I$16="",1,index(optimizer[coreAssist],XMATCH(AssLevel,optimizer[Level],-1,2))),
TooLow, OR(AssLevel&lt;$I$18,$B237&lt;$I$15),
IF(OR(AtMax,TooLow), 0, PrimeMulti * (AssMulti)))</f>
        <v>0</v>
      </c>
    </row>
    <row r="238" ht="22.5" hidden="1" customHeight="1" outlineLevel="1">
      <c r="A238" s="1097"/>
      <c r="B238" s="1103">
        <v>211.0</v>
      </c>
      <c r="C238" s="1104">
        <f t="shared" si="13"/>
        <v>12500</v>
      </c>
      <c r="D238" s="1104">
        <f t="shared" si="2"/>
        <v>8750</v>
      </c>
      <c r="E238" s="1105">
        <f t="shared" si="11"/>
        <v>405900</v>
      </c>
      <c r="F238" s="1106">
        <f t="shared" si="3"/>
        <v>18.44</v>
      </c>
      <c r="G238" s="1106">
        <f t="shared" si="4"/>
        <v>18.44</v>
      </c>
      <c r="H238" s="1106">
        <f t="shared" si="5"/>
        <v>2.175</v>
      </c>
      <c r="I238" s="1106">
        <f t="shared" si="6"/>
        <v>25.624</v>
      </c>
      <c r="J238" s="1107">
        <f t="shared" si="7"/>
        <v>1</v>
      </c>
      <c r="K238" s="1107">
        <f t="shared" si="8"/>
        <v>1.1739</v>
      </c>
      <c r="L238" s="1107">
        <f t="shared" si="9"/>
        <v>1.1175</v>
      </c>
      <c r="M238" s="1107">
        <f t="shared" si="10"/>
        <v>3.28</v>
      </c>
      <c r="N238" s="1106">
        <f t="array" ref="N238">LET(
totalShards, F$10,
AtMax, OR(F$3&lt;$B238,totalShards&lt;$E238),
primeShards, $E238,
PrimeMulti, F238,
AssPer, F$4,
AssLevel, IF(AtMax,1,index(optimizer[Level],XMATCH(totalShards-primeShards,optimizer[Total discounted cost],-1,2))),
AssMulti,IF(F$16="",1,index(optimizer[cannonAssist],XMATCH(AssLevel,optimizer[Level],-1,2))),
TooLow, OR(AssLevel&lt;$F$18,$B238&lt;$F$15),
IF(OR(AtMax,TooLow), 0, PrimeMulti * (AssMulti)))</f>
        <v>0</v>
      </c>
      <c r="O238" s="1106">
        <f t="array" ref="O238">LET(
totalShards, G$10,
AtMax, OR(G$3&lt;$B238,totalShards&lt;$E238),
primeShards, $E238,
PrimeMulti, G238,
AssPer, G$4,
AssLevel, IF(AtMax,1,index(optimizer[Level],XMATCH(totalShards-primeShards,optimizer[Total discounted cost],-1,2))),
AssMulti,IF(G$16="",1,index(optimizer[armorAssist],XMATCH(AssLevel,optimizer[Level],-1,2))),
TooLow, OR(AssLevel&lt;$G$18,$B238&lt;$G$15),
IF(OR(AtMax,TooLow), 0, PrimeMulti * (AssMulti)))</f>
        <v>0</v>
      </c>
      <c r="P238" s="1106">
        <f t="array" ref="P238">LET(
totalShards, H$10,
AtMax, OR(H$3&lt;$B238,totalShards&lt;$E238),
primeShards, $E238,
PrimeMulti, H238,
AssPer, H$4,
AssLevel, IF(AtMax,1,index(optimizer[Level],XMATCH(totalShards-primeShards,optimizer[Total discounted cost],-1,2))),
AssMulti,IF(H$16="",1,index(optimizer[generatorAssist],XMATCH(AssLevel,optimizer[Level],-1,2))),
TooLow, OR(AssLevel&lt;$H$18,$B238&lt;$H$15),
IF(OR(AtMax,TooLow), 0, PrimeMulti * (AssMulti)))</f>
        <v>0</v>
      </c>
      <c r="Q238" s="1108">
        <f t="array" ref="Q238">LET(
totalShards, I$10,
AtMax, OR(I$3&lt;$B238,totalShards&lt;$E238),
primeShards, $E238,
PrimeMulti, I238,
AssPer, I$4,
AssLevel, IF(AtMax,1,index(optimizer[Level],XMATCH(totalShards-primeShards,optimizer[Total discounted cost],-1,2))),
AssMulti,IF(I$16="",1,index(optimizer[coreAssist],XMATCH(AssLevel,optimizer[Level],-1,2))),
TooLow, OR(AssLevel&lt;$I$18,$B238&lt;$I$15),
IF(OR(AtMax,TooLow), 0, PrimeMulti * (AssMulti)))</f>
        <v>0</v>
      </c>
    </row>
    <row r="239" ht="22.5" hidden="1" customHeight="1" outlineLevel="1">
      <c r="A239" s="1097"/>
      <c r="B239" s="1109">
        <v>212.0</v>
      </c>
      <c r="C239" s="1110">
        <f t="shared" si="13"/>
        <v>12750</v>
      </c>
      <c r="D239" s="1110">
        <f t="shared" si="2"/>
        <v>8925</v>
      </c>
      <c r="E239" s="1111">
        <f t="shared" si="11"/>
        <v>414825</v>
      </c>
      <c r="F239" s="1112">
        <f t="shared" si="3"/>
        <v>18.64</v>
      </c>
      <c r="G239" s="1112">
        <f t="shared" si="4"/>
        <v>18.64</v>
      </c>
      <c r="H239" s="1112">
        <f t="shared" si="5"/>
        <v>2.185</v>
      </c>
      <c r="I239" s="1112">
        <f t="shared" si="6"/>
        <v>25.894</v>
      </c>
      <c r="J239" s="1113">
        <f t="shared" si="7"/>
        <v>1</v>
      </c>
      <c r="K239" s="1107">
        <f t="shared" si="8"/>
        <v>1.1759</v>
      </c>
      <c r="L239" s="1107">
        <f t="shared" si="9"/>
        <v>1.1185</v>
      </c>
      <c r="M239" s="1107">
        <f t="shared" si="10"/>
        <v>3.305</v>
      </c>
      <c r="N239" s="1106">
        <f t="array" ref="N239">LET(
totalShards, F$10,
AtMax, OR(F$3&lt;$B239,totalShards&lt;$E239),
primeShards, $E239,
PrimeMulti, F239,
AssPer, F$4,
AssLevel, IF(AtMax,1,index(optimizer[Level],XMATCH(totalShards-primeShards,optimizer[Total discounted cost],-1,2))),
AssMulti,IF(F$16="",1,index(optimizer[cannonAssist],XMATCH(AssLevel,optimizer[Level],-1,2))),
TooLow, OR(AssLevel&lt;$F$18,$B239&lt;$F$15),
IF(OR(AtMax,TooLow), 0, PrimeMulti * (AssMulti)))</f>
        <v>0</v>
      </c>
      <c r="O239" s="1112">
        <f t="array" ref="O239">LET(
totalShards, G$10,
AtMax, OR(G$3&lt;$B239,totalShards&lt;$E239),
primeShards, $E239,
PrimeMulti, G239,
AssPer, G$4,
AssLevel, IF(AtMax,1,index(optimizer[Level],XMATCH(totalShards-primeShards,optimizer[Total discounted cost],-1,2))),
AssMulti,IF(G$16="",1,index(optimizer[armorAssist],XMATCH(AssLevel,optimizer[Level],-1,2))),
TooLow, OR(AssLevel&lt;$G$18,$B239&lt;$G$15),
IF(OR(AtMax,TooLow), 0, PrimeMulti * (AssMulti)))</f>
        <v>0</v>
      </c>
      <c r="P239" s="1112">
        <f t="array" ref="P239">LET(
totalShards, H$10,
AtMax, OR(H$3&lt;$B239,totalShards&lt;$E239),
primeShards, $E239,
PrimeMulti, H239,
AssPer, H$4,
AssLevel, IF(AtMax,1,index(optimizer[Level],XMATCH(totalShards-primeShards,optimizer[Total discounted cost],-1,2))),
AssMulti,IF(H$16="",1,index(optimizer[generatorAssist],XMATCH(AssLevel,optimizer[Level],-1,2))),
TooLow, OR(AssLevel&lt;$H$18,$B239&lt;$H$15),
IF(OR(AtMax,TooLow), 0, PrimeMulti * (AssMulti)))</f>
        <v>0</v>
      </c>
      <c r="Q239" s="1114">
        <f t="array" ref="Q239">LET(
totalShards, I$10,
AtMax, OR(I$3&lt;$B239,totalShards&lt;$E239),
primeShards, $E239,
PrimeMulti, I239,
AssPer, I$4,
AssLevel, IF(AtMax,1,index(optimizer[Level],XMATCH(totalShards-primeShards,optimizer[Total discounted cost],-1,2))),
AssMulti,IF(I$16="",1,index(optimizer[coreAssist],XMATCH(AssLevel,optimizer[Level],-1,2))),
TooLow, OR(AssLevel&lt;$I$18,$B239&lt;$I$15),
IF(OR(AtMax,TooLow), 0, PrimeMulti * (AssMulti)))</f>
        <v>0</v>
      </c>
    </row>
    <row r="240" ht="22.5" hidden="1" customHeight="1" outlineLevel="1">
      <c r="A240" s="1097"/>
      <c r="B240" s="1103">
        <v>213.0</v>
      </c>
      <c r="C240" s="1104">
        <f t="shared" si="13"/>
        <v>13000</v>
      </c>
      <c r="D240" s="1104">
        <f t="shared" si="2"/>
        <v>9100</v>
      </c>
      <c r="E240" s="1105">
        <f t="shared" si="11"/>
        <v>423925</v>
      </c>
      <c r="F240" s="1106">
        <f t="shared" si="3"/>
        <v>18.84</v>
      </c>
      <c r="G240" s="1106">
        <f t="shared" si="4"/>
        <v>18.84</v>
      </c>
      <c r="H240" s="1106">
        <f t="shared" si="5"/>
        <v>2.195</v>
      </c>
      <c r="I240" s="1106">
        <f t="shared" si="6"/>
        <v>26.164</v>
      </c>
      <c r="J240" s="1107">
        <f t="shared" si="7"/>
        <v>1</v>
      </c>
      <c r="K240" s="1107">
        <f t="shared" si="8"/>
        <v>1.1779</v>
      </c>
      <c r="L240" s="1107">
        <f t="shared" si="9"/>
        <v>1.1195</v>
      </c>
      <c r="M240" s="1107">
        <f t="shared" si="10"/>
        <v>3.33</v>
      </c>
      <c r="N240" s="1106">
        <f t="array" ref="N240">LET(
totalShards, F$10,
AtMax, OR(F$3&lt;$B240,totalShards&lt;$E240),
primeShards, $E240,
PrimeMulti, F240,
AssPer, F$4,
AssLevel, IF(AtMax,1,index(optimizer[Level],XMATCH(totalShards-primeShards,optimizer[Total discounted cost],-1,2))),
AssMulti,IF(F$16="",1,index(optimizer[cannonAssist],XMATCH(AssLevel,optimizer[Level],-1,2))),
TooLow, OR(AssLevel&lt;$F$18,$B240&lt;$F$15),
IF(OR(AtMax,TooLow), 0, PrimeMulti * (AssMulti)))</f>
        <v>0</v>
      </c>
      <c r="O240" s="1106">
        <f t="array" ref="O240">LET(
totalShards, G$10,
AtMax, OR(G$3&lt;$B240,totalShards&lt;$E240),
primeShards, $E240,
PrimeMulti, G240,
AssPer, G$4,
AssLevel, IF(AtMax,1,index(optimizer[Level],XMATCH(totalShards-primeShards,optimizer[Total discounted cost],-1,2))),
AssMulti,IF(G$16="",1,index(optimizer[armorAssist],XMATCH(AssLevel,optimizer[Level],-1,2))),
TooLow, OR(AssLevel&lt;$G$18,$B240&lt;$G$15),
IF(OR(AtMax,TooLow), 0, PrimeMulti * (AssMulti)))</f>
        <v>0</v>
      </c>
      <c r="P240" s="1106">
        <f t="array" ref="P240">LET(
totalShards, H$10,
AtMax, OR(H$3&lt;$B240,totalShards&lt;$E240),
primeShards, $E240,
PrimeMulti, H240,
AssPer, H$4,
AssLevel, IF(AtMax,1,index(optimizer[Level],XMATCH(totalShards-primeShards,optimizer[Total discounted cost],-1,2))),
AssMulti,IF(H$16="",1,index(optimizer[generatorAssist],XMATCH(AssLevel,optimizer[Level],-1,2))),
TooLow, OR(AssLevel&lt;$H$18,$B240&lt;$H$15),
IF(OR(AtMax,TooLow), 0, PrimeMulti * (AssMulti)))</f>
        <v>0</v>
      </c>
      <c r="Q240" s="1108">
        <f t="array" ref="Q240">LET(
totalShards, I$10,
AtMax, OR(I$3&lt;$B240,totalShards&lt;$E240),
primeShards, $E240,
PrimeMulti, I240,
AssPer, I$4,
AssLevel, IF(AtMax,1,index(optimizer[Level],XMATCH(totalShards-primeShards,optimizer[Total discounted cost],-1,2))),
AssMulti,IF(I$16="",1,index(optimizer[coreAssist],XMATCH(AssLevel,optimizer[Level],-1,2))),
TooLow, OR(AssLevel&lt;$I$18,$B240&lt;$I$15),
IF(OR(AtMax,TooLow), 0, PrimeMulti * (AssMulti)))</f>
        <v>0</v>
      </c>
    </row>
    <row r="241" ht="22.5" hidden="1" customHeight="1" outlineLevel="1">
      <c r="A241" s="1097"/>
      <c r="B241" s="1109">
        <v>214.0</v>
      </c>
      <c r="C241" s="1110">
        <f t="shared" si="13"/>
        <v>13250</v>
      </c>
      <c r="D241" s="1110">
        <f t="shared" si="2"/>
        <v>9275</v>
      </c>
      <c r="E241" s="1111">
        <f t="shared" si="11"/>
        <v>433200</v>
      </c>
      <c r="F241" s="1112">
        <f t="shared" si="3"/>
        <v>19.04</v>
      </c>
      <c r="G241" s="1112">
        <f t="shared" si="4"/>
        <v>19.04</v>
      </c>
      <c r="H241" s="1112">
        <f t="shared" si="5"/>
        <v>2.205</v>
      </c>
      <c r="I241" s="1112">
        <f t="shared" si="6"/>
        <v>26.434</v>
      </c>
      <c r="J241" s="1113">
        <f t="shared" si="7"/>
        <v>1</v>
      </c>
      <c r="K241" s="1107">
        <f t="shared" si="8"/>
        <v>1.1799</v>
      </c>
      <c r="L241" s="1107">
        <f t="shared" si="9"/>
        <v>1.1205</v>
      </c>
      <c r="M241" s="1107">
        <f t="shared" si="10"/>
        <v>3.355</v>
      </c>
      <c r="N241" s="1106">
        <f t="array" ref="N241">LET(
totalShards, F$10,
AtMax, OR(F$3&lt;$B241,totalShards&lt;$E241),
primeShards, $E241,
PrimeMulti, F241,
AssPer, F$4,
AssLevel, IF(AtMax,1,index(optimizer[Level],XMATCH(totalShards-primeShards,optimizer[Total discounted cost],-1,2))),
AssMulti,IF(F$16="",1,index(optimizer[cannonAssist],XMATCH(AssLevel,optimizer[Level],-1,2))),
TooLow, OR(AssLevel&lt;$F$18,$B241&lt;$F$15),
IF(OR(AtMax,TooLow), 0, PrimeMulti * (AssMulti)))</f>
        <v>0</v>
      </c>
      <c r="O241" s="1112">
        <f t="array" ref="O241">LET(
totalShards, G$10,
AtMax, OR(G$3&lt;$B241,totalShards&lt;$E241),
primeShards, $E241,
PrimeMulti, G241,
AssPer, G$4,
AssLevel, IF(AtMax,1,index(optimizer[Level],XMATCH(totalShards-primeShards,optimizer[Total discounted cost],-1,2))),
AssMulti,IF(G$16="",1,index(optimizer[armorAssist],XMATCH(AssLevel,optimizer[Level],-1,2))),
TooLow, OR(AssLevel&lt;$G$18,$B241&lt;$G$15),
IF(OR(AtMax,TooLow), 0, PrimeMulti * (AssMulti)))</f>
        <v>0</v>
      </c>
      <c r="P241" s="1112">
        <f t="array" ref="P241">LET(
totalShards, H$10,
AtMax, OR(H$3&lt;$B241,totalShards&lt;$E241),
primeShards, $E241,
PrimeMulti, H241,
AssPer, H$4,
AssLevel, IF(AtMax,1,index(optimizer[Level],XMATCH(totalShards-primeShards,optimizer[Total discounted cost],-1,2))),
AssMulti,IF(H$16="",1,index(optimizer[generatorAssist],XMATCH(AssLevel,optimizer[Level],-1,2))),
TooLow, OR(AssLevel&lt;$H$18,$B241&lt;$H$15),
IF(OR(AtMax,TooLow), 0, PrimeMulti * (AssMulti)))</f>
        <v>0</v>
      </c>
      <c r="Q241" s="1114">
        <f t="array" ref="Q241">LET(
totalShards, I$10,
AtMax, OR(I$3&lt;$B241,totalShards&lt;$E241),
primeShards, $E241,
PrimeMulti, I241,
AssPer, I$4,
AssLevel, IF(AtMax,1,index(optimizer[Level],XMATCH(totalShards-primeShards,optimizer[Total discounted cost],-1,2))),
AssMulti,IF(I$16="",1,index(optimizer[coreAssist],XMATCH(AssLevel,optimizer[Level],-1,2))),
TooLow, OR(AssLevel&lt;$I$18,$B241&lt;$I$15),
IF(OR(AtMax,TooLow), 0, PrimeMulti * (AssMulti)))</f>
        <v>0</v>
      </c>
    </row>
    <row r="242" ht="22.5" hidden="1" customHeight="1" outlineLevel="1">
      <c r="A242" s="1097"/>
      <c r="B242" s="1103">
        <v>215.0</v>
      </c>
      <c r="C242" s="1104">
        <f t="shared" si="13"/>
        <v>13500</v>
      </c>
      <c r="D242" s="1104">
        <f t="shared" si="2"/>
        <v>9450</v>
      </c>
      <c r="E242" s="1105">
        <f t="shared" si="11"/>
        <v>442650</v>
      </c>
      <c r="F242" s="1106">
        <f t="shared" si="3"/>
        <v>19.24</v>
      </c>
      <c r="G242" s="1106">
        <f t="shared" si="4"/>
        <v>19.24</v>
      </c>
      <c r="H242" s="1106">
        <f t="shared" si="5"/>
        <v>2.215</v>
      </c>
      <c r="I242" s="1106">
        <f t="shared" si="6"/>
        <v>26.704</v>
      </c>
      <c r="J242" s="1107">
        <f t="shared" si="7"/>
        <v>1</v>
      </c>
      <c r="K242" s="1107">
        <f t="shared" si="8"/>
        <v>1.1819</v>
      </c>
      <c r="L242" s="1107">
        <f t="shared" si="9"/>
        <v>1.1215</v>
      </c>
      <c r="M242" s="1107">
        <f t="shared" si="10"/>
        <v>3.38</v>
      </c>
      <c r="N242" s="1106">
        <f t="array" ref="N242">LET(
totalShards, F$10,
AtMax, OR(F$3&lt;$B242,totalShards&lt;$E242),
primeShards, $E242,
PrimeMulti, F242,
AssPer, F$4,
AssLevel, IF(AtMax,1,index(optimizer[Level],XMATCH(totalShards-primeShards,optimizer[Total discounted cost],-1,2))),
AssMulti,IF(F$16="",1,index(optimizer[cannonAssist],XMATCH(AssLevel,optimizer[Level],-1,2))),
TooLow, OR(AssLevel&lt;$F$18,$B242&lt;$F$15),
IF(OR(AtMax,TooLow), 0, PrimeMulti * (AssMulti)))</f>
        <v>0</v>
      </c>
      <c r="O242" s="1106">
        <f t="array" ref="O242">LET(
totalShards, G$10,
AtMax, OR(G$3&lt;$B242,totalShards&lt;$E242),
primeShards, $E242,
PrimeMulti, G242,
AssPer, G$4,
AssLevel, IF(AtMax,1,index(optimizer[Level],XMATCH(totalShards-primeShards,optimizer[Total discounted cost],-1,2))),
AssMulti,IF(G$16="",1,index(optimizer[armorAssist],XMATCH(AssLevel,optimizer[Level],-1,2))),
TooLow, OR(AssLevel&lt;$G$18,$B242&lt;$G$15),
IF(OR(AtMax,TooLow), 0, PrimeMulti * (AssMulti)))</f>
        <v>0</v>
      </c>
      <c r="P242" s="1106">
        <f t="array" ref="P242">LET(
totalShards, H$10,
AtMax, OR(H$3&lt;$B242,totalShards&lt;$E242),
primeShards, $E242,
PrimeMulti, H242,
AssPer, H$4,
AssLevel, IF(AtMax,1,index(optimizer[Level],XMATCH(totalShards-primeShards,optimizer[Total discounted cost],-1,2))),
AssMulti,IF(H$16="",1,index(optimizer[generatorAssist],XMATCH(AssLevel,optimizer[Level],-1,2))),
TooLow, OR(AssLevel&lt;$H$18,$B242&lt;$H$15),
IF(OR(AtMax,TooLow), 0, PrimeMulti * (AssMulti)))</f>
        <v>0</v>
      </c>
      <c r="Q242" s="1108">
        <f t="array" ref="Q242">LET(
totalShards, I$10,
AtMax, OR(I$3&lt;$B242,totalShards&lt;$E242),
primeShards, $E242,
PrimeMulti, I242,
AssPer, I$4,
AssLevel, IF(AtMax,1,index(optimizer[Level],XMATCH(totalShards-primeShards,optimizer[Total discounted cost],-1,2))),
AssMulti,IF(I$16="",1,index(optimizer[coreAssist],XMATCH(AssLevel,optimizer[Level],-1,2))),
TooLow, OR(AssLevel&lt;$I$18,$B242&lt;$I$15),
IF(OR(AtMax,TooLow), 0, PrimeMulti * (AssMulti)))</f>
        <v>0</v>
      </c>
    </row>
    <row r="243" ht="22.5" hidden="1" customHeight="1" outlineLevel="1">
      <c r="A243" s="1097"/>
      <c r="B243" s="1109">
        <v>216.0</v>
      </c>
      <c r="C243" s="1110">
        <f t="shared" si="13"/>
        <v>13750</v>
      </c>
      <c r="D243" s="1110">
        <f t="shared" si="2"/>
        <v>9625</v>
      </c>
      <c r="E243" s="1111">
        <f t="shared" si="11"/>
        <v>452275</v>
      </c>
      <c r="F243" s="1112">
        <f t="shared" si="3"/>
        <v>19.44</v>
      </c>
      <c r="G243" s="1112">
        <f t="shared" si="4"/>
        <v>19.44</v>
      </c>
      <c r="H243" s="1112">
        <f t="shared" si="5"/>
        <v>2.225</v>
      </c>
      <c r="I243" s="1112">
        <f t="shared" si="6"/>
        <v>26.974</v>
      </c>
      <c r="J243" s="1113">
        <f t="shared" si="7"/>
        <v>1</v>
      </c>
      <c r="K243" s="1107">
        <f t="shared" si="8"/>
        <v>1.1839</v>
      </c>
      <c r="L243" s="1107">
        <f t="shared" si="9"/>
        <v>1.1225</v>
      </c>
      <c r="M243" s="1107">
        <f t="shared" si="10"/>
        <v>3.405</v>
      </c>
      <c r="N243" s="1106">
        <f t="array" ref="N243">LET(
totalShards, F$10,
AtMax, OR(F$3&lt;$B243,totalShards&lt;$E243),
primeShards, $E243,
PrimeMulti, F243,
AssPer, F$4,
AssLevel, IF(AtMax,1,index(optimizer[Level],XMATCH(totalShards-primeShards,optimizer[Total discounted cost],-1,2))),
AssMulti,IF(F$16="",1,index(optimizer[cannonAssist],XMATCH(AssLevel,optimizer[Level],-1,2))),
TooLow, OR(AssLevel&lt;$F$18,$B243&lt;$F$15),
IF(OR(AtMax,TooLow), 0, PrimeMulti * (AssMulti)))</f>
        <v>0</v>
      </c>
      <c r="O243" s="1112">
        <f t="array" ref="O243">LET(
totalShards, G$10,
AtMax, OR(G$3&lt;$B243,totalShards&lt;$E243),
primeShards, $E243,
PrimeMulti, G243,
AssPer, G$4,
AssLevel, IF(AtMax,1,index(optimizer[Level],XMATCH(totalShards-primeShards,optimizer[Total discounted cost],-1,2))),
AssMulti,IF(G$16="",1,index(optimizer[armorAssist],XMATCH(AssLevel,optimizer[Level],-1,2))),
TooLow, OR(AssLevel&lt;$G$18,$B243&lt;$G$15),
IF(OR(AtMax,TooLow), 0, PrimeMulti * (AssMulti)))</f>
        <v>0</v>
      </c>
      <c r="P243" s="1112">
        <f t="array" ref="P243">LET(
totalShards, H$10,
AtMax, OR(H$3&lt;$B243,totalShards&lt;$E243),
primeShards, $E243,
PrimeMulti, H243,
AssPer, H$4,
AssLevel, IF(AtMax,1,index(optimizer[Level],XMATCH(totalShards-primeShards,optimizer[Total discounted cost],-1,2))),
AssMulti,IF(H$16="",1,index(optimizer[generatorAssist],XMATCH(AssLevel,optimizer[Level],-1,2))),
TooLow, OR(AssLevel&lt;$H$18,$B243&lt;$H$15),
IF(OR(AtMax,TooLow), 0, PrimeMulti * (AssMulti)))</f>
        <v>0</v>
      </c>
      <c r="Q243" s="1114">
        <f t="array" ref="Q243">LET(
totalShards, I$10,
AtMax, OR(I$3&lt;$B243,totalShards&lt;$E243),
primeShards, $E243,
PrimeMulti, I243,
AssPer, I$4,
AssLevel, IF(AtMax,1,index(optimizer[Level],XMATCH(totalShards-primeShards,optimizer[Total discounted cost],-1,2))),
AssMulti,IF(I$16="",1,index(optimizer[coreAssist],XMATCH(AssLevel,optimizer[Level],-1,2))),
TooLow, OR(AssLevel&lt;$I$18,$B243&lt;$I$15),
IF(OR(AtMax,TooLow), 0, PrimeMulti * (AssMulti)))</f>
        <v>0</v>
      </c>
    </row>
    <row r="244" ht="22.5" hidden="1" customHeight="1" outlineLevel="1">
      <c r="A244" s="1097"/>
      <c r="B244" s="1103">
        <v>217.0</v>
      </c>
      <c r="C244" s="1104">
        <f t="shared" si="13"/>
        <v>14000</v>
      </c>
      <c r="D244" s="1104">
        <f t="shared" si="2"/>
        <v>9800</v>
      </c>
      <c r="E244" s="1105">
        <f t="shared" si="11"/>
        <v>462075</v>
      </c>
      <c r="F244" s="1106">
        <f t="shared" si="3"/>
        <v>19.64</v>
      </c>
      <c r="G244" s="1106">
        <f t="shared" si="4"/>
        <v>19.64</v>
      </c>
      <c r="H244" s="1106">
        <f t="shared" si="5"/>
        <v>2.235</v>
      </c>
      <c r="I244" s="1106">
        <f t="shared" si="6"/>
        <v>27.244</v>
      </c>
      <c r="J244" s="1107">
        <f t="shared" si="7"/>
        <v>1</v>
      </c>
      <c r="K244" s="1107">
        <f t="shared" si="8"/>
        <v>1.1859</v>
      </c>
      <c r="L244" s="1107">
        <f t="shared" si="9"/>
        <v>1.1235</v>
      </c>
      <c r="M244" s="1107">
        <f t="shared" si="10"/>
        <v>3.43</v>
      </c>
      <c r="N244" s="1106">
        <f t="array" ref="N244">LET(
totalShards, F$10,
AtMax, OR(F$3&lt;$B244,totalShards&lt;$E244),
primeShards, $E244,
PrimeMulti, F244,
AssPer, F$4,
AssLevel, IF(AtMax,1,index(optimizer[Level],XMATCH(totalShards-primeShards,optimizer[Total discounted cost],-1,2))),
AssMulti,IF(F$16="",1,index(optimizer[cannonAssist],XMATCH(AssLevel,optimizer[Level],-1,2))),
TooLow, OR(AssLevel&lt;$F$18,$B244&lt;$F$15),
IF(OR(AtMax,TooLow), 0, PrimeMulti * (AssMulti)))</f>
        <v>0</v>
      </c>
      <c r="O244" s="1106">
        <f t="array" ref="O244">LET(
totalShards, G$10,
AtMax, OR(G$3&lt;$B244,totalShards&lt;$E244),
primeShards, $E244,
PrimeMulti, G244,
AssPer, G$4,
AssLevel, IF(AtMax,1,index(optimizer[Level],XMATCH(totalShards-primeShards,optimizer[Total discounted cost],-1,2))),
AssMulti,IF(G$16="",1,index(optimizer[armorAssist],XMATCH(AssLevel,optimizer[Level],-1,2))),
TooLow, OR(AssLevel&lt;$G$18,$B244&lt;$G$15),
IF(OR(AtMax,TooLow), 0, PrimeMulti * (AssMulti)))</f>
        <v>0</v>
      </c>
      <c r="P244" s="1106">
        <f t="array" ref="P244">LET(
totalShards, H$10,
AtMax, OR(H$3&lt;$B244,totalShards&lt;$E244),
primeShards, $E244,
PrimeMulti, H244,
AssPer, H$4,
AssLevel, IF(AtMax,1,index(optimizer[Level],XMATCH(totalShards-primeShards,optimizer[Total discounted cost],-1,2))),
AssMulti,IF(H$16="",1,index(optimizer[generatorAssist],XMATCH(AssLevel,optimizer[Level],-1,2))),
TooLow, OR(AssLevel&lt;$H$18,$B244&lt;$H$15),
IF(OR(AtMax,TooLow), 0, PrimeMulti * (AssMulti)))</f>
        <v>0</v>
      </c>
      <c r="Q244" s="1108">
        <f t="array" ref="Q244">LET(
totalShards, I$10,
AtMax, OR(I$3&lt;$B244,totalShards&lt;$E244),
primeShards, $E244,
PrimeMulti, I244,
AssPer, I$4,
AssLevel, IF(AtMax,1,index(optimizer[Level],XMATCH(totalShards-primeShards,optimizer[Total discounted cost],-1,2))),
AssMulti,IF(I$16="",1,index(optimizer[coreAssist],XMATCH(AssLevel,optimizer[Level],-1,2))),
TooLow, OR(AssLevel&lt;$I$18,$B244&lt;$I$15),
IF(OR(AtMax,TooLow), 0, PrimeMulti * (AssMulti)))</f>
        <v>0</v>
      </c>
    </row>
    <row r="245" ht="22.5" hidden="1" customHeight="1" outlineLevel="1">
      <c r="A245" s="1097"/>
      <c r="B245" s="1109">
        <v>218.0</v>
      </c>
      <c r="C245" s="1110">
        <f t="shared" si="13"/>
        <v>14250</v>
      </c>
      <c r="D245" s="1110">
        <f t="shared" si="2"/>
        <v>9975</v>
      </c>
      <c r="E245" s="1111">
        <f t="shared" si="11"/>
        <v>472050</v>
      </c>
      <c r="F245" s="1112">
        <f t="shared" si="3"/>
        <v>19.84</v>
      </c>
      <c r="G245" s="1112">
        <f t="shared" si="4"/>
        <v>19.84</v>
      </c>
      <c r="H245" s="1112">
        <f t="shared" si="5"/>
        <v>2.245</v>
      </c>
      <c r="I245" s="1112">
        <f t="shared" si="6"/>
        <v>27.514</v>
      </c>
      <c r="J245" s="1113">
        <f t="shared" si="7"/>
        <v>1</v>
      </c>
      <c r="K245" s="1107">
        <f t="shared" si="8"/>
        <v>1.1879</v>
      </c>
      <c r="L245" s="1107">
        <f t="shared" si="9"/>
        <v>1.1245</v>
      </c>
      <c r="M245" s="1107">
        <f t="shared" si="10"/>
        <v>3.455</v>
      </c>
      <c r="N245" s="1106">
        <f t="array" ref="N245">LET(
totalShards, F$10,
AtMax, OR(F$3&lt;$B245,totalShards&lt;$E245),
primeShards, $E245,
PrimeMulti, F245,
AssPer, F$4,
AssLevel, IF(AtMax,1,index(optimizer[Level],XMATCH(totalShards-primeShards,optimizer[Total discounted cost],-1,2))),
AssMulti,IF(F$16="",1,index(optimizer[cannonAssist],XMATCH(AssLevel,optimizer[Level],-1,2))),
TooLow, OR(AssLevel&lt;$F$18,$B245&lt;$F$15),
IF(OR(AtMax,TooLow), 0, PrimeMulti * (AssMulti)))</f>
        <v>0</v>
      </c>
      <c r="O245" s="1112">
        <f t="array" ref="O245">LET(
totalShards, G$10,
AtMax, OR(G$3&lt;$B245,totalShards&lt;$E245),
primeShards, $E245,
PrimeMulti, G245,
AssPer, G$4,
AssLevel, IF(AtMax,1,index(optimizer[Level],XMATCH(totalShards-primeShards,optimizer[Total discounted cost],-1,2))),
AssMulti,IF(G$16="",1,index(optimizer[armorAssist],XMATCH(AssLevel,optimizer[Level],-1,2))),
TooLow, OR(AssLevel&lt;$G$18,$B245&lt;$G$15),
IF(OR(AtMax,TooLow), 0, PrimeMulti * (AssMulti)))</f>
        <v>0</v>
      </c>
      <c r="P245" s="1112">
        <f t="array" ref="P245">LET(
totalShards, H$10,
AtMax, OR(H$3&lt;$B245,totalShards&lt;$E245),
primeShards, $E245,
PrimeMulti, H245,
AssPer, H$4,
AssLevel, IF(AtMax,1,index(optimizer[Level],XMATCH(totalShards-primeShards,optimizer[Total discounted cost],-1,2))),
AssMulti,IF(H$16="",1,index(optimizer[generatorAssist],XMATCH(AssLevel,optimizer[Level],-1,2))),
TooLow, OR(AssLevel&lt;$H$18,$B245&lt;$H$15),
IF(OR(AtMax,TooLow), 0, PrimeMulti * (AssMulti)))</f>
        <v>0</v>
      </c>
      <c r="Q245" s="1114">
        <f t="array" ref="Q245">LET(
totalShards, I$10,
AtMax, OR(I$3&lt;$B245,totalShards&lt;$E245),
primeShards, $E245,
PrimeMulti, I245,
AssPer, I$4,
AssLevel, IF(AtMax,1,index(optimizer[Level],XMATCH(totalShards-primeShards,optimizer[Total discounted cost],-1,2))),
AssMulti,IF(I$16="",1,index(optimizer[coreAssist],XMATCH(AssLevel,optimizer[Level],-1,2))),
TooLow, OR(AssLevel&lt;$I$18,$B245&lt;$I$15),
IF(OR(AtMax,TooLow), 0, PrimeMulti * (AssMulti)))</f>
        <v>0</v>
      </c>
    </row>
    <row r="246" ht="22.5" hidden="1" customHeight="1" outlineLevel="1">
      <c r="A246" s="1097"/>
      <c r="B246" s="1103">
        <v>219.0</v>
      </c>
      <c r="C246" s="1104">
        <f t="shared" si="13"/>
        <v>14500</v>
      </c>
      <c r="D246" s="1104">
        <f t="shared" si="2"/>
        <v>10150</v>
      </c>
      <c r="E246" s="1105">
        <f t="shared" si="11"/>
        <v>482200</v>
      </c>
      <c r="F246" s="1106">
        <f t="shared" si="3"/>
        <v>20.04</v>
      </c>
      <c r="G246" s="1106">
        <f t="shared" si="4"/>
        <v>20.04</v>
      </c>
      <c r="H246" s="1106">
        <f t="shared" si="5"/>
        <v>2.255</v>
      </c>
      <c r="I246" s="1106">
        <f t="shared" si="6"/>
        <v>27.784</v>
      </c>
      <c r="J246" s="1107">
        <f t="shared" si="7"/>
        <v>1</v>
      </c>
      <c r="K246" s="1107">
        <f t="shared" si="8"/>
        <v>1.1899</v>
      </c>
      <c r="L246" s="1107">
        <f t="shared" si="9"/>
        <v>1.1255</v>
      </c>
      <c r="M246" s="1107">
        <f t="shared" si="10"/>
        <v>3.48</v>
      </c>
      <c r="N246" s="1106">
        <f t="array" ref="N246">LET(
totalShards, F$10,
AtMax, OR(F$3&lt;$B246,totalShards&lt;$E246),
primeShards, $E246,
PrimeMulti, F246,
AssPer, F$4,
AssLevel, IF(AtMax,1,index(optimizer[Level],XMATCH(totalShards-primeShards,optimizer[Total discounted cost],-1,2))),
AssMulti,IF(F$16="",1,index(optimizer[cannonAssist],XMATCH(AssLevel,optimizer[Level],-1,2))),
TooLow, OR(AssLevel&lt;$F$18,$B246&lt;$F$15),
IF(OR(AtMax,TooLow), 0, PrimeMulti * (AssMulti)))</f>
        <v>0</v>
      </c>
      <c r="O246" s="1106">
        <f t="array" ref="O246">LET(
totalShards, G$10,
AtMax, OR(G$3&lt;$B246,totalShards&lt;$E246),
primeShards, $E246,
PrimeMulti, G246,
AssPer, G$4,
AssLevel, IF(AtMax,1,index(optimizer[Level],XMATCH(totalShards-primeShards,optimizer[Total discounted cost],-1,2))),
AssMulti,IF(G$16="",1,index(optimizer[armorAssist],XMATCH(AssLevel,optimizer[Level],-1,2))),
TooLow, OR(AssLevel&lt;$G$18,$B246&lt;$G$15),
IF(OR(AtMax,TooLow), 0, PrimeMulti * (AssMulti)))</f>
        <v>0</v>
      </c>
      <c r="P246" s="1106">
        <f t="array" ref="P246">LET(
totalShards, H$10,
AtMax, OR(H$3&lt;$B246,totalShards&lt;$E246),
primeShards, $E246,
PrimeMulti, H246,
AssPer, H$4,
AssLevel, IF(AtMax,1,index(optimizer[Level],XMATCH(totalShards-primeShards,optimizer[Total discounted cost],-1,2))),
AssMulti,IF(H$16="",1,index(optimizer[generatorAssist],XMATCH(AssLevel,optimizer[Level],-1,2))),
TooLow, OR(AssLevel&lt;$H$18,$B246&lt;$H$15),
IF(OR(AtMax,TooLow), 0, PrimeMulti * (AssMulti)))</f>
        <v>0</v>
      </c>
      <c r="Q246" s="1108">
        <f t="array" ref="Q246">LET(
totalShards, I$10,
AtMax, OR(I$3&lt;$B246,totalShards&lt;$E246),
primeShards, $E246,
PrimeMulti, I246,
AssPer, I$4,
AssLevel, IF(AtMax,1,index(optimizer[Level],XMATCH(totalShards-primeShards,optimizer[Total discounted cost],-1,2))),
AssMulti,IF(I$16="",1,index(optimizer[coreAssist],XMATCH(AssLevel,optimizer[Level],-1,2))),
TooLow, OR(AssLevel&lt;$I$18,$B246&lt;$I$15),
IF(OR(AtMax,TooLow), 0, PrimeMulti * (AssMulti)))</f>
        <v>0</v>
      </c>
    </row>
    <row r="247" ht="22.5" hidden="1" customHeight="1" outlineLevel="1">
      <c r="A247" s="1097"/>
      <c r="B247" s="1109">
        <v>220.0</v>
      </c>
      <c r="C247" s="1110">
        <f t="shared" si="13"/>
        <v>14750</v>
      </c>
      <c r="D247" s="1110">
        <f t="shared" si="2"/>
        <v>10325</v>
      </c>
      <c r="E247" s="1111">
        <f t="shared" si="11"/>
        <v>492525</v>
      </c>
      <c r="F247" s="1112">
        <f t="shared" si="3"/>
        <v>20.24</v>
      </c>
      <c r="G247" s="1112">
        <f t="shared" si="4"/>
        <v>20.24</v>
      </c>
      <c r="H247" s="1112">
        <f t="shared" si="5"/>
        <v>2.265</v>
      </c>
      <c r="I247" s="1112">
        <f t="shared" si="6"/>
        <v>28.054</v>
      </c>
      <c r="J247" s="1113">
        <f t="shared" si="7"/>
        <v>1</v>
      </c>
      <c r="K247" s="1107">
        <f t="shared" si="8"/>
        <v>1.1919</v>
      </c>
      <c r="L247" s="1107">
        <f t="shared" si="9"/>
        <v>1.1265</v>
      </c>
      <c r="M247" s="1107">
        <f t="shared" si="10"/>
        <v>3.505</v>
      </c>
      <c r="N247" s="1106">
        <f t="array" ref="N247">LET(
totalShards, F$10,
AtMax, OR(F$3&lt;$B247,totalShards&lt;$E247),
primeShards, $E247,
PrimeMulti, F247,
AssPer, F$4,
AssLevel, IF(AtMax,1,index(optimizer[Level],XMATCH(totalShards-primeShards,optimizer[Total discounted cost],-1,2))),
AssMulti,IF(F$16="",1,index(optimizer[cannonAssist],XMATCH(AssLevel,optimizer[Level],-1,2))),
TooLow, OR(AssLevel&lt;$F$18,$B247&lt;$F$15),
IF(OR(AtMax,TooLow), 0, PrimeMulti * (AssMulti)))</f>
        <v>0</v>
      </c>
      <c r="O247" s="1112">
        <f t="array" ref="O247">LET(
totalShards, G$10,
AtMax, OR(G$3&lt;$B247,totalShards&lt;$E247),
primeShards, $E247,
PrimeMulti, G247,
AssPer, G$4,
AssLevel, IF(AtMax,1,index(optimizer[Level],XMATCH(totalShards-primeShards,optimizer[Total discounted cost],-1,2))),
AssMulti,IF(G$16="",1,index(optimizer[armorAssist],XMATCH(AssLevel,optimizer[Level],-1,2))),
TooLow, OR(AssLevel&lt;$G$18,$B247&lt;$G$15),
IF(OR(AtMax,TooLow), 0, PrimeMulti * (AssMulti)))</f>
        <v>0</v>
      </c>
      <c r="P247" s="1112">
        <f t="array" ref="P247">LET(
totalShards, H$10,
AtMax, OR(H$3&lt;$B247,totalShards&lt;$E247),
primeShards, $E247,
PrimeMulti, H247,
AssPer, H$4,
AssLevel, IF(AtMax,1,index(optimizer[Level],XMATCH(totalShards-primeShards,optimizer[Total discounted cost],-1,2))),
AssMulti,IF(H$16="",1,index(optimizer[generatorAssist],XMATCH(AssLevel,optimizer[Level],-1,2))),
TooLow, OR(AssLevel&lt;$H$18,$B247&lt;$H$15),
IF(OR(AtMax,TooLow), 0, PrimeMulti * (AssMulti)))</f>
        <v>0</v>
      </c>
      <c r="Q247" s="1114">
        <f t="array" ref="Q247">LET(
totalShards, I$10,
AtMax, OR(I$3&lt;$B247,totalShards&lt;$E247),
primeShards, $E247,
PrimeMulti, I247,
AssPer, I$4,
AssLevel, IF(AtMax,1,index(optimizer[Level],XMATCH(totalShards-primeShards,optimizer[Total discounted cost],-1,2))),
AssMulti,IF(I$16="",1,index(optimizer[coreAssist],XMATCH(AssLevel,optimizer[Level],-1,2))),
TooLow, OR(AssLevel&lt;$I$18,$B247&lt;$I$15),
IF(OR(AtMax,TooLow), 0, PrimeMulti * (AssMulti)))</f>
        <v>0</v>
      </c>
    </row>
    <row r="248" ht="22.5" hidden="1" customHeight="1" outlineLevel="1">
      <c r="A248" s="1097"/>
      <c r="B248" s="1103">
        <v>221.0</v>
      </c>
      <c r="C248" s="1104">
        <f t="shared" si="13"/>
        <v>15000</v>
      </c>
      <c r="D248" s="1104">
        <f t="shared" si="2"/>
        <v>10500</v>
      </c>
      <c r="E248" s="1105">
        <f t="shared" si="11"/>
        <v>503025</v>
      </c>
      <c r="F248" s="1106">
        <f t="shared" si="3"/>
        <v>20.44</v>
      </c>
      <c r="G248" s="1106">
        <f t="shared" si="4"/>
        <v>20.44</v>
      </c>
      <c r="H248" s="1106">
        <f t="shared" si="5"/>
        <v>2.275</v>
      </c>
      <c r="I248" s="1106">
        <f t="shared" si="6"/>
        <v>28.324</v>
      </c>
      <c r="J248" s="1107">
        <f t="shared" si="7"/>
        <v>1</v>
      </c>
      <c r="K248" s="1107">
        <f t="shared" si="8"/>
        <v>1.1939</v>
      </c>
      <c r="L248" s="1107">
        <f t="shared" si="9"/>
        <v>1.1275</v>
      </c>
      <c r="M248" s="1107">
        <f t="shared" si="10"/>
        <v>3.53</v>
      </c>
      <c r="N248" s="1106">
        <f t="array" ref="N248">LET(
totalShards, F$10,
AtMax, OR(F$3&lt;$B248,totalShards&lt;$E248),
primeShards, $E248,
PrimeMulti, F248,
AssPer, F$4,
AssLevel, IF(AtMax,1,index(optimizer[Level],XMATCH(totalShards-primeShards,optimizer[Total discounted cost],-1,2))),
AssMulti,IF(F$16="",1,index(optimizer[cannonAssist],XMATCH(AssLevel,optimizer[Level],-1,2))),
TooLow, OR(AssLevel&lt;$F$18,$B248&lt;$F$15),
IF(OR(AtMax,TooLow), 0, PrimeMulti * (AssMulti)))</f>
        <v>0</v>
      </c>
      <c r="O248" s="1106">
        <f t="array" ref="O248">LET(
totalShards, G$10,
AtMax, OR(G$3&lt;$B248,totalShards&lt;$E248),
primeShards, $E248,
PrimeMulti, G248,
AssPer, G$4,
AssLevel, IF(AtMax,1,index(optimizer[Level],XMATCH(totalShards-primeShards,optimizer[Total discounted cost],-1,2))),
AssMulti,IF(G$16="",1,index(optimizer[armorAssist],XMATCH(AssLevel,optimizer[Level],-1,2))),
TooLow, OR(AssLevel&lt;$G$18,$B248&lt;$G$15),
IF(OR(AtMax,TooLow), 0, PrimeMulti * (AssMulti)))</f>
        <v>0</v>
      </c>
      <c r="P248" s="1106">
        <f t="array" ref="P248">LET(
totalShards, H$10,
AtMax, OR(H$3&lt;$B248,totalShards&lt;$E248),
primeShards, $E248,
PrimeMulti, H248,
AssPer, H$4,
AssLevel, IF(AtMax,1,index(optimizer[Level],XMATCH(totalShards-primeShards,optimizer[Total discounted cost],-1,2))),
AssMulti,IF(H$16="",1,index(optimizer[generatorAssist],XMATCH(AssLevel,optimizer[Level],-1,2))),
TooLow, OR(AssLevel&lt;$H$18,$B248&lt;$H$15),
IF(OR(AtMax,TooLow), 0, PrimeMulti * (AssMulti)))</f>
        <v>0</v>
      </c>
      <c r="Q248" s="1108">
        <f t="array" ref="Q248">LET(
totalShards, I$10,
AtMax, OR(I$3&lt;$B248,totalShards&lt;$E248),
primeShards, $E248,
PrimeMulti, I248,
AssPer, I$4,
AssLevel, IF(AtMax,1,index(optimizer[Level],XMATCH(totalShards-primeShards,optimizer[Total discounted cost],-1,2))),
AssMulti,IF(I$16="",1,index(optimizer[coreAssist],XMATCH(AssLevel,optimizer[Level],-1,2))),
TooLow, OR(AssLevel&lt;$I$18,$B248&lt;$I$15),
IF(OR(AtMax,TooLow), 0, PrimeMulti * (AssMulti)))</f>
        <v>0</v>
      </c>
    </row>
    <row r="249" ht="22.5" hidden="1" customHeight="1" outlineLevel="1">
      <c r="A249" s="1097"/>
      <c r="B249" s="1109">
        <v>222.0</v>
      </c>
      <c r="C249" s="1110">
        <f t="shared" si="13"/>
        <v>15250</v>
      </c>
      <c r="D249" s="1110">
        <f t="shared" si="2"/>
        <v>10675</v>
      </c>
      <c r="E249" s="1111">
        <f t="shared" si="11"/>
        <v>513700</v>
      </c>
      <c r="F249" s="1112">
        <f t="shared" si="3"/>
        <v>20.64</v>
      </c>
      <c r="G249" s="1112">
        <f t="shared" si="4"/>
        <v>20.64</v>
      </c>
      <c r="H249" s="1112">
        <f t="shared" si="5"/>
        <v>2.285</v>
      </c>
      <c r="I249" s="1112">
        <f t="shared" si="6"/>
        <v>28.594</v>
      </c>
      <c r="J249" s="1113">
        <f t="shared" si="7"/>
        <v>1</v>
      </c>
      <c r="K249" s="1107">
        <f t="shared" si="8"/>
        <v>1.1959</v>
      </c>
      <c r="L249" s="1107">
        <f t="shared" si="9"/>
        <v>1.1285</v>
      </c>
      <c r="M249" s="1107">
        <f t="shared" si="10"/>
        <v>3.555</v>
      </c>
      <c r="N249" s="1106">
        <f t="array" ref="N249">LET(
totalShards, F$10,
AtMax, OR(F$3&lt;$B249,totalShards&lt;$E249),
primeShards, $E249,
PrimeMulti, F249,
AssPer, F$4,
AssLevel, IF(AtMax,1,index(optimizer[Level],XMATCH(totalShards-primeShards,optimizer[Total discounted cost],-1,2))),
AssMulti,IF(F$16="",1,index(optimizer[cannonAssist],XMATCH(AssLevel,optimizer[Level],-1,2))),
TooLow, OR(AssLevel&lt;$F$18,$B249&lt;$F$15),
IF(OR(AtMax,TooLow), 0, PrimeMulti * (AssMulti)))</f>
        <v>0</v>
      </c>
      <c r="O249" s="1112">
        <f t="array" ref="O249">LET(
totalShards, G$10,
AtMax, OR(G$3&lt;$B249,totalShards&lt;$E249),
primeShards, $E249,
PrimeMulti, G249,
AssPer, G$4,
AssLevel, IF(AtMax,1,index(optimizer[Level],XMATCH(totalShards-primeShards,optimizer[Total discounted cost],-1,2))),
AssMulti,IF(G$16="",1,index(optimizer[armorAssist],XMATCH(AssLevel,optimizer[Level],-1,2))),
TooLow, OR(AssLevel&lt;$G$18,$B249&lt;$G$15),
IF(OR(AtMax,TooLow), 0, PrimeMulti * (AssMulti)))</f>
        <v>0</v>
      </c>
      <c r="P249" s="1112">
        <f t="array" ref="P249">LET(
totalShards, H$10,
AtMax, OR(H$3&lt;$B249,totalShards&lt;$E249),
primeShards, $E249,
PrimeMulti, H249,
AssPer, H$4,
AssLevel, IF(AtMax,1,index(optimizer[Level],XMATCH(totalShards-primeShards,optimizer[Total discounted cost],-1,2))),
AssMulti,IF(H$16="",1,index(optimizer[generatorAssist],XMATCH(AssLevel,optimizer[Level],-1,2))),
TooLow, OR(AssLevel&lt;$H$18,$B249&lt;$H$15),
IF(OR(AtMax,TooLow), 0, PrimeMulti * (AssMulti)))</f>
        <v>0</v>
      </c>
      <c r="Q249" s="1114">
        <f t="array" ref="Q249">LET(
totalShards, I$10,
AtMax, OR(I$3&lt;$B249,totalShards&lt;$E249),
primeShards, $E249,
PrimeMulti, I249,
AssPer, I$4,
AssLevel, IF(AtMax,1,index(optimizer[Level],XMATCH(totalShards-primeShards,optimizer[Total discounted cost],-1,2))),
AssMulti,IF(I$16="",1,index(optimizer[coreAssist],XMATCH(AssLevel,optimizer[Level],-1,2))),
TooLow, OR(AssLevel&lt;$I$18,$B249&lt;$I$15),
IF(OR(AtMax,TooLow), 0, PrimeMulti * (AssMulti)))</f>
        <v>0</v>
      </c>
    </row>
    <row r="250" ht="22.5" hidden="1" customHeight="1" outlineLevel="1">
      <c r="A250" s="1097"/>
      <c r="B250" s="1103">
        <v>223.0</v>
      </c>
      <c r="C250" s="1104">
        <f t="shared" si="13"/>
        <v>15500</v>
      </c>
      <c r="D250" s="1104">
        <f t="shared" si="2"/>
        <v>10850</v>
      </c>
      <c r="E250" s="1105">
        <f t="shared" si="11"/>
        <v>524550</v>
      </c>
      <c r="F250" s="1106">
        <f t="shared" si="3"/>
        <v>20.84</v>
      </c>
      <c r="G250" s="1106">
        <f t="shared" si="4"/>
        <v>20.84</v>
      </c>
      <c r="H250" s="1106">
        <f t="shared" si="5"/>
        <v>2.295</v>
      </c>
      <c r="I250" s="1106">
        <f t="shared" si="6"/>
        <v>28.864</v>
      </c>
      <c r="J250" s="1107">
        <f t="shared" si="7"/>
        <v>1</v>
      </c>
      <c r="K250" s="1107">
        <f t="shared" si="8"/>
        <v>1.1979</v>
      </c>
      <c r="L250" s="1107">
        <f t="shared" si="9"/>
        <v>1.1295</v>
      </c>
      <c r="M250" s="1107">
        <f t="shared" si="10"/>
        <v>3.58</v>
      </c>
      <c r="N250" s="1106">
        <f t="array" ref="N250">LET(
totalShards, F$10,
AtMax, OR(F$3&lt;$B250,totalShards&lt;$E250),
primeShards, $E250,
PrimeMulti, F250,
AssPer, F$4,
AssLevel, IF(AtMax,1,index(optimizer[Level],XMATCH(totalShards-primeShards,optimizer[Total discounted cost],-1,2))),
AssMulti,IF(F$16="",1,index(optimizer[cannonAssist],XMATCH(AssLevel,optimizer[Level],-1,2))),
TooLow, OR(AssLevel&lt;$F$18,$B250&lt;$F$15),
IF(OR(AtMax,TooLow), 0, PrimeMulti * (AssMulti)))</f>
        <v>0</v>
      </c>
      <c r="O250" s="1106">
        <f t="array" ref="O250">LET(
totalShards, G$10,
AtMax, OR(G$3&lt;$B250,totalShards&lt;$E250),
primeShards, $E250,
PrimeMulti, G250,
AssPer, G$4,
AssLevel, IF(AtMax,1,index(optimizer[Level],XMATCH(totalShards-primeShards,optimizer[Total discounted cost],-1,2))),
AssMulti,IF(G$16="",1,index(optimizer[armorAssist],XMATCH(AssLevel,optimizer[Level],-1,2))),
TooLow, OR(AssLevel&lt;$G$18,$B250&lt;$G$15),
IF(OR(AtMax,TooLow), 0, PrimeMulti * (AssMulti)))</f>
        <v>0</v>
      </c>
      <c r="P250" s="1106">
        <f t="array" ref="P250">LET(
totalShards, H$10,
AtMax, OR(H$3&lt;$B250,totalShards&lt;$E250),
primeShards, $E250,
PrimeMulti, H250,
AssPer, H$4,
AssLevel, IF(AtMax,1,index(optimizer[Level],XMATCH(totalShards-primeShards,optimizer[Total discounted cost],-1,2))),
AssMulti,IF(H$16="",1,index(optimizer[generatorAssist],XMATCH(AssLevel,optimizer[Level],-1,2))),
TooLow, OR(AssLevel&lt;$H$18,$B250&lt;$H$15),
IF(OR(AtMax,TooLow), 0, PrimeMulti * (AssMulti)))</f>
        <v>0</v>
      </c>
      <c r="Q250" s="1108">
        <f t="array" ref="Q250">LET(
totalShards, I$10,
AtMax, OR(I$3&lt;$B250,totalShards&lt;$E250),
primeShards, $E250,
PrimeMulti, I250,
AssPer, I$4,
AssLevel, IF(AtMax,1,index(optimizer[Level],XMATCH(totalShards-primeShards,optimizer[Total discounted cost],-1,2))),
AssMulti,IF(I$16="",1,index(optimizer[coreAssist],XMATCH(AssLevel,optimizer[Level],-1,2))),
TooLow, OR(AssLevel&lt;$I$18,$B250&lt;$I$15),
IF(OR(AtMax,TooLow), 0, PrimeMulti * (AssMulti)))</f>
        <v>0</v>
      </c>
    </row>
    <row r="251" ht="22.5" hidden="1" customHeight="1" outlineLevel="1">
      <c r="A251" s="1097"/>
      <c r="B251" s="1109">
        <v>224.0</v>
      </c>
      <c r="C251" s="1110">
        <f t="shared" si="13"/>
        <v>15750</v>
      </c>
      <c r="D251" s="1110">
        <f t="shared" si="2"/>
        <v>11025</v>
      </c>
      <c r="E251" s="1111">
        <f t="shared" si="11"/>
        <v>535575</v>
      </c>
      <c r="F251" s="1112">
        <f t="shared" si="3"/>
        <v>21.04</v>
      </c>
      <c r="G251" s="1112">
        <f t="shared" si="4"/>
        <v>21.04</v>
      </c>
      <c r="H251" s="1112">
        <f t="shared" si="5"/>
        <v>2.305</v>
      </c>
      <c r="I251" s="1112">
        <f t="shared" si="6"/>
        <v>29.134</v>
      </c>
      <c r="J251" s="1113">
        <f t="shared" si="7"/>
        <v>1</v>
      </c>
      <c r="K251" s="1107">
        <f t="shared" si="8"/>
        <v>1.1999</v>
      </c>
      <c r="L251" s="1107">
        <f t="shared" si="9"/>
        <v>1.1305</v>
      </c>
      <c r="M251" s="1107">
        <f t="shared" si="10"/>
        <v>3.605</v>
      </c>
      <c r="N251" s="1106">
        <f t="array" ref="N251">LET(
totalShards, F$10,
AtMax, OR(F$3&lt;$B251,totalShards&lt;$E251),
primeShards, $E251,
PrimeMulti, F251,
AssPer, F$4,
AssLevel, IF(AtMax,1,index(optimizer[Level],XMATCH(totalShards-primeShards,optimizer[Total discounted cost],-1,2))),
AssMulti,IF(F$16="",1,index(optimizer[cannonAssist],XMATCH(AssLevel,optimizer[Level],-1,2))),
TooLow, OR(AssLevel&lt;$F$18,$B251&lt;$F$15),
IF(OR(AtMax,TooLow), 0, PrimeMulti * (AssMulti)))</f>
        <v>0</v>
      </c>
      <c r="O251" s="1112">
        <f t="array" ref="O251">LET(
totalShards, G$10,
AtMax, OR(G$3&lt;$B251,totalShards&lt;$E251),
primeShards, $E251,
PrimeMulti, G251,
AssPer, G$4,
AssLevel, IF(AtMax,1,index(optimizer[Level],XMATCH(totalShards-primeShards,optimizer[Total discounted cost],-1,2))),
AssMulti,IF(G$16="",1,index(optimizer[armorAssist],XMATCH(AssLevel,optimizer[Level],-1,2))),
TooLow, OR(AssLevel&lt;$G$18,$B251&lt;$G$15),
IF(OR(AtMax,TooLow), 0, PrimeMulti * (AssMulti)))</f>
        <v>0</v>
      </c>
      <c r="P251" s="1112">
        <f t="array" ref="P251">LET(
totalShards, H$10,
AtMax, OR(H$3&lt;$B251,totalShards&lt;$E251),
primeShards, $E251,
PrimeMulti, H251,
AssPer, H$4,
AssLevel, IF(AtMax,1,index(optimizer[Level],XMATCH(totalShards-primeShards,optimizer[Total discounted cost],-1,2))),
AssMulti,IF(H$16="",1,index(optimizer[generatorAssist],XMATCH(AssLevel,optimizer[Level],-1,2))),
TooLow, OR(AssLevel&lt;$H$18,$B251&lt;$H$15),
IF(OR(AtMax,TooLow), 0, PrimeMulti * (AssMulti)))</f>
        <v>0</v>
      </c>
      <c r="Q251" s="1114">
        <f t="array" ref="Q251">LET(
totalShards, I$10,
AtMax, OR(I$3&lt;$B251,totalShards&lt;$E251),
primeShards, $E251,
PrimeMulti, I251,
AssPer, I$4,
AssLevel, IF(AtMax,1,index(optimizer[Level],XMATCH(totalShards-primeShards,optimizer[Total discounted cost],-1,2))),
AssMulti,IF(I$16="",1,index(optimizer[coreAssist],XMATCH(AssLevel,optimizer[Level],-1,2))),
TooLow, OR(AssLevel&lt;$I$18,$B251&lt;$I$15),
IF(OR(AtMax,TooLow), 0, PrimeMulti * (AssMulti)))</f>
        <v>0</v>
      </c>
    </row>
    <row r="252" ht="22.5" hidden="1" customHeight="1" outlineLevel="1">
      <c r="A252" s="1097"/>
      <c r="B252" s="1103">
        <v>225.0</v>
      </c>
      <c r="C252" s="1104">
        <f t="shared" si="13"/>
        <v>16000</v>
      </c>
      <c r="D252" s="1104">
        <f t="shared" si="2"/>
        <v>11200</v>
      </c>
      <c r="E252" s="1105">
        <f t="shared" si="11"/>
        <v>546775</v>
      </c>
      <c r="F252" s="1106">
        <f t="shared" si="3"/>
        <v>21.24</v>
      </c>
      <c r="G252" s="1106">
        <f t="shared" si="4"/>
        <v>21.24</v>
      </c>
      <c r="H252" s="1106">
        <f t="shared" si="5"/>
        <v>2.315</v>
      </c>
      <c r="I252" s="1106">
        <f t="shared" si="6"/>
        <v>29.404</v>
      </c>
      <c r="J252" s="1107">
        <f t="shared" si="7"/>
        <v>1</v>
      </c>
      <c r="K252" s="1107">
        <f t="shared" si="8"/>
        <v>1.2019</v>
      </c>
      <c r="L252" s="1107">
        <f t="shared" si="9"/>
        <v>1.1315</v>
      </c>
      <c r="M252" s="1107">
        <f t="shared" si="10"/>
        <v>3.63</v>
      </c>
      <c r="N252" s="1106">
        <f t="array" ref="N252">LET(
totalShards, F$10,
AtMax, OR(F$3&lt;$B252,totalShards&lt;$E252),
primeShards, $E252,
PrimeMulti, F252,
AssPer, F$4,
AssLevel, IF(AtMax,1,index(optimizer[Level],XMATCH(totalShards-primeShards,optimizer[Total discounted cost],-1,2))),
AssMulti,IF(F$16="",1,index(optimizer[cannonAssist],XMATCH(AssLevel,optimizer[Level],-1,2))),
TooLow, OR(AssLevel&lt;$F$18,$B252&lt;$F$15),
IF(OR(AtMax,TooLow), 0, PrimeMulti * (AssMulti)))</f>
        <v>0</v>
      </c>
      <c r="O252" s="1106">
        <f t="array" ref="O252">LET(
totalShards, G$10,
AtMax, OR(G$3&lt;$B252,totalShards&lt;$E252),
primeShards, $E252,
PrimeMulti, G252,
AssPer, G$4,
AssLevel, IF(AtMax,1,index(optimizer[Level],XMATCH(totalShards-primeShards,optimizer[Total discounted cost],-1,2))),
AssMulti,IF(G$16="",1,index(optimizer[armorAssist],XMATCH(AssLevel,optimizer[Level],-1,2))),
TooLow, OR(AssLevel&lt;$G$18,$B252&lt;$G$15),
IF(OR(AtMax,TooLow), 0, PrimeMulti * (AssMulti)))</f>
        <v>0</v>
      </c>
      <c r="P252" s="1106">
        <f t="array" ref="P252">LET(
totalShards, H$10,
AtMax, OR(H$3&lt;$B252,totalShards&lt;$E252),
primeShards, $E252,
PrimeMulti, H252,
AssPer, H$4,
AssLevel, IF(AtMax,1,index(optimizer[Level],XMATCH(totalShards-primeShards,optimizer[Total discounted cost],-1,2))),
AssMulti,IF(H$16="",1,index(optimizer[generatorAssist],XMATCH(AssLevel,optimizer[Level],-1,2))),
TooLow, OR(AssLevel&lt;$H$18,$B252&lt;$H$15),
IF(OR(AtMax,TooLow), 0, PrimeMulti * (AssMulti)))</f>
        <v>0</v>
      </c>
      <c r="Q252" s="1108">
        <f t="array" ref="Q252">LET(
totalShards, I$10,
AtMax, OR(I$3&lt;$B252,totalShards&lt;$E252),
primeShards, $E252,
PrimeMulti, I252,
AssPer, I$4,
AssLevel, IF(AtMax,1,index(optimizer[Level],XMATCH(totalShards-primeShards,optimizer[Total discounted cost],-1,2))),
AssMulti,IF(I$16="",1,index(optimizer[coreAssist],XMATCH(AssLevel,optimizer[Level],-1,2))),
TooLow, OR(AssLevel&lt;$I$18,$B252&lt;$I$15),
IF(OR(AtMax,TooLow), 0, PrimeMulti * (AssMulti)))</f>
        <v>0</v>
      </c>
    </row>
    <row r="253" ht="22.5" hidden="1" customHeight="1" outlineLevel="1">
      <c r="A253" s="1097"/>
      <c r="B253" s="1109">
        <v>226.0</v>
      </c>
      <c r="C253" s="1110">
        <f t="shared" si="13"/>
        <v>16250</v>
      </c>
      <c r="D253" s="1110">
        <f t="shared" si="2"/>
        <v>11375</v>
      </c>
      <c r="E253" s="1111">
        <f t="shared" si="11"/>
        <v>558150</v>
      </c>
      <c r="F253" s="1112">
        <f t="shared" si="3"/>
        <v>21.44</v>
      </c>
      <c r="G253" s="1112">
        <f t="shared" si="4"/>
        <v>21.44</v>
      </c>
      <c r="H253" s="1112">
        <f t="shared" si="5"/>
        <v>2.325</v>
      </c>
      <c r="I253" s="1112">
        <f t="shared" si="6"/>
        <v>29.674</v>
      </c>
      <c r="J253" s="1113">
        <f t="shared" si="7"/>
        <v>1</v>
      </c>
      <c r="K253" s="1107">
        <f t="shared" si="8"/>
        <v>1.2039</v>
      </c>
      <c r="L253" s="1107">
        <f t="shared" si="9"/>
        <v>1.1325</v>
      </c>
      <c r="M253" s="1107">
        <f t="shared" si="10"/>
        <v>3.655</v>
      </c>
      <c r="N253" s="1106">
        <f t="array" ref="N253">LET(
totalShards, F$10,
AtMax, OR(F$3&lt;$B253,totalShards&lt;$E253),
primeShards, $E253,
PrimeMulti, F253,
AssPer, F$4,
AssLevel, IF(AtMax,1,index(optimizer[Level],XMATCH(totalShards-primeShards,optimizer[Total discounted cost],-1,2))),
AssMulti,IF(F$16="",1,index(optimizer[cannonAssist],XMATCH(AssLevel,optimizer[Level],-1,2))),
TooLow, OR(AssLevel&lt;$F$18,$B253&lt;$F$15),
IF(OR(AtMax,TooLow), 0, PrimeMulti * (AssMulti)))</f>
        <v>0</v>
      </c>
      <c r="O253" s="1112">
        <f t="array" ref="O253">LET(
totalShards, G$10,
AtMax, OR(G$3&lt;$B253,totalShards&lt;$E253),
primeShards, $E253,
PrimeMulti, G253,
AssPer, G$4,
AssLevel, IF(AtMax,1,index(optimizer[Level],XMATCH(totalShards-primeShards,optimizer[Total discounted cost],-1,2))),
AssMulti,IF(G$16="",1,index(optimizer[armorAssist],XMATCH(AssLevel,optimizer[Level],-1,2))),
TooLow, OR(AssLevel&lt;$G$18,$B253&lt;$G$15),
IF(OR(AtMax,TooLow), 0, PrimeMulti * (AssMulti)))</f>
        <v>0</v>
      </c>
      <c r="P253" s="1112">
        <f t="array" ref="P253">LET(
totalShards, H$10,
AtMax, OR(H$3&lt;$B253,totalShards&lt;$E253),
primeShards, $E253,
PrimeMulti, H253,
AssPer, H$4,
AssLevel, IF(AtMax,1,index(optimizer[Level],XMATCH(totalShards-primeShards,optimizer[Total discounted cost],-1,2))),
AssMulti,IF(H$16="",1,index(optimizer[generatorAssist],XMATCH(AssLevel,optimizer[Level],-1,2))),
TooLow, OR(AssLevel&lt;$H$18,$B253&lt;$H$15),
IF(OR(AtMax,TooLow), 0, PrimeMulti * (AssMulti)))</f>
        <v>0</v>
      </c>
      <c r="Q253" s="1114">
        <f t="array" ref="Q253">LET(
totalShards, I$10,
AtMax, OR(I$3&lt;$B253,totalShards&lt;$E253),
primeShards, $E253,
PrimeMulti, I253,
AssPer, I$4,
AssLevel, IF(AtMax,1,index(optimizer[Level],XMATCH(totalShards-primeShards,optimizer[Total discounted cost],-1,2))),
AssMulti,IF(I$16="",1,index(optimizer[coreAssist],XMATCH(AssLevel,optimizer[Level],-1,2))),
TooLow, OR(AssLevel&lt;$I$18,$B253&lt;$I$15),
IF(OR(AtMax,TooLow), 0, PrimeMulti * (AssMulti)))</f>
        <v>0</v>
      </c>
    </row>
    <row r="254" ht="22.5" hidden="1" customHeight="1" outlineLevel="1">
      <c r="A254" s="1097"/>
      <c r="B254" s="1103">
        <v>227.0</v>
      </c>
      <c r="C254" s="1104">
        <f t="shared" si="13"/>
        <v>16500</v>
      </c>
      <c r="D254" s="1104">
        <f t="shared" si="2"/>
        <v>11550</v>
      </c>
      <c r="E254" s="1105">
        <f t="shared" si="11"/>
        <v>569700</v>
      </c>
      <c r="F254" s="1106">
        <f t="shared" si="3"/>
        <v>21.64</v>
      </c>
      <c r="G254" s="1106">
        <f t="shared" si="4"/>
        <v>21.64</v>
      </c>
      <c r="H254" s="1106">
        <f t="shared" si="5"/>
        <v>2.335</v>
      </c>
      <c r="I254" s="1106">
        <f t="shared" si="6"/>
        <v>29.944</v>
      </c>
      <c r="J254" s="1107">
        <f t="shared" si="7"/>
        <v>1</v>
      </c>
      <c r="K254" s="1107">
        <f t="shared" si="8"/>
        <v>1.2059</v>
      </c>
      <c r="L254" s="1107">
        <f t="shared" si="9"/>
        <v>1.1335</v>
      </c>
      <c r="M254" s="1107">
        <f t="shared" si="10"/>
        <v>3.68</v>
      </c>
      <c r="N254" s="1106">
        <f t="array" ref="N254">LET(
totalShards, F$10,
AtMax, OR(F$3&lt;$B254,totalShards&lt;$E254),
primeShards, $E254,
PrimeMulti, F254,
AssPer, F$4,
AssLevel, IF(AtMax,1,index(optimizer[Level],XMATCH(totalShards-primeShards,optimizer[Total discounted cost],-1,2))),
AssMulti,IF(F$16="",1,index(optimizer[cannonAssist],XMATCH(AssLevel,optimizer[Level],-1,2))),
TooLow, OR(AssLevel&lt;$F$18,$B254&lt;$F$15),
IF(OR(AtMax,TooLow), 0, PrimeMulti * (AssMulti)))</f>
        <v>0</v>
      </c>
      <c r="O254" s="1106">
        <f t="array" ref="O254">LET(
totalShards, G$10,
AtMax, OR(G$3&lt;$B254,totalShards&lt;$E254),
primeShards, $E254,
PrimeMulti, G254,
AssPer, G$4,
AssLevel, IF(AtMax,1,index(optimizer[Level],XMATCH(totalShards-primeShards,optimizer[Total discounted cost],-1,2))),
AssMulti,IF(G$16="",1,index(optimizer[armorAssist],XMATCH(AssLevel,optimizer[Level],-1,2))),
TooLow, OR(AssLevel&lt;$G$18,$B254&lt;$G$15),
IF(OR(AtMax,TooLow), 0, PrimeMulti * (AssMulti)))</f>
        <v>0</v>
      </c>
      <c r="P254" s="1106">
        <f t="array" ref="P254">LET(
totalShards, H$10,
AtMax, OR(H$3&lt;$B254,totalShards&lt;$E254),
primeShards, $E254,
PrimeMulti, H254,
AssPer, H$4,
AssLevel, IF(AtMax,1,index(optimizer[Level],XMATCH(totalShards-primeShards,optimizer[Total discounted cost],-1,2))),
AssMulti,IF(H$16="",1,index(optimizer[generatorAssist],XMATCH(AssLevel,optimizer[Level],-1,2))),
TooLow, OR(AssLevel&lt;$H$18,$B254&lt;$H$15),
IF(OR(AtMax,TooLow), 0, PrimeMulti * (AssMulti)))</f>
        <v>0</v>
      </c>
      <c r="Q254" s="1108">
        <f t="array" ref="Q254">LET(
totalShards, I$10,
AtMax, OR(I$3&lt;$B254,totalShards&lt;$E254),
primeShards, $E254,
PrimeMulti, I254,
AssPer, I$4,
AssLevel, IF(AtMax,1,index(optimizer[Level],XMATCH(totalShards-primeShards,optimizer[Total discounted cost],-1,2))),
AssMulti,IF(I$16="",1,index(optimizer[coreAssist],XMATCH(AssLevel,optimizer[Level],-1,2))),
TooLow, OR(AssLevel&lt;$I$18,$B254&lt;$I$15),
IF(OR(AtMax,TooLow), 0, PrimeMulti * (AssMulti)))</f>
        <v>0</v>
      </c>
    </row>
    <row r="255" ht="22.5" hidden="1" customHeight="1" outlineLevel="1">
      <c r="A255" s="1097"/>
      <c r="B255" s="1109">
        <v>228.0</v>
      </c>
      <c r="C255" s="1110">
        <f t="shared" si="13"/>
        <v>16750</v>
      </c>
      <c r="D255" s="1110">
        <f t="shared" si="2"/>
        <v>11725</v>
      </c>
      <c r="E255" s="1111">
        <f t="shared" si="11"/>
        <v>581425</v>
      </c>
      <c r="F255" s="1112">
        <f t="shared" si="3"/>
        <v>21.84</v>
      </c>
      <c r="G255" s="1112">
        <f t="shared" si="4"/>
        <v>21.84</v>
      </c>
      <c r="H255" s="1112">
        <f t="shared" si="5"/>
        <v>2.345</v>
      </c>
      <c r="I255" s="1112">
        <f t="shared" si="6"/>
        <v>30.214</v>
      </c>
      <c r="J255" s="1113">
        <f t="shared" si="7"/>
        <v>1</v>
      </c>
      <c r="K255" s="1107">
        <f t="shared" si="8"/>
        <v>1.2079</v>
      </c>
      <c r="L255" s="1107">
        <f t="shared" si="9"/>
        <v>1.1345</v>
      </c>
      <c r="M255" s="1107">
        <f t="shared" si="10"/>
        <v>3.705</v>
      </c>
      <c r="N255" s="1106">
        <f t="array" ref="N255">LET(
totalShards, F$10,
AtMax, OR(F$3&lt;$B255,totalShards&lt;$E255),
primeShards, $E255,
PrimeMulti, F255,
AssPer, F$4,
AssLevel, IF(AtMax,1,index(optimizer[Level],XMATCH(totalShards-primeShards,optimizer[Total discounted cost],-1,2))),
AssMulti,IF(F$16="",1,index(optimizer[cannonAssist],XMATCH(AssLevel,optimizer[Level],-1,2))),
TooLow, OR(AssLevel&lt;$F$18,$B255&lt;$F$15),
IF(OR(AtMax,TooLow), 0, PrimeMulti * (AssMulti)))</f>
        <v>0</v>
      </c>
      <c r="O255" s="1112">
        <f t="array" ref="O255">LET(
totalShards, G$10,
AtMax, OR(G$3&lt;$B255,totalShards&lt;$E255),
primeShards, $E255,
PrimeMulti, G255,
AssPer, G$4,
AssLevel, IF(AtMax,1,index(optimizer[Level],XMATCH(totalShards-primeShards,optimizer[Total discounted cost],-1,2))),
AssMulti,IF(G$16="",1,index(optimizer[armorAssist],XMATCH(AssLevel,optimizer[Level],-1,2))),
TooLow, OR(AssLevel&lt;$G$18,$B255&lt;$G$15),
IF(OR(AtMax,TooLow), 0, PrimeMulti * (AssMulti)))</f>
        <v>0</v>
      </c>
      <c r="P255" s="1112">
        <f t="array" ref="P255">LET(
totalShards, H$10,
AtMax, OR(H$3&lt;$B255,totalShards&lt;$E255),
primeShards, $E255,
PrimeMulti, H255,
AssPer, H$4,
AssLevel, IF(AtMax,1,index(optimizer[Level],XMATCH(totalShards-primeShards,optimizer[Total discounted cost],-1,2))),
AssMulti,IF(H$16="",1,index(optimizer[generatorAssist],XMATCH(AssLevel,optimizer[Level],-1,2))),
TooLow, OR(AssLevel&lt;$H$18,$B255&lt;$H$15),
IF(OR(AtMax,TooLow), 0, PrimeMulti * (AssMulti)))</f>
        <v>0</v>
      </c>
      <c r="Q255" s="1114">
        <f t="array" ref="Q255">LET(
totalShards, I$10,
AtMax, OR(I$3&lt;$B255,totalShards&lt;$E255),
primeShards, $E255,
PrimeMulti, I255,
AssPer, I$4,
AssLevel, IF(AtMax,1,index(optimizer[Level],XMATCH(totalShards-primeShards,optimizer[Total discounted cost],-1,2))),
AssMulti,IF(I$16="",1,index(optimizer[coreAssist],XMATCH(AssLevel,optimizer[Level],-1,2))),
TooLow, OR(AssLevel&lt;$I$18,$B255&lt;$I$15),
IF(OR(AtMax,TooLow), 0, PrimeMulti * (AssMulti)))</f>
        <v>0</v>
      </c>
    </row>
    <row r="256" ht="22.5" hidden="1" customHeight="1" outlineLevel="1">
      <c r="A256" s="1097"/>
      <c r="B256" s="1103">
        <v>229.0</v>
      </c>
      <c r="C256" s="1104">
        <f t="shared" si="13"/>
        <v>17000</v>
      </c>
      <c r="D256" s="1104">
        <f t="shared" si="2"/>
        <v>11900</v>
      </c>
      <c r="E256" s="1105">
        <f t="shared" si="11"/>
        <v>593325</v>
      </c>
      <c r="F256" s="1106">
        <f t="shared" si="3"/>
        <v>22.04</v>
      </c>
      <c r="G256" s="1106">
        <f t="shared" si="4"/>
        <v>22.04</v>
      </c>
      <c r="H256" s="1106">
        <f t="shared" si="5"/>
        <v>2.355</v>
      </c>
      <c r="I256" s="1106">
        <f t="shared" si="6"/>
        <v>30.484</v>
      </c>
      <c r="J256" s="1107">
        <f t="shared" si="7"/>
        <v>1</v>
      </c>
      <c r="K256" s="1107">
        <f t="shared" si="8"/>
        <v>1.2099</v>
      </c>
      <c r="L256" s="1107">
        <f t="shared" si="9"/>
        <v>1.1355</v>
      </c>
      <c r="M256" s="1107">
        <f t="shared" si="10"/>
        <v>3.73</v>
      </c>
      <c r="N256" s="1106">
        <f t="array" ref="N256">LET(
totalShards, F$10,
AtMax, OR(F$3&lt;$B256,totalShards&lt;$E256),
primeShards, $E256,
PrimeMulti, F256,
AssPer, F$4,
AssLevel, IF(AtMax,1,index(optimizer[Level],XMATCH(totalShards-primeShards,optimizer[Total discounted cost],-1,2))),
AssMulti,IF(F$16="",1,index(optimizer[cannonAssist],XMATCH(AssLevel,optimizer[Level],-1,2))),
TooLow, OR(AssLevel&lt;$F$18,$B256&lt;$F$15),
IF(OR(AtMax,TooLow), 0, PrimeMulti * (AssMulti)))</f>
        <v>0</v>
      </c>
      <c r="O256" s="1106">
        <f t="array" ref="O256">LET(
totalShards, G$10,
AtMax, OR(G$3&lt;$B256,totalShards&lt;$E256),
primeShards, $E256,
PrimeMulti, G256,
AssPer, G$4,
AssLevel, IF(AtMax,1,index(optimizer[Level],XMATCH(totalShards-primeShards,optimizer[Total discounted cost],-1,2))),
AssMulti,IF(G$16="",1,index(optimizer[armorAssist],XMATCH(AssLevel,optimizer[Level],-1,2))),
TooLow, OR(AssLevel&lt;$G$18,$B256&lt;$G$15),
IF(OR(AtMax,TooLow), 0, PrimeMulti * (AssMulti)))</f>
        <v>0</v>
      </c>
      <c r="P256" s="1106">
        <f t="array" ref="P256">LET(
totalShards, H$10,
AtMax, OR(H$3&lt;$B256,totalShards&lt;$E256),
primeShards, $E256,
PrimeMulti, H256,
AssPer, H$4,
AssLevel, IF(AtMax,1,index(optimizer[Level],XMATCH(totalShards-primeShards,optimizer[Total discounted cost],-1,2))),
AssMulti,IF(H$16="",1,index(optimizer[generatorAssist],XMATCH(AssLevel,optimizer[Level],-1,2))),
TooLow, OR(AssLevel&lt;$H$18,$B256&lt;$H$15),
IF(OR(AtMax,TooLow), 0, PrimeMulti * (AssMulti)))</f>
        <v>0</v>
      </c>
      <c r="Q256" s="1108">
        <f t="array" ref="Q256">LET(
totalShards, I$10,
AtMax, OR(I$3&lt;$B256,totalShards&lt;$E256),
primeShards, $E256,
PrimeMulti, I256,
AssPer, I$4,
AssLevel, IF(AtMax,1,index(optimizer[Level],XMATCH(totalShards-primeShards,optimizer[Total discounted cost],-1,2))),
AssMulti,IF(I$16="",1,index(optimizer[coreAssist],XMATCH(AssLevel,optimizer[Level],-1,2))),
TooLow, OR(AssLevel&lt;$I$18,$B256&lt;$I$15),
IF(OR(AtMax,TooLow), 0, PrimeMulti * (AssMulti)))</f>
        <v>0</v>
      </c>
    </row>
    <row r="257" ht="22.5" hidden="1" customHeight="1" outlineLevel="1">
      <c r="A257" s="1097"/>
      <c r="B257" s="1109">
        <v>230.0</v>
      </c>
      <c r="C257" s="1110">
        <f t="shared" si="13"/>
        <v>17250</v>
      </c>
      <c r="D257" s="1110">
        <f t="shared" si="2"/>
        <v>12075</v>
      </c>
      <c r="E257" s="1111">
        <f t="shared" si="11"/>
        <v>605400</v>
      </c>
      <c r="F257" s="1112">
        <f t="shared" si="3"/>
        <v>22.24</v>
      </c>
      <c r="G257" s="1112">
        <f t="shared" si="4"/>
        <v>22.24</v>
      </c>
      <c r="H257" s="1112">
        <f t="shared" si="5"/>
        <v>2.365</v>
      </c>
      <c r="I257" s="1112">
        <f t="shared" si="6"/>
        <v>30.754</v>
      </c>
      <c r="J257" s="1113">
        <f t="shared" si="7"/>
        <v>1</v>
      </c>
      <c r="K257" s="1107">
        <f t="shared" si="8"/>
        <v>1.2119</v>
      </c>
      <c r="L257" s="1107">
        <f t="shared" si="9"/>
        <v>1.1365</v>
      </c>
      <c r="M257" s="1107">
        <f t="shared" si="10"/>
        <v>3.755</v>
      </c>
      <c r="N257" s="1106">
        <f t="array" ref="N257">LET(
totalShards, F$10,
AtMax, OR(F$3&lt;$B257,totalShards&lt;$E257),
primeShards, $E257,
PrimeMulti, F257,
AssPer, F$4,
AssLevel, IF(AtMax,1,index(optimizer[Level],XMATCH(totalShards-primeShards,optimizer[Total discounted cost],-1,2))),
AssMulti,IF(F$16="",1,index(optimizer[cannonAssist],XMATCH(AssLevel,optimizer[Level],-1,2))),
TooLow, OR(AssLevel&lt;$F$18,$B257&lt;$F$15),
IF(OR(AtMax,TooLow), 0, PrimeMulti * (AssMulti)))</f>
        <v>0</v>
      </c>
      <c r="O257" s="1112">
        <f t="array" ref="O257">LET(
totalShards, G$10,
AtMax, OR(G$3&lt;$B257,totalShards&lt;$E257),
primeShards, $E257,
PrimeMulti, G257,
AssPer, G$4,
AssLevel, IF(AtMax,1,index(optimizer[Level],XMATCH(totalShards-primeShards,optimizer[Total discounted cost],-1,2))),
AssMulti,IF(G$16="",1,index(optimizer[armorAssist],XMATCH(AssLevel,optimizer[Level],-1,2))),
TooLow, OR(AssLevel&lt;$G$18,$B257&lt;$G$15),
IF(OR(AtMax,TooLow), 0, PrimeMulti * (AssMulti)))</f>
        <v>0</v>
      </c>
      <c r="P257" s="1112">
        <f t="array" ref="P257">LET(
totalShards, H$10,
AtMax, OR(H$3&lt;$B257,totalShards&lt;$E257),
primeShards, $E257,
PrimeMulti, H257,
AssPer, H$4,
AssLevel, IF(AtMax,1,index(optimizer[Level],XMATCH(totalShards-primeShards,optimizer[Total discounted cost],-1,2))),
AssMulti,IF(H$16="",1,index(optimizer[generatorAssist],XMATCH(AssLevel,optimizer[Level],-1,2))),
TooLow, OR(AssLevel&lt;$H$18,$B257&lt;$H$15),
IF(OR(AtMax,TooLow), 0, PrimeMulti * (AssMulti)))</f>
        <v>0</v>
      </c>
      <c r="Q257" s="1114">
        <f t="array" ref="Q257">LET(
totalShards, I$10,
AtMax, OR(I$3&lt;$B257,totalShards&lt;$E257),
primeShards, $E257,
PrimeMulti, I257,
AssPer, I$4,
AssLevel, IF(AtMax,1,index(optimizer[Level],XMATCH(totalShards-primeShards,optimizer[Total discounted cost],-1,2))),
AssMulti,IF(I$16="",1,index(optimizer[coreAssist],XMATCH(AssLevel,optimizer[Level],-1,2))),
TooLow, OR(AssLevel&lt;$I$18,$B257&lt;$I$15),
IF(OR(AtMax,TooLow), 0, PrimeMulti * (AssMulti)))</f>
        <v>0</v>
      </c>
    </row>
    <row r="258" ht="22.5" hidden="1" customHeight="1" outlineLevel="1">
      <c r="A258" s="1097"/>
      <c r="B258" s="1103">
        <v>231.0</v>
      </c>
      <c r="C258" s="1104">
        <f t="shared" si="13"/>
        <v>17500</v>
      </c>
      <c r="D258" s="1104">
        <f t="shared" si="2"/>
        <v>12250</v>
      </c>
      <c r="E258" s="1105">
        <f t="shared" si="11"/>
        <v>617650</v>
      </c>
      <c r="F258" s="1106">
        <f t="shared" si="3"/>
        <v>22.44</v>
      </c>
      <c r="G258" s="1106">
        <f t="shared" si="4"/>
        <v>22.44</v>
      </c>
      <c r="H258" s="1106">
        <f t="shared" si="5"/>
        <v>2.375</v>
      </c>
      <c r="I258" s="1106">
        <f t="shared" si="6"/>
        <v>31.024</v>
      </c>
      <c r="J258" s="1107">
        <f t="shared" si="7"/>
        <v>1</v>
      </c>
      <c r="K258" s="1107">
        <f t="shared" si="8"/>
        <v>1.2139</v>
      </c>
      <c r="L258" s="1107">
        <f t="shared" si="9"/>
        <v>1.1375</v>
      </c>
      <c r="M258" s="1107">
        <f t="shared" si="10"/>
        <v>3.78</v>
      </c>
      <c r="N258" s="1106">
        <f t="array" ref="N258">LET(
totalShards, F$10,
AtMax, OR(F$3&lt;$B258,totalShards&lt;$E258),
primeShards, $E258,
PrimeMulti, F258,
AssPer, F$4,
AssLevel, IF(AtMax,1,index(optimizer[Level],XMATCH(totalShards-primeShards,optimizer[Total discounted cost],-1,2))),
AssMulti,IF(F$16="",1,index(optimizer[cannonAssist],XMATCH(AssLevel,optimizer[Level],-1,2))),
TooLow, OR(AssLevel&lt;$F$18,$B258&lt;$F$15),
IF(OR(AtMax,TooLow), 0, PrimeMulti * (AssMulti)))</f>
        <v>0</v>
      </c>
      <c r="O258" s="1106">
        <f t="array" ref="O258">LET(
totalShards, G$10,
AtMax, OR(G$3&lt;$B258,totalShards&lt;$E258),
primeShards, $E258,
PrimeMulti, G258,
AssPer, G$4,
AssLevel, IF(AtMax,1,index(optimizer[Level],XMATCH(totalShards-primeShards,optimizer[Total discounted cost],-1,2))),
AssMulti,IF(G$16="",1,index(optimizer[armorAssist],XMATCH(AssLevel,optimizer[Level],-1,2))),
TooLow, OR(AssLevel&lt;$G$18,$B258&lt;$G$15),
IF(OR(AtMax,TooLow), 0, PrimeMulti * (AssMulti)))</f>
        <v>0</v>
      </c>
      <c r="P258" s="1106">
        <f t="array" ref="P258">LET(
totalShards, H$10,
AtMax, OR(H$3&lt;$B258,totalShards&lt;$E258),
primeShards, $E258,
PrimeMulti, H258,
AssPer, H$4,
AssLevel, IF(AtMax,1,index(optimizer[Level],XMATCH(totalShards-primeShards,optimizer[Total discounted cost],-1,2))),
AssMulti,IF(H$16="",1,index(optimizer[generatorAssist],XMATCH(AssLevel,optimizer[Level],-1,2))),
TooLow, OR(AssLevel&lt;$H$18,$B258&lt;$H$15),
IF(OR(AtMax,TooLow), 0, PrimeMulti * (AssMulti)))</f>
        <v>0</v>
      </c>
      <c r="Q258" s="1108">
        <f t="array" ref="Q258">LET(
totalShards, I$10,
AtMax, OR(I$3&lt;$B258,totalShards&lt;$E258),
primeShards, $E258,
PrimeMulti, I258,
AssPer, I$4,
AssLevel, IF(AtMax,1,index(optimizer[Level],XMATCH(totalShards-primeShards,optimizer[Total discounted cost],-1,2))),
AssMulti,IF(I$16="",1,index(optimizer[coreAssist],XMATCH(AssLevel,optimizer[Level],-1,2))),
TooLow, OR(AssLevel&lt;$I$18,$B258&lt;$I$15),
IF(OR(AtMax,TooLow), 0, PrimeMulti * (AssMulti)))</f>
        <v>0</v>
      </c>
    </row>
    <row r="259" ht="22.5" hidden="1" customHeight="1" outlineLevel="1">
      <c r="A259" s="1097"/>
      <c r="B259" s="1109">
        <v>232.0</v>
      </c>
      <c r="C259" s="1110">
        <f t="shared" si="13"/>
        <v>17750</v>
      </c>
      <c r="D259" s="1110">
        <f t="shared" si="2"/>
        <v>12425</v>
      </c>
      <c r="E259" s="1111">
        <f t="shared" si="11"/>
        <v>630075</v>
      </c>
      <c r="F259" s="1112">
        <f t="shared" si="3"/>
        <v>22.64</v>
      </c>
      <c r="G259" s="1112">
        <f t="shared" si="4"/>
        <v>22.64</v>
      </c>
      <c r="H259" s="1112">
        <f t="shared" si="5"/>
        <v>2.385</v>
      </c>
      <c r="I259" s="1112">
        <f t="shared" si="6"/>
        <v>31.294</v>
      </c>
      <c r="J259" s="1113">
        <f t="shared" si="7"/>
        <v>1</v>
      </c>
      <c r="K259" s="1107">
        <f t="shared" si="8"/>
        <v>1.2159</v>
      </c>
      <c r="L259" s="1107">
        <f t="shared" si="9"/>
        <v>1.1385</v>
      </c>
      <c r="M259" s="1107">
        <f t="shared" si="10"/>
        <v>3.805</v>
      </c>
      <c r="N259" s="1106">
        <f t="array" ref="N259">LET(
totalShards, F$10,
AtMax, OR(F$3&lt;$B259,totalShards&lt;$E259),
primeShards, $E259,
PrimeMulti, F259,
AssPer, F$4,
AssLevel, IF(AtMax,1,index(optimizer[Level],XMATCH(totalShards-primeShards,optimizer[Total discounted cost],-1,2))),
AssMulti,IF(F$16="",1,index(optimizer[cannonAssist],XMATCH(AssLevel,optimizer[Level],-1,2))),
TooLow, OR(AssLevel&lt;$F$18,$B259&lt;$F$15),
IF(OR(AtMax,TooLow), 0, PrimeMulti * (AssMulti)))</f>
        <v>0</v>
      </c>
      <c r="O259" s="1112">
        <f t="array" ref="O259">LET(
totalShards, G$10,
AtMax, OR(G$3&lt;$B259,totalShards&lt;$E259),
primeShards, $E259,
PrimeMulti, G259,
AssPer, G$4,
AssLevel, IF(AtMax,1,index(optimizer[Level],XMATCH(totalShards-primeShards,optimizer[Total discounted cost],-1,2))),
AssMulti,IF(G$16="",1,index(optimizer[armorAssist],XMATCH(AssLevel,optimizer[Level],-1,2))),
TooLow, OR(AssLevel&lt;$G$18,$B259&lt;$G$15),
IF(OR(AtMax,TooLow), 0, PrimeMulti * (AssMulti)))</f>
        <v>0</v>
      </c>
      <c r="P259" s="1112">
        <f t="array" ref="P259">LET(
totalShards, H$10,
AtMax, OR(H$3&lt;$B259,totalShards&lt;$E259),
primeShards, $E259,
PrimeMulti, H259,
AssPer, H$4,
AssLevel, IF(AtMax,1,index(optimizer[Level],XMATCH(totalShards-primeShards,optimizer[Total discounted cost],-1,2))),
AssMulti,IF(H$16="",1,index(optimizer[generatorAssist],XMATCH(AssLevel,optimizer[Level],-1,2))),
TooLow, OR(AssLevel&lt;$H$18,$B259&lt;$H$15),
IF(OR(AtMax,TooLow), 0, PrimeMulti * (AssMulti)))</f>
        <v>0</v>
      </c>
      <c r="Q259" s="1114">
        <f t="array" ref="Q259">LET(
totalShards, I$10,
AtMax, OR(I$3&lt;$B259,totalShards&lt;$E259),
primeShards, $E259,
PrimeMulti, I259,
AssPer, I$4,
AssLevel, IF(AtMax,1,index(optimizer[Level],XMATCH(totalShards-primeShards,optimizer[Total discounted cost],-1,2))),
AssMulti,IF(I$16="",1,index(optimizer[coreAssist],XMATCH(AssLevel,optimizer[Level],-1,2))),
TooLow, OR(AssLevel&lt;$I$18,$B259&lt;$I$15),
IF(OR(AtMax,TooLow), 0, PrimeMulti * (AssMulti)))</f>
        <v>0</v>
      </c>
    </row>
    <row r="260" ht="22.5" hidden="1" customHeight="1" outlineLevel="1">
      <c r="A260" s="1097"/>
      <c r="B260" s="1103">
        <v>233.0</v>
      </c>
      <c r="C260" s="1104">
        <f t="shared" si="13"/>
        <v>18000</v>
      </c>
      <c r="D260" s="1104">
        <f t="shared" si="2"/>
        <v>12600</v>
      </c>
      <c r="E260" s="1105">
        <f t="shared" si="11"/>
        <v>642675</v>
      </c>
      <c r="F260" s="1106">
        <f t="shared" si="3"/>
        <v>22.84</v>
      </c>
      <c r="G260" s="1106">
        <f t="shared" si="4"/>
        <v>22.84</v>
      </c>
      <c r="H260" s="1106">
        <f t="shared" si="5"/>
        <v>2.395</v>
      </c>
      <c r="I260" s="1106">
        <f t="shared" si="6"/>
        <v>31.564</v>
      </c>
      <c r="J260" s="1107">
        <f t="shared" si="7"/>
        <v>1</v>
      </c>
      <c r="K260" s="1107">
        <f t="shared" si="8"/>
        <v>1.2179</v>
      </c>
      <c r="L260" s="1107">
        <f t="shared" si="9"/>
        <v>1.1395</v>
      </c>
      <c r="M260" s="1107">
        <f t="shared" si="10"/>
        <v>3.83</v>
      </c>
      <c r="N260" s="1106">
        <f t="array" ref="N260">LET(
totalShards, F$10,
AtMax, OR(F$3&lt;$B260,totalShards&lt;$E260),
primeShards, $E260,
PrimeMulti, F260,
AssPer, F$4,
AssLevel, IF(AtMax,1,index(optimizer[Level],XMATCH(totalShards-primeShards,optimizer[Total discounted cost],-1,2))),
AssMulti,IF(F$16="",1,index(optimizer[cannonAssist],XMATCH(AssLevel,optimizer[Level],-1,2))),
TooLow, OR(AssLevel&lt;$F$18,$B260&lt;$F$15),
IF(OR(AtMax,TooLow), 0, PrimeMulti * (AssMulti)))</f>
        <v>0</v>
      </c>
      <c r="O260" s="1106">
        <f t="array" ref="O260">LET(
totalShards, G$10,
AtMax, OR(G$3&lt;$B260,totalShards&lt;$E260),
primeShards, $E260,
PrimeMulti, G260,
AssPer, G$4,
AssLevel, IF(AtMax,1,index(optimizer[Level],XMATCH(totalShards-primeShards,optimizer[Total discounted cost],-1,2))),
AssMulti,IF(G$16="",1,index(optimizer[armorAssist],XMATCH(AssLevel,optimizer[Level],-1,2))),
TooLow, OR(AssLevel&lt;$G$18,$B260&lt;$G$15),
IF(OR(AtMax,TooLow), 0, PrimeMulti * (AssMulti)))</f>
        <v>0</v>
      </c>
      <c r="P260" s="1106">
        <f t="array" ref="P260">LET(
totalShards, H$10,
AtMax, OR(H$3&lt;$B260,totalShards&lt;$E260),
primeShards, $E260,
PrimeMulti, H260,
AssPer, H$4,
AssLevel, IF(AtMax,1,index(optimizer[Level],XMATCH(totalShards-primeShards,optimizer[Total discounted cost],-1,2))),
AssMulti,IF(H$16="",1,index(optimizer[generatorAssist],XMATCH(AssLevel,optimizer[Level],-1,2))),
TooLow, OR(AssLevel&lt;$H$18,$B260&lt;$H$15),
IF(OR(AtMax,TooLow), 0, PrimeMulti * (AssMulti)))</f>
        <v>0</v>
      </c>
      <c r="Q260" s="1108">
        <f t="array" ref="Q260">LET(
totalShards, I$10,
AtMax, OR(I$3&lt;$B260,totalShards&lt;$E260),
primeShards, $E260,
PrimeMulti, I260,
AssPer, I$4,
AssLevel, IF(AtMax,1,index(optimizer[Level],XMATCH(totalShards-primeShards,optimizer[Total discounted cost],-1,2))),
AssMulti,IF(I$16="",1,index(optimizer[coreAssist],XMATCH(AssLevel,optimizer[Level],-1,2))),
TooLow, OR(AssLevel&lt;$I$18,$B260&lt;$I$15),
IF(OR(AtMax,TooLow), 0, PrimeMulti * (AssMulti)))</f>
        <v>0</v>
      </c>
    </row>
    <row r="261" ht="22.5" hidden="1" customHeight="1" outlineLevel="1">
      <c r="A261" s="1097"/>
      <c r="B261" s="1109">
        <v>234.0</v>
      </c>
      <c r="C261" s="1110">
        <f t="shared" si="13"/>
        <v>18250</v>
      </c>
      <c r="D261" s="1110">
        <f t="shared" si="2"/>
        <v>12775</v>
      </c>
      <c r="E261" s="1111">
        <f t="shared" si="11"/>
        <v>655450</v>
      </c>
      <c r="F261" s="1112">
        <f t="shared" si="3"/>
        <v>23.04</v>
      </c>
      <c r="G261" s="1112">
        <f t="shared" si="4"/>
        <v>23.04</v>
      </c>
      <c r="H261" s="1112">
        <f t="shared" si="5"/>
        <v>2.405</v>
      </c>
      <c r="I261" s="1112">
        <f t="shared" si="6"/>
        <v>31.834</v>
      </c>
      <c r="J261" s="1113">
        <f t="shared" si="7"/>
        <v>1</v>
      </c>
      <c r="K261" s="1107">
        <f t="shared" si="8"/>
        <v>1.2199</v>
      </c>
      <c r="L261" s="1107">
        <f t="shared" si="9"/>
        <v>1.1405</v>
      </c>
      <c r="M261" s="1107">
        <f t="shared" si="10"/>
        <v>3.855</v>
      </c>
      <c r="N261" s="1106">
        <f t="array" ref="N261">LET(
totalShards, F$10,
AtMax, OR(F$3&lt;$B261,totalShards&lt;$E261),
primeShards, $E261,
PrimeMulti, F261,
AssPer, F$4,
AssLevel, IF(AtMax,1,index(optimizer[Level],XMATCH(totalShards-primeShards,optimizer[Total discounted cost],-1,2))),
AssMulti,IF(F$16="",1,index(optimizer[cannonAssist],XMATCH(AssLevel,optimizer[Level],-1,2))),
TooLow, OR(AssLevel&lt;$F$18,$B261&lt;$F$15),
IF(OR(AtMax,TooLow), 0, PrimeMulti * (AssMulti)))</f>
        <v>0</v>
      </c>
      <c r="O261" s="1112">
        <f t="array" ref="O261">LET(
totalShards, G$10,
AtMax, OR(G$3&lt;$B261,totalShards&lt;$E261),
primeShards, $E261,
PrimeMulti, G261,
AssPer, G$4,
AssLevel, IF(AtMax,1,index(optimizer[Level],XMATCH(totalShards-primeShards,optimizer[Total discounted cost],-1,2))),
AssMulti,IF(G$16="",1,index(optimizer[armorAssist],XMATCH(AssLevel,optimizer[Level],-1,2))),
TooLow, OR(AssLevel&lt;$G$18,$B261&lt;$G$15),
IF(OR(AtMax,TooLow), 0, PrimeMulti * (AssMulti)))</f>
        <v>0</v>
      </c>
      <c r="P261" s="1112">
        <f t="array" ref="P261">LET(
totalShards, H$10,
AtMax, OR(H$3&lt;$B261,totalShards&lt;$E261),
primeShards, $E261,
PrimeMulti, H261,
AssPer, H$4,
AssLevel, IF(AtMax,1,index(optimizer[Level],XMATCH(totalShards-primeShards,optimizer[Total discounted cost],-1,2))),
AssMulti,IF(H$16="",1,index(optimizer[generatorAssist],XMATCH(AssLevel,optimizer[Level],-1,2))),
TooLow, OR(AssLevel&lt;$H$18,$B261&lt;$H$15),
IF(OR(AtMax,TooLow), 0, PrimeMulti * (AssMulti)))</f>
        <v>0</v>
      </c>
      <c r="Q261" s="1114">
        <f t="array" ref="Q261">LET(
totalShards, I$10,
AtMax, OR(I$3&lt;$B261,totalShards&lt;$E261),
primeShards, $E261,
PrimeMulti, I261,
AssPer, I$4,
AssLevel, IF(AtMax,1,index(optimizer[Level],XMATCH(totalShards-primeShards,optimizer[Total discounted cost],-1,2))),
AssMulti,IF(I$16="",1,index(optimizer[coreAssist],XMATCH(AssLevel,optimizer[Level],-1,2))),
TooLow, OR(AssLevel&lt;$I$18,$B261&lt;$I$15),
IF(OR(AtMax,TooLow), 0, PrimeMulti * (AssMulti)))</f>
        <v>0</v>
      </c>
    </row>
    <row r="262" ht="22.5" hidden="1" customHeight="1" outlineLevel="1">
      <c r="A262" s="1097"/>
      <c r="B262" s="1103">
        <v>235.0</v>
      </c>
      <c r="C262" s="1104">
        <f t="shared" si="13"/>
        <v>18500</v>
      </c>
      <c r="D262" s="1104">
        <f t="shared" si="2"/>
        <v>12950</v>
      </c>
      <c r="E262" s="1105">
        <f t="shared" si="11"/>
        <v>668400</v>
      </c>
      <c r="F262" s="1106">
        <f t="shared" si="3"/>
        <v>23.24</v>
      </c>
      <c r="G262" s="1106">
        <f t="shared" si="4"/>
        <v>23.24</v>
      </c>
      <c r="H262" s="1106">
        <f t="shared" si="5"/>
        <v>2.415</v>
      </c>
      <c r="I262" s="1106">
        <f t="shared" si="6"/>
        <v>32.104</v>
      </c>
      <c r="J262" s="1107">
        <f t="shared" si="7"/>
        <v>1</v>
      </c>
      <c r="K262" s="1107">
        <f t="shared" si="8"/>
        <v>1.2219</v>
      </c>
      <c r="L262" s="1107">
        <f t="shared" si="9"/>
        <v>1.1415</v>
      </c>
      <c r="M262" s="1107">
        <f t="shared" si="10"/>
        <v>3.88</v>
      </c>
      <c r="N262" s="1106">
        <f t="array" ref="N262">LET(
totalShards, F$10,
AtMax, OR(F$3&lt;$B262,totalShards&lt;$E262),
primeShards, $E262,
PrimeMulti, F262,
AssPer, F$4,
AssLevel, IF(AtMax,1,index(optimizer[Level],XMATCH(totalShards-primeShards,optimizer[Total discounted cost],-1,2))),
AssMulti,IF(F$16="",1,index(optimizer[cannonAssist],XMATCH(AssLevel,optimizer[Level],-1,2))),
TooLow, OR(AssLevel&lt;$F$18,$B262&lt;$F$15),
IF(OR(AtMax,TooLow), 0, PrimeMulti * (AssMulti)))</f>
        <v>0</v>
      </c>
      <c r="O262" s="1106">
        <f t="array" ref="O262">LET(
totalShards, G$10,
AtMax, OR(G$3&lt;$B262,totalShards&lt;$E262),
primeShards, $E262,
PrimeMulti, G262,
AssPer, G$4,
AssLevel, IF(AtMax,1,index(optimizer[Level],XMATCH(totalShards-primeShards,optimizer[Total discounted cost],-1,2))),
AssMulti,IF(G$16="",1,index(optimizer[armorAssist],XMATCH(AssLevel,optimizer[Level],-1,2))),
TooLow, OR(AssLevel&lt;$G$18,$B262&lt;$G$15),
IF(OR(AtMax,TooLow), 0, PrimeMulti * (AssMulti)))</f>
        <v>0</v>
      </c>
      <c r="P262" s="1106">
        <f t="array" ref="P262">LET(
totalShards, H$10,
AtMax, OR(H$3&lt;$B262,totalShards&lt;$E262),
primeShards, $E262,
PrimeMulti, H262,
AssPer, H$4,
AssLevel, IF(AtMax,1,index(optimizer[Level],XMATCH(totalShards-primeShards,optimizer[Total discounted cost],-1,2))),
AssMulti,IF(H$16="",1,index(optimizer[generatorAssist],XMATCH(AssLevel,optimizer[Level],-1,2))),
TooLow, OR(AssLevel&lt;$H$18,$B262&lt;$H$15),
IF(OR(AtMax,TooLow), 0, PrimeMulti * (AssMulti)))</f>
        <v>0</v>
      </c>
      <c r="Q262" s="1108">
        <f t="array" ref="Q262">LET(
totalShards, I$10,
AtMax, OR(I$3&lt;$B262,totalShards&lt;$E262),
primeShards, $E262,
PrimeMulti, I262,
AssPer, I$4,
AssLevel, IF(AtMax,1,index(optimizer[Level],XMATCH(totalShards-primeShards,optimizer[Total discounted cost],-1,2))),
AssMulti,IF(I$16="",1,index(optimizer[coreAssist],XMATCH(AssLevel,optimizer[Level],-1,2))),
TooLow, OR(AssLevel&lt;$I$18,$B262&lt;$I$15),
IF(OR(AtMax,TooLow), 0, PrimeMulti * (AssMulti)))</f>
        <v>0</v>
      </c>
    </row>
    <row r="263" ht="22.5" hidden="1" customHeight="1" outlineLevel="1">
      <c r="A263" s="1097"/>
      <c r="B263" s="1109">
        <v>236.0</v>
      </c>
      <c r="C263" s="1110">
        <f t="shared" si="13"/>
        <v>18750</v>
      </c>
      <c r="D263" s="1110">
        <f t="shared" si="2"/>
        <v>13125</v>
      </c>
      <c r="E263" s="1111">
        <f t="shared" si="11"/>
        <v>681525</v>
      </c>
      <c r="F263" s="1112">
        <f t="shared" si="3"/>
        <v>23.44</v>
      </c>
      <c r="G263" s="1112">
        <f t="shared" si="4"/>
        <v>23.44</v>
      </c>
      <c r="H263" s="1112">
        <f t="shared" si="5"/>
        <v>2.425</v>
      </c>
      <c r="I263" s="1112">
        <f t="shared" si="6"/>
        <v>32.374</v>
      </c>
      <c r="J263" s="1113">
        <f t="shared" si="7"/>
        <v>1</v>
      </c>
      <c r="K263" s="1107">
        <f t="shared" si="8"/>
        <v>1.2239</v>
      </c>
      <c r="L263" s="1107">
        <f t="shared" si="9"/>
        <v>1.1425</v>
      </c>
      <c r="M263" s="1107">
        <f t="shared" si="10"/>
        <v>3.905</v>
      </c>
      <c r="N263" s="1106">
        <f t="array" ref="N263">LET(
totalShards, F$10,
AtMax, OR(F$3&lt;$B263,totalShards&lt;$E263),
primeShards, $E263,
PrimeMulti, F263,
AssPer, F$4,
AssLevel, IF(AtMax,1,index(optimizer[Level],XMATCH(totalShards-primeShards,optimizer[Total discounted cost],-1,2))),
AssMulti,IF(F$16="",1,index(optimizer[cannonAssist],XMATCH(AssLevel,optimizer[Level],-1,2))),
TooLow, OR(AssLevel&lt;$F$18,$B263&lt;$F$15),
IF(OR(AtMax,TooLow), 0, PrimeMulti * (AssMulti)))</f>
        <v>0</v>
      </c>
      <c r="O263" s="1112">
        <f t="array" ref="O263">LET(
totalShards, G$10,
AtMax, OR(G$3&lt;$B263,totalShards&lt;$E263),
primeShards, $E263,
PrimeMulti, G263,
AssPer, G$4,
AssLevel, IF(AtMax,1,index(optimizer[Level],XMATCH(totalShards-primeShards,optimizer[Total discounted cost],-1,2))),
AssMulti,IF(G$16="",1,index(optimizer[armorAssist],XMATCH(AssLevel,optimizer[Level],-1,2))),
TooLow, OR(AssLevel&lt;$G$18,$B263&lt;$G$15),
IF(OR(AtMax,TooLow), 0, PrimeMulti * (AssMulti)))</f>
        <v>0</v>
      </c>
      <c r="P263" s="1112">
        <f t="array" ref="P263">LET(
totalShards, H$10,
AtMax, OR(H$3&lt;$B263,totalShards&lt;$E263),
primeShards, $E263,
PrimeMulti, H263,
AssPer, H$4,
AssLevel, IF(AtMax,1,index(optimizer[Level],XMATCH(totalShards-primeShards,optimizer[Total discounted cost],-1,2))),
AssMulti,IF(H$16="",1,index(optimizer[generatorAssist],XMATCH(AssLevel,optimizer[Level],-1,2))),
TooLow, OR(AssLevel&lt;$H$18,$B263&lt;$H$15),
IF(OR(AtMax,TooLow), 0, PrimeMulti * (AssMulti)))</f>
        <v>0</v>
      </c>
      <c r="Q263" s="1114">
        <f t="array" ref="Q263">LET(
totalShards, I$10,
AtMax, OR(I$3&lt;$B263,totalShards&lt;$E263),
primeShards, $E263,
PrimeMulti, I263,
AssPer, I$4,
AssLevel, IF(AtMax,1,index(optimizer[Level],XMATCH(totalShards-primeShards,optimizer[Total discounted cost],-1,2))),
AssMulti,IF(I$16="",1,index(optimizer[coreAssist],XMATCH(AssLevel,optimizer[Level],-1,2))),
TooLow, OR(AssLevel&lt;$I$18,$B263&lt;$I$15),
IF(OR(AtMax,TooLow), 0, PrimeMulti * (AssMulti)))</f>
        <v>0</v>
      </c>
    </row>
    <row r="264" ht="22.5" hidden="1" customHeight="1" outlineLevel="1">
      <c r="A264" s="1097"/>
      <c r="B264" s="1103">
        <v>237.0</v>
      </c>
      <c r="C264" s="1104">
        <f t="shared" si="13"/>
        <v>19000</v>
      </c>
      <c r="D264" s="1104">
        <f t="shared" si="2"/>
        <v>13300</v>
      </c>
      <c r="E264" s="1105">
        <f t="shared" si="11"/>
        <v>694825</v>
      </c>
      <c r="F264" s="1106">
        <f t="shared" si="3"/>
        <v>23.64</v>
      </c>
      <c r="G264" s="1106">
        <f t="shared" si="4"/>
        <v>23.64</v>
      </c>
      <c r="H264" s="1106">
        <f t="shared" si="5"/>
        <v>2.435</v>
      </c>
      <c r="I264" s="1106">
        <f t="shared" si="6"/>
        <v>32.644</v>
      </c>
      <c r="J264" s="1107">
        <f t="shared" si="7"/>
        <v>1</v>
      </c>
      <c r="K264" s="1107">
        <f t="shared" si="8"/>
        <v>1.2259</v>
      </c>
      <c r="L264" s="1107">
        <f t="shared" si="9"/>
        <v>1.1435</v>
      </c>
      <c r="M264" s="1107">
        <f t="shared" si="10"/>
        <v>3.93</v>
      </c>
      <c r="N264" s="1106">
        <f t="array" ref="N264">LET(
totalShards, F$10,
AtMax, OR(F$3&lt;$B264,totalShards&lt;$E264),
primeShards, $E264,
PrimeMulti, F264,
AssPer, F$4,
AssLevel, IF(AtMax,1,index(optimizer[Level],XMATCH(totalShards-primeShards,optimizer[Total discounted cost],-1,2))),
AssMulti,IF(F$16="",1,index(optimizer[cannonAssist],XMATCH(AssLevel,optimizer[Level],-1,2))),
TooLow, OR(AssLevel&lt;$F$18,$B264&lt;$F$15),
IF(OR(AtMax,TooLow), 0, PrimeMulti * (AssMulti)))</f>
        <v>0</v>
      </c>
      <c r="O264" s="1106">
        <f t="array" ref="O264">LET(
totalShards, G$10,
AtMax, OR(G$3&lt;$B264,totalShards&lt;$E264),
primeShards, $E264,
PrimeMulti, G264,
AssPer, G$4,
AssLevel, IF(AtMax,1,index(optimizer[Level],XMATCH(totalShards-primeShards,optimizer[Total discounted cost],-1,2))),
AssMulti,IF(G$16="",1,index(optimizer[armorAssist],XMATCH(AssLevel,optimizer[Level],-1,2))),
TooLow, OR(AssLevel&lt;$G$18,$B264&lt;$G$15),
IF(OR(AtMax,TooLow), 0, PrimeMulti * (AssMulti)))</f>
        <v>0</v>
      </c>
      <c r="P264" s="1106">
        <f t="array" ref="P264">LET(
totalShards, H$10,
AtMax, OR(H$3&lt;$B264,totalShards&lt;$E264),
primeShards, $E264,
PrimeMulti, H264,
AssPer, H$4,
AssLevel, IF(AtMax,1,index(optimizer[Level],XMATCH(totalShards-primeShards,optimizer[Total discounted cost],-1,2))),
AssMulti,IF(H$16="",1,index(optimizer[generatorAssist],XMATCH(AssLevel,optimizer[Level],-1,2))),
TooLow, OR(AssLevel&lt;$H$18,$B264&lt;$H$15),
IF(OR(AtMax,TooLow), 0, PrimeMulti * (AssMulti)))</f>
        <v>0</v>
      </c>
      <c r="Q264" s="1108">
        <f t="array" ref="Q264">LET(
totalShards, I$10,
AtMax, OR(I$3&lt;$B264,totalShards&lt;$E264),
primeShards, $E264,
PrimeMulti, I264,
AssPer, I$4,
AssLevel, IF(AtMax,1,index(optimizer[Level],XMATCH(totalShards-primeShards,optimizer[Total discounted cost],-1,2))),
AssMulti,IF(I$16="",1,index(optimizer[coreAssist],XMATCH(AssLevel,optimizer[Level],-1,2))),
TooLow, OR(AssLevel&lt;$I$18,$B264&lt;$I$15),
IF(OR(AtMax,TooLow), 0, PrimeMulti * (AssMulti)))</f>
        <v>0</v>
      </c>
    </row>
    <row r="265" ht="22.5" hidden="1" customHeight="1" outlineLevel="1">
      <c r="A265" s="1097"/>
      <c r="B265" s="1109">
        <v>238.0</v>
      </c>
      <c r="C265" s="1110">
        <f t="shared" si="13"/>
        <v>19250</v>
      </c>
      <c r="D265" s="1110">
        <f t="shared" si="2"/>
        <v>13475</v>
      </c>
      <c r="E265" s="1111">
        <f t="shared" si="11"/>
        <v>708300</v>
      </c>
      <c r="F265" s="1112">
        <f t="shared" si="3"/>
        <v>23.84</v>
      </c>
      <c r="G265" s="1112">
        <f t="shared" si="4"/>
        <v>23.84</v>
      </c>
      <c r="H265" s="1112">
        <f t="shared" si="5"/>
        <v>2.445</v>
      </c>
      <c r="I265" s="1112">
        <f t="shared" si="6"/>
        <v>32.914</v>
      </c>
      <c r="J265" s="1113">
        <f t="shared" si="7"/>
        <v>1</v>
      </c>
      <c r="K265" s="1107">
        <f t="shared" si="8"/>
        <v>1.2279</v>
      </c>
      <c r="L265" s="1107">
        <f t="shared" si="9"/>
        <v>1.1445</v>
      </c>
      <c r="M265" s="1107">
        <f t="shared" si="10"/>
        <v>3.955</v>
      </c>
      <c r="N265" s="1106">
        <f t="array" ref="N265">LET(
totalShards, F$10,
AtMax, OR(F$3&lt;$B265,totalShards&lt;$E265),
primeShards, $E265,
PrimeMulti, F265,
AssPer, F$4,
AssLevel, IF(AtMax,1,index(optimizer[Level],XMATCH(totalShards-primeShards,optimizer[Total discounted cost],-1,2))),
AssMulti,IF(F$16="",1,index(optimizer[cannonAssist],XMATCH(AssLevel,optimizer[Level],-1,2))),
TooLow, OR(AssLevel&lt;$F$18,$B265&lt;$F$15),
IF(OR(AtMax,TooLow), 0, PrimeMulti * (AssMulti)))</f>
        <v>0</v>
      </c>
      <c r="O265" s="1112">
        <f t="array" ref="O265">LET(
totalShards, G$10,
AtMax, OR(G$3&lt;$B265,totalShards&lt;$E265),
primeShards, $E265,
PrimeMulti, G265,
AssPer, G$4,
AssLevel, IF(AtMax,1,index(optimizer[Level],XMATCH(totalShards-primeShards,optimizer[Total discounted cost],-1,2))),
AssMulti,IF(G$16="",1,index(optimizer[armorAssist],XMATCH(AssLevel,optimizer[Level],-1,2))),
TooLow, OR(AssLevel&lt;$G$18,$B265&lt;$G$15),
IF(OR(AtMax,TooLow), 0, PrimeMulti * (AssMulti)))</f>
        <v>0</v>
      </c>
      <c r="P265" s="1112">
        <f t="array" ref="P265">LET(
totalShards, H$10,
AtMax, OR(H$3&lt;$B265,totalShards&lt;$E265),
primeShards, $E265,
PrimeMulti, H265,
AssPer, H$4,
AssLevel, IF(AtMax,1,index(optimizer[Level],XMATCH(totalShards-primeShards,optimizer[Total discounted cost],-1,2))),
AssMulti,IF(H$16="",1,index(optimizer[generatorAssist],XMATCH(AssLevel,optimizer[Level],-1,2))),
TooLow, OR(AssLevel&lt;$H$18,$B265&lt;$H$15),
IF(OR(AtMax,TooLow), 0, PrimeMulti * (AssMulti)))</f>
        <v>0</v>
      </c>
      <c r="Q265" s="1114">
        <f t="array" ref="Q265">LET(
totalShards, I$10,
AtMax, OR(I$3&lt;$B265,totalShards&lt;$E265),
primeShards, $E265,
PrimeMulti, I265,
AssPer, I$4,
AssLevel, IF(AtMax,1,index(optimizer[Level],XMATCH(totalShards-primeShards,optimizer[Total discounted cost],-1,2))),
AssMulti,IF(I$16="",1,index(optimizer[coreAssist],XMATCH(AssLevel,optimizer[Level],-1,2))),
TooLow, OR(AssLevel&lt;$I$18,$B265&lt;$I$15),
IF(OR(AtMax,TooLow), 0, PrimeMulti * (AssMulti)))</f>
        <v>0</v>
      </c>
    </row>
    <row r="266" ht="22.5" hidden="1" customHeight="1" outlineLevel="1">
      <c r="A266" s="1097"/>
      <c r="B266" s="1103">
        <v>239.0</v>
      </c>
      <c r="C266" s="1104">
        <f t="shared" si="13"/>
        <v>19500</v>
      </c>
      <c r="D266" s="1104">
        <f t="shared" si="2"/>
        <v>13650</v>
      </c>
      <c r="E266" s="1105">
        <f t="shared" si="11"/>
        <v>721950</v>
      </c>
      <c r="F266" s="1106">
        <f t="shared" si="3"/>
        <v>24.04</v>
      </c>
      <c r="G266" s="1106">
        <f t="shared" si="4"/>
        <v>24.04</v>
      </c>
      <c r="H266" s="1106">
        <f t="shared" si="5"/>
        <v>2.455</v>
      </c>
      <c r="I266" s="1106">
        <f t="shared" si="6"/>
        <v>33.184</v>
      </c>
      <c r="J266" s="1107">
        <f t="shared" si="7"/>
        <v>1</v>
      </c>
      <c r="K266" s="1107">
        <f t="shared" si="8"/>
        <v>1.2299</v>
      </c>
      <c r="L266" s="1107">
        <f t="shared" si="9"/>
        <v>1.1455</v>
      </c>
      <c r="M266" s="1107">
        <f t="shared" si="10"/>
        <v>3.98</v>
      </c>
      <c r="N266" s="1106">
        <f t="array" ref="N266">LET(
totalShards, F$10,
AtMax, OR(F$3&lt;$B266,totalShards&lt;$E266),
primeShards, $E266,
PrimeMulti, F266,
AssPer, F$4,
AssLevel, IF(AtMax,1,index(optimizer[Level],XMATCH(totalShards-primeShards,optimizer[Total discounted cost],-1,2))),
AssMulti,IF(F$16="",1,index(optimizer[cannonAssist],XMATCH(AssLevel,optimizer[Level],-1,2))),
TooLow, OR(AssLevel&lt;$F$18,$B266&lt;$F$15),
IF(OR(AtMax,TooLow), 0, PrimeMulti * (AssMulti)))</f>
        <v>0</v>
      </c>
      <c r="O266" s="1106">
        <f t="array" ref="O266">LET(
totalShards, G$10,
AtMax, OR(G$3&lt;$B266,totalShards&lt;$E266),
primeShards, $E266,
PrimeMulti, G266,
AssPer, G$4,
AssLevel, IF(AtMax,1,index(optimizer[Level],XMATCH(totalShards-primeShards,optimizer[Total discounted cost],-1,2))),
AssMulti,IF(G$16="",1,index(optimizer[armorAssist],XMATCH(AssLevel,optimizer[Level],-1,2))),
TooLow, OR(AssLevel&lt;$G$18,$B266&lt;$G$15),
IF(OR(AtMax,TooLow), 0, PrimeMulti * (AssMulti)))</f>
        <v>0</v>
      </c>
      <c r="P266" s="1106">
        <f t="array" ref="P266">LET(
totalShards, H$10,
AtMax, OR(H$3&lt;$B266,totalShards&lt;$E266),
primeShards, $E266,
PrimeMulti, H266,
AssPer, H$4,
AssLevel, IF(AtMax,1,index(optimizer[Level],XMATCH(totalShards-primeShards,optimizer[Total discounted cost],-1,2))),
AssMulti,IF(H$16="",1,index(optimizer[generatorAssist],XMATCH(AssLevel,optimizer[Level],-1,2))),
TooLow, OR(AssLevel&lt;$H$18,$B266&lt;$H$15),
IF(OR(AtMax,TooLow), 0, PrimeMulti * (AssMulti)))</f>
        <v>0</v>
      </c>
      <c r="Q266" s="1108">
        <f t="array" ref="Q266">LET(
totalShards, I$10,
AtMax, OR(I$3&lt;$B266,totalShards&lt;$E266),
primeShards, $E266,
PrimeMulti, I266,
AssPer, I$4,
AssLevel, IF(AtMax,1,index(optimizer[Level],XMATCH(totalShards-primeShards,optimizer[Total discounted cost],-1,2))),
AssMulti,IF(I$16="",1,index(optimizer[coreAssist],XMATCH(AssLevel,optimizer[Level],-1,2))),
TooLow, OR(AssLevel&lt;$I$18,$B266&lt;$I$15),
IF(OR(AtMax,TooLow), 0, PrimeMulti * (AssMulti)))</f>
        <v>0</v>
      </c>
    </row>
    <row r="267" ht="22.5" hidden="1" customHeight="1" outlineLevel="1">
      <c r="A267" s="1097"/>
      <c r="B267" s="1109">
        <v>240.0</v>
      </c>
      <c r="C267" s="1110">
        <f t="shared" si="13"/>
        <v>19750</v>
      </c>
      <c r="D267" s="1110">
        <f t="shared" si="2"/>
        <v>13825</v>
      </c>
      <c r="E267" s="1111">
        <f t="shared" si="11"/>
        <v>735775</v>
      </c>
      <c r="F267" s="1112">
        <f t="shared" si="3"/>
        <v>24.24</v>
      </c>
      <c r="G267" s="1112">
        <f t="shared" si="4"/>
        <v>24.24</v>
      </c>
      <c r="H267" s="1112">
        <f t="shared" si="5"/>
        <v>2.465</v>
      </c>
      <c r="I267" s="1112">
        <f t="shared" si="6"/>
        <v>33.454</v>
      </c>
      <c r="J267" s="1113">
        <f t="shared" si="7"/>
        <v>1</v>
      </c>
      <c r="K267" s="1107">
        <f t="shared" si="8"/>
        <v>1.2319</v>
      </c>
      <c r="L267" s="1107">
        <f t="shared" si="9"/>
        <v>1.1465</v>
      </c>
      <c r="M267" s="1107">
        <f t="shared" si="10"/>
        <v>4.005</v>
      </c>
      <c r="N267" s="1106">
        <f t="array" ref="N267">LET(
totalShards, F$10,
AtMax, OR(F$3&lt;$B267,totalShards&lt;$E267),
primeShards, $E267,
PrimeMulti, F267,
AssPer, F$4,
AssLevel, IF(AtMax,1,index(optimizer[Level],XMATCH(totalShards-primeShards,optimizer[Total discounted cost],-1,2))),
AssMulti,IF(F$16="",1,index(optimizer[cannonAssist],XMATCH(AssLevel,optimizer[Level],-1,2))),
TooLow, OR(AssLevel&lt;$F$18,$B267&lt;$F$15),
IF(OR(AtMax,TooLow), 0, PrimeMulti * (AssMulti)))</f>
        <v>0</v>
      </c>
      <c r="O267" s="1112">
        <f t="array" ref="O267">LET(
totalShards, G$10,
AtMax, OR(G$3&lt;$B267,totalShards&lt;$E267),
primeShards, $E267,
PrimeMulti, G267,
AssPer, G$4,
AssLevel, IF(AtMax,1,index(optimizer[Level],XMATCH(totalShards-primeShards,optimizer[Total discounted cost],-1,2))),
AssMulti,IF(G$16="",1,index(optimizer[armorAssist],XMATCH(AssLevel,optimizer[Level],-1,2))),
TooLow, OR(AssLevel&lt;$G$18,$B267&lt;$G$15),
IF(OR(AtMax,TooLow), 0, PrimeMulti * (AssMulti)))</f>
        <v>0</v>
      </c>
      <c r="P267" s="1112">
        <f t="array" ref="P267">LET(
totalShards, H$10,
AtMax, OR(H$3&lt;$B267,totalShards&lt;$E267),
primeShards, $E267,
PrimeMulti, H267,
AssPer, H$4,
AssLevel, IF(AtMax,1,index(optimizer[Level],XMATCH(totalShards-primeShards,optimizer[Total discounted cost],-1,2))),
AssMulti,IF(H$16="",1,index(optimizer[generatorAssist],XMATCH(AssLevel,optimizer[Level],-1,2))),
TooLow, OR(AssLevel&lt;$H$18,$B267&lt;$H$15),
IF(OR(AtMax,TooLow), 0, PrimeMulti * (AssMulti)))</f>
        <v>0</v>
      </c>
      <c r="Q267" s="1114">
        <f t="array" ref="Q267">LET(
totalShards, I$10,
AtMax, OR(I$3&lt;$B267,totalShards&lt;$E267),
primeShards, $E267,
PrimeMulti, I267,
AssPer, I$4,
AssLevel, IF(AtMax,1,index(optimizer[Level],XMATCH(totalShards-primeShards,optimizer[Total discounted cost],-1,2))),
AssMulti,IF(I$16="",1,index(optimizer[coreAssist],XMATCH(AssLevel,optimizer[Level],-1,2))),
TooLow, OR(AssLevel&lt;$I$18,$B267&lt;$I$15),
IF(OR(AtMax,TooLow), 0, PrimeMulti * (AssMulti)))</f>
        <v>0</v>
      </c>
    </row>
    <row r="268" ht="22.5" hidden="1" customHeight="1" outlineLevel="1">
      <c r="A268" s="1097"/>
      <c r="B268" s="1103">
        <v>241.0</v>
      </c>
      <c r="C268" s="1104">
        <f t="shared" si="13"/>
        <v>20000</v>
      </c>
      <c r="D268" s="1104">
        <f t="shared" si="2"/>
        <v>14000</v>
      </c>
      <c r="E268" s="1105">
        <f t="shared" si="11"/>
        <v>749775</v>
      </c>
      <c r="F268" s="1106">
        <f t="shared" si="3"/>
        <v>24.44</v>
      </c>
      <c r="G268" s="1106">
        <f t="shared" si="4"/>
        <v>24.44</v>
      </c>
      <c r="H268" s="1106">
        <f t="shared" si="5"/>
        <v>2.475</v>
      </c>
      <c r="I268" s="1106">
        <f t="shared" si="6"/>
        <v>33.724</v>
      </c>
      <c r="J268" s="1107">
        <f t="shared" si="7"/>
        <v>1</v>
      </c>
      <c r="K268" s="1107">
        <f t="shared" si="8"/>
        <v>1.2339</v>
      </c>
      <c r="L268" s="1107">
        <f t="shared" si="9"/>
        <v>1.1475</v>
      </c>
      <c r="M268" s="1107">
        <f t="shared" si="10"/>
        <v>4.03</v>
      </c>
      <c r="N268" s="1106">
        <f t="array" ref="N268">LET(
totalShards, F$10,
AtMax, OR(F$3&lt;$B268,totalShards&lt;$E268),
primeShards, $E268,
PrimeMulti, F268,
AssPer, F$4,
AssLevel, IF(AtMax,1,index(optimizer[Level],XMATCH(totalShards-primeShards,optimizer[Total discounted cost],-1,2))),
AssMulti,IF(F$16="",1,index(optimizer[cannonAssist],XMATCH(AssLevel,optimizer[Level],-1,2))),
TooLow, OR(AssLevel&lt;$F$18,$B268&lt;$F$15),
IF(OR(AtMax,TooLow), 0, PrimeMulti * (AssMulti)))</f>
        <v>0</v>
      </c>
      <c r="O268" s="1106">
        <f t="array" ref="O268">LET(
totalShards, G$10,
AtMax, OR(G$3&lt;$B268,totalShards&lt;$E268),
primeShards, $E268,
PrimeMulti, G268,
AssPer, G$4,
AssLevel, IF(AtMax,1,index(optimizer[Level],XMATCH(totalShards-primeShards,optimizer[Total discounted cost],-1,2))),
AssMulti,IF(G$16="",1,index(optimizer[armorAssist],XMATCH(AssLevel,optimizer[Level],-1,2))),
TooLow, OR(AssLevel&lt;$G$18,$B268&lt;$G$15),
IF(OR(AtMax,TooLow), 0, PrimeMulti * (AssMulti)))</f>
        <v>0</v>
      </c>
      <c r="P268" s="1106">
        <f t="array" ref="P268">LET(
totalShards, H$10,
AtMax, OR(H$3&lt;$B268,totalShards&lt;$E268),
primeShards, $E268,
PrimeMulti, H268,
AssPer, H$4,
AssLevel, IF(AtMax,1,index(optimizer[Level],XMATCH(totalShards-primeShards,optimizer[Total discounted cost],-1,2))),
AssMulti,IF(H$16="",1,index(optimizer[generatorAssist],XMATCH(AssLevel,optimizer[Level],-1,2))),
TooLow, OR(AssLevel&lt;$H$18,$B268&lt;$H$15),
IF(OR(AtMax,TooLow), 0, PrimeMulti * (AssMulti)))</f>
        <v>0</v>
      </c>
      <c r="Q268" s="1108">
        <f t="array" ref="Q268">LET(
totalShards, I$10,
AtMax, OR(I$3&lt;$B268,totalShards&lt;$E268),
primeShards, $E268,
PrimeMulti, I268,
AssPer, I$4,
AssLevel, IF(AtMax,1,index(optimizer[Level],XMATCH(totalShards-primeShards,optimizer[Total discounted cost],-1,2))),
AssMulti,IF(I$16="",1,index(optimizer[coreAssist],XMATCH(AssLevel,optimizer[Level],-1,2))),
TooLow, OR(AssLevel&lt;$I$18,$B268&lt;$I$15),
IF(OR(AtMax,TooLow), 0, PrimeMulti * (AssMulti)))</f>
        <v>0</v>
      </c>
    </row>
    <row r="269" ht="22.5" hidden="1" customHeight="1" outlineLevel="1">
      <c r="A269" s="1097"/>
      <c r="B269" s="1109">
        <v>242.0</v>
      </c>
      <c r="C269" s="1110">
        <f t="shared" ref="C269:C327" si="14">C268+500</f>
        <v>20500</v>
      </c>
      <c r="D269" s="1110">
        <f t="shared" si="2"/>
        <v>14350</v>
      </c>
      <c r="E269" s="1111">
        <f t="shared" si="11"/>
        <v>764125</v>
      </c>
      <c r="F269" s="1112">
        <f t="shared" si="3"/>
        <v>24.64</v>
      </c>
      <c r="G269" s="1112">
        <f t="shared" si="4"/>
        <v>24.64</v>
      </c>
      <c r="H269" s="1112">
        <f t="shared" si="5"/>
        <v>2.485</v>
      </c>
      <c r="I269" s="1112">
        <f t="shared" si="6"/>
        <v>33.994</v>
      </c>
      <c r="J269" s="1113">
        <f t="shared" si="7"/>
        <v>1</v>
      </c>
      <c r="K269" s="1107">
        <f t="shared" si="8"/>
        <v>1.2359</v>
      </c>
      <c r="L269" s="1107">
        <f t="shared" si="9"/>
        <v>1.1485</v>
      </c>
      <c r="M269" s="1107">
        <f t="shared" si="10"/>
        <v>4.055</v>
      </c>
      <c r="N269" s="1106">
        <f t="array" ref="N269">LET(
totalShards, F$10,
AtMax, OR(F$3&lt;$B269,totalShards&lt;$E269),
primeShards, $E269,
PrimeMulti, F269,
AssPer, F$4,
AssLevel, IF(AtMax,1,index(optimizer[Level],XMATCH(totalShards-primeShards,optimizer[Total discounted cost],-1,2))),
AssMulti,IF(F$16="",1,index(optimizer[cannonAssist],XMATCH(AssLevel,optimizer[Level],-1,2))),
TooLow, OR(AssLevel&lt;$F$18,$B269&lt;$F$15),
IF(OR(AtMax,TooLow), 0, PrimeMulti * (AssMulti)))</f>
        <v>0</v>
      </c>
      <c r="O269" s="1112">
        <f t="array" ref="O269">LET(
totalShards, G$10,
AtMax, OR(G$3&lt;$B269,totalShards&lt;$E269),
primeShards, $E269,
PrimeMulti, G269,
AssPer, G$4,
AssLevel, IF(AtMax,1,index(optimizer[Level],XMATCH(totalShards-primeShards,optimizer[Total discounted cost],-1,2))),
AssMulti,IF(G$16="",1,index(optimizer[armorAssist],XMATCH(AssLevel,optimizer[Level],-1,2))),
TooLow, OR(AssLevel&lt;$G$18,$B269&lt;$G$15),
IF(OR(AtMax,TooLow), 0, PrimeMulti * (AssMulti)))</f>
        <v>0</v>
      </c>
      <c r="P269" s="1112">
        <f t="array" ref="P269">LET(
totalShards, H$10,
AtMax, OR(H$3&lt;$B269,totalShards&lt;$E269),
primeShards, $E269,
PrimeMulti, H269,
AssPer, H$4,
AssLevel, IF(AtMax,1,index(optimizer[Level],XMATCH(totalShards-primeShards,optimizer[Total discounted cost],-1,2))),
AssMulti,IF(H$16="",1,index(optimizer[generatorAssist],XMATCH(AssLevel,optimizer[Level],-1,2))),
TooLow, OR(AssLevel&lt;$H$18,$B269&lt;$H$15),
IF(OR(AtMax,TooLow), 0, PrimeMulti * (AssMulti)))</f>
        <v>0</v>
      </c>
      <c r="Q269" s="1114">
        <f t="array" ref="Q269">LET(
totalShards, I$10,
AtMax, OR(I$3&lt;$B269,totalShards&lt;$E269),
primeShards, $E269,
PrimeMulti, I269,
AssPer, I$4,
AssLevel, IF(AtMax,1,index(optimizer[Level],XMATCH(totalShards-primeShards,optimizer[Total discounted cost],-1,2))),
AssMulti,IF(I$16="",1,index(optimizer[coreAssist],XMATCH(AssLevel,optimizer[Level],-1,2))),
TooLow, OR(AssLevel&lt;$I$18,$B269&lt;$I$15),
IF(OR(AtMax,TooLow), 0, PrimeMulti * (AssMulti)))</f>
        <v>0</v>
      </c>
    </row>
    <row r="270" ht="22.5" hidden="1" customHeight="1" outlineLevel="1">
      <c r="A270" s="1097"/>
      <c r="B270" s="1103">
        <v>243.0</v>
      </c>
      <c r="C270" s="1104">
        <f t="shared" si="14"/>
        <v>21000</v>
      </c>
      <c r="D270" s="1104">
        <f t="shared" si="2"/>
        <v>14700</v>
      </c>
      <c r="E270" s="1105">
        <f t="shared" si="11"/>
        <v>778825</v>
      </c>
      <c r="F270" s="1106">
        <f t="shared" si="3"/>
        <v>24.84</v>
      </c>
      <c r="G270" s="1106">
        <f t="shared" si="4"/>
        <v>24.84</v>
      </c>
      <c r="H270" s="1106">
        <f t="shared" si="5"/>
        <v>2.495</v>
      </c>
      <c r="I270" s="1106">
        <f t="shared" si="6"/>
        <v>34.264</v>
      </c>
      <c r="J270" s="1107">
        <f t="shared" si="7"/>
        <v>1</v>
      </c>
      <c r="K270" s="1107">
        <f t="shared" si="8"/>
        <v>1.2379</v>
      </c>
      <c r="L270" s="1107">
        <f t="shared" si="9"/>
        <v>1.1495</v>
      </c>
      <c r="M270" s="1107">
        <f t="shared" si="10"/>
        <v>4.08</v>
      </c>
      <c r="N270" s="1106">
        <f t="array" ref="N270">LET(
totalShards, F$10,
AtMax, OR(F$3&lt;$B270,totalShards&lt;$E270),
primeShards, $E270,
PrimeMulti, F270,
AssPer, F$4,
AssLevel, IF(AtMax,1,index(optimizer[Level],XMATCH(totalShards-primeShards,optimizer[Total discounted cost],-1,2))),
AssMulti,IF(F$16="",1,index(optimizer[cannonAssist],XMATCH(AssLevel,optimizer[Level],-1,2))),
TooLow, OR(AssLevel&lt;$F$18,$B270&lt;$F$15),
IF(OR(AtMax,TooLow), 0, PrimeMulti * (AssMulti)))</f>
        <v>0</v>
      </c>
      <c r="O270" s="1106">
        <f t="array" ref="O270">LET(
totalShards, G$10,
AtMax, OR(G$3&lt;$B270,totalShards&lt;$E270),
primeShards, $E270,
PrimeMulti, G270,
AssPer, G$4,
AssLevel, IF(AtMax,1,index(optimizer[Level],XMATCH(totalShards-primeShards,optimizer[Total discounted cost],-1,2))),
AssMulti,IF(G$16="",1,index(optimizer[armorAssist],XMATCH(AssLevel,optimizer[Level],-1,2))),
TooLow, OR(AssLevel&lt;$G$18,$B270&lt;$G$15),
IF(OR(AtMax,TooLow), 0, PrimeMulti * (AssMulti)))</f>
        <v>0</v>
      </c>
      <c r="P270" s="1106">
        <f t="array" ref="P270">LET(
totalShards, H$10,
AtMax, OR(H$3&lt;$B270,totalShards&lt;$E270),
primeShards, $E270,
PrimeMulti, H270,
AssPer, H$4,
AssLevel, IF(AtMax,1,index(optimizer[Level],XMATCH(totalShards-primeShards,optimizer[Total discounted cost],-1,2))),
AssMulti,IF(H$16="",1,index(optimizer[generatorAssist],XMATCH(AssLevel,optimizer[Level],-1,2))),
TooLow, OR(AssLevel&lt;$H$18,$B270&lt;$H$15),
IF(OR(AtMax,TooLow), 0, PrimeMulti * (AssMulti)))</f>
        <v>0</v>
      </c>
      <c r="Q270" s="1108">
        <f t="array" ref="Q270">LET(
totalShards, I$10,
AtMax, OR(I$3&lt;$B270,totalShards&lt;$E270),
primeShards, $E270,
PrimeMulti, I270,
AssPer, I$4,
AssLevel, IF(AtMax,1,index(optimizer[Level],XMATCH(totalShards-primeShards,optimizer[Total discounted cost],-1,2))),
AssMulti,IF(I$16="",1,index(optimizer[coreAssist],XMATCH(AssLevel,optimizer[Level],-1,2))),
TooLow, OR(AssLevel&lt;$I$18,$B270&lt;$I$15),
IF(OR(AtMax,TooLow), 0, PrimeMulti * (AssMulti)))</f>
        <v>0</v>
      </c>
    </row>
    <row r="271" ht="22.5" hidden="1" customHeight="1" outlineLevel="1">
      <c r="A271" s="1097"/>
      <c r="B271" s="1109">
        <v>244.0</v>
      </c>
      <c r="C271" s="1110">
        <f t="shared" si="14"/>
        <v>21500</v>
      </c>
      <c r="D271" s="1110">
        <f t="shared" si="2"/>
        <v>15050</v>
      </c>
      <c r="E271" s="1111">
        <f t="shared" si="11"/>
        <v>793875</v>
      </c>
      <c r="F271" s="1112">
        <f t="shared" si="3"/>
        <v>25.04</v>
      </c>
      <c r="G271" s="1112">
        <f t="shared" si="4"/>
        <v>25.04</v>
      </c>
      <c r="H271" s="1112">
        <f t="shared" si="5"/>
        <v>2.505</v>
      </c>
      <c r="I271" s="1112">
        <f t="shared" si="6"/>
        <v>34.534</v>
      </c>
      <c r="J271" s="1113">
        <f t="shared" si="7"/>
        <v>1</v>
      </c>
      <c r="K271" s="1107">
        <f t="shared" si="8"/>
        <v>1.2399</v>
      </c>
      <c r="L271" s="1107">
        <f t="shared" si="9"/>
        <v>1.1505</v>
      </c>
      <c r="M271" s="1107">
        <f t="shared" si="10"/>
        <v>4.105</v>
      </c>
      <c r="N271" s="1106">
        <f t="array" ref="N271">LET(
totalShards, F$10,
AtMax, OR(F$3&lt;$B271,totalShards&lt;$E271),
primeShards, $E271,
PrimeMulti, F271,
AssPer, F$4,
AssLevel, IF(AtMax,1,index(optimizer[Level],XMATCH(totalShards-primeShards,optimizer[Total discounted cost],-1,2))),
AssMulti,IF(F$16="",1,index(optimizer[cannonAssist],XMATCH(AssLevel,optimizer[Level],-1,2))),
TooLow, OR(AssLevel&lt;$F$18,$B271&lt;$F$15),
IF(OR(AtMax,TooLow), 0, PrimeMulti * (AssMulti)))</f>
        <v>0</v>
      </c>
      <c r="O271" s="1112">
        <f t="array" ref="O271">LET(
totalShards, G$10,
AtMax, OR(G$3&lt;$B271,totalShards&lt;$E271),
primeShards, $E271,
PrimeMulti, G271,
AssPer, G$4,
AssLevel, IF(AtMax,1,index(optimizer[Level],XMATCH(totalShards-primeShards,optimizer[Total discounted cost],-1,2))),
AssMulti,IF(G$16="",1,index(optimizer[armorAssist],XMATCH(AssLevel,optimizer[Level],-1,2))),
TooLow, OR(AssLevel&lt;$G$18,$B271&lt;$G$15),
IF(OR(AtMax,TooLow), 0, PrimeMulti * (AssMulti)))</f>
        <v>0</v>
      </c>
      <c r="P271" s="1112">
        <f t="array" ref="P271">LET(
totalShards, H$10,
AtMax, OR(H$3&lt;$B271,totalShards&lt;$E271),
primeShards, $E271,
PrimeMulti, H271,
AssPer, H$4,
AssLevel, IF(AtMax,1,index(optimizer[Level],XMATCH(totalShards-primeShards,optimizer[Total discounted cost],-1,2))),
AssMulti,IF(H$16="",1,index(optimizer[generatorAssist],XMATCH(AssLevel,optimizer[Level],-1,2))),
TooLow, OR(AssLevel&lt;$H$18,$B271&lt;$H$15),
IF(OR(AtMax,TooLow), 0, PrimeMulti * (AssMulti)))</f>
        <v>0</v>
      </c>
      <c r="Q271" s="1114">
        <f t="array" ref="Q271">LET(
totalShards, I$10,
AtMax, OR(I$3&lt;$B271,totalShards&lt;$E271),
primeShards, $E271,
PrimeMulti, I271,
AssPer, I$4,
AssLevel, IF(AtMax,1,index(optimizer[Level],XMATCH(totalShards-primeShards,optimizer[Total discounted cost],-1,2))),
AssMulti,IF(I$16="",1,index(optimizer[coreAssist],XMATCH(AssLevel,optimizer[Level],-1,2))),
TooLow, OR(AssLevel&lt;$I$18,$B271&lt;$I$15),
IF(OR(AtMax,TooLow), 0, PrimeMulti * (AssMulti)))</f>
        <v>0</v>
      </c>
    </row>
    <row r="272" ht="22.5" hidden="1" customHeight="1" outlineLevel="1">
      <c r="A272" s="1097"/>
      <c r="B272" s="1103">
        <v>245.0</v>
      </c>
      <c r="C272" s="1104">
        <f t="shared" si="14"/>
        <v>22000</v>
      </c>
      <c r="D272" s="1104">
        <f t="shared" si="2"/>
        <v>15400</v>
      </c>
      <c r="E272" s="1105">
        <f t="shared" si="11"/>
        <v>809275</v>
      </c>
      <c r="F272" s="1106">
        <f t="shared" si="3"/>
        <v>25.24</v>
      </c>
      <c r="G272" s="1106">
        <f t="shared" si="4"/>
        <v>25.24</v>
      </c>
      <c r="H272" s="1106">
        <f t="shared" si="5"/>
        <v>2.515</v>
      </c>
      <c r="I272" s="1106">
        <f t="shared" si="6"/>
        <v>34.804</v>
      </c>
      <c r="J272" s="1107">
        <f t="shared" si="7"/>
        <v>1</v>
      </c>
      <c r="K272" s="1107">
        <f t="shared" si="8"/>
        <v>1.2419</v>
      </c>
      <c r="L272" s="1107">
        <f t="shared" si="9"/>
        <v>1.1515</v>
      </c>
      <c r="M272" s="1107">
        <f t="shared" si="10"/>
        <v>4.13</v>
      </c>
      <c r="N272" s="1106">
        <f t="array" ref="N272">LET(
totalShards, F$10,
AtMax, OR(F$3&lt;$B272,totalShards&lt;$E272),
primeShards, $E272,
PrimeMulti, F272,
AssPer, F$4,
AssLevel, IF(AtMax,1,index(optimizer[Level],XMATCH(totalShards-primeShards,optimizer[Total discounted cost],-1,2))),
AssMulti,IF(F$16="",1,index(optimizer[cannonAssist],XMATCH(AssLevel,optimizer[Level],-1,2))),
TooLow, OR(AssLevel&lt;$F$18,$B272&lt;$F$15),
IF(OR(AtMax,TooLow), 0, PrimeMulti * (AssMulti)))</f>
        <v>0</v>
      </c>
      <c r="O272" s="1106">
        <f t="array" ref="O272">LET(
totalShards, G$10,
AtMax, OR(G$3&lt;$B272,totalShards&lt;$E272),
primeShards, $E272,
PrimeMulti, G272,
AssPer, G$4,
AssLevel, IF(AtMax,1,index(optimizer[Level],XMATCH(totalShards-primeShards,optimizer[Total discounted cost],-1,2))),
AssMulti,IF(G$16="",1,index(optimizer[armorAssist],XMATCH(AssLevel,optimizer[Level],-1,2))),
TooLow, OR(AssLevel&lt;$G$18,$B272&lt;$G$15),
IF(OR(AtMax,TooLow), 0, PrimeMulti * (AssMulti)))</f>
        <v>0</v>
      </c>
      <c r="P272" s="1106">
        <f t="array" ref="P272">LET(
totalShards, H$10,
AtMax, OR(H$3&lt;$B272,totalShards&lt;$E272),
primeShards, $E272,
PrimeMulti, H272,
AssPer, H$4,
AssLevel, IF(AtMax,1,index(optimizer[Level],XMATCH(totalShards-primeShards,optimizer[Total discounted cost],-1,2))),
AssMulti,IF(H$16="",1,index(optimizer[generatorAssist],XMATCH(AssLevel,optimizer[Level],-1,2))),
TooLow, OR(AssLevel&lt;$H$18,$B272&lt;$H$15),
IF(OR(AtMax,TooLow), 0, PrimeMulti * (AssMulti)))</f>
        <v>0</v>
      </c>
      <c r="Q272" s="1108">
        <f t="array" ref="Q272">LET(
totalShards, I$10,
AtMax, OR(I$3&lt;$B272,totalShards&lt;$E272),
primeShards, $E272,
PrimeMulti, I272,
AssPer, I$4,
AssLevel, IF(AtMax,1,index(optimizer[Level],XMATCH(totalShards-primeShards,optimizer[Total discounted cost],-1,2))),
AssMulti,IF(I$16="",1,index(optimizer[coreAssist],XMATCH(AssLevel,optimizer[Level],-1,2))),
TooLow, OR(AssLevel&lt;$I$18,$B272&lt;$I$15),
IF(OR(AtMax,TooLow), 0, PrimeMulti * (AssMulti)))</f>
        <v>0</v>
      </c>
    </row>
    <row r="273" ht="22.5" hidden="1" customHeight="1" outlineLevel="1">
      <c r="A273" s="1097"/>
      <c r="B273" s="1109">
        <v>246.0</v>
      </c>
      <c r="C273" s="1110">
        <f t="shared" si="14"/>
        <v>22500</v>
      </c>
      <c r="D273" s="1110">
        <f t="shared" si="2"/>
        <v>15750</v>
      </c>
      <c r="E273" s="1111">
        <f t="shared" si="11"/>
        <v>825025</v>
      </c>
      <c r="F273" s="1112">
        <f t="shared" si="3"/>
        <v>25.44</v>
      </c>
      <c r="G273" s="1112">
        <f t="shared" si="4"/>
        <v>25.44</v>
      </c>
      <c r="H273" s="1112">
        <f t="shared" si="5"/>
        <v>2.525</v>
      </c>
      <c r="I273" s="1112">
        <f t="shared" si="6"/>
        <v>35.074</v>
      </c>
      <c r="J273" s="1113">
        <f t="shared" si="7"/>
        <v>1</v>
      </c>
      <c r="K273" s="1107">
        <f t="shared" si="8"/>
        <v>1.2439</v>
      </c>
      <c r="L273" s="1107">
        <f t="shared" si="9"/>
        <v>1.1525</v>
      </c>
      <c r="M273" s="1107">
        <f t="shared" si="10"/>
        <v>4.155</v>
      </c>
      <c r="N273" s="1106">
        <f t="array" ref="N273">LET(
totalShards, F$10,
AtMax, OR(F$3&lt;$B273,totalShards&lt;$E273),
primeShards, $E273,
PrimeMulti, F273,
AssPer, F$4,
AssLevel, IF(AtMax,1,index(optimizer[Level],XMATCH(totalShards-primeShards,optimizer[Total discounted cost],-1,2))),
AssMulti,IF(F$16="",1,index(optimizer[cannonAssist],XMATCH(AssLevel,optimizer[Level],-1,2))),
TooLow, OR(AssLevel&lt;$F$18,$B273&lt;$F$15),
IF(OR(AtMax,TooLow), 0, PrimeMulti * (AssMulti)))</f>
        <v>0</v>
      </c>
      <c r="O273" s="1112">
        <f t="array" ref="O273">LET(
totalShards, G$10,
AtMax, OR(G$3&lt;$B273,totalShards&lt;$E273),
primeShards, $E273,
PrimeMulti, G273,
AssPer, G$4,
AssLevel, IF(AtMax,1,index(optimizer[Level],XMATCH(totalShards-primeShards,optimizer[Total discounted cost],-1,2))),
AssMulti,IF(G$16="",1,index(optimizer[armorAssist],XMATCH(AssLevel,optimizer[Level],-1,2))),
TooLow, OR(AssLevel&lt;$G$18,$B273&lt;$G$15),
IF(OR(AtMax,TooLow), 0, PrimeMulti * (AssMulti)))</f>
        <v>0</v>
      </c>
      <c r="P273" s="1112">
        <f t="array" ref="P273">LET(
totalShards, H$10,
AtMax, OR(H$3&lt;$B273,totalShards&lt;$E273),
primeShards, $E273,
PrimeMulti, H273,
AssPer, H$4,
AssLevel, IF(AtMax,1,index(optimizer[Level],XMATCH(totalShards-primeShards,optimizer[Total discounted cost],-1,2))),
AssMulti,IF(H$16="",1,index(optimizer[generatorAssist],XMATCH(AssLevel,optimizer[Level],-1,2))),
TooLow, OR(AssLevel&lt;$H$18,$B273&lt;$H$15),
IF(OR(AtMax,TooLow), 0, PrimeMulti * (AssMulti)))</f>
        <v>0</v>
      </c>
      <c r="Q273" s="1114">
        <f t="array" ref="Q273">LET(
totalShards, I$10,
AtMax, OR(I$3&lt;$B273,totalShards&lt;$E273),
primeShards, $E273,
PrimeMulti, I273,
AssPer, I$4,
AssLevel, IF(AtMax,1,index(optimizer[Level],XMATCH(totalShards-primeShards,optimizer[Total discounted cost],-1,2))),
AssMulti,IF(I$16="",1,index(optimizer[coreAssist],XMATCH(AssLevel,optimizer[Level],-1,2))),
TooLow, OR(AssLevel&lt;$I$18,$B273&lt;$I$15),
IF(OR(AtMax,TooLow), 0, PrimeMulti * (AssMulti)))</f>
        <v>0</v>
      </c>
    </row>
    <row r="274" ht="22.5" hidden="1" customHeight="1" outlineLevel="1">
      <c r="A274" s="1097"/>
      <c r="B274" s="1103">
        <v>247.0</v>
      </c>
      <c r="C274" s="1104">
        <f t="shared" si="14"/>
        <v>23000</v>
      </c>
      <c r="D274" s="1104">
        <f t="shared" si="2"/>
        <v>16100</v>
      </c>
      <c r="E274" s="1105">
        <f t="shared" si="11"/>
        <v>841125</v>
      </c>
      <c r="F274" s="1106">
        <f t="shared" si="3"/>
        <v>25.64</v>
      </c>
      <c r="G274" s="1106">
        <f t="shared" si="4"/>
        <v>25.64</v>
      </c>
      <c r="H274" s="1106">
        <f t="shared" si="5"/>
        <v>2.535</v>
      </c>
      <c r="I274" s="1106">
        <f t="shared" si="6"/>
        <v>35.344</v>
      </c>
      <c r="J274" s="1107">
        <f t="shared" si="7"/>
        <v>1</v>
      </c>
      <c r="K274" s="1107">
        <f t="shared" si="8"/>
        <v>1.2459</v>
      </c>
      <c r="L274" s="1107">
        <f t="shared" si="9"/>
        <v>1.1535</v>
      </c>
      <c r="M274" s="1107">
        <f t="shared" si="10"/>
        <v>4.18</v>
      </c>
      <c r="N274" s="1106">
        <f t="array" ref="N274">LET(
totalShards, F$10,
AtMax, OR(F$3&lt;$B274,totalShards&lt;$E274),
primeShards, $E274,
PrimeMulti, F274,
AssPer, F$4,
AssLevel, IF(AtMax,1,index(optimizer[Level],XMATCH(totalShards-primeShards,optimizer[Total discounted cost],-1,2))),
AssMulti,IF(F$16="",1,index(optimizer[cannonAssist],XMATCH(AssLevel,optimizer[Level],-1,2))),
TooLow, OR(AssLevel&lt;$F$18,$B274&lt;$F$15),
IF(OR(AtMax,TooLow), 0, PrimeMulti * (AssMulti)))</f>
        <v>0</v>
      </c>
      <c r="O274" s="1106">
        <f t="array" ref="O274">LET(
totalShards, G$10,
AtMax, OR(G$3&lt;$B274,totalShards&lt;$E274),
primeShards, $E274,
PrimeMulti, G274,
AssPer, G$4,
AssLevel, IF(AtMax,1,index(optimizer[Level],XMATCH(totalShards-primeShards,optimizer[Total discounted cost],-1,2))),
AssMulti,IF(G$16="",1,index(optimizer[armorAssist],XMATCH(AssLevel,optimizer[Level],-1,2))),
TooLow, OR(AssLevel&lt;$G$18,$B274&lt;$G$15),
IF(OR(AtMax,TooLow), 0, PrimeMulti * (AssMulti)))</f>
        <v>0</v>
      </c>
      <c r="P274" s="1106">
        <f t="array" ref="P274">LET(
totalShards, H$10,
AtMax, OR(H$3&lt;$B274,totalShards&lt;$E274),
primeShards, $E274,
PrimeMulti, H274,
AssPer, H$4,
AssLevel, IF(AtMax,1,index(optimizer[Level],XMATCH(totalShards-primeShards,optimizer[Total discounted cost],-1,2))),
AssMulti,IF(H$16="",1,index(optimizer[generatorAssist],XMATCH(AssLevel,optimizer[Level],-1,2))),
TooLow, OR(AssLevel&lt;$H$18,$B274&lt;$H$15),
IF(OR(AtMax,TooLow), 0, PrimeMulti * (AssMulti)))</f>
        <v>0</v>
      </c>
      <c r="Q274" s="1108">
        <f t="array" ref="Q274">LET(
totalShards, I$10,
AtMax, OR(I$3&lt;$B274,totalShards&lt;$E274),
primeShards, $E274,
PrimeMulti, I274,
AssPer, I$4,
AssLevel, IF(AtMax,1,index(optimizer[Level],XMATCH(totalShards-primeShards,optimizer[Total discounted cost],-1,2))),
AssMulti,IF(I$16="",1,index(optimizer[coreAssist],XMATCH(AssLevel,optimizer[Level],-1,2))),
TooLow, OR(AssLevel&lt;$I$18,$B274&lt;$I$15),
IF(OR(AtMax,TooLow), 0, PrimeMulti * (AssMulti)))</f>
        <v>0</v>
      </c>
    </row>
    <row r="275" ht="22.5" hidden="1" customHeight="1" outlineLevel="1">
      <c r="A275" s="1097"/>
      <c r="B275" s="1109">
        <v>248.0</v>
      </c>
      <c r="C275" s="1110">
        <f t="shared" si="14"/>
        <v>23500</v>
      </c>
      <c r="D275" s="1110">
        <f t="shared" si="2"/>
        <v>16450</v>
      </c>
      <c r="E275" s="1111">
        <f t="shared" si="11"/>
        <v>857575</v>
      </c>
      <c r="F275" s="1112">
        <f t="shared" si="3"/>
        <v>25.84</v>
      </c>
      <c r="G275" s="1112">
        <f t="shared" si="4"/>
        <v>25.84</v>
      </c>
      <c r="H275" s="1112">
        <f t="shared" si="5"/>
        <v>2.545</v>
      </c>
      <c r="I275" s="1112">
        <f t="shared" si="6"/>
        <v>35.614</v>
      </c>
      <c r="J275" s="1113">
        <f t="shared" si="7"/>
        <v>1</v>
      </c>
      <c r="K275" s="1107">
        <f t="shared" si="8"/>
        <v>1.2479</v>
      </c>
      <c r="L275" s="1107">
        <f t="shared" si="9"/>
        <v>1.1545</v>
      </c>
      <c r="M275" s="1107">
        <f t="shared" si="10"/>
        <v>4.205</v>
      </c>
      <c r="N275" s="1106">
        <f t="array" ref="N275">LET(
totalShards, F$10,
AtMax, OR(F$3&lt;$B275,totalShards&lt;$E275),
primeShards, $E275,
PrimeMulti, F275,
AssPer, F$4,
AssLevel, IF(AtMax,1,index(optimizer[Level],XMATCH(totalShards-primeShards,optimizer[Total discounted cost],-1,2))),
AssMulti,IF(F$16="",1,index(optimizer[cannonAssist],XMATCH(AssLevel,optimizer[Level],-1,2))),
TooLow, OR(AssLevel&lt;$F$18,$B275&lt;$F$15),
IF(OR(AtMax,TooLow), 0, PrimeMulti * (AssMulti)))</f>
        <v>0</v>
      </c>
      <c r="O275" s="1112">
        <f t="array" ref="O275">LET(
totalShards, G$10,
AtMax, OR(G$3&lt;$B275,totalShards&lt;$E275),
primeShards, $E275,
PrimeMulti, G275,
AssPer, G$4,
AssLevel, IF(AtMax,1,index(optimizer[Level],XMATCH(totalShards-primeShards,optimizer[Total discounted cost],-1,2))),
AssMulti,IF(G$16="",1,index(optimizer[armorAssist],XMATCH(AssLevel,optimizer[Level],-1,2))),
TooLow, OR(AssLevel&lt;$G$18,$B275&lt;$G$15),
IF(OR(AtMax,TooLow), 0, PrimeMulti * (AssMulti)))</f>
        <v>0</v>
      </c>
      <c r="P275" s="1112">
        <f t="array" ref="P275">LET(
totalShards, H$10,
AtMax, OR(H$3&lt;$B275,totalShards&lt;$E275),
primeShards, $E275,
PrimeMulti, H275,
AssPer, H$4,
AssLevel, IF(AtMax,1,index(optimizer[Level],XMATCH(totalShards-primeShards,optimizer[Total discounted cost],-1,2))),
AssMulti,IF(H$16="",1,index(optimizer[generatorAssist],XMATCH(AssLevel,optimizer[Level],-1,2))),
TooLow, OR(AssLevel&lt;$H$18,$B275&lt;$H$15),
IF(OR(AtMax,TooLow), 0, PrimeMulti * (AssMulti)))</f>
        <v>0</v>
      </c>
      <c r="Q275" s="1114">
        <f t="array" ref="Q275">LET(
totalShards, I$10,
AtMax, OR(I$3&lt;$B275,totalShards&lt;$E275),
primeShards, $E275,
PrimeMulti, I275,
AssPer, I$4,
AssLevel, IF(AtMax,1,index(optimizer[Level],XMATCH(totalShards-primeShards,optimizer[Total discounted cost],-1,2))),
AssMulti,IF(I$16="",1,index(optimizer[coreAssist],XMATCH(AssLevel,optimizer[Level],-1,2))),
TooLow, OR(AssLevel&lt;$I$18,$B275&lt;$I$15),
IF(OR(AtMax,TooLow), 0, PrimeMulti * (AssMulti)))</f>
        <v>0</v>
      </c>
    </row>
    <row r="276" ht="22.5" hidden="1" customHeight="1" outlineLevel="1">
      <c r="A276" s="1097"/>
      <c r="B276" s="1103">
        <v>249.0</v>
      </c>
      <c r="C276" s="1104">
        <f t="shared" si="14"/>
        <v>24000</v>
      </c>
      <c r="D276" s="1104">
        <f t="shared" si="2"/>
        <v>16800</v>
      </c>
      <c r="E276" s="1105">
        <f t="shared" si="11"/>
        <v>874375</v>
      </c>
      <c r="F276" s="1106">
        <f t="shared" si="3"/>
        <v>26.04</v>
      </c>
      <c r="G276" s="1106">
        <f t="shared" si="4"/>
        <v>26.04</v>
      </c>
      <c r="H276" s="1106">
        <f t="shared" si="5"/>
        <v>2.555</v>
      </c>
      <c r="I276" s="1106">
        <f t="shared" si="6"/>
        <v>35.884</v>
      </c>
      <c r="J276" s="1107">
        <f t="shared" si="7"/>
        <v>1</v>
      </c>
      <c r="K276" s="1107">
        <f t="shared" si="8"/>
        <v>1.2499</v>
      </c>
      <c r="L276" s="1107">
        <f t="shared" si="9"/>
        <v>1.1555</v>
      </c>
      <c r="M276" s="1107">
        <f t="shared" si="10"/>
        <v>4.23</v>
      </c>
      <c r="N276" s="1106">
        <f t="array" ref="N276">LET(
totalShards, F$10,
AtMax, OR(F$3&lt;$B276,totalShards&lt;$E276),
primeShards, $E276,
PrimeMulti, F276,
AssPer, F$4,
AssLevel, IF(AtMax,1,index(optimizer[Level],XMATCH(totalShards-primeShards,optimizer[Total discounted cost],-1,2))),
AssMulti,IF(F$16="",1,index(optimizer[cannonAssist],XMATCH(AssLevel,optimizer[Level],-1,2))),
TooLow, OR(AssLevel&lt;$F$18,$B276&lt;$F$15),
IF(OR(AtMax,TooLow), 0, PrimeMulti * (AssMulti)))</f>
        <v>0</v>
      </c>
      <c r="O276" s="1106">
        <f t="array" ref="O276">LET(
totalShards, G$10,
AtMax, OR(G$3&lt;$B276,totalShards&lt;$E276),
primeShards, $E276,
PrimeMulti, G276,
AssPer, G$4,
AssLevel, IF(AtMax,1,index(optimizer[Level],XMATCH(totalShards-primeShards,optimizer[Total discounted cost],-1,2))),
AssMulti,IF(G$16="",1,index(optimizer[armorAssist],XMATCH(AssLevel,optimizer[Level],-1,2))),
TooLow, OR(AssLevel&lt;$G$18,$B276&lt;$G$15),
IF(OR(AtMax,TooLow), 0, PrimeMulti * (AssMulti)))</f>
        <v>0</v>
      </c>
      <c r="P276" s="1106">
        <f t="array" ref="P276">LET(
totalShards, H$10,
AtMax, OR(H$3&lt;$B276,totalShards&lt;$E276),
primeShards, $E276,
PrimeMulti, H276,
AssPer, H$4,
AssLevel, IF(AtMax,1,index(optimizer[Level],XMATCH(totalShards-primeShards,optimizer[Total discounted cost],-1,2))),
AssMulti,IF(H$16="",1,index(optimizer[generatorAssist],XMATCH(AssLevel,optimizer[Level],-1,2))),
TooLow, OR(AssLevel&lt;$H$18,$B276&lt;$H$15),
IF(OR(AtMax,TooLow), 0, PrimeMulti * (AssMulti)))</f>
        <v>0</v>
      </c>
      <c r="Q276" s="1108">
        <f t="array" ref="Q276">LET(
totalShards, I$10,
AtMax, OR(I$3&lt;$B276,totalShards&lt;$E276),
primeShards, $E276,
PrimeMulti, I276,
AssPer, I$4,
AssLevel, IF(AtMax,1,index(optimizer[Level],XMATCH(totalShards-primeShards,optimizer[Total discounted cost],-1,2))),
AssMulti,IF(I$16="",1,index(optimizer[coreAssist],XMATCH(AssLevel,optimizer[Level],-1,2))),
TooLow, OR(AssLevel&lt;$I$18,$B276&lt;$I$15),
IF(OR(AtMax,TooLow), 0, PrimeMulti * (AssMulti)))</f>
        <v>0</v>
      </c>
    </row>
    <row r="277" ht="22.5" hidden="1" customHeight="1" outlineLevel="1">
      <c r="A277" s="1097"/>
      <c r="B277" s="1109">
        <v>250.0</v>
      </c>
      <c r="C277" s="1110">
        <f t="shared" si="14"/>
        <v>24500</v>
      </c>
      <c r="D277" s="1110">
        <f t="shared" si="2"/>
        <v>17150</v>
      </c>
      <c r="E277" s="1111">
        <f t="shared" si="11"/>
        <v>891525</v>
      </c>
      <c r="F277" s="1112">
        <f t="shared" si="3"/>
        <v>26.24</v>
      </c>
      <c r="G277" s="1112">
        <f t="shared" si="4"/>
        <v>26.24</v>
      </c>
      <c r="H277" s="1112">
        <f t="shared" si="5"/>
        <v>2.565</v>
      </c>
      <c r="I277" s="1112">
        <f t="shared" si="6"/>
        <v>36.154</v>
      </c>
      <c r="J277" s="1113">
        <f t="shared" si="7"/>
        <v>1</v>
      </c>
      <c r="K277" s="1107">
        <f t="shared" si="8"/>
        <v>1.2519</v>
      </c>
      <c r="L277" s="1107">
        <f t="shared" si="9"/>
        <v>1.1565</v>
      </c>
      <c r="M277" s="1107">
        <f t="shared" si="10"/>
        <v>4.255</v>
      </c>
      <c r="N277" s="1106">
        <f t="array" ref="N277">LET(
totalShards, F$10,
AtMax, OR(F$3&lt;$B277,totalShards&lt;$E277),
primeShards, $E277,
PrimeMulti, F277,
AssPer, F$4,
AssLevel, IF(AtMax,1,index(optimizer[Level],XMATCH(totalShards-primeShards,optimizer[Total discounted cost],-1,2))),
AssMulti,IF(F$16="",1,index(optimizer[cannonAssist],XMATCH(AssLevel,optimizer[Level],-1,2))),
TooLow, OR(AssLevel&lt;$F$18,$B277&lt;$F$15),
IF(OR(AtMax,TooLow), 0, PrimeMulti * (AssMulti)))</f>
        <v>0</v>
      </c>
      <c r="O277" s="1112">
        <f t="array" ref="O277">LET(
totalShards, G$10,
AtMax, OR(G$3&lt;$B277,totalShards&lt;$E277),
primeShards, $E277,
PrimeMulti, G277,
AssPer, G$4,
AssLevel, IF(AtMax,1,index(optimizer[Level],XMATCH(totalShards-primeShards,optimizer[Total discounted cost],-1,2))),
AssMulti,IF(G$16="",1,index(optimizer[armorAssist],XMATCH(AssLevel,optimizer[Level],-1,2))),
TooLow, OR(AssLevel&lt;$G$18,$B277&lt;$G$15),
IF(OR(AtMax,TooLow), 0, PrimeMulti * (AssMulti)))</f>
        <v>0</v>
      </c>
      <c r="P277" s="1112">
        <f t="array" ref="P277">LET(
totalShards, H$10,
AtMax, OR(H$3&lt;$B277,totalShards&lt;$E277),
primeShards, $E277,
PrimeMulti, H277,
AssPer, H$4,
AssLevel, IF(AtMax,1,index(optimizer[Level],XMATCH(totalShards-primeShards,optimizer[Total discounted cost],-1,2))),
AssMulti,IF(H$16="",1,index(optimizer[generatorAssist],XMATCH(AssLevel,optimizer[Level],-1,2))),
TooLow, OR(AssLevel&lt;$H$18,$B277&lt;$H$15),
IF(OR(AtMax,TooLow), 0, PrimeMulti * (AssMulti)))</f>
        <v>0</v>
      </c>
      <c r="Q277" s="1114">
        <f t="array" ref="Q277">LET(
totalShards, I$10,
AtMax, OR(I$3&lt;$B277,totalShards&lt;$E277),
primeShards, $E277,
PrimeMulti, I277,
AssPer, I$4,
AssLevel, IF(AtMax,1,index(optimizer[Level],XMATCH(totalShards-primeShards,optimizer[Total discounted cost],-1,2))),
AssMulti,IF(I$16="",1,index(optimizer[coreAssist],XMATCH(AssLevel,optimizer[Level],-1,2))),
TooLow, OR(AssLevel&lt;$I$18,$B277&lt;$I$15),
IF(OR(AtMax,TooLow), 0, PrimeMulti * (AssMulti)))</f>
        <v>0</v>
      </c>
    </row>
    <row r="278" ht="22.5" hidden="1" customHeight="1" outlineLevel="1">
      <c r="A278" s="1097"/>
      <c r="B278" s="1103">
        <v>251.0</v>
      </c>
      <c r="C278" s="1104">
        <f t="shared" si="14"/>
        <v>25000</v>
      </c>
      <c r="D278" s="1104">
        <f t="shared" si="2"/>
        <v>17500</v>
      </c>
      <c r="E278" s="1105">
        <f t="shared" si="11"/>
        <v>909025</v>
      </c>
      <c r="F278" s="1106">
        <f t="shared" si="3"/>
        <v>26.44</v>
      </c>
      <c r="G278" s="1106">
        <f t="shared" si="4"/>
        <v>26.44</v>
      </c>
      <c r="H278" s="1106">
        <f t="shared" si="5"/>
        <v>2.575</v>
      </c>
      <c r="I278" s="1106">
        <f t="shared" si="6"/>
        <v>36.424</v>
      </c>
      <c r="J278" s="1107">
        <f t="shared" si="7"/>
        <v>1</v>
      </c>
      <c r="K278" s="1107">
        <f t="shared" si="8"/>
        <v>1.2539</v>
      </c>
      <c r="L278" s="1107">
        <f t="shared" si="9"/>
        <v>1.1575</v>
      </c>
      <c r="M278" s="1107">
        <f t="shared" si="10"/>
        <v>4.28</v>
      </c>
      <c r="N278" s="1106">
        <f t="array" ref="N278">LET(
totalShards, F$10,
AtMax, OR(F$3&lt;$B278,totalShards&lt;$E278),
primeShards, $E278,
PrimeMulti, F278,
AssPer, F$4,
AssLevel, IF(AtMax,1,index(optimizer[Level],XMATCH(totalShards-primeShards,optimizer[Total discounted cost],-1,2))),
AssMulti,IF(F$16="",1,index(optimizer[cannonAssist],XMATCH(AssLevel,optimizer[Level],-1,2))),
TooLow, OR(AssLevel&lt;$F$18,$B278&lt;$F$15),
IF(OR(AtMax,TooLow), 0, PrimeMulti * (AssMulti)))</f>
        <v>0</v>
      </c>
      <c r="O278" s="1106">
        <f t="array" ref="O278">LET(
totalShards, G$10,
AtMax, OR(G$3&lt;$B278,totalShards&lt;$E278),
primeShards, $E278,
PrimeMulti, G278,
AssPer, G$4,
AssLevel, IF(AtMax,1,index(optimizer[Level],XMATCH(totalShards-primeShards,optimizer[Total discounted cost],-1,2))),
AssMulti,IF(G$16="",1,index(optimizer[armorAssist],XMATCH(AssLevel,optimizer[Level],-1,2))),
TooLow, OR(AssLevel&lt;$G$18,$B278&lt;$G$15),
IF(OR(AtMax,TooLow), 0, PrimeMulti * (AssMulti)))</f>
        <v>0</v>
      </c>
      <c r="P278" s="1106">
        <f t="array" ref="P278">LET(
totalShards, H$10,
AtMax, OR(H$3&lt;$B278,totalShards&lt;$E278),
primeShards, $E278,
PrimeMulti, H278,
AssPer, H$4,
AssLevel, IF(AtMax,1,index(optimizer[Level],XMATCH(totalShards-primeShards,optimizer[Total discounted cost],-1,2))),
AssMulti,IF(H$16="",1,index(optimizer[generatorAssist],XMATCH(AssLevel,optimizer[Level],-1,2))),
TooLow, OR(AssLevel&lt;$H$18,$B278&lt;$H$15),
IF(OR(AtMax,TooLow), 0, PrimeMulti * (AssMulti)))</f>
        <v>0</v>
      </c>
      <c r="Q278" s="1108">
        <f t="array" ref="Q278">LET(
totalShards, I$10,
AtMax, OR(I$3&lt;$B278,totalShards&lt;$E278),
primeShards, $E278,
PrimeMulti, I278,
AssPer, I$4,
AssLevel, IF(AtMax,1,index(optimizer[Level],XMATCH(totalShards-primeShards,optimizer[Total discounted cost],-1,2))),
AssMulti,IF(I$16="",1,index(optimizer[coreAssist],XMATCH(AssLevel,optimizer[Level],-1,2))),
TooLow, OR(AssLevel&lt;$I$18,$B278&lt;$I$15),
IF(OR(AtMax,TooLow), 0, PrimeMulti * (AssMulti)))</f>
        <v>0</v>
      </c>
    </row>
    <row r="279" ht="22.5" hidden="1" customHeight="1" outlineLevel="1">
      <c r="A279" s="1097"/>
      <c r="B279" s="1109">
        <v>252.0</v>
      </c>
      <c r="C279" s="1110">
        <f t="shared" si="14"/>
        <v>25500</v>
      </c>
      <c r="D279" s="1110">
        <f t="shared" si="2"/>
        <v>17850</v>
      </c>
      <c r="E279" s="1111">
        <f t="shared" si="11"/>
        <v>926875</v>
      </c>
      <c r="F279" s="1112">
        <f t="shared" si="3"/>
        <v>26.64</v>
      </c>
      <c r="G279" s="1112">
        <f t="shared" si="4"/>
        <v>26.64</v>
      </c>
      <c r="H279" s="1112">
        <f t="shared" si="5"/>
        <v>2.585</v>
      </c>
      <c r="I279" s="1112">
        <f t="shared" si="6"/>
        <v>36.694</v>
      </c>
      <c r="J279" s="1113">
        <f t="shared" si="7"/>
        <v>1</v>
      </c>
      <c r="K279" s="1107">
        <f t="shared" si="8"/>
        <v>1.2559</v>
      </c>
      <c r="L279" s="1107">
        <f t="shared" si="9"/>
        <v>1.1585</v>
      </c>
      <c r="M279" s="1107">
        <f t="shared" si="10"/>
        <v>4.305</v>
      </c>
      <c r="N279" s="1106">
        <f t="array" ref="N279">LET(
totalShards, F$10,
AtMax, OR(F$3&lt;$B279,totalShards&lt;$E279),
primeShards, $E279,
PrimeMulti, F279,
AssPer, F$4,
AssLevel, IF(AtMax,1,index(optimizer[Level],XMATCH(totalShards-primeShards,optimizer[Total discounted cost],-1,2))),
AssMulti,IF(F$16="",1,index(optimizer[cannonAssist],XMATCH(AssLevel,optimizer[Level],-1,2))),
TooLow, OR(AssLevel&lt;$F$18,$B279&lt;$F$15),
IF(OR(AtMax,TooLow), 0, PrimeMulti * (AssMulti)))</f>
        <v>0</v>
      </c>
      <c r="O279" s="1112">
        <f t="array" ref="O279">LET(
totalShards, G$10,
AtMax, OR(G$3&lt;$B279,totalShards&lt;$E279),
primeShards, $E279,
PrimeMulti, G279,
AssPer, G$4,
AssLevel, IF(AtMax,1,index(optimizer[Level],XMATCH(totalShards-primeShards,optimizer[Total discounted cost],-1,2))),
AssMulti,IF(G$16="",1,index(optimizer[armorAssist],XMATCH(AssLevel,optimizer[Level],-1,2))),
TooLow, OR(AssLevel&lt;$G$18,$B279&lt;$G$15),
IF(OR(AtMax,TooLow), 0, PrimeMulti * (AssMulti)))</f>
        <v>0</v>
      </c>
      <c r="P279" s="1112">
        <f t="array" ref="P279">LET(
totalShards, H$10,
AtMax, OR(H$3&lt;$B279,totalShards&lt;$E279),
primeShards, $E279,
PrimeMulti, H279,
AssPer, H$4,
AssLevel, IF(AtMax,1,index(optimizer[Level],XMATCH(totalShards-primeShards,optimizer[Total discounted cost],-1,2))),
AssMulti,IF(H$16="",1,index(optimizer[generatorAssist],XMATCH(AssLevel,optimizer[Level],-1,2))),
TooLow, OR(AssLevel&lt;$H$18,$B279&lt;$H$15),
IF(OR(AtMax,TooLow), 0, PrimeMulti * (AssMulti)))</f>
        <v>0</v>
      </c>
      <c r="Q279" s="1114">
        <f t="array" ref="Q279">LET(
totalShards, I$10,
AtMax, OR(I$3&lt;$B279,totalShards&lt;$E279),
primeShards, $E279,
PrimeMulti, I279,
AssPer, I$4,
AssLevel, IF(AtMax,1,index(optimizer[Level],XMATCH(totalShards-primeShards,optimizer[Total discounted cost],-1,2))),
AssMulti,IF(I$16="",1,index(optimizer[coreAssist],XMATCH(AssLevel,optimizer[Level],-1,2))),
TooLow, OR(AssLevel&lt;$I$18,$B279&lt;$I$15),
IF(OR(AtMax,TooLow), 0, PrimeMulti * (AssMulti)))</f>
        <v>0</v>
      </c>
    </row>
    <row r="280" ht="22.5" hidden="1" customHeight="1" outlineLevel="1">
      <c r="A280" s="1097"/>
      <c r="B280" s="1103">
        <v>253.0</v>
      </c>
      <c r="C280" s="1104">
        <f t="shared" si="14"/>
        <v>26000</v>
      </c>
      <c r="D280" s="1104">
        <f t="shared" si="2"/>
        <v>18200</v>
      </c>
      <c r="E280" s="1105">
        <f t="shared" si="11"/>
        <v>945075</v>
      </c>
      <c r="F280" s="1106">
        <f t="shared" si="3"/>
        <v>26.84</v>
      </c>
      <c r="G280" s="1106">
        <f t="shared" si="4"/>
        <v>26.84</v>
      </c>
      <c r="H280" s="1106">
        <f t="shared" si="5"/>
        <v>2.595</v>
      </c>
      <c r="I280" s="1106">
        <f t="shared" si="6"/>
        <v>36.964</v>
      </c>
      <c r="J280" s="1107">
        <f t="shared" si="7"/>
        <v>1</v>
      </c>
      <c r="K280" s="1107">
        <f t="shared" si="8"/>
        <v>1.2579</v>
      </c>
      <c r="L280" s="1107">
        <f t="shared" si="9"/>
        <v>1.1595</v>
      </c>
      <c r="M280" s="1107">
        <f t="shared" si="10"/>
        <v>4.33</v>
      </c>
      <c r="N280" s="1106">
        <f t="array" ref="N280">LET(
totalShards, F$10,
AtMax, OR(F$3&lt;$B280,totalShards&lt;$E280),
primeShards, $E280,
PrimeMulti, F280,
AssPer, F$4,
AssLevel, IF(AtMax,1,index(optimizer[Level],XMATCH(totalShards-primeShards,optimizer[Total discounted cost],-1,2))),
AssMulti,IF(F$16="",1,index(optimizer[cannonAssist],XMATCH(AssLevel,optimizer[Level],-1,2))),
TooLow, OR(AssLevel&lt;$F$18,$B280&lt;$F$15),
IF(OR(AtMax,TooLow), 0, PrimeMulti * (AssMulti)))</f>
        <v>0</v>
      </c>
      <c r="O280" s="1106">
        <f t="array" ref="O280">LET(
totalShards, G$10,
AtMax, OR(G$3&lt;$B280,totalShards&lt;$E280),
primeShards, $E280,
PrimeMulti, G280,
AssPer, G$4,
AssLevel, IF(AtMax,1,index(optimizer[Level],XMATCH(totalShards-primeShards,optimizer[Total discounted cost],-1,2))),
AssMulti,IF(G$16="",1,index(optimizer[armorAssist],XMATCH(AssLevel,optimizer[Level],-1,2))),
TooLow, OR(AssLevel&lt;$G$18,$B280&lt;$G$15),
IF(OR(AtMax,TooLow), 0, PrimeMulti * (AssMulti)))</f>
        <v>0</v>
      </c>
      <c r="P280" s="1106">
        <f t="array" ref="P280">LET(
totalShards, H$10,
AtMax, OR(H$3&lt;$B280,totalShards&lt;$E280),
primeShards, $E280,
PrimeMulti, H280,
AssPer, H$4,
AssLevel, IF(AtMax,1,index(optimizer[Level],XMATCH(totalShards-primeShards,optimizer[Total discounted cost],-1,2))),
AssMulti,IF(H$16="",1,index(optimizer[generatorAssist],XMATCH(AssLevel,optimizer[Level],-1,2))),
TooLow, OR(AssLevel&lt;$H$18,$B280&lt;$H$15),
IF(OR(AtMax,TooLow), 0, PrimeMulti * (AssMulti)))</f>
        <v>0</v>
      </c>
      <c r="Q280" s="1108">
        <f t="array" ref="Q280">LET(
totalShards, I$10,
AtMax, OR(I$3&lt;$B280,totalShards&lt;$E280),
primeShards, $E280,
PrimeMulti, I280,
AssPer, I$4,
AssLevel, IF(AtMax,1,index(optimizer[Level],XMATCH(totalShards-primeShards,optimizer[Total discounted cost],-1,2))),
AssMulti,IF(I$16="",1,index(optimizer[coreAssist],XMATCH(AssLevel,optimizer[Level],-1,2))),
TooLow, OR(AssLevel&lt;$I$18,$B280&lt;$I$15),
IF(OR(AtMax,TooLow), 0, PrimeMulti * (AssMulti)))</f>
        <v>0</v>
      </c>
    </row>
    <row r="281" ht="22.5" hidden="1" customHeight="1" outlineLevel="1">
      <c r="A281" s="1097"/>
      <c r="B281" s="1109">
        <v>254.0</v>
      </c>
      <c r="C281" s="1110">
        <f t="shared" si="14"/>
        <v>26500</v>
      </c>
      <c r="D281" s="1110">
        <f t="shared" si="2"/>
        <v>18550</v>
      </c>
      <c r="E281" s="1111">
        <f t="shared" si="11"/>
        <v>963625</v>
      </c>
      <c r="F281" s="1112">
        <f t="shared" si="3"/>
        <v>27.04</v>
      </c>
      <c r="G281" s="1112">
        <f t="shared" si="4"/>
        <v>27.04</v>
      </c>
      <c r="H281" s="1112">
        <f t="shared" si="5"/>
        <v>2.605</v>
      </c>
      <c r="I281" s="1112">
        <f t="shared" si="6"/>
        <v>37.234</v>
      </c>
      <c r="J281" s="1113">
        <f t="shared" si="7"/>
        <v>1</v>
      </c>
      <c r="K281" s="1107">
        <f t="shared" si="8"/>
        <v>1.2599</v>
      </c>
      <c r="L281" s="1107">
        <f t="shared" si="9"/>
        <v>1.1605</v>
      </c>
      <c r="M281" s="1107">
        <f t="shared" si="10"/>
        <v>4.355</v>
      </c>
      <c r="N281" s="1106">
        <f t="array" ref="N281">LET(
totalShards, F$10,
AtMax, OR(F$3&lt;$B281,totalShards&lt;$E281),
primeShards, $E281,
PrimeMulti, F281,
AssPer, F$4,
AssLevel, IF(AtMax,1,index(optimizer[Level],XMATCH(totalShards-primeShards,optimizer[Total discounted cost],-1,2))),
AssMulti,IF(F$16="",1,index(optimizer[cannonAssist],XMATCH(AssLevel,optimizer[Level],-1,2))),
TooLow, OR(AssLevel&lt;$F$18,$B281&lt;$F$15),
IF(OR(AtMax,TooLow), 0, PrimeMulti * (AssMulti)))</f>
        <v>0</v>
      </c>
      <c r="O281" s="1112">
        <f t="array" ref="O281">LET(
totalShards, G$10,
AtMax, OR(G$3&lt;$B281,totalShards&lt;$E281),
primeShards, $E281,
PrimeMulti, G281,
AssPer, G$4,
AssLevel, IF(AtMax,1,index(optimizer[Level],XMATCH(totalShards-primeShards,optimizer[Total discounted cost],-1,2))),
AssMulti,IF(G$16="",1,index(optimizer[armorAssist],XMATCH(AssLevel,optimizer[Level],-1,2))),
TooLow, OR(AssLevel&lt;$G$18,$B281&lt;$G$15),
IF(OR(AtMax,TooLow), 0, PrimeMulti * (AssMulti)))</f>
        <v>0</v>
      </c>
      <c r="P281" s="1112">
        <f t="array" ref="P281">LET(
totalShards, H$10,
AtMax, OR(H$3&lt;$B281,totalShards&lt;$E281),
primeShards, $E281,
PrimeMulti, H281,
AssPer, H$4,
AssLevel, IF(AtMax,1,index(optimizer[Level],XMATCH(totalShards-primeShards,optimizer[Total discounted cost],-1,2))),
AssMulti,IF(H$16="",1,index(optimizer[generatorAssist],XMATCH(AssLevel,optimizer[Level],-1,2))),
TooLow, OR(AssLevel&lt;$H$18,$B281&lt;$H$15),
IF(OR(AtMax,TooLow), 0, PrimeMulti * (AssMulti)))</f>
        <v>0</v>
      </c>
      <c r="Q281" s="1114">
        <f t="array" ref="Q281">LET(
totalShards, I$10,
AtMax, OR(I$3&lt;$B281,totalShards&lt;$E281),
primeShards, $E281,
PrimeMulti, I281,
AssPer, I$4,
AssLevel, IF(AtMax,1,index(optimizer[Level],XMATCH(totalShards-primeShards,optimizer[Total discounted cost],-1,2))),
AssMulti,IF(I$16="",1,index(optimizer[coreAssist],XMATCH(AssLevel,optimizer[Level],-1,2))),
TooLow, OR(AssLevel&lt;$I$18,$B281&lt;$I$15),
IF(OR(AtMax,TooLow), 0, PrimeMulti * (AssMulti)))</f>
        <v>0</v>
      </c>
    </row>
    <row r="282" ht="22.5" hidden="1" customHeight="1" outlineLevel="1">
      <c r="A282" s="1097"/>
      <c r="B282" s="1103">
        <v>255.0</v>
      </c>
      <c r="C282" s="1104">
        <f t="shared" si="14"/>
        <v>27000</v>
      </c>
      <c r="D282" s="1104">
        <f t="shared" si="2"/>
        <v>18900</v>
      </c>
      <c r="E282" s="1105">
        <f t="shared" si="11"/>
        <v>982525</v>
      </c>
      <c r="F282" s="1106">
        <f t="shared" si="3"/>
        <v>27.24</v>
      </c>
      <c r="G282" s="1106">
        <f t="shared" si="4"/>
        <v>27.24</v>
      </c>
      <c r="H282" s="1106">
        <f t="shared" si="5"/>
        <v>2.615</v>
      </c>
      <c r="I282" s="1106">
        <f t="shared" si="6"/>
        <v>37.504</v>
      </c>
      <c r="J282" s="1107">
        <f t="shared" si="7"/>
        <v>1</v>
      </c>
      <c r="K282" s="1107">
        <f t="shared" si="8"/>
        <v>1.2619</v>
      </c>
      <c r="L282" s="1107">
        <f t="shared" si="9"/>
        <v>1.1615</v>
      </c>
      <c r="M282" s="1107">
        <f t="shared" si="10"/>
        <v>4.38</v>
      </c>
      <c r="N282" s="1106">
        <f t="array" ref="N282">LET(
totalShards, F$10,
AtMax, OR(F$3&lt;$B282,totalShards&lt;$E282),
primeShards, $E282,
PrimeMulti, F282,
AssPer, F$4,
AssLevel, IF(AtMax,1,index(optimizer[Level],XMATCH(totalShards-primeShards,optimizer[Total discounted cost],-1,2))),
AssMulti,IF(F$16="",1,index(optimizer[cannonAssist],XMATCH(AssLevel,optimizer[Level],-1,2))),
TooLow, OR(AssLevel&lt;$F$18,$B282&lt;$F$15),
IF(OR(AtMax,TooLow), 0, PrimeMulti * (AssMulti)))</f>
        <v>0</v>
      </c>
      <c r="O282" s="1106">
        <f t="array" ref="O282">LET(
totalShards, G$10,
AtMax, OR(G$3&lt;$B282,totalShards&lt;$E282),
primeShards, $E282,
PrimeMulti, G282,
AssPer, G$4,
AssLevel, IF(AtMax,1,index(optimizer[Level],XMATCH(totalShards-primeShards,optimizer[Total discounted cost],-1,2))),
AssMulti,IF(G$16="",1,index(optimizer[armorAssist],XMATCH(AssLevel,optimizer[Level],-1,2))),
TooLow, OR(AssLevel&lt;$G$18,$B282&lt;$G$15),
IF(OR(AtMax,TooLow), 0, PrimeMulti * (AssMulti)))</f>
        <v>0</v>
      </c>
      <c r="P282" s="1106">
        <f t="array" ref="P282">LET(
totalShards, H$10,
AtMax, OR(H$3&lt;$B282,totalShards&lt;$E282),
primeShards, $E282,
PrimeMulti, H282,
AssPer, H$4,
AssLevel, IF(AtMax,1,index(optimizer[Level],XMATCH(totalShards-primeShards,optimizer[Total discounted cost],-1,2))),
AssMulti,IF(H$16="",1,index(optimizer[generatorAssist],XMATCH(AssLevel,optimizer[Level],-1,2))),
TooLow, OR(AssLevel&lt;$H$18,$B282&lt;$H$15),
IF(OR(AtMax,TooLow), 0, PrimeMulti * (AssMulti)))</f>
        <v>0</v>
      </c>
      <c r="Q282" s="1108">
        <f t="array" ref="Q282">LET(
totalShards, I$10,
AtMax, OR(I$3&lt;$B282,totalShards&lt;$E282),
primeShards, $E282,
PrimeMulti, I282,
AssPer, I$4,
AssLevel, IF(AtMax,1,index(optimizer[Level],XMATCH(totalShards-primeShards,optimizer[Total discounted cost],-1,2))),
AssMulti,IF(I$16="",1,index(optimizer[coreAssist],XMATCH(AssLevel,optimizer[Level],-1,2))),
TooLow, OR(AssLevel&lt;$I$18,$B282&lt;$I$15),
IF(OR(AtMax,TooLow), 0, PrimeMulti * (AssMulti)))</f>
        <v>0</v>
      </c>
    </row>
    <row r="283" ht="22.5" hidden="1" customHeight="1" outlineLevel="1">
      <c r="A283" s="1097"/>
      <c r="B283" s="1109">
        <v>256.0</v>
      </c>
      <c r="C283" s="1110">
        <f t="shared" si="14"/>
        <v>27500</v>
      </c>
      <c r="D283" s="1110">
        <f t="shared" si="2"/>
        <v>19250</v>
      </c>
      <c r="E283" s="1111">
        <f t="shared" si="11"/>
        <v>1001775</v>
      </c>
      <c r="F283" s="1112">
        <f t="shared" si="3"/>
        <v>27.44</v>
      </c>
      <c r="G283" s="1112">
        <f t="shared" si="4"/>
        <v>27.44</v>
      </c>
      <c r="H283" s="1112">
        <f t="shared" si="5"/>
        <v>2.625</v>
      </c>
      <c r="I283" s="1112">
        <f t="shared" si="6"/>
        <v>37.774</v>
      </c>
      <c r="J283" s="1113">
        <f t="shared" si="7"/>
        <v>1</v>
      </c>
      <c r="K283" s="1107">
        <f t="shared" si="8"/>
        <v>1.2639</v>
      </c>
      <c r="L283" s="1107">
        <f t="shared" si="9"/>
        <v>1.1625</v>
      </c>
      <c r="M283" s="1107">
        <f t="shared" si="10"/>
        <v>4.405</v>
      </c>
      <c r="N283" s="1106">
        <f t="array" ref="N283">LET(
totalShards, F$10,
AtMax, OR(F$3&lt;$B283,totalShards&lt;$E283),
primeShards, $E283,
PrimeMulti, F283,
AssPer, F$4,
AssLevel, IF(AtMax,1,index(optimizer[Level],XMATCH(totalShards-primeShards,optimizer[Total discounted cost],-1,2))),
AssMulti,IF(F$16="",1,index(optimizer[cannonAssist],XMATCH(AssLevel,optimizer[Level],-1,2))),
TooLow, OR(AssLevel&lt;$F$18,$B283&lt;$F$15),
IF(OR(AtMax,TooLow), 0, PrimeMulti * (AssMulti)))</f>
        <v>0</v>
      </c>
      <c r="O283" s="1112">
        <f t="array" ref="O283">LET(
totalShards, G$10,
AtMax, OR(G$3&lt;$B283,totalShards&lt;$E283),
primeShards, $E283,
PrimeMulti, G283,
AssPer, G$4,
AssLevel, IF(AtMax,1,index(optimizer[Level],XMATCH(totalShards-primeShards,optimizer[Total discounted cost],-1,2))),
AssMulti,IF(G$16="",1,index(optimizer[armorAssist],XMATCH(AssLevel,optimizer[Level],-1,2))),
TooLow, OR(AssLevel&lt;$G$18,$B283&lt;$G$15),
IF(OR(AtMax,TooLow), 0, PrimeMulti * (AssMulti)))</f>
        <v>0</v>
      </c>
      <c r="P283" s="1112">
        <f t="array" ref="P283">LET(
totalShards, H$10,
AtMax, OR(H$3&lt;$B283,totalShards&lt;$E283),
primeShards, $E283,
PrimeMulti, H283,
AssPer, H$4,
AssLevel, IF(AtMax,1,index(optimizer[Level],XMATCH(totalShards-primeShards,optimizer[Total discounted cost],-1,2))),
AssMulti,IF(H$16="",1,index(optimizer[generatorAssist],XMATCH(AssLevel,optimizer[Level],-1,2))),
TooLow, OR(AssLevel&lt;$H$18,$B283&lt;$H$15),
IF(OR(AtMax,TooLow), 0, PrimeMulti * (AssMulti)))</f>
        <v>0</v>
      </c>
      <c r="Q283" s="1114">
        <f t="array" ref="Q283">LET(
totalShards, I$10,
AtMax, OR(I$3&lt;$B283,totalShards&lt;$E283),
primeShards, $E283,
PrimeMulti, I283,
AssPer, I$4,
AssLevel, IF(AtMax,1,index(optimizer[Level],XMATCH(totalShards-primeShards,optimizer[Total discounted cost],-1,2))),
AssMulti,IF(I$16="",1,index(optimizer[coreAssist],XMATCH(AssLevel,optimizer[Level],-1,2))),
TooLow, OR(AssLevel&lt;$I$18,$B283&lt;$I$15),
IF(OR(AtMax,TooLow), 0, PrimeMulti * (AssMulti)))</f>
        <v>0</v>
      </c>
    </row>
    <row r="284" ht="22.5" hidden="1" customHeight="1" outlineLevel="1">
      <c r="A284" s="1097"/>
      <c r="B284" s="1103">
        <v>257.0</v>
      </c>
      <c r="C284" s="1104">
        <f t="shared" si="14"/>
        <v>28000</v>
      </c>
      <c r="D284" s="1104">
        <f t="shared" si="2"/>
        <v>19600</v>
      </c>
      <c r="E284" s="1105">
        <f t="shared" si="11"/>
        <v>1021375</v>
      </c>
      <c r="F284" s="1106">
        <f t="shared" si="3"/>
        <v>27.64</v>
      </c>
      <c r="G284" s="1106">
        <f t="shared" si="4"/>
        <v>27.64</v>
      </c>
      <c r="H284" s="1106">
        <f t="shared" si="5"/>
        <v>2.635</v>
      </c>
      <c r="I284" s="1106">
        <f t="shared" si="6"/>
        <v>38.044</v>
      </c>
      <c r="J284" s="1107">
        <f t="shared" si="7"/>
        <v>1</v>
      </c>
      <c r="K284" s="1107">
        <f t="shared" si="8"/>
        <v>1.2659</v>
      </c>
      <c r="L284" s="1107">
        <f t="shared" si="9"/>
        <v>1.1635</v>
      </c>
      <c r="M284" s="1107">
        <f t="shared" si="10"/>
        <v>4.43</v>
      </c>
      <c r="N284" s="1106">
        <f t="array" ref="N284">LET(
totalShards, F$10,
AtMax, OR(F$3&lt;$B284,totalShards&lt;$E284),
primeShards, $E284,
PrimeMulti, F284,
AssPer, F$4,
AssLevel, IF(AtMax,1,index(optimizer[Level],XMATCH(totalShards-primeShards,optimizer[Total discounted cost],-1,2))),
AssMulti,IF(F$16="",1,index(optimizer[cannonAssist],XMATCH(AssLevel,optimizer[Level],-1,2))),
TooLow, OR(AssLevel&lt;$F$18,$B284&lt;$F$15),
IF(OR(AtMax,TooLow), 0, PrimeMulti * (AssMulti)))</f>
        <v>0</v>
      </c>
      <c r="O284" s="1106">
        <f t="array" ref="O284">LET(
totalShards, G$10,
AtMax, OR(G$3&lt;$B284,totalShards&lt;$E284),
primeShards, $E284,
PrimeMulti, G284,
AssPer, G$4,
AssLevel, IF(AtMax,1,index(optimizer[Level],XMATCH(totalShards-primeShards,optimizer[Total discounted cost],-1,2))),
AssMulti,IF(G$16="",1,index(optimizer[armorAssist],XMATCH(AssLevel,optimizer[Level],-1,2))),
TooLow, OR(AssLevel&lt;$G$18,$B284&lt;$G$15),
IF(OR(AtMax,TooLow), 0, PrimeMulti * (AssMulti)))</f>
        <v>0</v>
      </c>
      <c r="P284" s="1106">
        <f t="array" ref="P284">LET(
totalShards, H$10,
AtMax, OR(H$3&lt;$B284,totalShards&lt;$E284),
primeShards, $E284,
PrimeMulti, H284,
AssPer, H$4,
AssLevel, IF(AtMax,1,index(optimizer[Level],XMATCH(totalShards-primeShards,optimizer[Total discounted cost],-1,2))),
AssMulti,IF(H$16="",1,index(optimizer[generatorAssist],XMATCH(AssLevel,optimizer[Level],-1,2))),
TooLow, OR(AssLevel&lt;$H$18,$B284&lt;$H$15),
IF(OR(AtMax,TooLow), 0, PrimeMulti * (AssMulti)))</f>
        <v>0</v>
      </c>
      <c r="Q284" s="1108">
        <f t="array" ref="Q284">LET(
totalShards, I$10,
AtMax, OR(I$3&lt;$B284,totalShards&lt;$E284),
primeShards, $E284,
PrimeMulti, I284,
AssPer, I$4,
AssLevel, IF(AtMax,1,index(optimizer[Level],XMATCH(totalShards-primeShards,optimizer[Total discounted cost],-1,2))),
AssMulti,IF(I$16="",1,index(optimizer[coreAssist],XMATCH(AssLevel,optimizer[Level],-1,2))),
TooLow, OR(AssLevel&lt;$I$18,$B284&lt;$I$15),
IF(OR(AtMax,TooLow), 0, PrimeMulti * (AssMulti)))</f>
        <v>0</v>
      </c>
    </row>
    <row r="285" ht="22.5" hidden="1" customHeight="1" outlineLevel="1">
      <c r="A285" s="1097"/>
      <c r="B285" s="1109">
        <v>258.0</v>
      </c>
      <c r="C285" s="1110">
        <f t="shared" si="14"/>
        <v>28500</v>
      </c>
      <c r="D285" s="1110">
        <f t="shared" si="2"/>
        <v>19950</v>
      </c>
      <c r="E285" s="1111">
        <f t="shared" si="11"/>
        <v>1041325</v>
      </c>
      <c r="F285" s="1112">
        <f t="shared" si="3"/>
        <v>27.84</v>
      </c>
      <c r="G285" s="1112">
        <f t="shared" si="4"/>
        <v>27.84</v>
      </c>
      <c r="H285" s="1112">
        <f t="shared" si="5"/>
        <v>2.645</v>
      </c>
      <c r="I285" s="1112">
        <f t="shared" si="6"/>
        <v>38.314</v>
      </c>
      <c r="J285" s="1113">
        <f t="shared" si="7"/>
        <v>1</v>
      </c>
      <c r="K285" s="1107">
        <f t="shared" si="8"/>
        <v>1.2679</v>
      </c>
      <c r="L285" s="1107">
        <f t="shared" si="9"/>
        <v>1.1645</v>
      </c>
      <c r="M285" s="1107">
        <f t="shared" si="10"/>
        <v>4.455</v>
      </c>
      <c r="N285" s="1106">
        <f t="array" ref="N285">LET(
totalShards, F$10,
AtMax, OR(F$3&lt;$B285,totalShards&lt;$E285),
primeShards, $E285,
PrimeMulti, F285,
AssPer, F$4,
AssLevel, IF(AtMax,1,index(optimizer[Level],XMATCH(totalShards-primeShards,optimizer[Total discounted cost],-1,2))),
AssMulti,IF(F$16="",1,index(optimizer[cannonAssist],XMATCH(AssLevel,optimizer[Level],-1,2))),
TooLow, OR(AssLevel&lt;$F$18,$B285&lt;$F$15),
IF(OR(AtMax,TooLow), 0, PrimeMulti * (AssMulti)))</f>
        <v>0</v>
      </c>
      <c r="O285" s="1112">
        <f t="array" ref="O285">LET(
totalShards, G$10,
AtMax, OR(G$3&lt;$B285,totalShards&lt;$E285),
primeShards, $E285,
PrimeMulti, G285,
AssPer, G$4,
AssLevel, IF(AtMax,1,index(optimizer[Level],XMATCH(totalShards-primeShards,optimizer[Total discounted cost],-1,2))),
AssMulti,IF(G$16="",1,index(optimizer[armorAssist],XMATCH(AssLevel,optimizer[Level],-1,2))),
TooLow, OR(AssLevel&lt;$G$18,$B285&lt;$G$15),
IF(OR(AtMax,TooLow), 0, PrimeMulti * (AssMulti)))</f>
        <v>0</v>
      </c>
      <c r="P285" s="1112">
        <f t="array" ref="P285">LET(
totalShards, H$10,
AtMax, OR(H$3&lt;$B285,totalShards&lt;$E285),
primeShards, $E285,
PrimeMulti, H285,
AssPer, H$4,
AssLevel, IF(AtMax,1,index(optimizer[Level],XMATCH(totalShards-primeShards,optimizer[Total discounted cost],-1,2))),
AssMulti,IF(H$16="",1,index(optimizer[generatorAssist],XMATCH(AssLevel,optimizer[Level],-1,2))),
TooLow, OR(AssLevel&lt;$H$18,$B285&lt;$H$15),
IF(OR(AtMax,TooLow), 0, PrimeMulti * (AssMulti)))</f>
        <v>0</v>
      </c>
      <c r="Q285" s="1114">
        <f t="array" ref="Q285">LET(
totalShards, I$10,
AtMax, OR(I$3&lt;$B285,totalShards&lt;$E285),
primeShards, $E285,
PrimeMulti, I285,
AssPer, I$4,
AssLevel, IF(AtMax,1,index(optimizer[Level],XMATCH(totalShards-primeShards,optimizer[Total discounted cost],-1,2))),
AssMulti,IF(I$16="",1,index(optimizer[coreAssist],XMATCH(AssLevel,optimizer[Level],-1,2))),
TooLow, OR(AssLevel&lt;$I$18,$B285&lt;$I$15),
IF(OR(AtMax,TooLow), 0, PrimeMulti * (AssMulti)))</f>
        <v>0</v>
      </c>
    </row>
    <row r="286" ht="22.5" hidden="1" customHeight="1" outlineLevel="1">
      <c r="A286" s="1097"/>
      <c r="B286" s="1103">
        <v>259.0</v>
      </c>
      <c r="C286" s="1104">
        <f t="shared" si="14"/>
        <v>29000</v>
      </c>
      <c r="D286" s="1104">
        <f t="shared" si="2"/>
        <v>20300</v>
      </c>
      <c r="E286" s="1105">
        <f t="shared" si="11"/>
        <v>1061625</v>
      </c>
      <c r="F286" s="1106">
        <f t="shared" si="3"/>
        <v>28.04</v>
      </c>
      <c r="G286" s="1106">
        <f t="shared" si="4"/>
        <v>28.04</v>
      </c>
      <c r="H286" s="1106">
        <f t="shared" si="5"/>
        <v>2.655</v>
      </c>
      <c r="I286" s="1106">
        <f t="shared" si="6"/>
        <v>38.584</v>
      </c>
      <c r="J286" s="1107">
        <f t="shared" si="7"/>
        <v>1</v>
      </c>
      <c r="K286" s="1107">
        <f t="shared" si="8"/>
        <v>1.2699</v>
      </c>
      <c r="L286" s="1107">
        <f t="shared" si="9"/>
        <v>1.1655</v>
      </c>
      <c r="M286" s="1107">
        <f t="shared" si="10"/>
        <v>4.48</v>
      </c>
      <c r="N286" s="1106">
        <f t="array" ref="N286">LET(
totalShards, F$10,
AtMax, OR(F$3&lt;$B286,totalShards&lt;$E286),
primeShards, $E286,
PrimeMulti, F286,
AssPer, F$4,
AssLevel, IF(AtMax,1,index(optimizer[Level],XMATCH(totalShards-primeShards,optimizer[Total discounted cost],-1,2))),
AssMulti,IF(F$16="",1,index(optimizer[cannonAssist],XMATCH(AssLevel,optimizer[Level],-1,2))),
TooLow, OR(AssLevel&lt;$F$18,$B286&lt;$F$15),
IF(OR(AtMax,TooLow), 0, PrimeMulti * (AssMulti)))</f>
        <v>0</v>
      </c>
      <c r="O286" s="1106">
        <f t="array" ref="O286">LET(
totalShards, G$10,
AtMax, OR(G$3&lt;$B286,totalShards&lt;$E286),
primeShards, $E286,
PrimeMulti, G286,
AssPer, G$4,
AssLevel, IF(AtMax,1,index(optimizer[Level],XMATCH(totalShards-primeShards,optimizer[Total discounted cost],-1,2))),
AssMulti,IF(G$16="",1,index(optimizer[armorAssist],XMATCH(AssLevel,optimizer[Level],-1,2))),
TooLow, OR(AssLevel&lt;$G$18,$B286&lt;$G$15),
IF(OR(AtMax,TooLow), 0, PrimeMulti * (AssMulti)))</f>
        <v>0</v>
      </c>
      <c r="P286" s="1106">
        <f t="array" ref="P286">LET(
totalShards, H$10,
AtMax, OR(H$3&lt;$B286,totalShards&lt;$E286),
primeShards, $E286,
PrimeMulti, H286,
AssPer, H$4,
AssLevel, IF(AtMax,1,index(optimizer[Level],XMATCH(totalShards-primeShards,optimizer[Total discounted cost],-1,2))),
AssMulti,IF(H$16="",1,index(optimizer[generatorAssist],XMATCH(AssLevel,optimizer[Level],-1,2))),
TooLow, OR(AssLevel&lt;$H$18,$B286&lt;$H$15),
IF(OR(AtMax,TooLow), 0, PrimeMulti * (AssMulti)))</f>
        <v>0</v>
      </c>
      <c r="Q286" s="1108">
        <f t="array" ref="Q286">LET(
totalShards, I$10,
AtMax, OR(I$3&lt;$B286,totalShards&lt;$E286),
primeShards, $E286,
PrimeMulti, I286,
AssPer, I$4,
AssLevel, IF(AtMax,1,index(optimizer[Level],XMATCH(totalShards-primeShards,optimizer[Total discounted cost],-1,2))),
AssMulti,IF(I$16="",1,index(optimizer[coreAssist],XMATCH(AssLevel,optimizer[Level],-1,2))),
TooLow, OR(AssLevel&lt;$I$18,$B286&lt;$I$15),
IF(OR(AtMax,TooLow), 0, PrimeMulti * (AssMulti)))</f>
        <v>0</v>
      </c>
    </row>
    <row r="287" ht="22.5" hidden="1" customHeight="1" outlineLevel="1">
      <c r="A287" s="1097"/>
      <c r="B287" s="1109">
        <v>260.0</v>
      </c>
      <c r="C287" s="1110">
        <f t="shared" si="14"/>
        <v>29500</v>
      </c>
      <c r="D287" s="1110">
        <f t="shared" si="2"/>
        <v>20650</v>
      </c>
      <c r="E287" s="1111">
        <f t="shared" si="11"/>
        <v>1082275</v>
      </c>
      <c r="F287" s="1112">
        <f t="shared" si="3"/>
        <v>28.24</v>
      </c>
      <c r="G287" s="1112">
        <f t="shared" si="4"/>
        <v>28.24</v>
      </c>
      <c r="H287" s="1112">
        <f t="shared" si="5"/>
        <v>2.665</v>
      </c>
      <c r="I287" s="1112">
        <f t="shared" si="6"/>
        <v>38.854</v>
      </c>
      <c r="J287" s="1113">
        <f t="shared" si="7"/>
        <v>1</v>
      </c>
      <c r="K287" s="1107">
        <f t="shared" si="8"/>
        <v>1.2719</v>
      </c>
      <c r="L287" s="1107">
        <f t="shared" si="9"/>
        <v>1.1665</v>
      </c>
      <c r="M287" s="1107">
        <f t="shared" si="10"/>
        <v>4.505</v>
      </c>
      <c r="N287" s="1106">
        <f t="array" ref="N287">LET(
totalShards, F$10,
AtMax, OR(F$3&lt;$B287,totalShards&lt;$E287),
primeShards, $E287,
PrimeMulti, F287,
AssPer, F$4,
AssLevel, IF(AtMax,1,index(optimizer[Level],XMATCH(totalShards-primeShards,optimizer[Total discounted cost],-1,2))),
AssMulti,IF(F$16="",1,index(optimizer[cannonAssist],XMATCH(AssLevel,optimizer[Level],-1,2))),
TooLow, OR(AssLevel&lt;$F$18,$B287&lt;$F$15),
IF(OR(AtMax,TooLow), 0, PrimeMulti * (AssMulti)))</f>
        <v>0</v>
      </c>
      <c r="O287" s="1112">
        <f t="array" ref="O287">LET(
totalShards, G$10,
AtMax, OR(G$3&lt;$B287,totalShards&lt;$E287),
primeShards, $E287,
PrimeMulti, G287,
AssPer, G$4,
AssLevel, IF(AtMax,1,index(optimizer[Level],XMATCH(totalShards-primeShards,optimizer[Total discounted cost],-1,2))),
AssMulti,IF(G$16="",1,index(optimizer[armorAssist],XMATCH(AssLevel,optimizer[Level],-1,2))),
TooLow, OR(AssLevel&lt;$G$18,$B287&lt;$G$15),
IF(OR(AtMax,TooLow), 0, PrimeMulti * (AssMulti)))</f>
        <v>0</v>
      </c>
      <c r="P287" s="1112">
        <f t="array" ref="P287">LET(
totalShards, H$10,
AtMax, OR(H$3&lt;$B287,totalShards&lt;$E287),
primeShards, $E287,
PrimeMulti, H287,
AssPer, H$4,
AssLevel, IF(AtMax,1,index(optimizer[Level],XMATCH(totalShards-primeShards,optimizer[Total discounted cost],-1,2))),
AssMulti,IF(H$16="",1,index(optimizer[generatorAssist],XMATCH(AssLevel,optimizer[Level],-1,2))),
TooLow, OR(AssLevel&lt;$H$18,$B287&lt;$H$15),
IF(OR(AtMax,TooLow), 0, PrimeMulti * (AssMulti)))</f>
        <v>0</v>
      </c>
      <c r="Q287" s="1114">
        <f t="array" ref="Q287">LET(
totalShards, I$10,
AtMax, OR(I$3&lt;$B287,totalShards&lt;$E287),
primeShards, $E287,
PrimeMulti, I287,
AssPer, I$4,
AssLevel, IF(AtMax,1,index(optimizer[Level],XMATCH(totalShards-primeShards,optimizer[Total discounted cost],-1,2))),
AssMulti,IF(I$16="",1,index(optimizer[coreAssist],XMATCH(AssLevel,optimizer[Level],-1,2))),
TooLow, OR(AssLevel&lt;$I$18,$B287&lt;$I$15),
IF(OR(AtMax,TooLow), 0, PrimeMulti * (AssMulti)))</f>
        <v>0</v>
      </c>
    </row>
    <row r="288" ht="22.5" hidden="1" customHeight="1" outlineLevel="1">
      <c r="A288" s="1097"/>
      <c r="B288" s="1103">
        <v>261.0</v>
      </c>
      <c r="C288" s="1104">
        <f t="shared" si="14"/>
        <v>30000</v>
      </c>
      <c r="D288" s="1104">
        <f t="shared" si="2"/>
        <v>21000</v>
      </c>
      <c r="E288" s="1105">
        <f t="shared" si="11"/>
        <v>1103275</v>
      </c>
      <c r="F288" s="1106">
        <f t="shared" si="3"/>
        <v>28.44</v>
      </c>
      <c r="G288" s="1106">
        <f t="shared" si="4"/>
        <v>28.44</v>
      </c>
      <c r="H288" s="1106">
        <f t="shared" si="5"/>
        <v>2.675</v>
      </c>
      <c r="I288" s="1106">
        <f t="shared" si="6"/>
        <v>39.124</v>
      </c>
      <c r="J288" s="1107">
        <f t="shared" si="7"/>
        <v>1</v>
      </c>
      <c r="K288" s="1107">
        <f t="shared" si="8"/>
        <v>1.2739</v>
      </c>
      <c r="L288" s="1107">
        <f t="shared" si="9"/>
        <v>1.1675</v>
      </c>
      <c r="M288" s="1107">
        <f t="shared" si="10"/>
        <v>4.53</v>
      </c>
      <c r="N288" s="1106">
        <f t="array" ref="N288">LET(
totalShards, F$10,
AtMax, OR(F$3&lt;$B288,totalShards&lt;$E288),
primeShards, $E288,
PrimeMulti, F288,
AssPer, F$4,
AssLevel, IF(AtMax,1,index(optimizer[Level],XMATCH(totalShards-primeShards,optimizer[Total discounted cost],-1,2))),
AssMulti,IF(F$16="",1,index(optimizer[cannonAssist],XMATCH(AssLevel,optimizer[Level],-1,2))),
TooLow, OR(AssLevel&lt;$F$18,$B288&lt;$F$15),
IF(OR(AtMax,TooLow), 0, PrimeMulti * (AssMulti)))</f>
        <v>0</v>
      </c>
      <c r="O288" s="1106">
        <f t="array" ref="O288">LET(
totalShards, G$10,
AtMax, OR(G$3&lt;$B288,totalShards&lt;$E288),
primeShards, $E288,
PrimeMulti, G288,
AssPer, G$4,
AssLevel, IF(AtMax,1,index(optimizer[Level],XMATCH(totalShards-primeShards,optimizer[Total discounted cost],-1,2))),
AssMulti,IF(G$16="",1,index(optimizer[armorAssist],XMATCH(AssLevel,optimizer[Level],-1,2))),
TooLow, OR(AssLevel&lt;$G$18,$B288&lt;$G$15),
IF(OR(AtMax,TooLow), 0, PrimeMulti * (AssMulti)))</f>
        <v>0</v>
      </c>
      <c r="P288" s="1106">
        <f t="array" ref="P288">LET(
totalShards, H$10,
AtMax, OR(H$3&lt;$B288,totalShards&lt;$E288),
primeShards, $E288,
PrimeMulti, H288,
AssPer, H$4,
AssLevel, IF(AtMax,1,index(optimizer[Level],XMATCH(totalShards-primeShards,optimizer[Total discounted cost],-1,2))),
AssMulti,IF(H$16="",1,index(optimizer[generatorAssist],XMATCH(AssLevel,optimizer[Level],-1,2))),
TooLow, OR(AssLevel&lt;$H$18,$B288&lt;$H$15),
IF(OR(AtMax,TooLow), 0, PrimeMulti * (AssMulti)))</f>
        <v>0</v>
      </c>
      <c r="Q288" s="1108">
        <f t="array" ref="Q288">LET(
totalShards, I$10,
AtMax, OR(I$3&lt;$B288,totalShards&lt;$E288),
primeShards, $E288,
PrimeMulti, I288,
AssPer, I$4,
AssLevel, IF(AtMax,1,index(optimizer[Level],XMATCH(totalShards-primeShards,optimizer[Total discounted cost],-1,2))),
AssMulti,IF(I$16="",1,index(optimizer[coreAssist],XMATCH(AssLevel,optimizer[Level],-1,2))),
TooLow, OR(AssLevel&lt;$I$18,$B288&lt;$I$15),
IF(OR(AtMax,TooLow), 0, PrimeMulti * (AssMulti)))</f>
        <v>0</v>
      </c>
    </row>
    <row r="289" ht="22.5" hidden="1" customHeight="1" outlineLevel="1">
      <c r="A289" s="1097"/>
      <c r="B289" s="1109">
        <v>262.0</v>
      </c>
      <c r="C289" s="1110">
        <f t="shared" si="14"/>
        <v>30500</v>
      </c>
      <c r="D289" s="1110">
        <f t="shared" si="2"/>
        <v>21350</v>
      </c>
      <c r="E289" s="1111">
        <f t="shared" si="11"/>
        <v>1124625</v>
      </c>
      <c r="F289" s="1112">
        <f t="shared" si="3"/>
        <v>28.64</v>
      </c>
      <c r="G289" s="1112">
        <f t="shared" si="4"/>
        <v>28.64</v>
      </c>
      <c r="H289" s="1112">
        <f t="shared" si="5"/>
        <v>2.685</v>
      </c>
      <c r="I289" s="1112">
        <f t="shared" si="6"/>
        <v>39.394</v>
      </c>
      <c r="J289" s="1113">
        <f t="shared" si="7"/>
        <v>1</v>
      </c>
      <c r="K289" s="1107">
        <f t="shared" si="8"/>
        <v>1.2759</v>
      </c>
      <c r="L289" s="1107">
        <f t="shared" si="9"/>
        <v>1.1685</v>
      </c>
      <c r="M289" s="1107">
        <f t="shared" si="10"/>
        <v>4.555</v>
      </c>
      <c r="N289" s="1106">
        <f t="array" ref="N289">LET(
totalShards, F$10,
AtMax, OR(F$3&lt;$B289,totalShards&lt;$E289),
primeShards, $E289,
PrimeMulti, F289,
AssPer, F$4,
AssLevel, IF(AtMax,1,index(optimizer[Level],XMATCH(totalShards-primeShards,optimizer[Total discounted cost],-1,2))),
AssMulti,IF(F$16="",1,index(optimizer[cannonAssist],XMATCH(AssLevel,optimizer[Level],-1,2))),
TooLow, OR(AssLevel&lt;$F$18,$B289&lt;$F$15),
IF(OR(AtMax,TooLow), 0, PrimeMulti * (AssMulti)))</f>
        <v>0</v>
      </c>
      <c r="O289" s="1112">
        <f t="array" ref="O289">LET(
totalShards, G$10,
AtMax, OR(G$3&lt;$B289,totalShards&lt;$E289),
primeShards, $E289,
PrimeMulti, G289,
AssPer, G$4,
AssLevel, IF(AtMax,1,index(optimizer[Level],XMATCH(totalShards-primeShards,optimizer[Total discounted cost],-1,2))),
AssMulti,IF(G$16="",1,index(optimizer[armorAssist],XMATCH(AssLevel,optimizer[Level],-1,2))),
TooLow, OR(AssLevel&lt;$G$18,$B289&lt;$G$15),
IF(OR(AtMax,TooLow), 0, PrimeMulti * (AssMulti)))</f>
        <v>0</v>
      </c>
      <c r="P289" s="1112">
        <f t="array" ref="P289">LET(
totalShards, H$10,
AtMax, OR(H$3&lt;$B289,totalShards&lt;$E289),
primeShards, $E289,
PrimeMulti, H289,
AssPer, H$4,
AssLevel, IF(AtMax,1,index(optimizer[Level],XMATCH(totalShards-primeShards,optimizer[Total discounted cost],-1,2))),
AssMulti,IF(H$16="",1,index(optimizer[generatorAssist],XMATCH(AssLevel,optimizer[Level],-1,2))),
TooLow, OR(AssLevel&lt;$H$18,$B289&lt;$H$15),
IF(OR(AtMax,TooLow), 0, PrimeMulti * (AssMulti)))</f>
        <v>0</v>
      </c>
      <c r="Q289" s="1114">
        <f t="array" ref="Q289">LET(
totalShards, I$10,
AtMax, OR(I$3&lt;$B289,totalShards&lt;$E289),
primeShards, $E289,
PrimeMulti, I289,
AssPer, I$4,
AssLevel, IF(AtMax,1,index(optimizer[Level],XMATCH(totalShards-primeShards,optimizer[Total discounted cost],-1,2))),
AssMulti,IF(I$16="",1,index(optimizer[coreAssist],XMATCH(AssLevel,optimizer[Level],-1,2))),
TooLow, OR(AssLevel&lt;$I$18,$B289&lt;$I$15),
IF(OR(AtMax,TooLow), 0, PrimeMulti * (AssMulti)))</f>
        <v>0</v>
      </c>
    </row>
    <row r="290" ht="22.5" hidden="1" customHeight="1" outlineLevel="1">
      <c r="A290" s="1097"/>
      <c r="B290" s="1103">
        <v>263.0</v>
      </c>
      <c r="C290" s="1104">
        <f t="shared" si="14"/>
        <v>31000</v>
      </c>
      <c r="D290" s="1104">
        <f t="shared" si="2"/>
        <v>21700</v>
      </c>
      <c r="E290" s="1105">
        <f t="shared" si="11"/>
        <v>1146325</v>
      </c>
      <c r="F290" s="1106">
        <f t="shared" si="3"/>
        <v>28.84</v>
      </c>
      <c r="G290" s="1106">
        <f t="shared" si="4"/>
        <v>28.84</v>
      </c>
      <c r="H290" s="1106">
        <f t="shared" si="5"/>
        <v>2.695</v>
      </c>
      <c r="I290" s="1106">
        <f t="shared" si="6"/>
        <v>39.664</v>
      </c>
      <c r="J290" s="1107">
        <f t="shared" si="7"/>
        <v>1</v>
      </c>
      <c r="K290" s="1107">
        <f t="shared" si="8"/>
        <v>1.2779</v>
      </c>
      <c r="L290" s="1107">
        <f t="shared" si="9"/>
        <v>1.1695</v>
      </c>
      <c r="M290" s="1107">
        <f t="shared" si="10"/>
        <v>4.58</v>
      </c>
      <c r="N290" s="1106">
        <f t="array" ref="N290">LET(
totalShards, F$10,
AtMax, OR(F$3&lt;$B290,totalShards&lt;$E290),
primeShards, $E290,
PrimeMulti, F290,
AssPer, F$4,
AssLevel, IF(AtMax,1,index(optimizer[Level],XMATCH(totalShards-primeShards,optimizer[Total discounted cost],-1,2))),
AssMulti,IF(F$16="",1,index(optimizer[cannonAssist],XMATCH(AssLevel,optimizer[Level],-1,2))),
TooLow, OR(AssLevel&lt;$F$18,$B290&lt;$F$15),
IF(OR(AtMax,TooLow), 0, PrimeMulti * (AssMulti)))</f>
        <v>0</v>
      </c>
      <c r="O290" s="1106">
        <f t="array" ref="O290">LET(
totalShards, G$10,
AtMax, OR(G$3&lt;$B290,totalShards&lt;$E290),
primeShards, $E290,
PrimeMulti, G290,
AssPer, G$4,
AssLevel, IF(AtMax,1,index(optimizer[Level],XMATCH(totalShards-primeShards,optimizer[Total discounted cost],-1,2))),
AssMulti,IF(G$16="",1,index(optimizer[armorAssist],XMATCH(AssLevel,optimizer[Level],-1,2))),
TooLow, OR(AssLevel&lt;$G$18,$B290&lt;$G$15),
IF(OR(AtMax,TooLow), 0, PrimeMulti * (AssMulti)))</f>
        <v>0</v>
      </c>
      <c r="P290" s="1106">
        <f t="array" ref="P290">LET(
totalShards, H$10,
AtMax, OR(H$3&lt;$B290,totalShards&lt;$E290),
primeShards, $E290,
PrimeMulti, H290,
AssPer, H$4,
AssLevel, IF(AtMax,1,index(optimizer[Level],XMATCH(totalShards-primeShards,optimizer[Total discounted cost],-1,2))),
AssMulti,IF(H$16="",1,index(optimizer[generatorAssist],XMATCH(AssLevel,optimizer[Level],-1,2))),
TooLow, OR(AssLevel&lt;$H$18,$B290&lt;$H$15),
IF(OR(AtMax,TooLow), 0, PrimeMulti * (AssMulti)))</f>
        <v>0</v>
      </c>
      <c r="Q290" s="1108">
        <f t="array" ref="Q290">LET(
totalShards, I$10,
AtMax, OR(I$3&lt;$B290,totalShards&lt;$E290),
primeShards, $E290,
PrimeMulti, I290,
AssPer, I$4,
AssLevel, IF(AtMax,1,index(optimizer[Level],XMATCH(totalShards-primeShards,optimizer[Total discounted cost],-1,2))),
AssMulti,IF(I$16="",1,index(optimizer[coreAssist],XMATCH(AssLevel,optimizer[Level],-1,2))),
TooLow, OR(AssLevel&lt;$I$18,$B290&lt;$I$15),
IF(OR(AtMax,TooLow), 0, PrimeMulti * (AssMulti)))</f>
        <v>0</v>
      </c>
    </row>
    <row r="291" ht="22.5" hidden="1" customHeight="1" outlineLevel="1">
      <c r="A291" s="1097"/>
      <c r="B291" s="1109">
        <v>264.0</v>
      </c>
      <c r="C291" s="1110">
        <f t="shared" si="14"/>
        <v>31500</v>
      </c>
      <c r="D291" s="1110">
        <f t="shared" si="2"/>
        <v>22050</v>
      </c>
      <c r="E291" s="1111">
        <f t="shared" si="11"/>
        <v>1168375</v>
      </c>
      <c r="F291" s="1112">
        <f t="shared" si="3"/>
        <v>29.04</v>
      </c>
      <c r="G291" s="1112">
        <f t="shared" si="4"/>
        <v>29.04</v>
      </c>
      <c r="H291" s="1112">
        <f t="shared" si="5"/>
        <v>2.705</v>
      </c>
      <c r="I291" s="1112">
        <f t="shared" si="6"/>
        <v>39.934</v>
      </c>
      <c r="J291" s="1113">
        <f t="shared" si="7"/>
        <v>1</v>
      </c>
      <c r="K291" s="1107">
        <f t="shared" si="8"/>
        <v>1.2799</v>
      </c>
      <c r="L291" s="1107">
        <f t="shared" si="9"/>
        <v>1.1705</v>
      </c>
      <c r="M291" s="1107">
        <f t="shared" si="10"/>
        <v>4.605</v>
      </c>
      <c r="N291" s="1106">
        <f t="array" ref="N291">LET(
totalShards, F$10,
AtMax, OR(F$3&lt;$B291,totalShards&lt;$E291),
primeShards, $E291,
PrimeMulti, F291,
AssPer, F$4,
AssLevel, IF(AtMax,1,index(optimizer[Level],XMATCH(totalShards-primeShards,optimizer[Total discounted cost],-1,2))),
AssMulti,IF(F$16="",1,index(optimizer[cannonAssist],XMATCH(AssLevel,optimizer[Level],-1,2))),
TooLow, OR(AssLevel&lt;$F$18,$B291&lt;$F$15),
IF(OR(AtMax,TooLow), 0, PrimeMulti * (AssMulti)))</f>
        <v>0</v>
      </c>
      <c r="O291" s="1112">
        <f t="array" ref="O291">LET(
totalShards, G$10,
AtMax, OR(G$3&lt;$B291,totalShards&lt;$E291),
primeShards, $E291,
PrimeMulti, G291,
AssPer, G$4,
AssLevel, IF(AtMax,1,index(optimizer[Level],XMATCH(totalShards-primeShards,optimizer[Total discounted cost],-1,2))),
AssMulti,IF(G$16="",1,index(optimizer[armorAssist],XMATCH(AssLevel,optimizer[Level],-1,2))),
TooLow, OR(AssLevel&lt;$G$18,$B291&lt;$G$15),
IF(OR(AtMax,TooLow), 0, PrimeMulti * (AssMulti)))</f>
        <v>0</v>
      </c>
      <c r="P291" s="1112">
        <f t="array" ref="P291">LET(
totalShards, H$10,
AtMax, OR(H$3&lt;$B291,totalShards&lt;$E291),
primeShards, $E291,
PrimeMulti, H291,
AssPer, H$4,
AssLevel, IF(AtMax,1,index(optimizer[Level],XMATCH(totalShards-primeShards,optimizer[Total discounted cost],-1,2))),
AssMulti,IF(H$16="",1,index(optimizer[generatorAssist],XMATCH(AssLevel,optimizer[Level],-1,2))),
TooLow, OR(AssLevel&lt;$H$18,$B291&lt;$H$15),
IF(OR(AtMax,TooLow), 0, PrimeMulti * (AssMulti)))</f>
        <v>0</v>
      </c>
      <c r="Q291" s="1114">
        <f t="array" ref="Q291">LET(
totalShards, I$10,
AtMax, OR(I$3&lt;$B291,totalShards&lt;$E291),
primeShards, $E291,
PrimeMulti, I291,
AssPer, I$4,
AssLevel, IF(AtMax,1,index(optimizer[Level],XMATCH(totalShards-primeShards,optimizer[Total discounted cost],-1,2))),
AssMulti,IF(I$16="",1,index(optimizer[coreAssist],XMATCH(AssLevel,optimizer[Level],-1,2))),
TooLow, OR(AssLevel&lt;$I$18,$B291&lt;$I$15),
IF(OR(AtMax,TooLow), 0, PrimeMulti * (AssMulti)))</f>
        <v>0</v>
      </c>
    </row>
    <row r="292" ht="22.5" hidden="1" customHeight="1" outlineLevel="1">
      <c r="A292" s="1097"/>
      <c r="B292" s="1103">
        <v>265.0</v>
      </c>
      <c r="C292" s="1104">
        <f t="shared" si="14"/>
        <v>32000</v>
      </c>
      <c r="D292" s="1104">
        <f t="shared" si="2"/>
        <v>22400</v>
      </c>
      <c r="E292" s="1105">
        <f t="shared" si="11"/>
        <v>1190775</v>
      </c>
      <c r="F292" s="1106">
        <f t="shared" si="3"/>
        <v>29.24</v>
      </c>
      <c r="G292" s="1106">
        <f t="shared" si="4"/>
        <v>29.24</v>
      </c>
      <c r="H292" s="1106">
        <f t="shared" si="5"/>
        <v>2.715</v>
      </c>
      <c r="I292" s="1106">
        <f t="shared" si="6"/>
        <v>40.204</v>
      </c>
      <c r="J292" s="1107">
        <f t="shared" si="7"/>
        <v>1</v>
      </c>
      <c r="K292" s="1107">
        <f t="shared" si="8"/>
        <v>1.2819</v>
      </c>
      <c r="L292" s="1107">
        <f t="shared" si="9"/>
        <v>1.1715</v>
      </c>
      <c r="M292" s="1107">
        <f t="shared" si="10"/>
        <v>4.63</v>
      </c>
      <c r="N292" s="1106">
        <f t="array" ref="N292">LET(
totalShards, F$10,
AtMax, OR(F$3&lt;$B292,totalShards&lt;$E292),
primeShards, $E292,
PrimeMulti, F292,
AssPer, F$4,
AssLevel, IF(AtMax,1,index(optimizer[Level],XMATCH(totalShards-primeShards,optimizer[Total discounted cost],-1,2))),
AssMulti,IF(F$16="",1,index(optimizer[cannonAssist],XMATCH(AssLevel,optimizer[Level],-1,2))),
TooLow, OR(AssLevel&lt;$F$18,$B292&lt;$F$15),
IF(OR(AtMax,TooLow), 0, PrimeMulti * (AssMulti)))</f>
        <v>0</v>
      </c>
      <c r="O292" s="1106">
        <f t="array" ref="O292">LET(
totalShards, G$10,
AtMax, OR(G$3&lt;$B292,totalShards&lt;$E292),
primeShards, $E292,
PrimeMulti, G292,
AssPer, G$4,
AssLevel, IF(AtMax,1,index(optimizer[Level],XMATCH(totalShards-primeShards,optimizer[Total discounted cost],-1,2))),
AssMulti,IF(G$16="",1,index(optimizer[armorAssist],XMATCH(AssLevel,optimizer[Level],-1,2))),
TooLow, OR(AssLevel&lt;$G$18,$B292&lt;$G$15),
IF(OR(AtMax,TooLow), 0, PrimeMulti * (AssMulti)))</f>
        <v>0</v>
      </c>
      <c r="P292" s="1106">
        <f t="array" ref="P292">LET(
totalShards, H$10,
AtMax, OR(H$3&lt;$B292,totalShards&lt;$E292),
primeShards, $E292,
PrimeMulti, H292,
AssPer, H$4,
AssLevel, IF(AtMax,1,index(optimizer[Level],XMATCH(totalShards-primeShards,optimizer[Total discounted cost],-1,2))),
AssMulti,IF(H$16="",1,index(optimizer[generatorAssist],XMATCH(AssLevel,optimizer[Level],-1,2))),
TooLow, OR(AssLevel&lt;$H$18,$B292&lt;$H$15),
IF(OR(AtMax,TooLow), 0, PrimeMulti * (AssMulti)))</f>
        <v>0</v>
      </c>
      <c r="Q292" s="1108">
        <f t="array" ref="Q292">LET(
totalShards, I$10,
AtMax, OR(I$3&lt;$B292,totalShards&lt;$E292),
primeShards, $E292,
PrimeMulti, I292,
AssPer, I$4,
AssLevel, IF(AtMax,1,index(optimizer[Level],XMATCH(totalShards-primeShards,optimizer[Total discounted cost],-1,2))),
AssMulti,IF(I$16="",1,index(optimizer[coreAssist],XMATCH(AssLevel,optimizer[Level],-1,2))),
TooLow, OR(AssLevel&lt;$I$18,$B292&lt;$I$15),
IF(OR(AtMax,TooLow), 0, PrimeMulti * (AssMulti)))</f>
        <v>0</v>
      </c>
    </row>
    <row r="293" ht="22.5" hidden="1" customHeight="1" outlineLevel="1">
      <c r="A293" s="1097"/>
      <c r="B293" s="1109">
        <v>266.0</v>
      </c>
      <c r="C293" s="1110">
        <f t="shared" si="14"/>
        <v>32500</v>
      </c>
      <c r="D293" s="1110">
        <f t="shared" si="2"/>
        <v>22750</v>
      </c>
      <c r="E293" s="1111">
        <f t="shared" si="11"/>
        <v>1213525</v>
      </c>
      <c r="F293" s="1112">
        <f t="shared" si="3"/>
        <v>29.44</v>
      </c>
      <c r="G293" s="1112">
        <f t="shared" si="4"/>
        <v>29.44</v>
      </c>
      <c r="H293" s="1112">
        <f t="shared" si="5"/>
        <v>2.725</v>
      </c>
      <c r="I293" s="1112">
        <f t="shared" si="6"/>
        <v>40.474</v>
      </c>
      <c r="J293" s="1113">
        <f t="shared" si="7"/>
        <v>1</v>
      </c>
      <c r="K293" s="1107">
        <f t="shared" si="8"/>
        <v>1.2839</v>
      </c>
      <c r="L293" s="1107">
        <f t="shared" si="9"/>
        <v>1.1725</v>
      </c>
      <c r="M293" s="1107">
        <f t="shared" si="10"/>
        <v>4.655</v>
      </c>
      <c r="N293" s="1106">
        <f t="array" ref="N293">LET(
totalShards, F$10,
AtMax, OR(F$3&lt;$B293,totalShards&lt;$E293),
primeShards, $E293,
PrimeMulti, F293,
AssPer, F$4,
AssLevel, IF(AtMax,1,index(optimizer[Level],XMATCH(totalShards-primeShards,optimizer[Total discounted cost],-1,2))),
AssMulti,IF(F$16="",1,index(optimizer[cannonAssist],XMATCH(AssLevel,optimizer[Level],-1,2))),
TooLow, OR(AssLevel&lt;$F$18,$B293&lt;$F$15),
IF(OR(AtMax,TooLow), 0, PrimeMulti * (AssMulti)))</f>
        <v>0</v>
      </c>
      <c r="O293" s="1112">
        <f t="array" ref="O293">LET(
totalShards, G$10,
AtMax, OR(G$3&lt;$B293,totalShards&lt;$E293),
primeShards, $E293,
PrimeMulti, G293,
AssPer, G$4,
AssLevel, IF(AtMax,1,index(optimizer[Level],XMATCH(totalShards-primeShards,optimizer[Total discounted cost],-1,2))),
AssMulti,IF(G$16="",1,index(optimizer[armorAssist],XMATCH(AssLevel,optimizer[Level],-1,2))),
TooLow, OR(AssLevel&lt;$G$18,$B293&lt;$G$15),
IF(OR(AtMax,TooLow), 0, PrimeMulti * (AssMulti)))</f>
        <v>0</v>
      </c>
      <c r="P293" s="1112">
        <f t="array" ref="P293">LET(
totalShards, H$10,
AtMax, OR(H$3&lt;$B293,totalShards&lt;$E293),
primeShards, $E293,
PrimeMulti, H293,
AssPer, H$4,
AssLevel, IF(AtMax,1,index(optimizer[Level],XMATCH(totalShards-primeShards,optimizer[Total discounted cost],-1,2))),
AssMulti,IF(H$16="",1,index(optimizer[generatorAssist],XMATCH(AssLevel,optimizer[Level],-1,2))),
TooLow, OR(AssLevel&lt;$H$18,$B293&lt;$H$15),
IF(OR(AtMax,TooLow), 0, PrimeMulti * (AssMulti)))</f>
        <v>0</v>
      </c>
      <c r="Q293" s="1114">
        <f t="array" ref="Q293">LET(
totalShards, I$10,
AtMax, OR(I$3&lt;$B293,totalShards&lt;$E293),
primeShards, $E293,
PrimeMulti, I293,
AssPer, I$4,
AssLevel, IF(AtMax,1,index(optimizer[Level],XMATCH(totalShards-primeShards,optimizer[Total discounted cost],-1,2))),
AssMulti,IF(I$16="",1,index(optimizer[coreAssist],XMATCH(AssLevel,optimizer[Level],-1,2))),
TooLow, OR(AssLevel&lt;$I$18,$B293&lt;$I$15),
IF(OR(AtMax,TooLow), 0, PrimeMulti * (AssMulti)))</f>
        <v>0</v>
      </c>
    </row>
    <row r="294" ht="22.5" hidden="1" customHeight="1" outlineLevel="1">
      <c r="A294" s="1097"/>
      <c r="B294" s="1103">
        <v>267.0</v>
      </c>
      <c r="C294" s="1104">
        <f t="shared" si="14"/>
        <v>33000</v>
      </c>
      <c r="D294" s="1104">
        <f t="shared" si="2"/>
        <v>23100</v>
      </c>
      <c r="E294" s="1105">
        <f t="shared" si="11"/>
        <v>1236625</v>
      </c>
      <c r="F294" s="1106">
        <f t="shared" si="3"/>
        <v>29.64</v>
      </c>
      <c r="G294" s="1106">
        <f t="shared" si="4"/>
        <v>29.64</v>
      </c>
      <c r="H294" s="1106">
        <f t="shared" si="5"/>
        <v>2.735</v>
      </c>
      <c r="I294" s="1106">
        <f t="shared" si="6"/>
        <v>40.744</v>
      </c>
      <c r="J294" s="1107">
        <f t="shared" si="7"/>
        <v>1</v>
      </c>
      <c r="K294" s="1107">
        <f t="shared" si="8"/>
        <v>1.2859</v>
      </c>
      <c r="L294" s="1107">
        <f t="shared" si="9"/>
        <v>1.1735</v>
      </c>
      <c r="M294" s="1107">
        <f t="shared" si="10"/>
        <v>4.68</v>
      </c>
      <c r="N294" s="1106">
        <f t="array" ref="N294">LET(
totalShards, F$10,
AtMax, OR(F$3&lt;$B294,totalShards&lt;$E294),
primeShards, $E294,
PrimeMulti, F294,
AssPer, F$4,
AssLevel, IF(AtMax,1,index(optimizer[Level],XMATCH(totalShards-primeShards,optimizer[Total discounted cost],-1,2))),
AssMulti,IF(F$16="",1,index(optimizer[cannonAssist],XMATCH(AssLevel,optimizer[Level],-1,2))),
TooLow, OR(AssLevel&lt;$F$18,$B294&lt;$F$15),
IF(OR(AtMax,TooLow), 0, PrimeMulti * (AssMulti)))</f>
        <v>0</v>
      </c>
      <c r="O294" s="1106">
        <f t="array" ref="O294">LET(
totalShards, G$10,
AtMax, OR(G$3&lt;$B294,totalShards&lt;$E294),
primeShards, $E294,
PrimeMulti, G294,
AssPer, G$4,
AssLevel, IF(AtMax,1,index(optimizer[Level],XMATCH(totalShards-primeShards,optimizer[Total discounted cost],-1,2))),
AssMulti,IF(G$16="",1,index(optimizer[armorAssist],XMATCH(AssLevel,optimizer[Level],-1,2))),
TooLow, OR(AssLevel&lt;$G$18,$B294&lt;$G$15),
IF(OR(AtMax,TooLow), 0, PrimeMulti * (AssMulti)))</f>
        <v>0</v>
      </c>
      <c r="P294" s="1106">
        <f t="array" ref="P294">LET(
totalShards, H$10,
AtMax, OR(H$3&lt;$B294,totalShards&lt;$E294),
primeShards, $E294,
PrimeMulti, H294,
AssPer, H$4,
AssLevel, IF(AtMax,1,index(optimizer[Level],XMATCH(totalShards-primeShards,optimizer[Total discounted cost],-1,2))),
AssMulti,IF(H$16="",1,index(optimizer[generatorAssist],XMATCH(AssLevel,optimizer[Level],-1,2))),
TooLow, OR(AssLevel&lt;$H$18,$B294&lt;$H$15),
IF(OR(AtMax,TooLow), 0, PrimeMulti * (AssMulti)))</f>
        <v>0</v>
      </c>
      <c r="Q294" s="1108">
        <f t="array" ref="Q294">LET(
totalShards, I$10,
AtMax, OR(I$3&lt;$B294,totalShards&lt;$E294),
primeShards, $E294,
PrimeMulti, I294,
AssPer, I$4,
AssLevel, IF(AtMax,1,index(optimizer[Level],XMATCH(totalShards-primeShards,optimizer[Total discounted cost],-1,2))),
AssMulti,IF(I$16="",1,index(optimizer[coreAssist],XMATCH(AssLevel,optimizer[Level],-1,2))),
TooLow, OR(AssLevel&lt;$I$18,$B294&lt;$I$15),
IF(OR(AtMax,TooLow), 0, PrimeMulti * (AssMulti)))</f>
        <v>0</v>
      </c>
    </row>
    <row r="295" ht="22.5" hidden="1" customHeight="1" outlineLevel="1">
      <c r="A295" s="1097"/>
      <c r="B295" s="1109">
        <v>268.0</v>
      </c>
      <c r="C295" s="1110">
        <f t="shared" si="14"/>
        <v>33500</v>
      </c>
      <c r="D295" s="1110">
        <f t="shared" si="2"/>
        <v>23450</v>
      </c>
      <c r="E295" s="1111">
        <f t="shared" si="11"/>
        <v>1260075</v>
      </c>
      <c r="F295" s="1112">
        <f t="shared" si="3"/>
        <v>29.84</v>
      </c>
      <c r="G295" s="1112">
        <f t="shared" si="4"/>
        <v>29.84</v>
      </c>
      <c r="H295" s="1112">
        <f t="shared" si="5"/>
        <v>2.745</v>
      </c>
      <c r="I295" s="1112">
        <f t="shared" si="6"/>
        <v>41.014</v>
      </c>
      <c r="J295" s="1113">
        <f t="shared" si="7"/>
        <v>1</v>
      </c>
      <c r="K295" s="1107">
        <f t="shared" si="8"/>
        <v>1.2879</v>
      </c>
      <c r="L295" s="1107">
        <f t="shared" si="9"/>
        <v>1.1745</v>
      </c>
      <c r="M295" s="1107">
        <f t="shared" si="10"/>
        <v>4.705</v>
      </c>
      <c r="N295" s="1106">
        <f t="array" ref="N295">LET(
totalShards, F$10,
AtMax, OR(F$3&lt;$B295,totalShards&lt;$E295),
primeShards, $E295,
PrimeMulti, F295,
AssPer, F$4,
AssLevel, IF(AtMax,1,index(optimizer[Level],XMATCH(totalShards-primeShards,optimizer[Total discounted cost],-1,2))),
AssMulti,IF(F$16="",1,index(optimizer[cannonAssist],XMATCH(AssLevel,optimizer[Level],-1,2))),
TooLow, OR(AssLevel&lt;$F$18,$B295&lt;$F$15),
IF(OR(AtMax,TooLow), 0, PrimeMulti * (AssMulti)))</f>
        <v>0</v>
      </c>
      <c r="O295" s="1112">
        <f t="array" ref="O295">LET(
totalShards, G$10,
AtMax, OR(G$3&lt;$B295,totalShards&lt;$E295),
primeShards, $E295,
PrimeMulti, G295,
AssPer, G$4,
AssLevel, IF(AtMax,1,index(optimizer[Level],XMATCH(totalShards-primeShards,optimizer[Total discounted cost],-1,2))),
AssMulti,IF(G$16="",1,index(optimizer[armorAssist],XMATCH(AssLevel,optimizer[Level],-1,2))),
TooLow, OR(AssLevel&lt;$G$18,$B295&lt;$G$15),
IF(OR(AtMax,TooLow), 0, PrimeMulti * (AssMulti)))</f>
        <v>0</v>
      </c>
      <c r="P295" s="1112">
        <f t="array" ref="P295">LET(
totalShards, H$10,
AtMax, OR(H$3&lt;$B295,totalShards&lt;$E295),
primeShards, $E295,
PrimeMulti, H295,
AssPer, H$4,
AssLevel, IF(AtMax,1,index(optimizer[Level],XMATCH(totalShards-primeShards,optimizer[Total discounted cost],-1,2))),
AssMulti,IF(H$16="",1,index(optimizer[generatorAssist],XMATCH(AssLevel,optimizer[Level],-1,2))),
TooLow, OR(AssLevel&lt;$H$18,$B295&lt;$H$15),
IF(OR(AtMax,TooLow), 0, PrimeMulti * (AssMulti)))</f>
        <v>0</v>
      </c>
      <c r="Q295" s="1114">
        <f t="array" ref="Q295">LET(
totalShards, I$10,
AtMax, OR(I$3&lt;$B295,totalShards&lt;$E295),
primeShards, $E295,
PrimeMulti, I295,
AssPer, I$4,
AssLevel, IF(AtMax,1,index(optimizer[Level],XMATCH(totalShards-primeShards,optimizer[Total discounted cost],-1,2))),
AssMulti,IF(I$16="",1,index(optimizer[coreAssist],XMATCH(AssLevel,optimizer[Level],-1,2))),
TooLow, OR(AssLevel&lt;$I$18,$B295&lt;$I$15),
IF(OR(AtMax,TooLow), 0, PrimeMulti * (AssMulti)))</f>
        <v>0</v>
      </c>
    </row>
    <row r="296" ht="22.5" hidden="1" customHeight="1" outlineLevel="1">
      <c r="A296" s="1097"/>
      <c r="B296" s="1103">
        <v>269.0</v>
      </c>
      <c r="C296" s="1104">
        <f t="shared" si="14"/>
        <v>34000</v>
      </c>
      <c r="D296" s="1104">
        <f t="shared" si="2"/>
        <v>23800</v>
      </c>
      <c r="E296" s="1105">
        <f t="shared" si="11"/>
        <v>1283875</v>
      </c>
      <c r="F296" s="1106">
        <f t="shared" si="3"/>
        <v>30.04</v>
      </c>
      <c r="G296" s="1106">
        <f t="shared" si="4"/>
        <v>30.04</v>
      </c>
      <c r="H296" s="1106">
        <f t="shared" si="5"/>
        <v>2.755</v>
      </c>
      <c r="I296" s="1106">
        <f t="shared" si="6"/>
        <v>41.284</v>
      </c>
      <c r="J296" s="1107">
        <f t="shared" si="7"/>
        <v>1</v>
      </c>
      <c r="K296" s="1107">
        <f t="shared" si="8"/>
        <v>1.2899</v>
      </c>
      <c r="L296" s="1107">
        <f t="shared" si="9"/>
        <v>1.1755</v>
      </c>
      <c r="M296" s="1107">
        <f t="shared" si="10"/>
        <v>4.73</v>
      </c>
      <c r="N296" s="1106">
        <f t="array" ref="N296">LET(
totalShards, F$10,
AtMax, OR(F$3&lt;$B296,totalShards&lt;$E296),
primeShards, $E296,
PrimeMulti, F296,
AssPer, F$4,
AssLevel, IF(AtMax,1,index(optimizer[Level],XMATCH(totalShards-primeShards,optimizer[Total discounted cost],-1,2))),
AssMulti,IF(F$16="",1,index(optimizer[cannonAssist],XMATCH(AssLevel,optimizer[Level],-1,2))),
TooLow, OR(AssLevel&lt;$F$18,$B296&lt;$F$15),
IF(OR(AtMax,TooLow), 0, PrimeMulti * (AssMulti)))</f>
        <v>0</v>
      </c>
      <c r="O296" s="1106">
        <f t="array" ref="O296">LET(
totalShards, G$10,
AtMax, OR(G$3&lt;$B296,totalShards&lt;$E296),
primeShards, $E296,
PrimeMulti, G296,
AssPer, G$4,
AssLevel, IF(AtMax,1,index(optimizer[Level],XMATCH(totalShards-primeShards,optimizer[Total discounted cost],-1,2))),
AssMulti,IF(G$16="",1,index(optimizer[armorAssist],XMATCH(AssLevel,optimizer[Level],-1,2))),
TooLow, OR(AssLevel&lt;$G$18,$B296&lt;$G$15),
IF(OR(AtMax,TooLow), 0, PrimeMulti * (AssMulti)))</f>
        <v>0</v>
      </c>
      <c r="P296" s="1106">
        <f t="array" ref="P296">LET(
totalShards, H$10,
AtMax, OR(H$3&lt;$B296,totalShards&lt;$E296),
primeShards, $E296,
PrimeMulti, H296,
AssPer, H$4,
AssLevel, IF(AtMax,1,index(optimizer[Level],XMATCH(totalShards-primeShards,optimizer[Total discounted cost],-1,2))),
AssMulti,IF(H$16="",1,index(optimizer[generatorAssist],XMATCH(AssLevel,optimizer[Level],-1,2))),
TooLow, OR(AssLevel&lt;$H$18,$B296&lt;$H$15),
IF(OR(AtMax,TooLow), 0, PrimeMulti * (AssMulti)))</f>
        <v>0</v>
      </c>
      <c r="Q296" s="1108">
        <f t="array" ref="Q296">LET(
totalShards, I$10,
AtMax, OR(I$3&lt;$B296,totalShards&lt;$E296),
primeShards, $E296,
PrimeMulti, I296,
AssPer, I$4,
AssLevel, IF(AtMax,1,index(optimizer[Level],XMATCH(totalShards-primeShards,optimizer[Total discounted cost],-1,2))),
AssMulti,IF(I$16="",1,index(optimizer[coreAssist],XMATCH(AssLevel,optimizer[Level],-1,2))),
TooLow, OR(AssLevel&lt;$I$18,$B296&lt;$I$15),
IF(OR(AtMax,TooLow), 0, PrimeMulti * (AssMulti)))</f>
        <v>0</v>
      </c>
    </row>
    <row r="297" ht="22.5" hidden="1" customHeight="1" outlineLevel="1">
      <c r="A297" s="1097"/>
      <c r="B297" s="1109">
        <v>270.0</v>
      </c>
      <c r="C297" s="1110">
        <f t="shared" si="14"/>
        <v>34500</v>
      </c>
      <c r="D297" s="1110">
        <f t="shared" si="2"/>
        <v>24150</v>
      </c>
      <c r="E297" s="1111">
        <f t="shared" si="11"/>
        <v>1308025</v>
      </c>
      <c r="F297" s="1112">
        <f t="shared" si="3"/>
        <v>30.24</v>
      </c>
      <c r="G297" s="1112">
        <f t="shared" si="4"/>
        <v>30.24</v>
      </c>
      <c r="H297" s="1112">
        <f t="shared" si="5"/>
        <v>2.765</v>
      </c>
      <c r="I297" s="1112">
        <f t="shared" si="6"/>
        <v>41.554</v>
      </c>
      <c r="J297" s="1113">
        <f t="shared" si="7"/>
        <v>1</v>
      </c>
      <c r="K297" s="1107">
        <f t="shared" si="8"/>
        <v>1.2919</v>
      </c>
      <c r="L297" s="1107">
        <f t="shared" si="9"/>
        <v>1.1765</v>
      </c>
      <c r="M297" s="1107">
        <f t="shared" si="10"/>
        <v>4.755</v>
      </c>
      <c r="N297" s="1106">
        <f t="array" ref="N297">LET(
totalShards, F$10,
AtMax, OR(F$3&lt;$B297,totalShards&lt;$E297),
primeShards, $E297,
PrimeMulti, F297,
AssPer, F$4,
AssLevel, IF(AtMax,1,index(optimizer[Level],XMATCH(totalShards-primeShards,optimizer[Total discounted cost],-1,2))),
AssMulti,IF(F$16="",1,index(optimizer[cannonAssist],XMATCH(AssLevel,optimizer[Level],-1,2))),
TooLow, OR(AssLevel&lt;$F$18,$B297&lt;$F$15),
IF(OR(AtMax,TooLow), 0, PrimeMulti * (AssMulti)))</f>
        <v>0</v>
      </c>
      <c r="O297" s="1112">
        <f t="array" ref="O297">LET(
totalShards, G$10,
AtMax, OR(G$3&lt;$B297,totalShards&lt;$E297),
primeShards, $E297,
PrimeMulti, G297,
AssPer, G$4,
AssLevel, IF(AtMax,1,index(optimizer[Level],XMATCH(totalShards-primeShards,optimizer[Total discounted cost],-1,2))),
AssMulti,IF(G$16="",1,index(optimizer[armorAssist],XMATCH(AssLevel,optimizer[Level],-1,2))),
TooLow, OR(AssLevel&lt;$G$18,$B297&lt;$G$15),
IF(OR(AtMax,TooLow), 0, PrimeMulti * (AssMulti)))</f>
        <v>0</v>
      </c>
      <c r="P297" s="1112">
        <f t="array" ref="P297">LET(
totalShards, H$10,
AtMax, OR(H$3&lt;$B297,totalShards&lt;$E297),
primeShards, $E297,
PrimeMulti, H297,
AssPer, H$4,
AssLevel, IF(AtMax,1,index(optimizer[Level],XMATCH(totalShards-primeShards,optimizer[Total discounted cost],-1,2))),
AssMulti,IF(H$16="",1,index(optimizer[generatorAssist],XMATCH(AssLevel,optimizer[Level],-1,2))),
TooLow, OR(AssLevel&lt;$H$18,$B297&lt;$H$15),
IF(OR(AtMax,TooLow), 0, PrimeMulti * (AssMulti)))</f>
        <v>0</v>
      </c>
      <c r="Q297" s="1114">
        <f t="array" ref="Q297">LET(
totalShards, I$10,
AtMax, OR(I$3&lt;$B297,totalShards&lt;$E297),
primeShards, $E297,
PrimeMulti, I297,
AssPer, I$4,
AssLevel, IF(AtMax,1,index(optimizer[Level],XMATCH(totalShards-primeShards,optimizer[Total discounted cost],-1,2))),
AssMulti,IF(I$16="",1,index(optimizer[coreAssist],XMATCH(AssLevel,optimizer[Level],-1,2))),
TooLow, OR(AssLevel&lt;$I$18,$B297&lt;$I$15),
IF(OR(AtMax,TooLow), 0, PrimeMulti * (AssMulti)))</f>
        <v>0</v>
      </c>
    </row>
    <row r="298" ht="22.5" hidden="1" customHeight="1" outlineLevel="1">
      <c r="A298" s="1097"/>
      <c r="B298" s="1103">
        <v>271.0</v>
      </c>
      <c r="C298" s="1104">
        <f t="shared" si="14"/>
        <v>35000</v>
      </c>
      <c r="D298" s="1104">
        <f t="shared" si="2"/>
        <v>24500</v>
      </c>
      <c r="E298" s="1105">
        <f t="shared" si="11"/>
        <v>1332525</v>
      </c>
      <c r="F298" s="1106">
        <f t="shared" si="3"/>
        <v>30.44</v>
      </c>
      <c r="G298" s="1106">
        <f t="shared" si="4"/>
        <v>30.44</v>
      </c>
      <c r="H298" s="1106">
        <f t="shared" si="5"/>
        <v>2.775</v>
      </c>
      <c r="I298" s="1106">
        <f t="shared" si="6"/>
        <v>41.824</v>
      </c>
      <c r="J298" s="1107">
        <f t="shared" si="7"/>
        <v>1</v>
      </c>
      <c r="K298" s="1107">
        <f t="shared" si="8"/>
        <v>1.2939</v>
      </c>
      <c r="L298" s="1107">
        <f t="shared" si="9"/>
        <v>1.1775</v>
      </c>
      <c r="M298" s="1107">
        <f t="shared" si="10"/>
        <v>4.78</v>
      </c>
      <c r="N298" s="1106">
        <f t="array" ref="N298">LET(
totalShards, F$10,
AtMax, OR(F$3&lt;$B298,totalShards&lt;$E298),
primeShards, $E298,
PrimeMulti, F298,
AssPer, F$4,
AssLevel, IF(AtMax,1,index(optimizer[Level],XMATCH(totalShards-primeShards,optimizer[Total discounted cost],-1,2))),
AssMulti,IF(F$16="",1,index(optimizer[cannonAssist],XMATCH(AssLevel,optimizer[Level],-1,2))),
TooLow, OR(AssLevel&lt;$F$18,$B298&lt;$F$15),
IF(OR(AtMax,TooLow), 0, PrimeMulti * (AssMulti)))</f>
        <v>0</v>
      </c>
      <c r="O298" s="1106">
        <f t="array" ref="O298">LET(
totalShards, G$10,
AtMax, OR(G$3&lt;$B298,totalShards&lt;$E298),
primeShards, $E298,
PrimeMulti, G298,
AssPer, G$4,
AssLevel, IF(AtMax,1,index(optimizer[Level],XMATCH(totalShards-primeShards,optimizer[Total discounted cost],-1,2))),
AssMulti,IF(G$16="",1,index(optimizer[armorAssist],XMATCH(AssLevel,optimizer[Level],-1,2))),
TooLow, OR(AssLevel&lt;$G$18,$B298&lt;$G$15),
IF(OR(AtMax,TooLow), 0, PrimeMulti * (AssMulti)))</f>
        <v>0</v>
      </c>
      <c r="P298" s="1106">
        <f t="array" ref="P298">LET(
totalShards, H$10,
AtMax, OR(H$3&lt;$B298,totalShards&lt;$E298),
primeShards, $E298,
PrimeMulti, H298,
AssPer, H$4,
AssLevel, IF(AtMax,1,index(optimizer[Level],XMATCH(totalShards-primeShards,optimizer[Total discounted cost],-1,2))),
AssMulti,IF(H$16="",1,index(optimizer[generatorAssist],XMATCH(AssLevel,optimizer[Level],-1,2))),
TooLow, OR(AssLevel&lt;$H$18,$B298&lt;$H$15),
IF(OR(AtMax,TooLow), 0, PrimeMulti * (AssMulti)))</f>
        <v>0</v>
      </c>
      <c r="Q298" s="1108">
        <f t="array" ref="Q298">LET(
totalShards, I$10,
AtMax, OR(I$3&lt;$B298,totalShards&lt;$E298),
primeShards, $E298,
PrimeMulti, I298,
AssPer, I$4,
AssLevel, IF(AtMax,1,index(optimizer[Level],XMATCH(totalShards-primeShards,optimizer[Total discounted cost],-1,2))),
AssMulti,IF(I$16="",1,index(optimizer[coreAssist],XMATCH(AssLevel,optimizer[Level],-1,2))),
TooLow, OR(AssLevel&lt;$I$18,$B298&lt;$I$15),
IF(OR(AtMax,TooLow), 0, PrimeMulti * (AssMulti)))</f>
        <v>0</v>
      </c>
    </row>
    <row r="299" ht="22.5" hidden="1" customHeight="1" outlineLevel="1">
      <c r="A299" s="1097"/>
      <c r="B299" s="1109">
        <v>272.0</v>
      </c>
      <c r="C299" s="1110">
        <f t="shared" si="14"/>
        <v>35500</v>
      </c>
      <c r="D299" s="1110">
        <f t="shared" si="2"/>
        <v>24850</v>
      </c>
      <c r="E299" s="1111">
        <f t="shared" si="11"/>
        <v>1357375</v>
      </c>
      <c r="F299" s="1112">
        <f t="shared" si="3"/>
        <v>30.64</v>
      </c>
      <c r="G299" s="1112">
        <f t="shared" si="4"/>
        <v>30.64</v>
      </c>
      <c r="H299" s="1112">
        <f t="shared" si="5"/>
        <v>2.785</v>
      </c>
      <c r="I299" s="1112">
        <f t="shared" si="6"/>
        <v>42.094</v>
      </c>
      <c r="J299" s="1113">
        <f t="shared" si="7"/>
        <v>1</v>
      </c>
      <c r="K299" s="1107">
        <f t="shared" si="8"/>
        <v>1.2959</v>
      </c>
      <c r="L299" s="1107">
        <f t="shared" si="9"/>
        <v>1.1785</v>
      </c>
      <c r="M299" s="1107">
        <f t="shared" si="10"/>
        <v>4.805</v>
      </c>
      <c r="N299" s="1106">
        <f t="array" ref="N299">LET(
totalShards, F$10,
AtMax, OR(F$3&lt;$B299,totalShards&lt;$E299),
primeShards, $E299,
PrimeMulti, F299,
AssPer, F$4,
AssLevel, IF(AtMax,1,index(optimizer[Level],XMATCH(totalShards-primeShards,optimizer[Total discounted cost],-1,2))),
AssMulti,IF(F$16="",1,index(optimizer[cannonAssist],XMATCH(AssLevel,optimizer[Level],-1,2))),
TooLow, OR(AssLevel&lt;$F$18,$B299&lt;$F$15),
IF(OR(AtMax,TooLow), 0, PrimeMulti * (AssMulti)))</f>
        <v>0</v>
      </c>
      <c r="O299" s="1112">
        <f t="array" ref="O299">LET(
totalShards, G$10,
AtMax, OR(G$3&lt;$B299,totalShards&lt;$E299),
primeShards, $E299,
PrimeMulti, G299,
AssPer, G$4,
AssLevel, IF(AtMax,1,index(optimizer[Level],XMATCH(totalShards-primeShards,optimizer[Total discounted cost],-1,2))),
AssMulti,IF(G$16="",1,index(optimizer[armorAssist],XMATCH(AssLevel,optimizer[Level],-1,2))),
TooLow, OR(AssLevel&lt;$G$18,$B299&lt;$G$15),
IF(OR(AtMax,TooLow), 0, PrimeMulti * (AssMulti)))</f>
        <v>0</v>
      </c>
      <c r="P299" s="1112">
        <f t="array" ref="P299">LET(
totalShards, H$10,
AtMax, OR(H$3&lt;$B299,totalShards&lt;$E299),
primeShards, $E299,
PrimeMulti, H299,
AssPer, H$4,
AssLevel, IF(AtMax,1,index(optimizer[Level],XMATCH(totalShards-primeShards,optimizer[Total discounted cost],-1,2))),
AssMulti,IF(H$16="",1,index(optimizer[generatorAssist],XMATCH(AssLevel,optimizer[Level],-1,2))),
TooLow, OR(AssLevel&lt;$H$18,$B299&lt;$H$15),
IF(OR(AtMax,TooLow), 0, PrimeMulti * (AssMulti)))</f>
        <v>0</v>
      </c>
      <c r="Q299" s="1114">
        <f t="array" ref="Q299">LET(
totalShards, I$10,
AtMax, OR(I$3&lt;$B299,totalShards&lt;$E299),
primeShards, $E299,
PrimeMulti, I299,
AssPer, I$4,
AssLevel, IF(AtMax,1,index(optimizer[Level],XMATCH(totalShards-primeShards,optimizer[Total discounted cost],-1,2))),
AssMulti,IF(I$16="",1,index(optimizer[coreAssist],XMATCH(AssLevel,optimizer[Level],-1,2))),
TooLow, OR(AssLevel&lt;$I$18,$B299&lt;$I$15),
IF(OR(AtMax,TooLow), 0, PrimeMulti * (AssMulti)))</f>
        <v>0</v>
      </c>
    </row>
    <row r="300" ht="22.5" hidden="1" customHeight="1" outlineLevel="1">
      <c r="A300" s="1097"/>
      <c r="B300" s="1103">
        <v>273.0</v>
      </c>
      <c r="C300" s="1104">
        <f t="shared" si="14"/>
        <v>36000</v>
      </c>
      <c r="D300" s="1104">
        <f t="shared" si="2"/>
        <v>25200</v>
      </c>
      <c r="E300" s="1105">
        <f t="shared" si="11"/>
        <v>1382575</v>
      </c>
      <c r="F300" s="1106">
        <f t="shared" si="3"/>
        <v>30.84</v>
      </c>
      <c r="G300" s="1106">
        <f t="shared" si="4"/>
        <v>30.84</v>
      </c>
      <c r="H300" s="1106">
        <f t="shared" si="5"/>
        <v>2.795</v>
      </c>
      <c r="I300" s="1106">
        <f t="shared" si="6"/>
        <v>42.364</v>
      </c>
      <c r="J300" s="1107">
        <f t="shared" si="7"/>
        <v>1</v>
      </c>
      <c r="K300" s="1107">
        <f t="shared" si="8"/>
        <v>1.2979</v>
      </c>
      <c r="L300" s="1107">
        <f t="shared" si="9"/>
        <v>1.1795</v>
      </c>
      <c r="M300" s="1107">
        <f t="shared" si="10"/>
        <v>4.83</v>
      </c>
      <c r="N300" s="1106">
        <f t="array" ref="N300">LET(
totalShards, F$10,
AtMax, OR(F$3&lt;$B300,totalShards&lt;$E300),
primeShards, $E300,
PrimeMulti, F300,
AssPer, F$4,
AssLevel, IF(AtMax,1,index(optimizer[Level],XMATCH(totalShards-primeShards,optimizer[Total discounted cost],-1,2))),
AssMulti,IF(F$16="",1,index(optimizer[cannonAssist],XMATCH(AssLevel,optimizer[Level],-1,2))),
TooLow, OR(AssLevel&lt;$F$18,$B300&lt;$F$15),
IF(OR(AtMax,TooLow), 0, PrimeMulti * (AssMulti)))</f>
        <v>0</v>
      </c>
      <c r="O300" s="1106">
        <f t="array" ref="O300">LET(
totalShards, G$10,
AtMax, OR(G$3&lt;$B300,totalShards&lt;$E300),
primeShards, $E300,
PrimeMulti, G300,
AssPer, G$4,
AssLevel, IF(AtMax,1,index(optimizer[Level],XMATCH(totalShards-primeShards,optimizer[Total discounted cost],-1,2))),
AssMulti,IF(G$16="",1,index(optimizer[armorAssist],XMATCH(AssLevel,optimizer[Level],-1,2))),
TooLow, OR(AssLevel&lt;$G$18,$B300&lt;$G$15),
IF(OR(AtMax,TooLow), 0, PrimeMulti * (AssMulti)))</f>
        <v>0</v>
      </c>
      <c r="P300" s="1106">
        <f t="array" ref="P300">LET(
totalShards, H$10,
AtMax, OR(H$3&lt;$B300,totalShards&lt;$E300),
primeShards, $E300,
PrimeMulti, H300,
AssPer, H$4,
AssLevel, IF(AtMax,1,index(optimizer[Level],XMATCH(totalShards-primeShards,optimizer[Total discounted cost],-1,2))),
AssMulti,IF(H$16="",1,index(optimizer[generatorAssist],XMATCH(AssLevel,optimizer[Level],-1,2))),
TooLow, OR(AssLevel&lt;$H$18,$B300&lt;$H$15),
IF(OR(AtMax,TooLow), 0, PrimeMulti * (AssMulti)))</f>
        <v>0</v>
      </c>
      <c r="Q300" s="1108">
        <f t="array" ref="Q300">LET(
totalShards, I$10,
AtMax, OR(I$3&lt;$B300,totalShards&lt;$E300),
primeShards, $E300,
PrimeMulti, I300,
AssPer, I$4,
AssLevel, IF(AtMax,1,index(optimizer[Level],XMATCH(totalShards-primeShards,optimizer[Total discounted cost],-1,2))),
AssMulti,IF(I$16="",1,index(optimizer[coreAssist],XMATCH(AssLevel,optimizer[Level],-1,2))),
TooLow, OR(AssLevel&lt;$I$18,$B300&lt;$I$15),
IF(OR(AtMax,TooLow), 0, PrimeMulti * (AssMulti)))</f>
        <v>0</v>
      </c>
    </row>
    <row r="301" ht="22.5" hidden="1" customHeight="1" outlineLevel="1">
      <c r="A301" s="1097"/>
      <c r="B301" s="1109">
        <v>274.0</v>
      </c>
      <c r="C301" s="1110">
        <f t="shared" si="14"/>
        <v>36500</v>
      </c>
      <c r="D301" s="1110">
        <f t="shared" si="2"/>
        <v>25550</v>
      </c>
      <c r="E301" s="1111">
        <f t="shared" si="11"/>
        <v>1408125</v>
      </c>
      <c r="F301" s="1112">
        <f t="shared" si="3"/>
        <v>31.04</v>
      </c>
      <c r="G301" s="1112">
        <f t="shared" si="4"/>
        <v>31.04</v>
      </c>
      <c r="H301" s="1112">
        <f t="shared" si="5"/>
        <v>2.805</v>
      </c>
      <c r="I301" s="1112">
        <f t="shared" si="6"/>
        <v>42.634</v>
      </c>
      <c r="J301" s="1113">
        <f t="shared" si="7"/>
        <v>1</v>
      </c>
      <c r="K301" s="1107">
        <f t="shared" si="8"/>
        <v>1.2999</v>
      </c>
      <c r="L301" s="1107">
        <f t="shared" si="9"/>
        <v>1.1805</v>
      </c>
      <c r="M301" s="1107">
        <f t="shared" si="10"/>
        <v>4.855</v>
      </c>
      <c r="N301" s="1106">
        <f t="array" ref="N301">LET(
totalShards, F$10,
AtMax, OR(F$3&lt;$B301,totalShards&lt;$E301),
primeShards, $E301,
PrimeMulti, F301,
AssPer, F$4,
AssLevel, IF(AtMax,1,index(optimizer[Level],XMATCH(totalShards-primeShards,optimizer[Total discounted cost],-1,2))),
AssMulti,IF(F$16="",1,index(optimizer[cannonAssist],XMATCH(AssLevel,optimizer[Level],-1,2))),
TooLow, OR(AssLevel&lt;$F$18,$B301&lt;$F$15),
IF(OR(AtMax,TooLow), 0, PrimeMulti * (AssMulti)))</f>
        <v>0</v>
      </c>
      <c r="O301" s="1112">
        <f t="array" ref="O301">LET(
totalShards, G$10,
AtMax, OR(G$3&lt;$B301,totalShards&lt;$E301),
primeShards, $E301,
PrimeMulti, G301,
AssPer, G$4,
AssLevel, IF(AtMax,1,index(optimizer[Level],XMATCH(totalShards-primeShards,optimizer[Total discounted cost],-1,2))),
AssMulti,IF(G$16="",1,index(optimizer[armorAssist],XMATCH(AssLevel,optimizer[Level],-1,2))),
TooLow, OR(AssLevel&lt;$G$18,$B301&lt;$G$15),
IF(OR(AtMax,TooLow), 0, PrimeMulti * (AssMulti)))</f>
        <v>0</v>
      </c>
      <c r="P301" s="1112">
        <f t="array" ref="P301">LET(
totalShards, H$10,
AtMax, OR(H$3&lt;$B301,totalShards&lt;$E301),
primeShards, $E301,
PrimeMulti, H301,
AssPer, H$4,
AssLevel, IF(AtMax,1,index(optimizer[Level],XMATCH(totalShards-primeShards,optimizer[Total discounted cost],-1,2))),
AssMulti,IF(H$16="",1,index(optimizer[generatorAssist],XMATCH(AssLevel,optimizer[Level],-1,2))),
TooLow, OR(AssLevel&lt;$H$18,$B301&lt;$H$15),
IF(OR(AtMax,TooLow), 0, PrimeMulti * (AssMulti)))</f>
        <v>0</v>
      </c>
      <c r="Q301" s="1114">
        <f t="array" ref="Q301">LET(
totalShards, I$10,
AtMax, OR(I$3&lt;$B301,totalShards&lt;$E301),
primeShards, $E301,
PrimeMulti, I301,
AssPer, I$4,
AssLevel, IF(AtMax,1,index(optimizer[Level],XMATCH(totalShards-primeShards,optimizer[Total discounted cost],-1,2))),
AssMulti,IF(I$16="",1,index(optimizer[coreAssist],XMATCH(AssLevel,optimizer[Level],-1,2))),
TooLow, OR(AssLevel&lt;$I$18,$B301&lt;$I$15),
IF(OR(AtMax,TooLow), 0, PrimeMulti * (AssMulti)))</f>
        <v>0</v>
      </c>
    </row>
    <row r="302" ht="22.5" hidden="1" customHeight="1" outlineLevel="1">
      <c r="A302" s="1097"/>
      <c r="B302" s="1103">
        <v>275.0</v>
      </c>
      <c r="C302" s="1104">
        <f t="shared" si="14"/>
        <v>37000</v>
      </c>
      <c r="D302" s="1104">
        <f t="shared" si="2"/>
        <v>25900</v>
      </c>
      <c r="E302" s="1105">
        <f t="shared" si="11"/>
        <v>1434025</v>
      </c>
      <c r="F302" s="1106">
        <f t="shared" si="3"/>
        <v>31.24</v>
      </c>
      <c r="G302" s="1106">
        <f t="shared" si="4"/>
        <v>31.24</v>
      </c>
      <c r="H302" s="1106">
        <f t="shared" si="5"/>
        <v>2.815</v>
      </c>
      <c r="I302" s="1106">
        <f t="shared" si="6"/>
        <v>42.904</v>
      </c>
      <c r="J302" s="1107">
        <f t="shared" si="7"/>
        <v>1</v>
      </c>
      <c r="K302" s="1107">
        <f t="shared" si="8"/>
        <v>1.3019</v>
      </c>
      <c r="L302" s="1107">
        <f t="shared" si="9"/>
        <v>1.1815</v>
      </c>
      <c r="M302" s="1107">
        <f t="shared" si="10"/>
        <v>4.88</v>
      </c>
      <c r="N302" s="1106">
        <f t="array" ref="N302">LET(
totalShards, F$10,
AtMax, OR(F$3&lt;$B302,totalShards&lt;$E302),
primeShards, $E302,
PrimeMulti, F302,
AssPer, F$4,
AssLevel, IF(AtMax,1,index(optimizer[Level],XMATCH(totalShards-primeShards,optimizer[Total discounted cost],-1,2))),
AssMulti,IF(F$16="",1,index(optimizer[cannonAssist],XMATCH(AssLevel,optimizer[Level],-1,2))),
TooLow, OR(AssLevel&lt;$F$18,$B302&lt;$F$15),
IF(OR(AtMax,TooLow), 0, PrimeMulti * (AssMulti)))</f>
        <v>0</v>
      </c>
      <c r="O302" s="1106">
        <f t="array" ref="O302">LET(
totalShards, G$10,
AtMax, OR(G$3&lt;$B302,totalShards&lt;$E302),
primeShards, $E302,
PrimeMulti, G302,
AssPer, G$4,
AssLevel, IF(AtMax,1,index(optimizer[Level],XMATCH(totalShards-primeShards,optimizer[Total discounted cost],-1,2))),
AssMulti,IF(G$16="",1,index(optimizer[armorAssist],XMATCH(AssLevel,optimizer[Level],-1,2))),
TooLow, OR(AssLevel&lt;$G$18,$B302&lt;$G$15),
IF(OR(AtMax,TooLow), 0, PrimeMulti * (AssMulti)))</f>
        <v>0</v>
      </c>
      <c r="P302" s="1106">
        <f t="array" ref="P302">LET(
totalShards, H$10,
AtMax, OR(H$3&lt;$B302,totalShards&lt;$E302),
primeShards, $E302,
PrimeMulti, H302,
AssPer, H$4,
AssLevel, IF(AtMax,1,index(optimizer[Level],XMATCH(totalShards-primeShards,optimizer[Total discounted cost],-1,2))),
AssMulti,IF(H$16="",1,index(optimizer[generatorAssist],XMATCH(AssLevel,optimizer[Level],-1,2))),
TooLow, OR(AssLevel&lt;$H$18,$B302&lt;$H$15),
IF(OR(AtMax,TooLow), 0, PrimeMulti * (AssMulti)))</f>
        <v>0</v>
      </c>
      <c r="Q302" s="1108">
        <f t="array" ref="Q302">LET(
totalShards, I$10,
AtMax, OR(I$3&lt;$B302,totalShards&lt;$E302),
primeShards, $E302,
PrimeMulti, I302,
AssPer, I$4,
AssLevel, IF(AtMax,1,index(optimizer[Level],XMATCH(totalShards-primeShards,optimizer[Total discounted cost],-1,2))),
AssMulti,IF(I$16="",1,index(optimizer[coreAssist],XMATCH(AssLevel,optimizer[Level],-1,2))),
TooLow, OR(AssLevel&lt;$I$18,$B302&lt;$I$15),
IF(OR(AtMax,TooLow), 0, PrimeMulti * (AssMulti)))</f>
        <v>0</v>
      </c>
    </row>
    <row r="303" ht="22.5" hidden="1" customHeight="1" outlineLevel="1">
      <c r="A303" s="1097"/>
      <c r="B303" s="1109">
        <v>276.0</v>
      </c>
      <c r="C303" s="1110">
        <f t="shared" si="14"/>
        <v>37500</v>
      </c>
      <c r="D303" s="1110">
        <f t="shared" si="2"/>
        <v>26250</v>
      </c>
      <c r="E303" s="1111">
        <f t="shared" si="11"/>
        <v>1460275</v>
      </c>
      <c r="F303" s="1112">
        <f t="shared" si="3"/>
        <v>31.44</v>
      </c>
      <c r="G303" s="1112">
        <f t="shared" si="4"/>
        <v>31.44</v>
      </c>
      <c r="H303" s="1112">
        <f t="shared" si="5"/>
        <v>2.825</v>
      </c>
      <c r="I303" s="1112">
        <f t="shared" si="6"/>
        <v>43.174</v>
      </c>
      <c r="J303" s="1113">
        <f t="shared" si="7"/>
        <v>1</v>
      </c>
      <c r="K303" s="1107">
        <f t="shared" si="8"/>
        <v>1.3039</v>
      </c>
      <c r="L303" s="1107">
        <f t="shared" si="9"/>
        <v>1.1825</v>
      </c>
      <c r="M303" s="1107">
        <f t="shared" si="10"/>
        <v>4.905</v>
      </c>
      <c r="N303" s="1106">
        <f t="array" ref="N303">LET(
totalShards, F$10,
AtMax, OR(F$3&lt;$B303,totalShards&lt;$E303),
primeShards, $E303,
PrimeMulti, F303,
AssPer, F$4,
AssLevel, IF(AtMax,1,index(optimizer[Level],XMATCH(totalShards-primeShards,optimizer[Total discounted cost],-1,2))),
AssMulti,IF(F$16="",1,index(optimizer[cannonAssist],XMATCH(AssLevel,optimizer[Level],-1,2))),
TooLow, OR(AssLevel&lt;$F$18,$B303&lt;$F$15),
IF(OR(AtMax,TooLow), 0, PrimeMulti * (AssMulti)))</f>
        <v>0</v>
      </c>
      <c r="O303" s="1112">
        <f t="array" ref="O303">LET(
totalShards, G$10,
AtMax, OR(G$3&lt;$B303,totalShards&lt;$E303),
primeShards, $E303,
PrimeMulti, G303,
AssPer, G$4,
AssLevel, IF(AtMax,1,index(optimizer[Level],XMATCH(totalShards-primeShards,optimizer[Total discounted cost],-1,2))),
AssMulti,IF(G$16="",1,index(optimizer[armorAssist],XMATCH(AssLevel,optimizer[Level],-1,2))),
TooLow, OR(AssLevel&lt;$G$18,$B303&lt;$G$15),
IF(OR(AtMax,TooLow), 0, PrimeMulti * (AssMulti)))</f>
        <v>0</v>
      </c>
      <c r="P303" s="1112">
        <f t="array" ref="P303">LET(
totalShards, H$10,
AtMax, OR(H$3&lt;$B303,totalShards&lt;$E303),
primeShards, $E303,
PrimeMulti, H303,
AssPer, H$4,
AssLevel, IF(AtMax,1,index(optimizer[Level],XMATCH(totalShards-primeShards,optimizer[Total discounted cost],-1,2))),
AssMulti,IF(H$16="",1,index(optimizer[generatorAssist],XMATCH(AssLevel,optimizer[Level],-1,2))),
TooLow, OR(AssLevel&lt;$H$18,$B303&lt;$H$15),
IF(OR(AtMax,TooLow), 0, PrimeMulti * (AssMulti)))</f>
        <v>0</v>
      </c>
      <c r="Q303" s="1114">
        <f t="array" ref="Q303">LET(
totalShards, I$10,
AtMax, OR(I$3&lt;$B303,totalShards&lt;$E303),
primeShards, $E303,
PrimeMulti, I303,
AssPer, I$4,
AssLevel, IF(AtMax,1,index(optimizer[Level],XMATCH(totalShards-primeShards,optimizer[Total discounted cost],-1,2))),
AssMulti,IF(I$16="",1,index(optimizer[coreAssist],XMATCH(AssLevel,optimizer[Level],-1,2))),
TooLow, OR(AssLevel&lt;$I$18,$B303&lt;$I$15),
IF(OR(AtMax,TooLow), 0, PrimeMulti * (AssMulti)))</f>
        <v>0</v>
      </c>
    </row>
    <row r="304" ht="22.5" hidden="1" customHeight="1" outlineLevel="1">
      <c r="A304" s="1097"/>
      <c r="B304" s="1103">
        <v>277.0</v>
      </c>
      <c r="C304" s="1104">
        <f t="shared" si="14"/>
        <v>38000</v>
      </c>
      <c r="D304" s="1104">
        <f t="shared" si="2"/>
        <v>26600</v>
      </c>
      <c r="E304" s="1105">
        <f t="shared" si="11"/>
        <v>1486875</v>
      </c>
      <c r="F304" s="1106">
        <f t="shared" si="3"/>
        <v>31.64</v>
      </c>
      <c r="G304" s="1106">
        <f t="shared" si="4"/>
        <v>31.64</v>
      </c>
      <c r="H304" s="1106">
        <f t="shared" si="5"/>
        <v>2.835</v>
      </c>
      <c r="I304" s="1106">
        <f t="shared" si="6"/>
        <v>43.444</v>
      </c>
      <c r="J304" s="1107">
        <f t="shared" si="7"/>
        <v>1</v>
      </c>
      <c r="K304" s="1107">
        <f t="shared" si="8"/>
        <v>1.3059</v>
      </c>
      <c r="L304" s="1107">
        <f t="shared" si="9"/>
        <v>1.1835</v>
      </c>
      <c r="M304" s="1107">
        <f t="shared" si="10"/>
        <v>4.93</v>
      </c>
      <c r="N304" s="1106">
        <f t="array" ref="N304">LET(
totalShards, F$10,
AtMax, OR(F$3&lt;$B304,totalShards&lt;$E304),
primeShards, $E304,
PrimeMulti, F304,
AssPer, F$4,
AssLevel, IF(AtMax,1,index(optimizer[Level],XMATCH(totalShards-primeShards,optimizer[Total discounted cost],-1,2))),
AssMulti,IF(F$16="",1,index(optimizer[cannonAssist],XMATCH(AssLevel,optimizer[Level],-1,2))),
TooLow, OR(AssLevel&lt;$F$18,$B304&lt;$F$15),
IF(OR(AtMax,TooLow), 0, PrimeMulti * (AssMulti)))</f>
        <v>0</v>
      </c>
      <c r="O304" s="1106">
        <f t="array" ref="O304">LET(
totalShards, G$10,
AtMax, OR(G$3&lt;$B304,totalShards&lt;$E304),
primeShards, $E304,
PrimeMulti, G304,
AssPer, G$4,
AssLevel, IF(AtMax,1,index(optimizer[Level],XMATCH(totalShards-primeShards,optimizer[Total discounted cost],-1,2))),
AssMulti,IF(G$16="",1,index(optimizer[armorAssist],XMATCH(AssLevel,optimizer[Level],-1,2))),
TooLow, OR(AssLevel&lt;$G$18,$B304&lt;$G$15),
IF(OR(AtMax,TooLow), 0, PrimeMulti * (AssMulti)))</f>
        <v>0</v>
      </c>
      <c r="P304" s="1106">
        <f t="array" ref="P304">LET(
totalShards, H$10,
AtMax, OR(H$3&lt;$B304,totalShards&lt;$E304),
primeShards, $E304,
PrimeMulti, H304,
AssPer, H$4,
AssLevel, IF(AtMax,1,index(optimizer[Level],XMATCH(totalShards-primeShards,optimizer[Total discounted cost],-1,2))),
AssMulti,IF(H$16="",1,index(optimizer[generatorAssist],XMATCH(AssLevel,optimizer[Level],-1,2))),
TooLow, OR(AssLevel&lt;$H$18,$B304&lt;$H$15),
IF(OR(AtMax,TooLow), 0, PrimeMulti * (AssMulti)))</f>
        <v>0</v>
      </c>
      <c r="Q304" s="1108">
        <f t="array" ref="Q304">LET(
totalShards, I$10,
AtMax, OR(I$3&lt;$B304,totalShards&lt;$E304),
primeShards, $E304,
PrimeMulti, I304,
AssPer, I$4,
AssLevel, IF(AtMax,1,index(optimizer[Level],XMATCH(totalShards-primeShards,optimizer[Total discounted cost],-1,2))),
AssMulti,IF(I$16="",1,index(optimizer[coreAssist],XMATCH(AssLevel,optimizer[Level],-1,2))),
TooLow, OR(AssLevel&lt;$I$18,$B304&lt;$I$15),
IF(OR(AtMax,TooLow), 0, PrimeMulti * (AssMulti)))</f>
        <v>0</v>
      </c>
    </row>
    <row r="305" ht="22.5" hidden="1" customHeight="1" outlineLevel="1">
      <c r="A305" s="1097"/>
      <c r="B305" s="1109">
        <v>278.0</v>
      </c>
      <c r="C305" s="1110">
        <f t="shared" si="14"/>
        <v>38500</v>
      </c>
      <c r="D305" s="1110">
        <f t="shared" si="2"/>
        <v>26950</v>
      </c>
      <c r="E305" s="1111">
        <f t="shared" si="11"/>
        <v>1513825</v>
      </c>
      <c r="F305" s="1112">
        <f t="shared" si="3"/>
        <v>31.84</v>
      </c>
      <c r="G305" s="1112">
        <f t="shared" si="4"/>
        <v>31.84</v>
      </c>
      <c r="H305" s="1112">
        <f t="shared" si="5"/>
        <v>2.845</v>
      </c>
      <c r="I305" s="1112">
        <f t="shared" si="6"/>
        <v>43.714</v>
      </c>
      <c r="J305" s="1113">
        <f t="shared" si="7"/>
        <v>1</v>
      </c>
      <c r="K305" s="1107">
        <f t="shared" si="8"/>
        <v>1.3079</v>
      </c>
      <c r="L305" s="1107">
        <f t="shared" si="9"/>
        <v>1.1845</v>
      </c>
      <c r="M305" s="1107">
        <f t="shared" si="10"/>
        <v>4.955</v>
      </c>
      <c r="N305" s="1106">
        <f t="array" ref="N305">LET(
totalShards, F$10,
AtMax, OR(F$3&lt;$B305,totalShards&lt;$E305),
primeShards, $E305,
PrimeMulti, F305,
AssPer, F$4,
AssLevel, IF(AtMax,1,index(optimizer[Level],XMATCH(totalShards-primeShards,optimizer[Total discounted cost],-1,2))),
AssMulti,IF(F$16="",1,index(optimizer[cannonAssist],XMATCH(AssLevel,optimizer[Level],-1,2))),
TooLow, OR(AssLevel&lt;$F$18,$B305&lt;$F$15),
IF(OR(AtMax,TooLow), 0, PrimeMulti * (AssMulti)))</f>
        <v>0</v>
      </c>
      <c r="O305" s="1112">
        <f t="array" ref="O305">LET(
totalShards, G$10,
AtMax, OR(G$3&lt;$B305,totalShards&lt;$E305),
primeShards, $E305,
PrimeMulti, G305,
AssPer, G$4,
AssLevel, IF(AtMax,1,index(optimizer[Level],XMATCH(totalShards-primeShards,optimizer[Total discounted cost],-1,2))),
AssMulti,IF(G$16="",1,index(optimizer[armorAssist],XMATCH(AssLevel,optimizer[Level],-1,2))),
TooLow, OR(AssLevel&lt;$G$18,$B305&lt;$G$15),
IF(OR(AtMax,TooLow), 0, PrimeMulti * (AssMulti)))</f>
        <v>0</v>
      </c>
      <c r="P305" s="1112">
        <f t="array" ref="P305">LET(
totalShards, H$10,
AtMax, OR(H$3&lt;$B305,totalShards&lt;$E305),
primeShards, $E305,
PrimeMulti, H305,
AssPer, H$4,
AssLevel, IF(AtMax,1,index(optimizer[Level],XMATCH(totalShards-primeShards,optimizer[Total discounted cost],-1,2))),
AssMulti,IF(H$16="",1,index(optimizer[generatorAssist],XMATCH(AssLevel,optimizer[Level],-1,2))),
TooLow, OR(AssLevel&lt;$H$18,$B305&lt;$H$15),
IF(OR(AtMax,TooLow), 0, PrimeMulti * (AssMulti)))</f>
        <v>0</v>
      </c>
      <c r="Q305" s="1114">
        <f t="array" ref="Q305">LET(
totalShards, I$10,
AtMax, OR(I$3&lt;$B305,totalShards&lt;$E305),
primeShards, $E305,
PrimeMulti, I305,
AssPer, I$4,
AssLevel, IF(AtMax,1,index(optimizer[Level],XMATCH(totalShards-primeShards,optimizer[Total discounted cost],-1,2))),
AssMulti,IF(I$16="",1,index(optimizer[coreAssist],XMATCH(AssLevel,optimizer[Level],-1,2))),
TooLow, OR(AssLevel&lt;$I$18,$B305&lt;$I$15),
IF(OR(AtMax,TooLow), 0, PrimeMulti * (AssMulti)))</f>
        <v>0</v>
      </c>
    </row>
    <row r="306" ht="22.5" hidden="1" customHeight="1" outlineLevel="1">
      <c r="A306" s="1097"/>
      <c r="B306" s="1103">
        <v>279.0</v>
      </c>
      <c r="C306" s="1104">
        <f t="shared" si="14"/>
        <v>39000</v>
      </c>
      <c r="D306" s="1104">
        <f t="shared" si="2"/>
        <v>27300</v>
      </c>
      <c r="E306" s="1105">
        <f t="shared" si="11"/>
        <v>1541125</v>
      </c>
      <c r="F306" s="1106">
        <f t="shared" si="3"/>
        <v>32.04</v>
      </c>
      <c r="G306" s="1106">
        <f t="shared" si="4"/>
        <v>32.04</v>
      </c>
      <c r="H306" s="1106">
        <f t="shared" si="5"/>
        <v>2.855</v>
      </c>
      <c r="I306" s="1106">
        <f t="shared" si="6"/>
        <v>43.984</v>
      </c>
      <c r="J306" s="1107">
        <f t="shared" si="7"/>
        <v>1</v>
      </c>
      <c r="K306" s="1107">
        <f t="shared" si="8"/>
        <v>1.3099</v>
      </c>
      <c r="L306" s="1107">
        <f t="shared" si="9"/>
        <v>1.1855</v>
      </c>
      <c r="M306" s="1107">
        <f t="shared" si="10"/>
        <v>4.98</v>
      </c>
      <c r="N306" s="1106">
        <f t="array" ref="N306">LET(
totalShards, F$10,
AtMax, OR(F$3&lt;$B306,totalShards&lt;$E306),
primeShards, $E306,
PrimeMulti, F306,
AssPer, F$4,
AssLevel, IF(AtMax,1,index(optimizer[Level],XMATCH(totalShards-primeShards,optimizer[Total discounted cost],-1,2))),
AssMulti,IF(F$16="",1,index(optimizer[cannonAssist],XMATCH(AssLevel,optimizer[Level],-1,2))),
TooLow, OR(AssLevel&lt;$F$18,$B306&lt;$F$15),
IF(OR(AtMax,TooLow), 0, PrimeMulti * (AssMulti)))</f>
        <v>0</v>
      </c>
      <c r="O306" s="1106">
        <f t="array" ref="O306">LET(
totalShards, G$10,
AtMax, OR(G$3&lt;$B306,totalShards&lt;$E306),
primeShards, $E306,
PrimeMulti, G306,
AssPer, G$4,
AssLevel, IF(AtMax,1,index(optimizer[Level],XMATCH(totalShards-primeShards,optimizer[Total discounted cost],-1,2))),
AssMulti,IF(G$16="",1,index(optimizer[armorAssist],XMATCH(AssLevel,optimizer[Level],-1,2))),
TooLow, OR(AssLevel&lt;$G$18,$B306&lt;$G$15),
IF(OR(AtMax,TooLow), 0, PrimeMulti * (AssMulti)))</f>
        <v>0</v>
      </c>
      <c r="P306" s="1106">
        <f t="array" ref="P306">LET(
totalShards, H$10,
AtMax, OR(H$3&lt;$B306,totalShards&lt;$E306),
primeShards, $E306,
PrimeMulti, H306,
AssPer, H$4,
AssLevel, IF(AtMax,1,index(optimizer[Level],XMATCH(totalShards-primeShards,optimizer[Total discounted cost],-1,2))),
AssMulti,IF(H$16="",1,index(optimizer[generatorAssist],XMATCH(AssLevel,optimizer[Level],-1,2))),
TooLow, OR(AssLevel&lt;$H$18,$B306&lt;$H$15),
IF(OR(AtMax,TooLow), 0, PrimeMulti * (AssMulti)))</f>
        <v>0</v>
      </c>
      <c r="Q306" s="1108">
        <f t="array" ref="Q306">LET(
totalShards, I$10,
AtMax, OR(I$3&lt;$B306,totalShards&lt;$E306),
primeShards, $E306,
PrimeMulti, I306,
AssPer, I$4,
AssLevel, IF(AtMax,1,index(optimizer[Level],XMATCH(totalShards-primeShards,optimizer[Total discounted cost],-1,2))),
AssMulti,IF(I$16="",1,index(optimizer[coreAssist],XMATCH(AssLevel,optimizer[Level],-1,2))),
TooLow, OR(AssLevel&lt;$I$18,$B306&lt;$I$15),
IF(OR(AtMax,TooLow), 0, PrimeMulti * (AssMulti)))</f>
        <v>0</v>
      </c>
    </row>
    <row r="307" ht="22.5" hidden="1" customHeight="1" outlineLevel="1">
      <c r="A307" s="1097"/>
      <c r="B307" s="1109">
        <v>280.0</v>
      </c>
      <c r="C307" s="1110">
        <f t="shared" si="14"/>
        <v>39500</v>
      </c>
      <c r="D307" s="1110">
        <f t="shared" si="2"/>
        <v>27650</v>
      </c>
      <c r="E307" s="1111">
        <f t="shared" si="11"/>
        <v>1568775</v>
      </c>
      <c r="F307" s="1112">
        <f t="shared" si="3"/>
        <v>32.24</v>
      </c>
      <c r="G307" s="1112">
        <f t="shared" si="4"/>
        <v>32.24</v>
      </c>
      <c r="H307" s="1112">
        <f t="shared" si="5"/>
        <v>2.865</v>
      </c>
      <c r="I307" s="1112">
        <f t="shared" si="6"/>
        <v>44.254</v>
      </c>
      <c r="J307" s="1113">
        <f t="shared" si="7"/>
        <v>1</v>
      </c>
      <c r="K307" s="1107">
        <f t="shared" si="8"/>
        <v>1.3119</v>
      </c>
      <c r="L307" s="1107">
        <f t="shared" si="9"/>
        <v>1.1865</v>
      </c>
      <c r="M307" s="1107">
        <f t="shared" si="10"/>
        <v>5.005</v>
      </c>
      <c r="N307" s="1106">
        <f t="array" ref="N307">LET(
totalShards, F$10,
AtMax, OR(F$3&lt;$B307,totalShards&lt;$E307),
primeShards, $E307,
PrimeMulti, F307,
AssPer, F$4,
AssLevel, IF(AtMax,1,index(optimizer[Level],XMATCH(totalShards-primeShards,optimizer[Total discounted cost],-1,2))),
AssMulti,IF(F$16="",1,index(optimizer[cannonAssist],XMATCH(AssLevel,optimizer[Level],-1,2))),
TooLow, OR(AssLevel&lt;$F$18,$B307&lt;$F$15),
IF(OR(AtMax,TooLow), 0, PrimeMulti * (AssMulti)))</f>
        <v>0</v>
      </c>
      <c r="O307" s="1112">
        <f t="array" ref="O307">LET(
totalShards, G$10,
AtMax, OR(G$3&lt;$B307,totalShards&lt;$E307),
primeShards, $E307,
PrimeMulti, G307,
AssPer, G$4,
AssLevel, IF(AtMax,1,index(optimizer[Level],XMATCH(totalShards-primeShards,optimizer[Total discounted cost],-1,2))),
AssMulti,IF(G$16="",1,index(optimizer[armorAssist],XMATCH(AssLevel,optimizer[Level],-1,2))),
TooLow, OR(AssLevel&lt;$G$18,$B307&lt;$G$15),
IF(OR(AtMax,TooLow), 0, PrimeMulti * (AssMulti)))</f>
        <v>0</v>
      </c>
      <c r="P307" s="1112">
        <f t="array" ref="P307">LET(
totalShards, H$10,
AtMax, OR(H$3&lt;$B307,totalShards&lt;$E307),
primeShards, $E307,
PrimeMulti, H307,
AssPer, H$4,
AssLevel, IF(AtMax,1,index(optimizer[Level],XMATCH(totalShards-primeShards,optimizer[Total discounted cost],-1,2))),
AssMulti,IF(H$16="",1,index(optimizer[generatorAssist],XMATCH(AssLevel,optimizer[Level],-1,2))),
TooLow, OR(AssLevel&lt;$H$18,$B307&lt;$H$15),
IF(OR(AtMax,TooLow), 0, PrimeMulti * (AssMulti)))</f>
        <v>0</v>
      </c>
      <c r="Q307" s="1114">
        <f t="array" ref="Q307">LET(
totalShards, I$10,
AtMax, OR(I$3&lt;$B307,totalShards&lt;$E307),
primeShards, $E307,
PrimeMulti, I307,
AssPer, I$4,
AssLevel, IF(AtMax,1,index(optimizer[Level],XMATCH(totalShards-primeShards,optimizer[Total discounted cost],-1,2))),
AssMulti,IF(I$16="",1,index(optimizer[coreAssist],XMATCH(AssLevel,optimizer[Level],-1,2))),
TooLow, OR(AssLevel&lt;$I$18,$B307&lt;$I$15),
IF(OR(AtMax,TooLow), 0, PrimeMulti * (AssMulti)))</f>
        <v>0</v>
      </c>
    </row>
    <row r="308" ht="22.5" hidden="1" customHeight="1" outlineLevel="1">
      <c r="A308" s="1097"/>
      <c r="B308" s="1103">
        <v>281.0</v>
      </c>
      <c r="C308" s="1104">
        <f t="shared" si="14"/>
        <v>40000</v>
      </c>
      <c r="D308" s="1104">
        <f t="shared" si="2"/>
        <v>28000</v>
      </c>
      <c r="E308" s="1105">
        <f t="shared" si="11"/>
        <v>1596775</v>
      </c>
      <c r="F308" s="1106">
        <f t="shared" si="3"/>
        <v>32.44</v>
      </c>
      <c r="G308" s="1106">
        <f t="shared" si="4"/>
        <v>32.44</v>
      </c>
      <c r="H308" s="1106">
        <f t="shared" si="5"/>
        <v>2.875</v>
      </c>
      <c r="I308" s="1106">
        <f t="shared" si="6"/>
        <v>44.524</v>
      </c>
      <c r="J308" s="1107">
        <f t="shared" si="7"/>
        <v>1</v>
      </c>
      <c r="K308" s="1107">
        <f t="shared" si="8"/>
        <v>1.3139</v>
      </c>
      <c r="L308" s="1107">
        <f t="shared" si="9"/>
        <v>1.1875</v>
      </c>
      <c r="M308" s="1107">
        <f t="shared" si="10"/>
        <v>5.03</v>
      </c>
      <c r="N308" s="1106">
        <f t="array" ref="N308">LET(
totalShards, F$10,
AtMax, OR(F$3&lt;$B308,totalShards&lt;$E308),
primeShards, $E308,
PrimeMulti, F308,
AssPer, F$4,
AssLevel, IF(AtMax,1,index(optimizer[Level],XMATCH(totalShards-primeShards,optimizer[Total discounted cost],-1,2))),
AssMulti,IF(F$16="",1,index(optimizer[cannonAssist],XMATCH(AssLevel,optimizer[Level],-1,2))),
TooLow, OR(AssLevel&lt;$F$18,$B308&lt;$F$15),
IF(OR(AtMax,TooLow), 0, PrimeMulti * (AssMulti)))</f>
        <v>0</v>
      </c>
      <c r="O308" s="1106">
        <f t="array" ref="O308">LET(
totalShards, G$10,
AtMax, OR(G$3&lt;$B308,totalShards&lt;$E308),
primeShards, $E308,
PrimeMulti, G308,
AssPer, G$4,
AssLevel, IF(AtMax,1,index(optimizer[Level],XMATCH(totalShards-primeShards,optimizer[Total discounted cost],-1,2))),
AssMulti,IF(G$16="",1,index(optimizer[armorAssist],XMATCH(AssLevel,optimizer[Level],-1,2))),
TooLow, OR(AssLevel&lt;$G$18,$B308&lt;$G$15),
IF(OR(AtMax,TooLow), 0, PrimeMulti * (AssMulti)))</f>
        <v>0</v>
      </c>
      <c r="P308" s="1106">
        <f t="array" ref="P308">LET(
totalShards, H$10,
AtMax, OR(H$3&lt;$B308,totalShards&lt;$E308),
primeShards, $E308,
PrimeMulti, H308,
AssPer, H$4,
AssLevel, IF(AtMax,1,index(optimizer[Level],XMATCH(totalShards-primeShards,optimizer[Total discounted cost],-1,2))),
AssMulti,IF(H$16="",1,index(optimizer[generatorAssist],XMATCH(AssLevel,optimizer[Level],-1,2))),
TooLow, OR(AssLevel&lt;$H$18,$B308&lt;$H$15),
IF(OR(AtMax,TooLow), 0, PrimeMulti * (AssMulti)))</f>
        <v>0</v>
      </c>
      <c r="Q308" s="1108">
        <f t="array" ref="Q308">LET(
totalShards, I$10,
AtMax, OR(I$3&lt;$B308,totalShards&lt;$E308),
primeShards, $E308,
PrimeMulti, I308,
AssPer, I$4,
AssLevel, IF(AtMax,1,index(optimizer[Level],XMATCH(totalShards-primeShards,optimizer[Total discounted cost],-1,2))),
AssMulti,IF(I$16="",1,index(optimizer[coreAssist],XMATCH(AssLevel,optimizer[Level],-1,2))),
TooLow, OR(AssLevel&lt;$I$18,$B308&lt;$I$15),
IF(OR(AtMax,TooLow), 0, PrimeMulti * (AssMulti)))</f>
        <v>0</v>
      </c>
    </row>
    <row r="309" ht="22.5" hidden="1" customHeight="1" outlineLevel="1">
      <c r="A309" s="1097"/>
      <c r="B309" s="1109">
        <v>282.0</v>
      </c>
      <c r="C309" s="1110">
        <f t="shared" si="14"/>
        <v>40500</v>
      </c>
      <c r="D309" s="1110">
        <f t="shared" si="2"/>
        <v>28350</v>
      </c>
      <c r="E309" s="1111">
        <f t="shared" si="11"/>
        <v>1625125</v>
      </c>
      <c r="F309" s="1112">
        <f t="shared" si="3"/>
        <v>32.64</v>
      </c>
      <c r="G309" s="1112">
        <f t="shared" si="4"/>
        <v>32.64</v>
      </c>
      <c r="H309" s="1112">
        <f t="shared" si="5"/>
        <v>2.885</v>
      </c>
      <c r="I309" s="1112">
        <f t="shared" si="6"/>
        <v>44.794</v>
      </c>
      <c r="J309" s="1113">
        <f t="shared" si="7"/>
        <v>1</v>
      </c>
      <c r="K309" s="1107">
        <f t="shared" si="8"/>
        <v>1.3159</v>
      </c>
      <c r="L309" s="1107">
        <f t="shared" si="9"/>
        <v>1.1885</v>
      </c>
      <c r="M309" s="1107">
        <f t="shared" si="10"/>
        <v>5.055</v>
      </c>
      <c r="N309" s="1106">
        <f t="array" ref="N309">LET(
totalShards, F$10,
AtMax, OR(F$3&lt;$B309,totalShards&lt;$E309),
primeShards, $E309,
PrimeMulti, F309,
AssPer, F$4,
AssLevel, IF(AtMax,1,index(optimizer[Level],XMATCH(totalShards-primeShards,optimizer[Total discounted cost],-1,2))),
AssMulti,IF(F$16="",1,index(optimizer[cannonAssist],XMATCH(AssLevel,optimizer[Level],-1,2))),
TooLow, OR(AssLevel&lt;$F$18,$B309&lt;$F$15),
IF(OR(AtMax,TooLow), 0, PrimeMulti * (AssMulti)))</f>
        <v>0</v>
      </c>
      <c r="O309" s="1112">
        <f t="array" ref="O309">LET(
totalShards, G$10,
AtMax, OR(G$3&lt;$B309,totalShards&lt;$E309),
primeShards, $E309,
PrimeMulti, G309,
AssPer, G$4,
AssLevel, IF(AtMax,1,index(optimizer[Level],XMATCH(totalShards-primeShards,optimizer[Total discounted cost],-1,2))),
AssMulti,IF(G$16="",1,index(optimizer[armorAssist],XMATCH(AssLevel,optimizer[Level],-1,2))),
TooLow, OR(AssLevel&lt;$G$18,$B309&lt;$G$15),
IF(OR(AtMax,TooLow), 0, PrimeMulti * (AssMulti)))</f>
        <v>0</v>
      </c>
      <c r="P309" s="1112">
        <f t="array" ref="P309">LET(
totalShards, H$10,
AtMax, OR(H$3&lt;$B309,totalShards&lt;$E309),
primeShards, $E309,
PrimeMulti, H309,
AssPer, H$4,
AssLevel, IF(AtMax,1,index(optimizer[Level],XMATCH(totalShards-primeShards,optimizer[Total discounted cost],-1,2))),
AssMulti,IF(H$16="",1,index(optimizer[generatorAssist],XMATCH(AssLevel,optimizer[Level],-1,2))),
TooLow, OR(AssLevel&lt;$H$18,$B309&lt;$H$15),
IF(OR(AtMax,TooLow), 0, PrimeMulti * (AssMulti)))</f>
        <v>0</v>
      </c>
      <c r="Q309" s="1114">
        <f t="array" ref="Q309">LET(
totalShards, I$10,
AtMax, OR(I$3&lt;$B309,totalShards&lt;$E309),
primeShards, $E309,
PrimeMulti, I309,
AssPer, I$4,
AssLevel, IF(AtMax,1,index(optimizer[Level],XMATCH(totalShards-primeShards,optimizer[Total discounted cost],-1,2))),
AssMulti,IF(I$16="",1,index(optimizer[coreAssist],XMATCH(AssLevel,optimizer[Level],-1,2))),
TooLow, OR(AssLevel&lt;$I$18,$B309&lt;$I$15),
IF(OR(AtMax,TooLow), 0, PrimeMulti * (AssMulti)))</f>
        <v>0</v>
      </c>
    </row>
    <row r="310" ht="22.5" hidden="1" customHeight="1" outlineLevel="1">
      <c r="A310" s="1097"/>
      <c r="B310" s="1103">
        <v>283.0</v>
      </c>
      <c r="C310" s="1104">
        <f t="shared" si="14"/>
        <v>41000</v>
      </c>
      <c r="D310" s="1104">
        <f t="shared" si="2"/>
        <v>28700</v>
      </c>
      <c r="E310" s="1105">
        <f t="shared" si="11"/>
        <v>1653825</v>
      </c>
      <c r="F310" s="1106">
        <f t="shared" si="3"/>
        <v>32.84</v>
      </c>
      <c r="G310" s="1106">
        <f t="shared" si="4"/>
        <v>32.84</v>
      </c>
      <c r="H310" s="1106">
        <f t="shared" si="5"/>
        <v>2.895</v>
      </c>
      <c r="I310" s="1106">
        <f t="shared" si="6"/>
        <v>45.064</v>
      </c>
      <c r="J310" s="1107">
        <f t="shared" si="7"/>
        <v>1</v>
      </c>
      <c r="K310" s="1107">
        <f t="shared" si="8"/>
        <v>1.3179</v>
      </c>
      <c r="L310" s="1107">
        <f t="shared" si="9"/>
        <v>1.1895</v>
      </c>
      <c r="M310" s="1107">
        <f t="shared" si="10"/>
        <v>5.08</v>
      </c>
      <c r="N310" s="1106">
        <f t="array" ref="N310">LET(
totalShards, F$10,
AtMax, OR(F$3&lt;$B310,totalShards&lt;$E310),
primeShards, $E310,
PrimeMulti, F310,
AssPer, F$4,
AssLevel, IF(AtMax,1,index(optimizer[Level],XMATCH(totalShards-primeShards,optimizer[Total discounted cost],-1,2))),
AssMulti,IF(F$16="",1,index(optimizer[cannonAssist],XMATCH(AssLevel,optimizer[Level],-1,2))),
TooLow, OR(AssLevel&lt;$F$18,$B310&lt;$F$15),
IF(OR(AtMax,TooLow), 0, PrimeMulti * (AssMulti)))</f>
        <v>0</v>
      </c>
      <c r="O310" s="1106">
        <f t="array" ref="O310">LET(
totalShards, G$10,
AtMax, OR(G$3&lt;$B310,totalShards&lt;$E310),
primeShards, $E310,
PrimeMulti, G310,
AssPer, G$4,
AssLevel, IF(AtMax,1,index(optimizer[Level],XMATCH(totalShards-primeShards,optimizer[Total discounted cost],-1,2))),
AssMulti,IF(G$16="",1,index(optimizer[armorAssist],XMATCH(AssLevel,optimizer[Level],-1,2))),
TooLow, OR(AssLevel&lt;$G$18,$B310&lt;$G$15),
IF(OR(AtMax,TooLow), 0, PrimeMulti * (AssMulti)))</f>
        <v>0</v>
      </c>
      <c r="P310" s="1106">
        <f t="array" ref="P310">LET(
totalShards, H$10,
AtMax, OR(H$3&lt;$B310,totalShards&lt;$E310),
primeShards, $E310,
PrimeMulti, H310,
AssPer, H$4,
AssLevel, IF(AtMax,1,index(optimizer[Level],XMATCH(totalShards-primeShards,optimizer[Total discounted cost],-1,2))),
AssMulti,IF(H$16="",1,index(optimizer[generatorAssist],XMATCH(AssLevel,optimizer[Level],-1,2))),
TooLow, OR(AssLevel&lt;$H$18,$B310&lt;$H$15),
IF(OR(AtMax,TooLow), 0, PrimeMulti * (AssMulti)))</f>
        <v>0</v>
      </c>
      <c r="Q310" s="1108">
        <f t="array" ref="Q310">LET(
totalShards, I$10,
AtMax, OR(I$3&lt;$B310,totalShards&lt;$E310),
primeShards, $E310,
PrimeMulti, I310,
AssPer, I$4,
AssLevel, IF(AtMax,1,index(optimizer[Level],XMATCH(totalShards-primeShards,optimizer[Total discounted cost],-1,2))),
AssMulti,IF(I$16="",1,index(optimizer[coreAssist],XMATCH(AssLevel,optimizer[Level],-1,2))),
TooLow, OR(AssLevel&lt;$I$18,$B310&lt;$I$15),
IF(OR(AtMax,TooLow), 0, PrimeMulti * (AssMulti)))</f>
        <v>0</v>
      </c>
    </row>
    <row r="311" ht="22.5" hidden="1" customHeight="1" outlineLevel="1">
      <c r="A311" s="1097"/>
      <c r="B311" s="1109">
        <v>284.0</v>
      </c>
      <c r="C311" s="1110">
        <f t="shared" si="14"/>
        <v>41500</v>
      </c>
      <c r="D311" s="1110">
        <f t="shared" si="2"/>
        <v>29050</v>
      </c>
      <c r="E311" s="1111">
        <f t="shared" si="11"/>
        <v>1682875</v>
      </c>
      <c r="F311" s="1112">
        <f t="shared" si="3"/>
        <v>33.04</v>
      </c>
      <c r="G311" s="1112">
        <f t="shared" si="4"/>
        <v>33.04</v>
      </c>
      <c r="H311" s="1112">
        <f t="shared" si="5"/>
        <v>2.905</v>
      </c>
      <c r="I311" s="1112">
        <f t="shared" si="6"/>
        <v>45.334</v>
      </c>
      <c r="J311" s="1113">
        <f t="shared" si="7"/>
        <v>1</v>
      </c>
      <c r="K311" s="1107">
        <f t="shared" si="8"/>
        <v>1.3199</v>
      </c>
      <c r="L311" s="1107">
        <f t="shared" si="9"/>
        <v>1.1905</v>
      </c>
      <c r="M311" s="1107">
        <f t="shared" si="10"/>
        <v>5.105</v>
      </c>
      <c r="N311" s="1106">
        <f t="array" ref="N311">LET(
totalShards, F$10,
AtMax, OR(F$3&lt;$B311,totalShards&lt;$E311),
primeShards, $E311,
PrimeMulti, F311,
AssPer, F$4,
AssLevel, IF(AtMax,1,index(optimizer[Level],XMATCH(totalShards-primeShards,optimizer[Total discounted cost],-1,2))),
AssMulti,IF(F$16="",1,index(optimizer[cannonAssist],XMATCH(AssLevel,optimizer[Level],-1,2))),
TooLow, OR(AssLevel&lt;$F$18,$B311&lt;$F$15),
IF(OR(AtMax,TooLow), 0, PrimeMulti * (AssMulti)))</f>
        <v>0</v>
      </c>
      <c r="O311" s="1112">
        <f t="array" ref="O311">LET(
totalShards, G$10,
AtMax, OR(G$3&lt;$B311,totalShards&lt;$E311),
primeShards, $E311,
PrimeMulti, G311,
AssPer, G$4,
AssLevel, IF(AtMax,1,index(optimizer[Level],XMATCH(totalShards-primeShards,optimizer[Total discounted cost],-1,2))),
AssMulti,IF(G$16="",1,index(optimizer[armorAssist],XMATCH(AssLevel,optimizer[Level],-1,2))),
TooLow, OR(AssLevel&lt;$G$18,$B311&lt;$G$15),
IF(OR(AtMax,TooLow), 0, PrimeMulti * (AssMulti)))</f>
        <v>0</v>
      </c>
      <c r="P311" s="1112">
        <f t="array" ref="P311">LET(
totalShards, H$10,
AtMax, OR(H$3&lt;$B311,totalShards&lt;$E311),
primeShards, $E311,
PrimeMulti, H311,
AssPer, H$4,
AssLevel, IF(AtMax,1,index(optimizer[Level],XMATCH(totalShards-primeShards,optimizer[Total discounted cost],-1,2))),
AssMulti,IF(H$16="",1,index(optimizer[generatorAssist],XMATCH(AssLevel,optimizer[Level],-1,2))),
TooLow, OR(AssLevel&lt;$H$18,$B311&lt;$H$15),
IF(OR(AtMax,TooLow), 0, PrimeMulti * (AssMulti)))</f>
        <v>0</v>
      </c>
      <c r="Q311" s="1114">
        <f t="array" ref="Q311">LET(
totalShards, I$10,
AtMax, OR(I$3&lt;$B311,totalShards&lt;$E311),
primeShards, $E311,
PrimeMulti, I311,
AssPer, I$4,
AssLevel, IF(AtMax,1,index(optimizer[Level],XMATCH(totalShards-primeShards,optimizer[Total discounted cost],-1,2))),
AssMulti,IF(I$16="",1,index(optimizer[coreAssist],XMATCH(AssLevel,optimizer[Level],-1,2))),
TooLow, OR(AssLevel&lt;$I$18,$B311&lt;$I$15),
IF(OR(AtMax,TooLow), 0, PrimeMulti * (AssMulti)))</f>
        <v>0</v>
      </c>
    </row>
    <row r="312" ht="22.5" hidden="1" customHeight="1" outlineLevel="1">
      <c r="A312" s="1097"/>
      <c r="B312" s="1103">
        <v>285.0</v>
      </c>
      <c r="C312" s="1104">
        <f t="shared" si="14"/>
        <v>42000</v>
      </c>
      <c r="D312" s="1104">
        <f t="shared" si="2"/>
        <v>29400</v>
      </c>
      <c r="E312" s="1105">
        <f t="shared" si="11"/>
        <v>1712275</v>
      </c>
      <c r="F312" s="1106">
        <f t="shared" si="3"/>
        <v>33.24</v>
      </c>
      <c r="G312" s="1106">
        <f t="shared" si="4"/>
        <v>33.24</v>
      </c>
      <c r="H312" s="1106">
        <f t="shared" si="5"/>
        <v>2.915</v>
      </c>
      <c r="I312" s="1106">
        <f t="shared" si="6"/>
        <v>45.604</v>
      </c>
      <c r="J312" s="1107">
        <f t="shared" si="7"/>
        <v>1</v>
      </c>
      <c r="K312" s="1107">
        <f t="shared" si="8"/>
        <v>1.3219</v>
      </c>
      <c r="L312" s="1107">
        <f t="shared" si="9"/>
        <v>1.1915</v>
      </c>
      <c r="M312" s="1107">
        <f t="shared" si="10"/>
        <v>5.13</v>
      </c>
      <c r="N312" s="1106">
        <f t="array" ref="N312">LET(
totalShards, F$10,
AtMax, OR(F$3&lt;$B312,totalShards&lt;$E312),
primeShards, $E312,
PrimeMulti, F312,
AssPer, F$4,
AssLevel, IF(AtMax,1,index(optimizer[Level],XMATCH(totalShards-primeShards,optimizer[Total discounted cost],-1,2))),
AssMulti,IF(F$16="",1,index(optimizer[cannonAssist],XMATCH(AssLevel,optimizer[Level],-1,2))),
TooLow, OR(AssLevel&lt;$F$18,$B312&lt;$F$15),
IF(OR(AtMax,TooLow), 0, PrimeMulti * (AssMulti)))</f>
        <v>0</v>
      </c>
      <c r="O312" s="1106">
        <f t="array" ref="O312">LET(
totalShards, G$10,
AtMax, OR(G$3&lt;$B312,totalShards&lt;$E312),
primeShards, $E312,
PrimeMulti, G312,
AssPer, G$4,
AssLevel, IF(AtMax,1,index(optimizer[Level],XMATCH(totalShards-primeShards,optimizer[Total discounted cost],-1,2))),
AssMulti,IF(G$16="",1,index(optimizer[armorAssist],XMATCH(AssLevel,optimizer[Level],-1,2))),
TooLow, OR(AssLevel&lt;$G$18,$B312&lt;$G$15),
IF(OR(AtMax,TooLow), 0, PrimeMulti * (AssMulti)))</f>
        <v>0</v>
      </c>
      <c r="P312" s="1106">
        <f t="array" ref="P312">LET(
totalShards, H$10,
AtMax, OR(H$3&lt;$B312,totalShards&lt;$E312),
primeShards, $E312,
PrimeMulti, H312,
AssPer, H$4,
AssLevel, IF(AtMax,1,index(optimizer[Level],XMATCH(totalShards-primeShards,optimizer[Total discounted cost],-1,2))),
AssMulti,IF(H$16="",1,index(optimizer[generatorAssist],XMATCH(AssLevel,optimizer[Level],-1,2))),
TooLow, OR(AssLevel&lt;$H$18,$B312&lt;$H$15),
IF(OR(AtMax,TooLow), 0, PrimeMulti * (AssMulti)))</f>
        <v>0</v>
      </c>
      <c r="Q312" s="1108">
        <f t="array" ref="Q312">LET(
totalShards, I$10,
AtMax, OR(I$3&lt;$B312,totalShards&lt;$E312),
primeShards, $E312,
PrimeMulti, I312,
AssPer, I$4,
AssLevel, IF(AtMax,1,index(optimizer[Level],XMATCH(totalShards-primeShards,optimizer[Total discounted cost],-1,2))),
AssMulti,IF(I$16="",1,index(optimizer[coreAssist],XMATCH(AssLevel,optimizer[Level],-1,2))),
TooLow, OR(AssLevel&lt;$I$18,$B312&lt;$I$15),
IF(OR(AtMax,TooLow), 0, PrimeMulti * (AssMulti)))</f>
        <v>0</v>
      </c>
    </row>
    <row r="313" ht="22.5" hidden="1" customHeight="1" outlineLevel="1">
      <c r="A313" s="1097"/>
      <c r="B313" s="1109">
        <v>286.0</v>
      </c>
      <c r="C313" s="1110">
        <f t="shared" si="14"/>
        <v>42500</v>
      </c>
      <c r="D313" s="1110">
        <f t="shared" si="2"/>
        <v>29750</v>
      </c>
      <c r="E313" s="1111">
        <f t="shared" si="11"/>
        <v>1742025</v>
      </c>
      <c r="F313" s="1112">
        <f t="shared" si="3"/>
        <v>33.44</v>
      </c>
      <c r="G313" s="1112">
        <f t="shared" si="4"/>
        <v>33.44</v>
      </c>
      <c r="H313" s="1112">
        <f t="shared" si="5"/>
        <v>2.925</v>
      </c>
      <c r="I313" s="1112">
        <f t="shared" si="6"/>
        <v>45.874</v>
      </c>
      <c r="J313" s="1113">
        <f t="shared" si="7"/>
        <v>1</v>
      </c>
      <c r="K313" s="1107">
        <f t="shared" si="8"/>
        <v>1.3239</v>
      </c>
      <c r="L313" s="1107">
        <f t="shared" si="9"/>
        <v>1.1925</v>
      </c>
      <c r="M313" s="1107">
        <f t="shared" si="10"/>
        <v>5.155</v>
      </c>
      <c r="N313" s="1106">
        <f t="array" ref="N313">LET(
totalShards, F$10,
AtMax, OR(F$3&lt;$B313,totalShards&lt;$E313),
primeShards, $E313,
PrimeMulti, F313,
AssPer, F$4,
AssLevel, IF(AtMax,1,index(optimizer[Level],XMATCH(totalShards-primeShards,optimizer[Total discounted cost],-1,2))),
AssMulti,IF(F$16="",1,index(optimizer[cannonAssist],XMATCH(AssLevel,optimizer[Level],-1,2))),
TooLow, OR(AssLevel&lt;$F$18,$B313&lt;$F$15),
IF(OR(AtMax,TooLow), 0, PrimeMulti * (AssMulti)))</f>
        <v>0</v>
      </c>
      <c r="O313" s="1112">
        <f t="array" ref="O313">LET(
totalShards, G$10,
AtMax, OR(G$3&lt;$B313,totalShards&lt;$E313),
primeShards, $E313,
PrimeMulti, G313,
AssPer, G$4,
AssLevel, IF(AtMax,1,index(optimizer[Level],XMATCH(totalShards-primeShards,optimizer[Total discounted cost],-1,2))),
AssMulti,IF(G$16="",1,index(optimizer[armorAssist],XMATCH(AssLevel,optimizer[Level],-1,2))),
TooLow, OR(AssLevel&lt;$G$18,$B313&lt;$G$15),
IF(OR(AtMax,TooLow), 0, PrimeMulti * (AssMulti)))</f>
        <v>0</v>
      </c>
      <c r="P313" s="1112">
        <f t="array" ref="P313">LET(
totalShards, H$10,
AtMax, OR(H$3&lt;$B313,totalShards&lt;$E313),
primeShards, $E313,
PrimeMulti, H313,
AssPer, H$4,
AssLevel, IF(AtMax,1,index(optimizer[Level],XMATCH(totalShards-primeShards,optimizer[Total discounted cost],-1,2))),
AssMulti,IF(H$16="",1,index(optimizer[generatorAssist],XMATCH(AssLevel,optimizer[Level],-1,2))),
TooLow, OR(AssLevel&lt;$H$18,$B313&lt;$H$15),
IF(OR(AtMax,TooLow), 0, PrimeMulti * (AssMulti)))</f>
        <v>0</v>
      </c>
      <c r="Q313" s="1114">
        <f t="array" ref="Q313">LET(
totalShards, I$10,
AtMax, OR(I$3&lt;$B313,totalShards&lt;$E313),
primeShards, $E313,
PrimeMulti, I313,
AssPer, I$4,
AssLevel, IF(AtMax,1,index(optimizer[Level],XMATCH(totalShards-primeShards,optimizer[Total discounted cost],-1,2))),
AssMulti,IF(I$16="",1,index(optimizer[coreAssist],XMATCH(AssLevel,optimizer[Level],-1,2))),
TooLow, OR(AssLevel&lt;$I$18,$B313&lt;$I$15),
IF(OR(AtMax,TooLow), 0, PrimeMulti * (AssMulti)))</f>
        <v>0</v>
      </c>
    </row>
    <row r="314" ht="22.5" hidden="1" customHeight="1" outlineLevel="1">
      <c r="A314" s="1097"/>
      <c r="B314" s="1103">
        <v>287.0</v>
      </c>
      <c r="C314" s="1104">
        <f t="shared" si="14"/>
        <v>43000</v>
      </c>
      <c r="D314" s="1104">
        <f t="shared" si="2"/>
        <v>30100</v>
      </c>
      <c r="E314" s="1105">
        <f t="shared" si="11"/>
        <v>1772125</v>
      </c>
      <c r="F314" s="1106">
        <f t="shared" si="3"/>
        <v>33.64</v>
      </c>
      <c r="G314" s="1106">
        <f t="shared" si="4"/>
        <v>33.64</v>
      </c>
      <c r="H314" s="1106">
        <f t="shared" si="5"/>
        <v>2.935</v>
      </c>
      <c r="I314" s="1106">
        <f t="shared" si="6"/>
        <v>46.144</v>
      </c>
      <c r="J314" s="1107">
        <f t="shared" si="7"/>
        <v>1</v>
      </c>
      <c r="K314" s="1107">
        <f t="shared" si="8"/>
        <v>1.3259</v>
      </c>
      <c r="L314" s="1107">
        <f t="shared" si="9"/>
        <v>1.1935</v>
      </c>
      <c r="M314" s="1107">
        <f t="shared" si="10"/>
        <v>5.18</v>
      </c>
      <c r="N314" s="1106">
        <f t="array" ref="N314">LET(
totalShards, F$10,
AtMax, OR(F$3&lt;$B314,totalShards&lt;$E314),
primeShards, $E314,
PrimeMulti, F314,
AssPer, F$4,
AssLevel, IF(AtMax,1,index(optimizer[Level],XMATCH(totalShards-primeShards,optimizer[Total discounted cost],-1,2))),
AssMulti,IF(F$16="",1,index(optimizer[cannonAssist],XMATCH(AssLevel,optimizer[Level],-1,2))),
TooLow, OR(AssLevel&lt;$F$18,$B314&lt;$F$15),
IF(OR(AtMax,TooLow), 0, PrimeMulti * (AssMulti)))</f>
        <v>0</v>
      </c>
      <c r="O314" s="1106">
        <f t="array" ref="O314">LET(
totalShards, G$10,
AtMax, OR(G$3&lt;$B314,totalShards&lt;$E314),
primeShards, $E314,
PrimeMulti, G314,
AssPer, G$4,
AssLevel, IF(AtMax,1,index(optimizer[Level],XMATCH(totalShards-primeShards,optimizer[Total discounted cost],-1,2))),
AssMulti,IF(G$16="",1,index(optimizer[armorAssist],XMATCH(AssLevel,optimizer[Level],-1,2))),
TooLow, OR(AssLevel&lt;$G$18,$B314&lt;$G$15),
IF(OR(AtMax,TooLow), 0, PrimeMulti * (AssMulti)))</f>
        <v>0</v>
      </c>
      <c r="P314" s="1106">
        <f t="array" ref="P314">LET(
totalShards, H$10,
AtMax, OR(H$3&lt;$B314,totalShards&lt;$E314),
primeShards, $E314,
PrimeMulti, H314,
AssPer, H$4,
AssLevel, IF(AtMax,1,index(optimizer[Level],XMATCH(totalShards-primeShards,optimizer[Total discounted cost],-1,2))),
AssMulti,IF(H$16="",1,index(optimizer[generatorAssist],XMATCH(AssLevel,optimizer[Level],-1,2))),
TooLow, OR(AssLevel&lt;$H$18,$B314&lt;$H$15),
IF(OR(AtMax,TooLow), 0, PrimeMulti * (AssMulti)))</f>
        <v>0</v>
      </c>
      <c r="Q314" s="1108">
        <f t="array" ref="Q314">LET(
totalShards, I$10,
AtMax, OR(I$3&lt;$B314,totalShards&lt;$E314),
primeShards, $E314,
PrimeMulti, I314,
AssPer, I$4,
AssLevel, IF(AtMax,1,index(optimizer[Level],XMATCH(totalShards-primeShards,optimizer[Total discounted cost],-1,2))),
AssMulti,IF(I$16="",1,index(optimizer[coreAssist],XMATCH(AssLevel,optimizer[Level],-1,2))),
TooLow, OR(AssLevel&lt;$I$18,$B314&lt;$I$15),
IF(OR(AtMax,TooLow), 0, PrimeMulti * (AssMulti)))</f>
        <v>0</v>
      </c>
    </row>
    <row r="315" ht="22.5" hidden="1" customHeight="1" outlineLevel="1">
      <c r="A315" s="1097"/>
      <c r="B315" s="1109">
        <v>288.0</v>
      </c>
      <c r="C315" s="1110">
        <f t="shared" si="14"/>
        <v>43500</v>
      </c>
      <c r="D315" s="1110">
        <f t="shared" si="2"/>
        <v>30450</v>
      </c>
      <c r="E315" s="1111">
        <f t="shared" si="11"/>
        <v>1802575</v>
      </c>
      <c r="F315" s="1112">
        <f t="shared" si="3"/>
        <v>33.84</v>
      </c>
      <c r="G315" s="1112">
        <f t="shared" si="4"/>
        <v>33.84</v>
      </c>
      <c r="H315" s="1112">
        <f t="shared" si="5"/>
        <v>2.945</v>
      </c>
      <c r="I315" s="1112">
        <f t="shared" si="6"/>
        <v>46.414</v>
      </c>
      <c r="J315" s="1113">
        <f t="shared" si="7"/>
        <v>1</v>
      </c>
      <c r="K315" s="1107">
        <f t="shared" si="8"/>
        <v>1.3279</v>
      </c>
      <c r="L315" s="1107">
        <f t="shared" si="9"/>
        <v>1.1945</v>
      </c>
      <c r="M315" s="1107">
        <f t="shared" si="10"/>
        <v>5.205</v>
      </c>
      <c r="N315" s="1106">
        <f t="array" ref="N315">LET(
totalShards, F$10,
AtMax, OR(F$3&lt;$B315,totalShards&lt;$E315),
primeShards, $E315,
PrimeMulti, F315,
AssPer, F$4,
AssLevel, IF(AtMax,1,index(optimizer[Level],XMATCH(totalShards-primeShards,optimizer[Total discounted cost],-1,2))),
AssMulti,IF(F$16="",1,index(optimizer[cannonAssist],XMATCH(AssLevel,optimizer[Level],-1,2))),
TooLow, OR(AssLevel&lt;$F$18,$B315&lt;$F$15),
IF(OR(AtMax,TooLow), 0, PrimeMulti * (AssMulti)))</f>
        <v>0</v>
      </c>
      <c r="O315" s="1112">
        <f t="array" ref="O315">LET(
totalShards, G$10,
AtMax, OR(G$3&lt;$B315,totalShards&lt;$E315),
primeShards, $E315,
PrimeMulti, G315,
AssPer, G$4,
AssLevel, IF(AtMax,1,index(optimizer[Level],XMATCH(totalShards-primeShards,optimizer[Total discounted cost],-1,2))),
AssMulti,IF(G$16="",1,index(optimizer[armorAssist],XMATCH(AssLevel,optimizer[Level],-1,2))),
TooLow, OR(AssLevel&lt;$G$18,$B315&lt;$G$15),
IF(OR(AtMax,TooLow), 0, PrimeMulti * (AssMulti)))</f>
        <v>0</v>
      </c>
      <c r="P315" s="1112">
        <f t="array" ref="P315">LET(
totalShards, H$10,
AtMax, OR(H$3&lt;$B315,totalShards&lt;$E315),
primeShards, $E315,
PrimeMulti, H315,
AssPer, H$4,
AssLevel, IF(AtMax,1,index(optimizer[Level],XMATCH(totalShards-primeShards,optimizer[Total discounted cost],-1,2))),
AssMulti,IF(H$16="",1,index(optimizer[generatorAssist],XMATCH(AssLevel,optimizer[Level],-1,2))),
TooLow, OR(AssLevel&lt;$H$18,$B315&lt;$H$15),
IF(OR(AtMax,TooLow), 0, PrimeMulti * (AssMulti)))</f>
        <v>0</v>
      </c>
      <c r="Q315" s="1114">
        <f t="array" ref="Q315">LET(
totalShards, I$10,
AtMax, OR(I$3&lt;$B315,totalShards&lt;$E315),
primeShards, $E315,
PrimeMulti, I315,
AssPer, I$4,
AssLevel, IF(AtMax,1,index(optimizer[Level],XMATCH(totalShards-primeShards,optimizer[Total discounted cost],-1,2))),
AssMulti,IF(I$16="",1,index(optimizer[coreAssist],XMATCH(AssLevel,optimizer[Level],-1,2))),
TooLow, OR(AssLevel&lt;$I$18,$B315&lt;$I$15),
IF(OR(AtMax,TooLow), 0, PrimeMulti * (AssMulti)))</f>
        <v>0</v>
      </c>
    </row>
    <row r="316" ht="22.5" hidden="1" customHeight="1" outlineLevel="1">
      <c r="A316" s="1097"/>
      <c r="B316" s="1103">
        <v>289.0</v>
      </c>
      <c r="C316" s="1104">
        <f t="shared" si="14"/>
        <v>44000</v>
      </c>
      <c r="D316" s="1104">
        <f t="shared" si="2"/>
        <v>30800</v>
      </c>
      <c r="E316" s="1105">
        <f t="shared" si="11"/>
        <v>1833375</v>
      </c>
      <c r="F316" s="1106">
        <f t="shared" si="3"/>
        <v>34.04</v>
      </c>
      <c r="G316" s="1106">
        <f t="shared" si="4"/>
        <v>34.04</v>
      </c>
      <c r="H316" s="1106">
        <f t="shared" si="5"/>
        <v>2.955</v>
      </c>
      <c r="I316" s="1106">
        <f t="shared" si="6"/>
        <v>46.684</v>
      </c>
      <c r="J316" s="1107">
        <f t="shared" si="7"/>
        <v>1</v>
      </c>
      <c r="K316" s="1107">
        <f t="shared" si="8"/>
        <v>1.3299</v>
      </c>
      <c r="L316" s="1107">
        <f t="shared" si="9"/>
        <v>1.1955</v>
      </c>
      <c r="M316" s="1107">
        <f t="shared" si="10"/>
        <v>5.23</v>
      </c>
      <c r="N316" s="1106">
        <f t="array" ref="N316">LET(
totalShards, F$10,
AtMax, OR(F$3&lt;$B316,totalShards&lt;$E316),
primeShards, $E316,
PrimeMulti, F316,
AssPer, F$4,
AssLevel, IF(AtMax,1,index(optimizer[Level],XMATCH(totalShards-primeShards,optimizer[Total discounted cost],-1,2))),
AssMulti,IF(F$16="",1,index(optimizer[cannonAssist],XMATCH(AssLevel,optimizer[Level],-1,2))),
TooLow, OR(AssLevel&lt;$F$18,$B316&lt;$F$15),
IF(OR(AtMax,TooLow), 0, PrimeMulti * (AssMulti)))</f>
        <v>0</v>
      </c>
      <c r="O316" s="1106">
        <f t="array" ref="O316">LET(
totalShards, G$10,
AtMax, OR(G$3&lt;$B316,totalShards&lt;$E316),
primeShards, $E316,
PrimeMulti, G316,
AssPer, G$4,
AssLevel, IF(AtMax,1,index(optimizer[Level],XMATCH(totalShards-primeShards,optimizer[Total discounted cost],-1,2))),
AssMulti,IF(G$16="",1,index(optimizer[armorAssist],XMATCH(AssLevel,optimizer[Level],-1,2))),
TooLow, OR(AssLevel&lt;$G$18,$B316&lt;$G$15),
IF(OR(AtMax,TooLow), 0, PrimeMulti * (AssMulti)))</f>
        <v>0</v>
      </c>
      <c r="P316" s="1106">
        <f t="array" ref="P316">LET(
totalShards, H$10,
AtMax, OR(H$3&lt;$B316,totalShards&lt;$E316),
primeShards, $E316,
PrimeMulti, H316,
AssPer, H$4,
AssLevel, IF(AtMax,1,index(optimizer[Level],XMATCH(totalShards-primeShards,optimizer[Total discounted cost],-1,2))),
AssMulti,IF(H$16="",1,index(optimizer[generatorAssist],XMATCH(AssLevel,optimizer[Level],-1,2))),
TooLow, OR(AssLevel&lt;$H$18,$B316&lt;$H$15),
IF(OR(AtMax,TooLow), 0, PrimeMulti * (AssMulti)))</f>
        <v>0</v>
      </c>
      <c r="Q316" s="1108">
        <f t="array" ref="Q316">LET(
totalShards, I$10,
AtMax, OR(I$3&lt;$B316,totalShards&lt;$E316),
primeShards, $E316,
PrimeMulti, I316,
AssPer, I$4,
AssLevel, IF(AtMax,1,index(optimizer[Level],XMATCH(totalShards-primeShards,optimizer[Total discounted cost],-1,2))),
AssMulti,IF(I$16="",1,index(optimizer[coreAssist],XMATCH(AssLevel,optimizer[Level],-1,2))),
TooLow, OR(AssLevel&lt;$I$18,$B316&lt;$I$15),
IF(OR(AtMax,TooLow), 0, PrimeMulti * (AssMulti)))</f>
        <v>0</v>
      </c>
    </row>
    <row r="317" ht="22.5" hidden="1" customHeight="1" outlineLevel="1">
      <c r="A317" s="1097"/>
      <c r="B317" s="1109">
        <v>290.0</v>
      </c>
      <c r="C317" s="1110">
        <f t="shared" si="14"/>
        <v>44500</v>
      </c>
      <c r="D317" s="1110">
        <f t="shared" si="2"/>
        <v>31150</v>
      </c>
      <c r="E317" s="1111">
        <f t="shared" si="11"/>
        <v>1864525</v>
      </c>
      <c r="F317" s="1112">
        <f t="shared" si="3"/>
        <v>34.24</v>
      </c>
      <c r="G317" s="1112">
        <f t="shared" si="4"/>
        <v>34.24</v>
      </c>
      <c r="H317" s="1112">
        <f t="shared" si="5"/>
        <v>2.965</v>
      </c>
      <c r="I317" s="1112">
        <f t="shared" si="6"/>
        <v>46.954</v>
      </c>
      <c r="J317" s="1113">
        <f t="shared" si="7"/>
        <v>1</v>
      </c>
      <c r="K317" s="1107">
        <f t="shared" si="8"/>
        <v>1.3319</v>
      </c>
      <c r="L317" s="1107">
        <f t="shared" si="9"/>
        <v>1.1965</v>
      </c>
      <c r="M317" s="1107">
        <f t="shared" si="10"/>
        <v>5.255</v>
      </c>
      <c r="N317" s="1106">
        <f t="array" ref="N317">LET(
totalShards, F$10,
AtMax, OR(F$3&lt;$B317,totalShards&lt;$E317),
primeShards, $E317,
PrimeMulti, F317,
AssPer, F$4,
AssLevel, IF(AtMax,1,index(optimizer[Level],XMATCH(totalShards-primeShards,optimizer[Total discounted cost],-1,2))),
AssMulti,IF(F$16="",1,index(optimizer[cannonAssist],XMATCH(AssLevel,optimizer[Level],-1,2))),
TooLow, OR(AssLevel&lt;$F$18,$B317&lt;$F$15),
IF(OR(AtMax,TooLow), 0, PrimeMulti * (AssMulti)))</f>
        <v>0</v>
      </c>
      <c r="O317" s="1112">
        <f t="array" ref="O317">LET(
totalShards, G$10,
AtMax, OR(G$3&lt;$B317,totalShards&lt;$E317),
primeShards, $E317,
PrimeMulti, G317,
AssPer, G$4,
AssLevel, IF(AtMax,1,index(optimizer[Level],XMATCH(totalShards-primeShards,optimizer[Total discounted cost],-1,2))),
AssMulti,IF(G$16="",1,index(optimizer[armorAssist],XMATCH(AssLevel,optimizer[Level],-1,2))),
TooLow, OR(AssLevel&lt;$G$18,$B317&lt;$G$15),
IF(OR(AtMax,TooLow), 0, PrimeMulti * (AssMulti)))</f>
        <v>0</v>
      </c>
      <c r="P317" s="1112">
        <f t="array" ref="P317">LET(
totalShards, H$10,
AtMax, OR(H$3&lt;$B317,totalShards&lt;$E317),
primeShards, $E317,
PrimeMulti, H317,
AssPer, H$4,
AssLevel, IF(AtMax,1,index(optimizer[Level],XMATCH(totalShards-primeShards,optimizer[Total discounted cost],-1,2))),
AssMulti,IF(H$16="",1,index(optimizer[generatorAssist],XMATCH(AssLevel,optimizer[Level],-1,2))),
TooLow, OR(AssLevel&lt;$H$18,$B317&lt;$H$15),
IF(OR(AtMax,TooLow), 0, PrimeMulti * (AssMulti)))</f>
        <v>0</v>
      </c>
      <c r="Q317" s="1114">
        <f t="array" ref="Q317">LET(
totalShards, I$10,
AtMax, OR(I$3&lt;$B317,totalShards&lt;$E317),
primeShards, $E317,
PrimeMulti, I317,
AssPer, I$4,
AssLevel, IF(AtMax,1,index(optimizer[Level],XMATCH(totalShards-primeShards,optimizer[Total discounted cost],-1,2))),
AssMulti,IF(I$16="",1,index(optimizer[coreAssist],XMATCH(AssLevel,optimizer[Level],-1,2))),
TooLow, OR(AssLevel&lt;$I$18,$B317&lt;$I$15),
IF(OR(AtMax,TooLow), 0, PrimeMulti * (AssMulti)))</f>
        <v>0</v>
      </c>
    </row>
    <row r="318" ht="22.5" hidden="1" customHeight="1" outlineLevel="1">
      <c r="A318" s="1097"/>
      <c r="B318" s="1103">
        <v>291.0</v>
      </c>
      <c r="C318" s="1104">
        <f t="shared" si="14"/>
        <v>45000</v>
      </c>
      <c r="D318" s="1104">
        <f t="shared" si="2"/>
        <v>31500</v>
      </c>
      <c r="E318" s="1105">
        <f t="shared" si="11"/>
        <v>1896025</v>
      </c>
      <c r="F318" s="1106">
        <f t="shared" si="3"/>
        <v>34.44</v>
      </c>
      <c r="G318" s="1106">
        <f t="shared" si="4"/>
        <v>34.44</v>
      </c>
      <c r="H318" s="1106">
        <f t="shared" si="5"/>
        <v>2.975</v>
      </c>
      <c r="I318" s="1106">
        <f t="shared" si="6"/>
        <v>47.224</v>
      </c>
      <c r="J318" s="1107">
        <f t="shared" si="7"/>
        <v>1</v>
      </c>
      <c r="K318" s="1107">
        <f t="shared" si="8"/>
        <v>1.3339</v>
      </c>
      <c r="L318" s="1107">
        <f t="shared" si="9"/>
        <v>1.1975</v>
      </c>
      <c r="M318" s="1107">
        <f t="shared" si="10"/>
        <v>5.28</v>
      </c>
      <c r="N318" s="1106">
        <f t="array" ref="N318">LET(
totalShards, F$10,
AtMax, OR(F$3&lt;$B318,totalShards&lt;$E318),
primeShards, $E318,
PrimeMulti, F318,
AssPer, F$4,
AssLevel, IF(AtMax,1,index(optimizer[Level],XMATCH(totalShards-primeShards,optimizer[Total discounted cost],-1,2))),
AssMulti,IF(F$16="",1,index(optimizer[cannonAssist],XMATCH(AssLevel,optimizer[Level],-1,2))),
TooLow, OR(AssLevel&lt;$F$18,$B318&lt;$F$15),
IF(OR(AtMax,TooLow), 0, PrimeMulti * (AssMulti)))</f>
        <v>0</v>
      </c>
      <c r="O318" s="1106">
        <f t="array" ref="O318">LET(
totalShards, G$10,
AtMax, OR(G$3&lt;$B318,totalShards&lt;$E318),
primeShards, $E318,
PrimeMulti, G318,
AssPer, G$4,
AssLevel, IF(AtMax,1,index(optimizer[Level],XMATCH(totalShards-primeShards,optimizer[Total discounted cost],-1,2))),
AssMulti,IF(G$16="",1,index(optimizer[armorAssist],XMATCH(AssLevel,optimizer[Level],-1,2))),
TooLow, OR(AssLevel&lt;$G$18,$B318&lt;$G$15),
IF(OR(AtMax,TooLow), 0, PrimeMulti * (AssMulti)))</f>
        <v>0</v>
      </c>
      <c r="P318" s="1106">
        <f t="array" ref="P318">LET(
totalShards, H$10,
AtMax, OR(H$3&lt;$B318,totalShards&lt;$E318),
primeShards, $E318,
PrimeMulti, H318,
AssPer, H$4,
AssLevel, IF(AtMax,1,index(optimizer[Level],XMATCH(totalShards-primeShards,optimizer[Total discounted cost],-1,2))),
AssMulti,IF(H$16="",1,index(optimizer[generatorAssist],XMATCH(AssLevel,optimizer[Level],-1,2))),
TooLow, OR(AssLevel&lt;$H$18,$B318&lt;$H$15),
IF(OR(AtMax,TooLow), 0, PrimeMulti * (AssMulti)))</f>
        <v>0</v>
      </c>
      <c r="Q318" s="1108">
        <f t="array" ref="Q318">LET(
totalShards, I$10,
AtMax, OR(I$3&lt;$B318,totalShards&lt;$E318),
primeShards, $E318,
PrimeMulti, I318,
AssPer, I$4,
AssLevel, IF(AtMax,1,index(optimizer[Level],XMATCH(totalShards-primeShards,optimizer[Total discounted cost],-1,2))),
AssMulti,IF(I$16="",1,index(optimizer[coreAssist],XMATCH(AssLevel,optimizer[Level],-1,2))),
TooLow, OR(AssLevel&lt;$I$18,$B318&lt;$I$15),
IF(OR(AtMax,TooLow), 0, PrimeMulti * (AssMulti)))</f>
        <v>0</v>
      </c>
    </row>
    <row r="319" ht="22.5" hidden="1" customHeight="1" outlineLevel="1">
      <c r="A319" s="1097"/>
      <c r="B319" s="1109">
        <v>292.0</v>
      </c>
      <c r="C319" s="1110">
        <f t="shared" si="14"/>
        <v>45500</v>
      </c>
      <c r="D319" s="1110">
        <f t="shared" si="2"/>
        <v>31850</v>
      </c>
      <c r="E319" s="1111">
        <f t="shared" si="11"/>
        <v>1927875</v>
      </c>
      <c r="F319" s="1112">
        <f t="shared" si="3"/>
        <v>34.64</v>
      </c>
      <c r="G319" s="1112">
        <f t="shared" si="4"/>
        <v>34.64</v>
      </c>
      <c r="H319" s="1112">
        <f t="shared" si="5"/>
        <v>2.985</v>
      </c>
      <c r="I319" s="1112">
        <f t="shared" si="6"/>
        <v>47.494</v>
      </c>
      <c r="J319" s="1113">
        <f t="shared" si="7"/>
        <v>1</v>
      </c>
      <c r="K319" s="1107">
        <f t="shared" si="8"/>
        <v>1.3359</v>
      </c>
      <c r="L319" s="1107">
        <f t="shared" si="9"/>
        <v>1.1985</v>
      </c>
      <c r="M319" s="1107">
        <f t="shared" si="10"/>
        <v>5.305</v>
      </c>
      <c r="N319" s="1106">
        <f t="array" ref="N319">LET(
totalShards, F$10,
AtMax, OR(F$3&lt;$B319,totalShards&lt;$E319),
primeShards, $E319,
PrimeMulti, F319,
AssPer, F$4,
AssLevel, IF(AtMax,1,index(optimizer[Level],XMATCH(totalShards-primeShards,optimizer[Total discounted cost],-1,2))),
AssMulti,IF(F$16="",1,index(optimizer[cannonAssist],XMATCH(AssLevel,optimizer[Level],-1,2))),
TooLow, OR(AssLevel&lt;$F$18,$B319&lt;$F$15),
IF(OR(AtMax,TooLow), 0, PrimeMulti * (AssMulti)))</f>
        <v>0</v>
      </c>
      <c r="O319" s="1112">
        <f t="array" ref="O319">LET(
totalShards, G$10,
AtMax, OR(G$3&lt;$B319,totalShards&lt;$E319),
primeShards, $E319,
PrimeMulti, G319,
AssPer, G$4,
AssLevel, IF(AtMax,1,index(optimizer[Level],XMATCH(totalShards-primeShards,optimizer[Total discounted cost],-1,2))),
AssMulti,IF(G$16="",1,index(optimizer[armorAssist],XMATCH(AssLevel,optimizer[Level],-1,2))),
TooLow, OR(AssLevel&lt;$G$18,$B319&lt;$G$15),
IF(OR(AtMax,TooLow), 0, PrimeMulti * (AssMulti)))</f>
        <v>0</v>
      </c>
      <c r="P319" s="1112">
        <f t="array" ref="P319">LET(
totalShards, H$10,
AtMax, OR(H$3&lt;$B319,totalShards&lt;$E319),
primeShards, $E319,
PrimeMulti, H319,
AssPer, H$4,
AssLevel, IF(AtMax,1,index(optimizer[Level],XMATCH(totalShards-primeShards,optimizer[Total discounted cost],-1,2))),
AssMulti,IF(H$16="",1,index(optimizer[generatorAssist],XMATCH(AssLevel,optimizer[Level],-1,2))),
TooLow, OR(AssLevel&lt;$H$18,$B319&lt;$H$15),
IF(OR(AtMax,TooLow), 0, PrimeMulti * (AssMulti)))</f>
        <v>0</v>
      </c>
      <c r="Q319" s="1114">
        <f t="array" ref="Q319">LET(
totalShards, I$10,
AtMax, OR(I$3&lt;$B319,totalShards&lt;$E319),
primeShards, $E319,
PrimeMulti, I319,
AssPer, I$4,
AssLevel, IF(AtMax,1,index(optimizer[Level],XMATCH(totalShards-primeShards,optimizer[Total discounted cost],-1,2))),
AssMulti,IF(I$16="",1,index(optimizer[coreAssist],XMATCH(AssLevel,optimizer[Level],-1,2))),
TooLow, OR(AssLevel&lt;$I$18,$B319&lt;$I$15),
IF(OR(AtMax,TooLow), 0, PrimeMulti * (AssMulti)))</f>
        <v>0</v>
      </c>
    </row>
    <row r="320" ht="22.5" hidden="1" customHeight="1" outlineLevel="1">
      <c r="A320" s="1097"/>
      <c r="B320" s="1103">
        <v>293.0</v>
      </c>
      <c r="C320" s="1104">
        <f t="shared" si="14"/>
        <v>46000</v>
      </c>
      <c r="D320" s="1104">
        <f t="shared" si="2"/>
        <v>32200</v>
      </c>
      <c r="E320" s="1105">
        <f t="shared" si="11"/>
        <v>1960075</v>
      </c>
      <c r="F320" s="1106">
        <f t="shared" si="3"/>
        <v>34.84</v>
      </c>
      <c r="G320" s="1106">
        <f t="shared" si="4"/>
        <v>34.84</v>
      </c>
      <c r="H320" s="1106">
        <f t="shared" si="5"/>
        <v>2.995</v>
      </c>
      <c r="I320" s="1106">
        <f t="shared" si="6"/>
        <v>47.764</v>
      </c>
      <c r="J320" s="1107">
        <f t="shared" si="7"/>
        <v>1</v>
      </c>
      <c r="K320" s="1107">
        <f t="shared" si="8"/>
        <v>1.3379</v>
      </c>
      <c r="L320" s="1107">
        <f t="shared" si="9"/>
        <v>1.1995</v>
      </c>
      <c r="M320" s="1107">
        <f t="shared" si="10"/>
        <v>5.33</v>
      </c>
      <c r="N320" s="1106">
        <f t="array" ref="N320">LET(
totalShards, F$10,
AtMax, OR(F$3&lt;$B320,totalShards&lt;$E320),
primeShards, $E320,
PrimeMulti, F320,
AssPer, F$4,
AssLevel, IF(AtMax,1,index(optimizer[Level],XMATCH(totalShards-primeShards,optimizer[Total discounted cost],-1,2))),
AssMulti,IF(F$16="",1,index(optimizer[cannonAssist],XMATCH(AssLevel,optimizer[Level],-1,2))),
TooLow, OR(AssLevel&lt;$F$18,$B320&lt;$F$15),
IF(OR(AtMax,TooLow), 0, PrimeMulti * (AssMulti)))</f>
        <v>0</v>
      </c>
      <c r="O320" s="1106">
        <f t="array" ref="O320">LET(
totalShards, G$10,
AtMax, OR(G$3&lt;$B320,totalShards&lt;$E320),
primeShards, $E320,
PrimeMulti, G320,
AssPer, G$4,
AssLevel, IF(AtMax,1,index(optimizer[Level],XMATCH(totalShards-primeShards,optimizer[Total discounted cost],-1,2))),
AssMulti,IF(G$16="",1,index(optimizer[armorAssist],XMATCH(AssLevel,optimizer[Level],-1,2))),
TooLow, OR(AssLevel&lt;$G$18,$B320&lt;$G$15),
IF(OR(AtMax,TooLow), 0, PrimeMulti * (AssMulti)))</f>
        <v>0</v>
      </c>
      <c r="P320" s="1106">
        <f t="array" ref="P320">LET(
totalShards, H$10,
AtMax, OR(H$3&lt;$B320,totalShards&lt;$E320),
primeShards, $E320,
PrimeMulti, H320,
AssPer, H$4,
AssLevel, IF(AtMax,1,index(optimizer[Level],XMATCH(totalShards-primeShards,optimizer[Total discounted cost],-1,2))),
AssMulti,IF(H$16="",1,index(optimizer[generatorAssist],XMATCH(AssLevel,optimizer[Level],-1,2))),
TooLow, OR(AssLevel&lt;$H$18,$B320&lt;$H$15),
IF(OR(AtMax,TooLow), 0, PrimeMulti * (AssMulti)))</f>
        <v>0</v>
      </c>
      <c r="Q320" s="1108">
        <f t="array" ref="Q320">LET(
totalShards, I$10,
AtMax, OR(I$3&lt;$B320,totalShards&lt;$E320),
primeShards, $E320,
PrimeMulti, I320,
AssPer, I$4,
AssLevel, IF(AtMax,1,index(optimizer[Level],XMATCH(totalShards-primeShards,optimizer[Total discounted cost],-1,2))),
AssMulti,IF(I$16="",1,index(optimizer[coreAssist],XMATCH(AssLevel,optimizer[Level],-1,2))),
TooLow, OR(AssLevel&lt;$I$18,$B320&lt;$I$15),
IF(OR(AtMax,TooLow), 0, PrimeMulti * (AssMulti)))</f>
        <v>0</v>
      </c>
    </row>
    <row r="321" ht="22.5" hidden="1" customHeight="1" outlineLevel="1">
      <c r="A321" s="1097"/>
      <c r="B321" s="1109">
        <v>294.0</v>
      </c>
      <c r="C321" s="1110">
        <f t="shared" si="14"/>
        <v>46500</v>
      </c>
      <c r="D321" s="1110">
        <f t="shared" si="2"/>
        <v>32550</v>
      </c>
      <c r="E321" s="1111">
        <f t="shared" si="11"/>
        <v>1992625</v>
      </c>
      <c r="F321" s="1112">
        <f t="shared" si="3"/>
        <v>35.04</v>
      </c>
      <c r="G321" s="1112">
        <f t="shared" si="4"/>
        <v>35.04</v>
      </c>
      <c r="H321" s="1112">
        <f t="shared" si="5"/>
        <v>3.005</v>
      </c>
      <c r="I321" s="1112">
        <f t="shared" si="6"/>
        <v>48.034</v>
      </c>
      <c r="J321" s="1113">
        <f t="shared" si="7"/>
        <v>1</v>
      </c>
      <c r="K321" s="1107">
        <f t="shared" si="8"/>
        <v>1.3399</v>
      </c>
      <c r="L321" s="1107">
        <f t="shared" si="9"/>
        <v>1.2005</v>
      </c>
      <c r="M321" s="1107">
        <f t="shared" si="10"/>
        <v>5.355</v>
      </c>
      <c r="N321" s="1106">
        <f t="array" ref="N321">LET(
totalShards, F$10,
AtMax, OR(F$3&lt;$B321,totalShards&lt;$E321),
primeShards, $E321,
PrimeMulti, F321,
AssPer, F$4,
AssLevel, IF(AtMax,1,index(optimizer[Level],XMATCH(totalShards-primeShards,optimizer[Total discounted cost],-1,2))),
AssMulti,IF(F$16="",1,index(optimizer[cannonAssist],XMATCH(AssLevel,optimizer[Level],-1,2))),
TooLow, OR(AssLevel&lt;$F$18,$B321&lt;$F$15),
IF(OR(AtMax,TooLow), 0, PrimeMulti * (AssMulti)))</f>
        <v>0</v>
      </c>
      <c r="O321" s="1112">
        <f t="array" ref="O321">LET(
totalShards, G$10,
AtMax, OR(G$3&lt;$B321,totalShards&lt;$E321),
primeShards, $E321,
PrimeMulti, G321,
AssPer, G$4,
AssLevel, IF(AtMax,1,index(optimizer[Level],XMATCH(totalShards-primeShards,optimizer[Total discounted cost],-1,2))),
AssMulti,IF(G$16="",1,index(optimizer[armorAssist],XMATCH(AssLevel,optimizer[Level],-1,2))),
TooLow, OR(AssLevel&lt;$G$18,$B321&lt;$G$15),
IF(OR(AtMax,TooLow), 0, PrimeMulti * (AssMulti)))</f>
        <v>0</v>
      </c>
      <c r="P321" s="1112">
        <f t="array" ref="P321">LET(
totalShards, H$10,
AtMax, OR(H$3&lt;$B321,totalShards&lt;$E321),
primeShards, $E321,
PrimeMulti, H321,
AssPer, H$4,
AssLevel, IF(AtMax,1,index(optimizer[Level],XMATCH(totalShards-primeShards,optimizer[Total discounted cost],-1,2))),
AssMulti,IF(H$16="",1,index(optimizer[generatorAssist],XMATCH(AssLevel,optimizer[Level],-1,2))),
TooLow, OR(AssLevel&lt;$H$18,$B321&lt;$H$15),
IF(OR(AtMax,TooLow), 0, PrimeMulti * (AssMulti)))</f>
        <v>0</v>
      </c>
      <c r="Q321" s="1114">
        <f t="array" ref="Q321">LET(
totalShards, I$10,
AtMax, OR(I$3&lt;$B321,totalShards&lt;$E321),
primeShards, $E321,
PrimeMulti, I321,
AssPer, I$4,
AssLevel, IF(AtMax,1,index(optimizer[Level],XMATCH(totalShards-primeShards,optimizer[Total discounted cost],-1,2))),
AssMulti,IF(I$16="",1,index(optimizer[coreAssist],XMATCH(AssLevel,optimizer[Level],-1,2))),
TooLow, OR(AssLevel&lt;$I$18,$B321&lt;$I$15),
IF(OR(AtMax,TooLow), 0, PrimeMulti * (AssMulti)))</f>
        <v>0</v>
      </c>
    </row>
    <row r="322" ht="22.5" hidden="1" customHeight="1" outlineLevel="1">
      <c r="A322" s="1097"/>
      <c r="B322" s="1103">
        <v>295.0</v>
      </c>
      <c r="C322" s="1104">
        <f t="shared" si="14"/>
        <v>47000</v>
      </c>
      <c r="D322" s="1104">
        <f t="shared" si="2"/>
        <v>32900</v>
      </c>
      <c r="E322" s="1105">
        <f t="shared" si="11"/>
        <v>2025525</v>
      </c>
      <c r="F322" s="1106">
        <f t="shared" si="3"/>
        <v>35.24</v>
      </c>
      <c r="G322" s="1106">
        <f t="shared" si="4"/>
        <v>35.24</v>
      </c>
      <c r="H322" s="1106">
        <f t="shared" si="5"/>
        <v>3.015</v>
      </c>
      <c r="I322" s="1106">
        <f t="shared" si="6"/>
        <v>48.304</v>
      </c>
      <c r="J322" s="1107">
        <f t="shared" si="7"/>
        <v>1</v>
      </c>
      <c r="K322" s="1107">
        <f t="shared" si="8"/>
        <v>1.3419</v>
      </c>
      <c r="L322" s="1107">
        <f t="shared" si="9"/>
        <v>1.2015</v>
      </c>
      <c r="M322" s="1107">
        <f t="shared" si="10"/>
        <v>5.38</v>
      </c>
      <c r="N322" s="1106">
        <f t="array" ref="N322">LET(
totalShards, F$10,
AtMax, OR(F$3&lt;$B322,totalShards&lt;$E322),
primeShards, $E322,
PrimeMulti, F322,
AssPer, F$4,
AssLevel, IF(AtMax,1,index(optimizer[Level],XMATCH(totalShards-primeShards,optimizer[Total discounted cost],-1,2))),
AssMulti,IF(F$16="",1,index(optimizer[cannonAssist],XMATCH(AssLevel,optimizer[Level],-1,2))),
TooLow, OR(AssLevel&lt;$F$18,$B322&lt;$F$15),
IF(OR(AtMax,TooLow), 0, PrimeMulti * (AssMulti)))</f>
        <v>0</v>
      </c>
      <c r="O322" s="1106">
        <f t="array" ref="O322">LET(
totalShards, G$10,
AtMax, OR(G$3&lt;$B322,totalShards&lt;$E322),
primeShards, $E322,
PrimeMulti, G322,
AssPer, G$4,
AssLevel, IF(AtMax,1,index(optimizer[Level],XMATCH(totalShards-primeShards,optimizer[Total discounted cost],-1,2))),
AssMulti,IF(G$16="",1,index(optimizer[armorAssist],XMATCH(AssLevel,optimizer[Level],-1,2))),
TooLow, OR(AssLevel&lt;$G$18,$B322&lt;$G$15),
IF(OR(AtMax,TooLow), 0, PrimeMulti * (AssMulti)))</f>
        <v>0</v>
      </c>
      <c r="P322" s="1106">
        <f t="array" ref="P322">LET(
totalShards, H$10,
AtMax, OR(H$3&lt;$B322,totalShards&lt;$E322),
primeShards, $E322,
PrimeMulti, H322,
AssPer, H$4,
AssLevel, IF(AtMax,1,index(optimizer[Level],XMATCH(totalShards-primeShards,optimizer[Total discounted cost],-1,2))),
AssMulti,IF(H$16="",1,index(optimizer[generatorAssist],XMATCH(AssLevel,optimizer[Level],-1,2))),
TooLow, OR(AssLevel&lt;$H$18,$B322&lt;$H$15),
IF(OR(AtMax,TooLow), 0, PrimeMulti * (AssMulti)))</f>
        <v>0</v>
      </c>
      <c r="Q322" s="1108">
        <f t="array" ref="Q322">LET(
totalShards, I$10,
AtMax, OR(I$3&lt;$B322,totalShards&lt;$E322),
primeShards, $E322,
PrimeMulti, I322,
AssPer, I$4,
AssLevel, IF(AtMax,1,index(optimizer[Level],XMATCH(totalShards-primeShards,optimizer[Total discounted cost],-1,2))),
AssMulti,IF(I$16="",1,index(optimizer[coreAssist],XMATCH(AssLevel,optimizer[Level],-1,2))),
TooLow, OR(AssLevel&lt;$I$18,$B322&lt;$I$15),
IF(OR(AtMax,TooLow), 0, PrimeMulti * (AssMulti)))</f>
        <v>0</v>
      </c>
    </row>
    <row r="323" ht="22.5" hidden="1" customHeight="1" outlineLevel="1">
      <c r="A323" s="1097"/>
      <c r="B323" s="1109">
        <v>296.0</v>
      </c>
      <c r="C323" s="1110">
        <f t="shared" si="14"/>
        <v>47500</v>
      </c>
      <c r="D323" s="1110">
        <f t="shared" si="2"/>
        <v>33250</v>
      </c>
      <c r="E323" s="1111">
        <f t="shared" si="11"/>
        <v>2058775</v>
      </c>
      <c r="F323" s="1112">
        <f t="shared" si="3"/>
        <v>35.44</v>
      </c>
      <c r="G323" s="1112">
        <f t="shared" si="4"/>
        <v>35.44</v>
      </c>
      <c r="H323" s="1112">
        <f t="shared" si="5"/>
        <v>3.025</v>
      </c>
      <c r="I323" s="1112">
        <f t="shared" si="6"/>
        <v>48.574</v>
      </c>
      <c r="J323" s="1113">
        <f t="shared" si="7"/>
        <v>1</v>
      </c>
      <c r="K323" s="1107">
        <f t="shared" si="8"/>
        <v>1.3439</v>
      </c>
      <c r="L323" s="1107">
        <f t="shared" si="9"/>
        <v>1.2025</v>
      </c>
      <c r="M323" s="1107">
        <f t="shared" si="10"/>
        <v>5.405</v>
      </c>
      <c r="N323" s="1106">
        <f t="array" ref="N323">LET(
totalShards, F$10,
AtMax, OR(F$3&lt;$B323,totalShards&lt;$E323),
primeShards, $E323,
PrimeMulti, F323,
AssPer, F$4,
AssLevel, IF(AtMax,1,index(optimizer[Level],XMATCH(totalShards-primeShards,optimizer[Total discounted cost],-1,2))),
AssMulti,IF(F$16="",1,index(optimizer[cannonAssist],XMATCH(AssLevel,optimizer[Level],-1,2))),
TooLow, OR(AssLevel&lt;$F$18,$B323&lt;$F$15),
IF(OR(AtMax,TooLow), 0, PrimeMulti * (AssMulti)))</f>
        <v>0</v>
      </c>
      <c r="O323" s="1112">
        <f t="array" ref="O323">LET(
totalShards, G$10,
AtMax, OR(G$3&lt;$B323,totalShards&lt;$E323),
primeShards, $E323,
PrimeMulti, G323,
AssPer, G$4,
AssLevel, IF(AtMax,1,index(optimizer[Level],XMATCH(totalShards-primeShards,optimizer[Total discounted cost],-1,2))),
AssMulti,IF(G$16="",1,index(optimizer[armorAssist],XMATCH(AssLevel,optimizer[Level],-1,2))),
TooLow, OR(AssLevel&lt;$G$18,$B323&lt;$G$15),
IF(OR(AtMax,TooLow), 0, PrimeMulti * (AssMulti)))</f>
        <v>0</v>
      </c>
      <c r="P323" s="1112">
        <f t="array" ref="P323">LET(
totalShards, H$10,
AtMax, OR(H$3&lt;$B323,totalShards&lt;$E323),
primeShards, $E323,
PrimeMulti, H323,
AssPer, H$4,
AssLevel, IF(AtMax,1,index(optimizer[Level],XMATCH(totalShards-primeShards,optimizer[Total discounted cost],-1,2))),
AssMulti,IF(H$16="",1,index(optimizer[generatorAssist],XMATCH(AssLevel,optimizer[Level],-1,2))),
TooLow, OR(AssLevel&lt;$H$18,$B323&lt;$H$15),
IF(OR(AtMax,TooLow), 0, PrimeMulti * (AssMulti)))</f>
        <v>0</v>
      </c>
      <c r="Q323" s="1114">
        <f t="array" ref="Q323">LET(
totalShards, I$10,
AtMax, OR(I$3&lt;$B323,totalShards&lt;$E323),
primeShards, $E323,
PrimeMulti, I323,
AssPer, I$4,
AssLevel, IF(AtMax,1,index(optimizer[Level],XMATCH(totalShards-primeShards,optimizer[Total discounted cost],-1,2))),
AssMulti,IF(I$16="",1,index(optimizer[coreAssist],XMATCH(AssLevel,optimizer[Level],-1,2))),
TooLow, OR(AssLevel&lt;$I$18,$B323&lt;$I$15),
IF(OR(AtMax,TooLow), 0, PrimeMulti * (AssMulti)))</f>
        <v>0</v>
      </c>
    </row>
    <row r="324" ht="22.5" hidden="1" customHeight="1" outlineLevel="1">
      <c r="A324" s="1097"/>
      <c r="B324" s="1103">
        <v>297.0</v>
      </c>
      <c r="C324" s="1104">
        <f t="shared" si="14"/>
        <v>48000</v>
      </c>
      <c r="D324" s="1104">
        <f t="shared" si="2"/>
        <v>33600</v>
      </c>
      <c r="E324" s="1105">
        <f t="shared" si="11"/>
        <v>2092375</v>
      </c>
      <c r="F324" s="1106">
        <f t="shared" si="3"/>
        <v>35.64</v>
      </c>
      <c r="G324" s="1106">
        <f t="shared" si="4"/>
        <v>35.64</v>
      </c>
      <c r="H324" s="1106">
        <f t="shared" si="5"/>
        <v>3.035</v>
      </c>
      <c r="I324" s="1106">
        <f t="shared" si="6"/>
        <v>48.844</v>
      </c>
      <c r="J324" s="1107">
        <f t="shared" si="7"/>
        <v>1</v>
      </c>
      <c r="K324" s="1107">
        <f t="shared" si="8"/>
        <v>1.3459</v>
      </c>
      <c r="L324" s="1107">
        <f t="shared" si="9"/>
        <v>1.2035</v>
      </c>
      <c r="M324" s="1107">
        <f t="shared" si="10"/>
        <v>5.43</v>
      </c>
      <c r="N324" s="1106">
        <f t="array" ref="N324">LET(
totalShards, F$10,
AtMax, OR(F$3&lt;$B324,totalShards&lt;$E324),
primeShards, $E324,
PrimeMulti, F324,
AssPer, F$4,
AssLevel, IF(AtMax,1,index(optimizer[Level],XMATCH(totalShards-primeShards,optimizer[Total discounted cost],-1,2))),
AssMulti,IF(F$16="",1,index(optimizer[cannonAssist],XMATCH(AssLevel,optimizer[Level],-1,2))),
TooLow, OR(AssLevel&lt;$F$18,$B324&lt;$F$15),
IF(OR(AtMax,TooLow), 0, PrimeMulti * (AssMulti)))</f>
        <v>0</v>
      </c>
      <c r="O324" s="1106">
        <f t="array" ref="O324">LET(
totalShards, G$10,
AtMax, OR(G$3&lt;$B324,totalShards&lt;$E324),
primeShards, $E324,
PrimeMulti, G324,
AssPer, G$4,
AssLevel, IF(AtMax,1,index(optimizer[Level],XMATCH(totalShards-primeShards,optimizer[Total discounted cost],-1,2))),
AssMulti,IF(G$16="",1,index(optimizer[armorAssist],XMATCH(AssLevel,optimizer[Level],-1,2))),
TooLow, OR(AssLevel&lt;$G$18,$B324&lt;$G$15),
IF(OR(AtMax,TooLow), 0, PrimeMulti * (AssMulti)))</f>
        <v>0</v>
      </c>
      <c r="P324" s="1106">
        <f t="array" ref="P324">LET(
totalShards, H$10,
AtMax, OR(H$3&lt;$B324,totalShards&lt;$E324),
primeShards, $E324,
PrimeMulti, H324,
AssPer, H$4,
AssLevel, IF(AtMax,1,index(optimizer[Level],XMATCH(totalShards-primeShards,optimizer[Total discounted cost],-1,2))),
AssMulti,IF(H$16="",1,index(optimizer[generatorAssist],XMATCH(AssLevel,optimizer[Level],-1,2))),
TooLow, OR(AssLevel&lt;$H$18,$B324&lt;$H$15),
IF(OR(AtMax,TooLow), 0, PrimeMulti * (AssMulti)))</f>
        <v>0</v>
      </c>
      <c r="Q324" s="1108">
        <f t="array" ref="Q324">LET(
totalShards, I$10,
AtMax, OR(I$3&lt;$B324,totalShards&lt;$E324),
primeShards, $E324,
PrimeMulti, I324,
AssPer, I$4,
AssLevel, IF(AtMax,1,index(optimizer[Level],XMATCH(totalShards-primeShards,optimizer[Total discounted cost],-1,2))),
AssMulti,IF(I$16="",1,index(optimizer[coreAssist],XMATCH(AssLevel,optimizer[Level],-1,2))),
TooLow, OR(AssLevel&lt;$I$18,$B324&lt;$I$15),
IF(OR(AtMax,TooLow), 0, PrimeMulti * (AssMulti)))</f>
        <v>0</v>
      </c>
    </row>
    <row r="325" ht="22.5" hidden="1" customHeight="1" outlineLevel="1">
      <c r="A325" s="1097"/>
      <c r="B325" s="1109">
        <v>298.0</v>
      </c>
      <c r="C325" s="1110">
        <f t="shared" si="14"/>
        <v>48500</v>
      </c>
      <c r="D325" s="1110">
        <f t="shared" si="2"/>
        <v>33950</v>
      </c>
      <c r="E325" s="1111">
        <f t="shared" si="11"/>
        <v>2126325</v>
      </c>
      <c r="F325" s="1112">
        <f t="shared" si="3"/>
        <v>35.84</v>
      </c>
      <c r="G325" s="1112">
        <f t="shared" si="4"/>
        <v>35.84</v>
      </c>
      <c r="H325" s="1112">
        <f t="shared" si="5"/>
        <v>3.045</v>
      </c>
      <c r="I325" s="1112">
        <f t="shared" si="6"/>
        <v>49.114</v>
      </c>
      <c r="J325" s="1113">
        <f t="shared" si="7"/>
        <v>1</v>
      </c>
      <c r="K325" s="1107">
        <f t="shared" si="8"/>
        <v>1.3479</v>
      </c>
      <c r="L325" s="1107">
        <f t="shared" si="9"/>
        <v>1.2045</v>
      </c>
      <c r="M325" s="1107">
        <f t="shared" si="10"/>
        <v>5.455</v>
      </c>
      <c r="N325" s="1106">
        <f t="array" ref="N325">LET(
totalShards, F$10,
AtMax, OR(F$3&lt;$B325,totalShards&lt;$E325),
primeShards, $E325,
PrimeMulti, F325,
AssPer, F$4,
AssLevel, IF(AtMax,1,index(optimizer[Level],XMATCH(totalShards-primeShards,optimizer[Total discounted cost],-1,2))),
AssMulti,IF(F$16="",1,index(optimizer[cannonAssist],XMATCH(AssLevel,optimizer[Level],-1,2))),
TooLow, OR(AssLevel&lt;$F$18,$B325&lt;$F$15),
IF(OR(AtMax,TooLow), 0, PrimeMulti * (AssMulti)))</f>
        <v>0</v>
      </c>
      <c r="O325" s="1112">
        <f t="array" ref="O325">LET(
totalShards, G$10,
AtMax, OR(G$3&lt;$B325,totalShards&lt;$E325),
primeShards, $E325,
PrimeMulti, G325,
AssPer, G$4,
AssLevel, IF(AtMax,1,index(optimizer[Level],XMATCH(totalShards-primeShards,optimizer[Total discounted cost],-1,2))),
AssMulti,IF(G$16="",1,index(optimizer[armorAssist],XMATCH(AssLevel,optimizer[Level],-1,2))),
TooLow, OR(AssLevel&lt;$G$18,$B325&lt;$G$15),
IF(OR(AtMax,TooLow), 0, PrimeMulti * (AssMulti)))</f>
        <v>0</v>
      </c>
      <c r="P325" s="1112">
        <f t="array" ref="P325">LET(
totalShards, H$10,
AtMax, OR(H$3&lt;$B325,totalShards&lt;$E325),
primeShards, $E325,
PrimeMulti, H325,
AssPer, H$4,
AssLevel, IF(AtMax,1,index(optimizer[Level],XMATCH(totalShards-primeShards,optimizer[Total discounted cost],-1,2))),
AssMulti,IF(H$16="",1,index(optimizer[generatorAssist],XMATCH(AssLevel,optimizer[Level],-1,2))),
TooLow, OR(AssLevel&lt;$H$18,$B325&lt;$H$15),
IF(OR(AtMax,TooLow), 0, PrimeMulti * (AssMulti)))</f>
        <v>0</v>
      </c>
      <c r="Q325" s="1114">
        <f t="array" ref="Q325">LET(
totalShards, I$10,
AtMax, OR(I$3&lt;$B325,totalShards&lt;$E325),
primeShards, $E325,
PrimeMulti, I325,
AssPer, I$4,
AssLevel, IF(AtMax,1,index(optimizer[Level],XMATCH(totalShards-primeShards,optimizer[Total discounted cost],-1,2))),
AssMulti,IF(I$16="",1,index(optimizer[coreAssist],XMATCH(AssLevel,optimizer[Level],-1,2))),
TooLow, OR(AssLevel&lt;$I$18,$B325&lt;$I$15),
IF(OR(AtMax,TooLow), 0, PrimeMulti * (AssMulti)))</f>
        <v>0</v>
      </c>
    </row>
    <row r="326" ht="22.5" hidden="1" customHeight="1" outlineLevel="1">
      <c r="A326" s="1097"/>
      <c r="B326" s="1103">
        <v>299.0</v>
      </c>
      <c r="C326" s="1104">
        <f t="shared" si="14"/>
        <v>49000</v>
      </c>
      <c r="D326" s="1104">
        <f t="shared" si="2"/>
        <v>34300</v>
      </c>
      <c r="E326" s="1105">
        <f t="shared" si="11"/>
        <v>2160625</v>
      </c>
      <c r="F326" s="1106">
        <f t="shared" si="3"/>
        <v>36.04</v>
      </c>
      <c r="G326" s="1106">
        <f t="shared" si="4"/>
        <v>36.04</v>
      </c>
      <c r="H326" s="1106">
        <f t="shared" si="5"/>
        <v>3.055</v>
      </c>
      <c r="I326" s="1106">
        <f t="shared" si="6"/>
        <v>49.384</v>
      </c>
      <c r="J326" s="1107">
        <f t="shared" si="7"/>
        <v>1</v>
      </c>
      <c r="K326" s="1107">
        <f t="shared" si="8"/>
        <v>1.3499</v>
      </c>
      <c r="L326" s="1107">
        <f t="shared" si="9"/>
        <v>1.2055</v>
      </c>
      <c r="M326" s="1107">
        <f t="shared" si="10"/>
        <v>5.48</v>
      </c>
      <c r="N326" s="1106">
        <f t="array" ref="N326">LET(
totalShards, F$10,
AtMax, OR(F$3&lt;$B326,totalShards&lt;$E326),
primeShards, $E326,
PrimeMulti, F326,
AssPer, F$4,
AssLevel, IF(AtMax,1,index(optimizer[Level],XMATCH(totalShards-primeShards,optimizer[Total discounted cost],-1,2))),
AssMulti,IF(F$16="",1,index(optimizer[cannonAssist],XMATCH(AssLevel,optimizer[Level],-1,2))),
TooLow, OR(AssLevel&lt;$F$18,$B326&lt;$F$15),
IF(OR(AtMax,TooLow), 0, PrimeMulti * (AssMulti)))</f>
        <v>0</v>
      </c>
      <c r="O326" s="1106">
        <f t="array" ref="O326">LET(
totalShards, G$10,
AtMax, OR(G$3&lt;$B326,totalShards&lt;$E326),
primeShards, $E326,
PrimeMulti, G326,
AssPer, G$4,
AssLevel, IF(AtMax,1,index(optimizer[Level],XMATCH(totalShards-primeShards,optimizer[Total discounted cost],-1,2))),
AssMulti,IF(G$16="",1,index(optimizer[armorAssist],XMATCH(AssLevel,optimizer[Level],-1,2))),
TooLow, OR(AssLevel&lt;$G$18,$B326&lt;$G$15),
IF(OR(AtMax,TooLow), 0, PrimeMulti * (AssMulti)))</f>
        <v>0</v>
      </c>
      <c r="P326" s="1106">
        <f t="array" ref="P326">LET(
totalShards, H$10,
AtMax, OR(H$3&lt;$B326,totalShards&lt;$E326),
primeShards, $E326,
PrimeMulti, H326,
AssPer, H$4,
AssLevel, IF(AtMax,1,index(optimizer[Level],XMATCH(totalShards-primeShards,optimizer[Total discounted cost],-1,2))),
AssMulti,IF(H$16="",1,index(optimizer[generatorAssist],XMATCH(AssLevel,optimizer[Level],-1,2))),
TooLow, OR(AssLevel&lt;$H$18,$B326&lt;$H$15),
IF(OR(AtMax,TooLow), 0, PrimeMulti * (AssMulti)))</f>
        <v>0</v>
      </c>
      <c r="Q326" s="1108">
        <f t="array" ref="Q326">LET(
totalShards, I$10,
AtMax, OR(I$3&lt;$B326,totalShards&lt;$E326),
primeShards, $E326,
PrimeMulti, I326,
AssPer, I$4,
AssLevel, IF(AtMax,1,index(optimizer[Level],XMATCH(totalShards-primeShards,optimizer[Total discounted cost],-1,2))),
AssMulti,IF(I$16="",1,index(optimizer[coreAssist],XMATCH(AssLevel,optimizer[Level],-1,2))),
TooLow, OR(AssLevel&lt;$I$18,$B326&lt;$I$15),
IF(OR(AtMax,TooLow), 0, PrimeMulti * (AssMulti)))</f>
        <v>0</v>
      </c>
    </row>
    <row r="327" ht="22.5" hidden="1" customHeight="1" outlineLevel="1">
      <c r="A327" s="1097"/>
      <c r="B327" s="1115">
        <v>300.0</v>
      </c>
      <c r="C327" s="1116">
        <f t="shared" si="14"/>
        <v>49500</v>
      </c>
      <c r="D327" s="1116">
        <f t="shared" si="2"/>
        <v>34650</v>
      </c>
      <c r="E327" s="1117">
        <f t="shared" si="11"/>
        <v>2195275</v>
      </c>
      <c r="F327" s="1118">
        <f t="shared" si="3"/>
        <v>36.24</v>
      </c>
      <c r="G327" s="1118">
        <f t="shared" si="4"/>
        <v>36.24</v>
      </c>
      <c r="H327" s="1118">
        <f t="shared" si="5"/>
        <v>3.065</v>
      </c>
      <c r="I327" s="1118">
        <f t="shared" si="6"/>
        <v>49.654</v>
      </c>
      <c r="J327" s="1119">
        <f t="shared" si="7"/>
        <v>1</v>
      </c>
      <c r="K327" s="1107">
        <f t="shared" si="8"/>
        <v>1.3519</v>
      </c>
      <c r="L327" s="1107">
        <f t="shared" si="9"/>
        <v>1.2065</v>
      </c>
      <c r="M327" s="1107">
        <f t="shared" si="10"/>
        <v>5.505</v>
      </c>
      <c r="N327" s="1106">
        <f t="array" ref="N327">LET(
totalShards, F$10,
AtMax, OR(F$3&lt;$B327,totalShards&lt;$E327),
primeShards, $E327,
PrimeMulti, F327,
AssPer, F$4,
AssLevel, IF(AtMax,1,index(optimizer[Level],XMATCH(totalShards-primeShards,optimizer[Total discounted cost],-1,2))),
AssMulti,IF(F$16="",1,index(optimizer[cannonAssist],XMATCH(AssLevel,optimizer[Level],-1,2))),
TooLow, OR(AssLevel&lt;$F$18,$B327&lt;$F$15),
IF(OR(AtMax,TooLow), 0, PrimeMulti * (AssMulti)))</f>
        <v>0</v>
      </c>
      <c r="O327" s="1118">
        <f t="array" ref="O327">LET(
totalShards, G$10,
AtMax, OR(G$3&lt;$B327,totalShards&lt;$E327),
primeShards, $E327,
PrimeMulti, G327,
AssPer, G$4,
AssLevel, IF(AtMax,1,index(optimizer[Level],XMATCH(totalShards-primeShards,optimizer[Total discounted cost],-1,2))),
AssMulti,IF(G$16="",1,index(optimizer[armorAssist],XMATCH(AssLevel,optimizer[Level],-1,2))),
TooLow, OR(AssLevel&lt;$G$18,$B327&lt;$G$15),
IF(OR(AtMax,TooLow), 0, PrimeMulti * (AssMulti)))</f>
        <v>0</v>
      </c>
      <c r="P327" s="1118">
        <f t="array" ref="P327">LET(
totalShards, H$10,
AtMax, OR(H$3&lt;$B327,totalShards&lt;$E327),
primeShards, $E327,
PrimeMulti, H327,
AssPer, H$4,
AssLevel, IF(AtMax,1,index(optimizer[Level],XMATCH(totalShards-primeShards,optimizer[Total discounted cost],-1,2))),
AssMulti,IF(H$16="",1,index(optimizer[generatorAssist],XMATCH(AssLevel,optimizer[Level],-1,2))),
TooLow, OR(AssLevel&lt;$H$18,$B327&lt;$H$15),
IF(OR(AtMax,TooLow), 0, PrimeMulti * (AssMulti)))</f>
        <v>0</v>
      </c>
      <c r="Q327" s="1120">
        <f t="array" ref="Q327">LET(
totalShards, I$10,
AtMax, OR(I$3&lt;$B327,totalShards&lt;$E327),
primeShards, $E327,
PrimeMulti, I327,
AssPer, I$4,
AssLevel, IF(AtMax,1,index(optimizer[Level],XMATCH(totalShards-primeShards,optimizer[Total discounted cost],-1,2))),
AssMulti,IF(I$16="",1,index(optimizer[coreAssist],XMATCH(AssLevel,optimizer[Level],-1,2))),
TooLow, OR(AssLevel&lt;$I$18,$B327&lt;$I$15),
IF(OR(AtMax,TooLow), 0, PrimeMulti * (AssMulti)))</f>
        <v>0</v>
      </c>
    </row>
    <row r="328" hidden="1" outlineLevel="1">
      <c r="A328" s="1097"/>
      <c r="B328" s="399"/>
      <c r="C328" s="1121"/>
      <c r="D328" s="1121"/>
      <c r="E328" s="1121"/>
      <c r="F328" s="1121"/>
      <c r="G328" s="399"/>
      <c r="H328" s="399"/>
      <c r="I328" s="399"/>
      <c r="J328" s="1097"/>
      <c r="K328" s="399"/>
      <c r="L328" s="399"/>
      <c r="M328" s="399"/>
      <c r="N328" s="1122"/>
      <c r="O328" s="399"/>
      <c r="P328" s="399"/>
      <c r="Q328" s="1122"/>
      <c r="R328" s="399"/>
    </row>
  </sheetData>
  <mergeCells count="13">
    <mergeCell ref="D10:E10"/>
    <mergeCell ref="D13:D15"/>
    <mergeCell ref="D16:D18"/>
    <mergeCell ref="D19:E19"/>
    <mergeCell ref="D22:I22"/>
    <mergeCell ref="D24:D25"/>
    <mergeCell ref="C2:D2"/>
    <mergeCell ref="C3:D3"/>
    <mergeCell ref="D6:I6"/>
    <mergeCell ref="D7:E7"/>
    <mergeCell ref="D8:E8"/>
    <mergeCell ref="D9:E9"/>
    <mergeCell ref="D12:I12"/>
  </mergeCells>
  <conditionalFormatting sqref="F7:I8">
    <cfRule type="expression" dxfId="5" priority="1">
      <formula>NOT(ISFORMULA(F7))</formula>
    </cfRule>
  </conditionalFormatting>
  <dataValidations>
    <dataValidation type="list" allowBlank="1" showErrorMessage="1" sqref="E2">
      <formula1>"Farming,Tourney"</formula1>
    </dataValidation>
    <dataValidation type="custom" allowBlank="1" showDropDown="1" sqref="F28:J327 N28:Q327">
      <formula1>AND(ISNUMBER(F28),(NOT(OR(NOT(ISERROR(DATEVALUE(F28))), AND(ISNUMBER(F28), LEFT(CELL("format", F28))="D")))))</formula1>
    </dataValidation>
    <dataValidation type="list" allowBlank="1" showErrorMessage="1" sqref="F15:I15 F18:I18">
      <formula1>"41,101,141,161,201,241"</formula1>
    </dataValidation>
    <dataValidation type="list" allowBlank="1" showErrorMessage="1" sqref="F19">
      <formula1>"Apply Levels"</formula1>
    </dataValidation>
    <dataValidation type="list" allowBlank="1" showErrorMessage="1" sqref="F13:I13 F16:I16">
      <formula1>DVT_Modules!$B$3:$B$17</formula1>
    </dataValidation>
  </dataValidations>
  <drawing r:id="rId2"/>
  <legacyDrawing r:id="rId3"/>
  <tableParts count="1">
    <tablePart r:id="rId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75" outlineLevelCol="1"/>
  <cols>
    <col customWidth="1" min="1" max="1" width="1.86"/>
    <col customWidth="1" min="2" max="2" width="3.71"/>
    <col hidden="1" min="3" max="4" width="14.43"/>
    <col customWidth="1" min="5" max="5" width="4.29"/>
    <col customWidth="1" min="6" max="6" width="29.43" outlineLevel="1"/>
    <col customWidth="1" min="7" max="7" width="6.43" outlineLevel="1"/>
    <col customWidth="1" min="8" max="8" width="8.29" outlineLevel="1"/>
    <col customWidth="1" min="9" max="9" width="11.86" outlineLevel="1"/>
    <col customWidth="1" min="10" max="10" width="12.0" outlineLevel="1"/>
    <col customWidth="1" min="11" max="11" width="8.57" outlineLevel="1"/>
    <col customWidth="1" min="12" max="12" width="18.14" outlineLevel="1"/>
    <col customWidth="1" min="13" max="13" width="7.29"/>
    <col customWidth="1" min="14" max="14" width="17.43"/>
    <col customWidth="1" min="15" max="15" width="7.29"/>
    <col customWidth="1" min="16" max="16" width="32.43"/>
    <col customWidth="1" min="17" max="17" width="5.14"/>
    <col customWidth="1" min="18" max="18" width="5.86"/>
    <col customWidth="1" min="19" max="19" width="8.71"/>
    <col customWidth="1" min="20" max="20" width="7.57"/>
    <col customWidth="1" min="21" max="21" width="6.0"/>
    <col collapsed="1" customWidth="1" min="22" max="22" width="4.29"/>
    <col customWidth="1" hidden="1" min="23" max="23" width="32.57" outlineLevel="1"/>
    <col customWidth="1" hidden="1" min="24" max="24" width="7.71" outlineLevel="1"/>
    <col customWidth="1" hidden="1" min="25" max="25" width="6.57" outlineLevel="1"/>
    <col customWidth="1" hidden="1" min="26" max="26" width="4.57" outlineLevel="1"/>
    <col customWidth="1" hidden="1" min="27" max="27" width="7.14" outlineLevel="1"/>
    <col customWidth="1" hidden="1" min="28" max="28" width="7.71" outlineLevel="1"/>
    <col customWidth="1" hidden="1" min="29" max="29" width="8.29" outlineLevel="1"/>
    <col hidden="1" min="30" max="64" width="14.43" outlineLevel="1"/>
  </cols>
  <sheetData>
    <row r="1" ht="9.0" customHeight="1">
      <c r="A1" s="1123"/>
      <c r="B1" s="1123"/>
      <c r="C1" s="1123"/>
      <c r="D1" s="1123"/>
      <c r="E1" s="1124"/>
      <c r="F1" s="1124"/>
      <c r="G1" s="1124"/>
      <c r="H1" s="1124"/>
      <c r="I1" s="1124"/>
      <c r="J1" s="1124"/>
      <c r="K1" s="1124"/>
      <c r="L1" s="1124"/>
      <c r="M1" s="1123"/>
      <c r="N1" s="1123"/>
      <c r="O1" s="1123"/>
      <c r="P1" s="1123"/>
      <c r="Q1" s="1123"/>
      <c r="R1" s="1123"/>
      <c r="S1" s="1123"/>
      <c r="T1" s="1123"/>
      <c r="U1" s="1123"/>
      <c r="V1" s="1124"/>
      <c r="W1" s="1123"/>
      <c r="X1" s="1123"/>
      <c r="Y1" s="1123"/>
      <c r="Z1" s="1123"/>
      <c r="AA1" s="1123"/>
      <c r="AB1" s="1123"/>
      <c r="AC1" s="1123"/>
      <c r="AD1" s="1123"/>
      <c r="AE1" s="1123"/>
      <c r="AF1" s="1123"/>
      <c r="AG1" s="1123"/>
      <c r="AH1" s="1123"/>
      <c r="AI1" s="1123"/>
      <c r="AJ1" s="1123"/>
      <c r="AK1" s="1123"/>
      <c r="AL1" s="1123"/>
      <c r="AM1" s="1123"/>
      <c r="AN1" s="1123"/>
      <c r="AO1" s="1123"/>
      <c r="AP1" s="1123"/>
      <c r="AQ1" s="1123"/>
      <c r="AR1" s="1123"/>
      <c r="AS1" s="1123"/>
      <c r="AT1" s="1123"/>
      <c r="AU1" s="1123"/>
      <c r="AV1" s="1123"/>
      <c r="AW1" s="1123"/>
      <c r="AX1" s="1123"/>
      <c r="AY1" s="1123"/>
      <c r="AZ1" s="1123"/>
      <c r="BA1" s="1123"/>
      <c r="BB1" s="1123"/>
      <c r="BC1" s="1123"/>
      <c r="BD1" s="1123"/>
      <c r="BE1" s="1123"/>
      <c r="BF1" s="1123"/>
      <c r="BG1" s="1123"/>
      <c r="BH1" s="1123"/>
      <c r="BI1" s="1123"/>
      <c r="BJ1" s="1123"/>
      <c r="BK1" s="1123"/>
      <c r="BL1" s="1123"/>
      <c r="BM1" s="1123"/>
    </row>
    <row r="2">
      <c r="A2" s="1123"/>
      <c r="B2" s="1125"/>
      <c r="C2" s="1125"/>
      <c r="D2" s="1125"/>
      <c r="E2" s="1126"/>
      <c r="F2" s="1127" t="str">
        <f>IFERROR(__xludf.DUMMYFUNCTION("IF(F6="""",""🎉 eShard Labs are complete 🎉"", SPARKLINE(AQ5:AQ35))"),"")</f>
        <v/>
      </c>
      <c r="G2" s="1128"/>
      <c r="H2" s="1128"/>
      <c r="I2" s="1128"/>
      <c r="J2" s="1128"/>
      <c r="K2" s="1128"/>
      <c r="L2" s="1129" t="s">
        <v>620</v>
      </c>
      <c r="M2" s="1125"/>
      <c r="N2" s="1125"/>
      <c r="O2" s="1125"/>
      <c r="P2" s="1125"/>
      <c r="Q2" s="1125"/>
      <c r="R2" s="1125"/>
      <c r="S2" s="1125"/>
      <c r="T2" s="1125"/>
      <c r="U2" s="1125"/>
      <c r="V2" s="1130"/>
      <c r="W2" s="1125"/>
      <c r="X2" s="1125"/>
      <c r="Y2" s="1125"/>
      <c r="Z2" s="1125"/>
      <c r="AA2" s="1125"/>
      <c r="AB2" s="1125"/>
      <c r="AC2" s="1125"/>
      <c r="AD2" s="1125"/>
      <c r="AE2" s="1125"/>
      <c r="AF2" s="1125"/>
      <c r="AG2" s="1125"/>
      <c r="AH2" s="1125"/>
      <c r="AI2" s="1125"/>
      <c r="AJ2" s="1125"/>
      <c r="AK2" s="1125"/>
      <c r="AL2" s="1125"/>
      <c r="AM2" s="1125"/>
      <c r="AN2" s="1125"/>
      <c r="AO2" s="1125"/>
      <c r="AP2" s="1125"/>
      <c r="AQ2" s="1125"/>
      <c r="AR2" s="1125"/>
      <c r="AS2" s="1125"/>
      <c r="AT2" s="1125"/>
      <c r="AU2" s="1125"/>
      <c r="AV2" s="1125"/>
      <c r="AW2" s="1125"/>
      <c r="AX2" s="1125"/>
      <c r="AY2" s="1125"/>
      <c r="AZ2" s="1125"/>
      <c r="BA2" s="1125"/>
      <c r="BB2" s="1125"/>
      <c r="BC2" s="1125"/>
      <c r="BD2" s="1125"/>
      <c r="BE2" s="1125"/>
      <c r="BF2" s="1125"/>
      <c r="BG2" s="1125"/>
      <c r="BH2" s="1125"/>
      <c r="BI2" s="1125"/>
      <c r="BJ2" s="1125"/>
      <c r="BK2" s="1125"/>
      <c r="BL2" s="1125"/>
      <c r="BM2" s="1125"/>
    </row>
    <row r="3">
      <c r="A3" s="1123"/>
      <c r="B3" s="1125"/>
      <c r="C3" s="1131" t="s">
        <v>146</v>
      </c>
      <c r="D3" s="1125"/>
      <c r="E3" s="1132" t="s">
        <v>621</v>
      </c>
      <c r="F3" s="1133" t="s">
        <v>622</v>
      </c>
      <c r="G3" s="1134"/>
      <c r="H3" s="1134"/>
      <c r="I3" s="1134"/>
      <c r="J3" s="1134"/>
      <c r="K3" s="1134"/>
      <c r="L3" s="1135"/>
      <c r="M3" s="1125"/>
      <c r="N3" s="1136" t="s">
        <v>623</v>
      </c>
      <c r="O3" s="1125"/>
      <c r="P3" s="1137" t="s">
        <v>624</v>
      </c>
      <c r="Q3" s="609"/>
      <c r="R3" s="609"/>
      <c r="S3" s="609"/>
      <c r="T3" s="610"/>
      <c r="U3" s="1125"/>
      <c r="V3" s="1138" t="s">
        <v>625</v>
      </c>
      <c r="W3" s="1130"/>
      <c r="X3" s="1139" t="s">
        <v>626</v>
      </c>
      <c r="Y3" s="1140"/>
      <c r="Z3" s="1140"/>
      <c r="AA3" s="1141"/>
      <c r="AB3" s="1142" t="s">
        <v>627</v>
      </c>
      <c r="AC3" s="1141"/>
      <c r="AD3" s="1125"/>
      <c r="AE3" s="1143" t="s">
        <v>628</v>
      </c>
      <c r="AF3" s="29"/>
      <c r="AG3" s="29"/>
      <c r="AH3" s="29"/>
      <c r="AI3" s="29"/>
      <c r="AJ3" s="30"/>
      <c r="AK3" s="1125"/>
      <c r="AL3" s="1143" t="s">
        <v>629</v>
      </c>
      <c r="AM3" s="29"/>
      <c r="AN3" s="29"/>
      <c r="AO3" s="29"/>
      <c r="AP3" s="29"/>
      <c r="AQ3" s="30"/>
      <c r="AR3" s="1125"/>
      <c r="AS3" s="1143" t="s">
        <v>630</v>
      </c>
      <c r="AT3" s="29"/>
      <c r="AU3" s="29"/>
      <c r="AV3" s="29"/>
      <c r="AW3" s="29"/>
      <c r="AX3" s="30"/>
      <c r="AY3" s="1125"/>
      <c r="AZ3" s="1143" t="s">
        <v>631</v>
      </c>
      <c r="BA3" s="29"/>
      <c r="BB3" s="29"/>
      <c r="BC3" s="29"/>
      <c r="BD3" s="29"/>
      <c r="BE3" s="30"/>
      <c r="BF3" s="1125"/>
      <c r="BG3" s="1143" t="s">
        <v>632</v>
      </c>
      <c r="BH3" s="29"/>
      <c r="BI3" s="29"/>
      <c r="BJ3" s="29"/>
      <c r="BK3" s="29"/>
      <c r="BL3" s="30"/>
      <c r="BM3" s="1125"/>
    </row>
    <row r="4">
      <c r="A4" s="1123"/>
      <c r="B4" s="1125"/>
      <c r="C4" s="1144" t="s">
        <v>147</v>
      </c>
      <c r="D4" s="1125"/>
      <c r="E4" s="415"/>
      <c r="F4" s="1145" t="s">
        <v>626</v>
      </c>
      <c r="G4" s="1145" t="s">
        <v>134</v>
      </c>
      <c r="H4" s="1146" t="s">
        <v>263</v>
      </c>
      <c r="I4" s="1145" t="s">
        <v>633</v>
      </c>
      <c r="J4" s="1147" t="s">
        <v>634</v>
      </c>
      <c r="K4" s="1148" t="s">
        <v>635</v>
      </c>
      <c r="L4" s="1149" t="s">
        <v>636</v>
      </c>
      <c r="M4" s="1125"/>
      <c r="N4" s="1150" t="str">
        <f>FORMAT_TIME_YEAR(SUM(D6:D150))</f>
        <v>119d  3h 45m</v>
      </c>
      <c r="O4" s="1125"/>
      <c r="P4" s="1151" t="s">
        <v>637</v>
      </c>
      <c r="Q4" s="672"/>
      <c r="R4" s="672"/>
      <c r="S4" s="365"/>
      <c r="T4" s="1152">
        <v>10000.0</v>
      </c>
      <c r="U4" s="1125"/>
      <c r="W4" s="1130"/>
      <c r="X4" s="1153" t="s">
        <v>601</v>
      </c>
      <c r="Y4" s="1154" t="s">
        <v>446</v>
      </c>
      <c r="Z4" s="1154" t="s">
        <v>135</v>
      </c>
      <c r="AA4" s="1155" t="s">
        <v>402</v>
      </c>
      <c r="AB4" s="1156" t="s">
        <v>601</v>
      </c>
      <c r="AC4" s="1157" t="s">
        <v>402</v>
      </c>
      <c r="AD4" s="1125"/>
      <c r="AE4" s="1158" t="s">
        <v>146</v>
      </c>
      <c r="AF4" s="1158" t="s">
        <v>147</v>
      </c>
      <c r="AG4" s="1158" t="s">
        <v>149</v>
      </c>
      <c r="AH4" s="1158" t="s">
        <v>150</v>
      </c>
      <c r="AI4" s="1159" t="s">
        <v>143</v>
      </c>
      <c r="AJ4" s="1160" t="s">
        <v>145</v>
      </c>
      <c r="AK4" s="1125"/>
      <c r="AL4" s="1158" t="s">
        <v>146</v>
      </c>
      <c r="AM4" s="1158" t="s">
        <v>147</v>
      </c>
      <c r="AN4" s="1158" t="s">
        <v>149</v>
      </c>
      <c r="AO4" s="1158" t="s">
        <v>150</v>
      </c>
      <c r="AP4" s="1160" t="s">
        <v>145</v>
      </c>
      <c r="AQ4" s="1160" t="s">
        <v>638</v>
      </c>
      <c r="AR4" s="1125"/>
      <c r="AS4" s="1158" t="s">
        <v>146</v>
      </c>
      <c r="AT4" s="1158" t="s">
        <v>147</v>
      </c>
      <c r="AU4" s="1158" t="s">
        <v>149</v>
      </c>
      <c r="AV4" s="1158" t="s">
        <v>150</v>
      </c>
      <c r="AW4" s="1160" t="s">
        <v>143</v>
      </c>
      <c r="AX4" s="1160" t="s">
        <v>145</v>
      </c>
      <c r="AY4" s="1125"/>
      <c r="AZ4" s="1158" t="s">
        <v>146</v>
      </c>
      <c r="BA4" s="1158" t="s">
        <v>147</v>
      </c>
      <c r="BB4" s="1158" t="s">
        <v>149</v>
      </c>
      <c r="BC4" s="1158" t="s">
        <v>150</v>
      </c>
      <c r="BD4" s="1160" t="s">
        <v>143</v>
      </c>
      <c r="BE4" s="1160" t="s">
        <v>145</v>
      </c>
      <c r="BF4" s="1125"/>
      <c r="BG4" s="1158" t="s">
        <v>146</v>
      </c>
      <c r="BH4" s="1158" t="s">
        <v>147</v>
      </c>
      <c r="BI4" s="1158" t="s">
        <v>149</v>
      </c>
      <c r="BJ4" s="1158" t="s">
        <v>150</v>
      </c>
      <c r="BK4" s="1160" t="s">
        <v>143</v>
      </c>
      <c r="BL4" s="1160" t="s">
        <v>145</v>
      </c>
      <c r="BM4" s="1125"/>
    </row>
    <row r="5">
      <c r="A5" s="1123"/>
      <c r="B5" s="1125"/>
      <c r="C5" s="1161" t="s">
        <v>149</v>
      </c>
      <c r="D5" s="1162" t="str">
        <f>RIGHT($L$5,LEN($L$5)-1)</f>
        <v>1</v>
      </c>
      <c r="E5" s="415"/>
      <c r="F5" s="365"/>
      <c r="G5" s="365"/>
      <c r="H5" s="150"/>
      <c r="I5" s="365"/>
      <c r="J5" s="365"/>
      <c r="K5" s="365"/>
      <c r="L5" s="1163" t="s">
        <v>639</v>
      </c>
      <c r="M5" s="1125"/>
      <c r="N5" s="1164" t="s">
        <v>640</v>
      </c>
      <c r="O5" s="1125"/>
      <c r="P5" s="1165" t="s">
        <v>641</v>
      </c>
      <c r="Q5" s="29"/>
      <c r="R5" s="29"/>
      <c r="S5" s="30"/>
      <c r="T5" s="1166">
        <v>10.0</v>
      </c>
      <c r="U5" s="1125"/>
      <c r="W5" s="1167" t="s">
        <v>143</v>
      </c>
      <c r="X5" s="1168">
        <f>'Master Sheet'!C5</f>
        <v>20</v>
      </c>
      <c r="Y5" s="1169" t="str">
        <f>IDS_LAB_TARGET(W5)</f>
        <v/>
      </c>
      <c r="Z5" s="1170">
        <v>20.0</v>
      </c>
      <c r="AA5" s="1171">
        <f>X5*0.2%</f>
        <v>0.04</v>
      </c>
      <c r="AB5" s="1172">
        <f>MAX('_IDS'!G49:H49)</f>
        <v>60</v>
      </c>
      <c r="AC5" s="1171">
        <f>6%+0.4%*AB5</f>
        <v>0.3</v>
      </c>
      <c r="AD5" s="1125"/>
      <c r="AE5" s="1173">
        <f>X7</f>
        <v>10</v>
      </c>
      <c r="AF5" s="1173">
        <f>X8</f>
        <v>50</v>
      </c>
      <c r="AG5" s="1173">
        <f>X9</f>
        <v>10</v>
      </c>
      <c r="AH5" s="1173">
        <f>X10</f>
        <v>5</v>
      </c>
      <c r="AI5" s="1174">
        <f>X5</f>
        <v>20</v>
      </c>
      <c r="AJ5" s="1175">
        <f>X11</f>
        <v>3</v>
      </c>
      <c r="AK5" s="1125"/>
      <c r="AL5" s="1173">
        <f t="shared" ref="AL5:AL150" si="3">(2%+0.1%*AE5)*($T$4/$T$5)*5*(1+AO5)</f>
        <v>300</v>
      </c>
      <c r="AM5" s="1173">
        <f t="shared" ref="AM5:AM150" si="4">AF5*6</f>
        <v>300</v>
      </c>
      <c r="AN5" s="1173">
        <f t="shared" ref="AN5:AN150" si="5">(0.5%+0.1%*AG5)*($T$4/$T$5)*10*(1+AO5)</f>
        <v>300</v>
      </c>
      <c r="AO5" s="1176">
        <f t="shared" ref="AO5:AO150" si="6">20%*AH5</f>
        <v>1</v>
      </c>
      <c r="AP5" s="1175">
        <f t="shared" ref="AP5:AP150" si="7">IF(NOT(AND($T$8, $T$11)), "", LET(
  RPC, $AC$5+(0.2%*AI5)+IF(AND($T$8, $T$10), $R$10, 0)+$Y$14+$AC$14,
  RPCB, IF($X$6=1, (RPC*($T$5-1)+1)/$T$5, RPC),
  RPCC, 0.4%*(AJ5+1),
RPCB*RPCC*$T$4)*5*(1+AO5))</f>
        <v>1290.4</v>
      </c>
      <c r="AQ5" s="1177">
        <f t="shared" ref="AQ5:AQ150" si="8">AL5+AM5+AN5+AP5</f>
        <v>2190.4</v>
      </c>
      <c r="AR5" s="1125"/>
      <c r="AS5" s="1173" t="str">
        <f t="shared" ref="AS5:AS150" si="9">IF(IF(OR($T$6,ISBLANK($Y$7)), AE5+1&gt;$Z$7, AE5+1&gt;$Y$7), "", LET(
  CDC, (2%+0.1%*(AE5+1))*($T$4/$T$5)*5*(1+AO5),
CDC + AM5 + AN5 + AP5))</f>
        <v/>
      </c>
      <c r="AT5" s="1173" t="str">
        <f t="shared" ref="AT5:AT150" si="10">IF(IF(OR($T$6,ISBLANK($Y$8)), AF5+1&gt;$Z$8, AF5+1&gt;$Y$8), "", LET(
  DMS, (AF5+1)*6,
AL5 + DMS + AN5 + AP5))</f>
        <v/>
      </c>
      <c r="AU5" s="1173" t="str">
        <f t="shared" ref="AU5:AU150" si="11">IF(IF(OR($T$6,ISBLANK($Y$9)), AG5+1&gt;$Z$9, AG5+1&gt;$Y$9), "", LET(
  RDC, (0.5%+0.1%*(AG5+1))*($T$4/$T$5)*10*(1+AO5),
AL5 + AM5 + RDC + AP5))</f>
        <v/>
      </c>
      <c r="AV5" s="1173" t="str">
        <f t="shared" ref="AV5:AV150" si="12">IF(IF(OR($T$6,ISBLANK($Y$10)), AH5+1&gt;$Z$10, AH5+1&gt;$Y$10), "", LET(
  SS, 20%*(AH5+1),
  CDC, (2%+0.1%*AE5)*($T$4/$T$5)*5*(1+SS),
  RDC, (0.5%+0.1%*AG5)*($T$4/$T$5)*10*(1+SS),
  RPC, $AC$5+(0.2%*AI5)+IF(AND($T$8, $T$10), $R$10, 0)+$Y$14+$AC$14,
  RPCB, IF($X$6=1, (RPC*($T$5-1)+1)/$T$5, RPC),
  RPCC, 0.4%*(AJ5+1),
    RPCM, IF(AND($T$8, $T$11), RPCB*RPCC*$T$4*5*(1+SS), 0),
CDC + AM5 + RDC + RPCM))</f>
        <v/>
      </c>
      <c r="AW5" s="1178" t="str">
        <f t="shared" ref="AW5:AW150" si="13">IF(OR(NOT(AND($T$8, $T$11)), IF(OR($T$6, ISBLANK($Y$5)), AI5+1&gt;$Z$5, AI5+1&gt;$Y$5)), "", LET(
  RPC, $AC$5+(0.2%*(AI5+1))+IF(AND($T$8, $T$10), $R$10, 0)+$Y$14+$AC$14,
  RPCB, IF($X$6=1, (RPC*($T$5-1)+1)/$T$5, RPC),
  RPCC, 0.4%*(AJ5+1),
    RPCM, RPCB*RPCC*$T$4*5*(1+AO5),
AL5 + AM5 + AN5 + RPCM))</f>
        <v/>
      </c>
      <c r="AX5" s="1175">
        <f t="shared" ref="AX5:AX150" si="14">IF(OR(NOT(AND($T$8, $T$11)), IF(OR($T$6,ISBLANK($Y$11)), AJ5+1&gt;$Z$11, AJ5+1&gt;$Y$11)), "", LET(
  RPC, $AC$5+(0.2%*AI5)+IF(AND($T$8, $T$10), $R$10, 0)+$Y$14+$AC$14,
  RPCB, IF($X$6=1, (RPC*($T$5-1)+1)/$T$5, RPC),
  RPCC, 0.4%*(AJ5+2),
    RPCM, RPCB*RPCC*$T$4*5*(1+AO5),
AL5 + AM5 + AN5 + RPCM))</f>
        <v>2513</v>
      </c>
      <c r="AY5" s="1125"/>
      <c r="AZ5" s="1179" t="str">
        <f t="shared" ref="AZ5:BD5" si="1">IF(AS5="", "", (AS5/$AQ5-1)/LABDURATION_SINGLE_ADJUSTED(AZ$4, AE5+1))</f>
        <v/>
      </c>
      <c r="BA5" s="1179" t="str">
        <f t="shared" si="1"/>
        <v/>
      </c>
      <c r="BB5" s="1179" t="str">
        <f t="shared" si="1"/>
        <v/>
      </c>
      <c r="BC5" s="1179" t="str">
        <f t="shared" si="1"/>
        <v/>
      </c>
      <c r="BD5" s="1180" t="str">
        <f t="shared" si="1"/>
        <v/>
      </c>
      <c r="BE5" s="1181">
        <f t="shared" ref="BE5:BE150" si="16">IF(AX5="", "", (AX5/$AQ5-1)/LABDURATION_SINGLE_ADJUSTED("Card Mastery", AJ5+1))</f>
        <v>0.01112411518</v>
      </c>
      <c r="BF5" s="1125"/>
      <c r="BG5" s="1182" t="str">
        <f t="array" ref="BG5:BL5">IF(COLUMN(AZ5:BE5) = MIN(IF(AZ5:BE5=MAX(AZ5:BE5), COLUMN(AZ5:BE5))), 1, "")</f>
        <v/>
      </c>
      <c r="BH5" s="1182" t="s">
        <v>549</v>
      </c>
      <c r="BI5" s="1182" t="s">
        <v>549</v>
      </c>
      <c r="BJ5" s="1182" t="s">
        <v>549</v>
      </c>
      <c r="BK5" s="1174" t="s">
        <v>549</v>
      </c>
      <c r="BL5" s="1183">
        <v>1.0</v>
      </c>
      <c r="BM5" s="1125"/>
    </row>
    <row r="6">
      <c r="A6" s="1123"/>
      <c r="B6" s="1125"/>
      <c r="C6" s="1184" t="s">
        <v>150</v>
      </c>
      <c r="D6" s="1185">
        <f t="shared" ref="D6:D150" si="17">IF(SUM(BG5:BM5), LABDURATION_SINGLE_ADJUSTED(IF(ISNUMBER(SEARCH("Mastery", F6)),"Card Mastery", F6), G6)/$D$5, "")</f>
        <v>13.23961802</v>
      </c>
      <c r="E6" s="415"/>
      <c r="F6" s="1186" t="str">
        <f>IFERROR(__xludf.DUMMYFUNCTION("IF(SUM(BG5:BM5), ARRAYFORMULA(FILTER(BG$4:BM$4, BG5:BM5=1)), )"),"Recovery Package Chance Mastery")</f>
        <v>Recovery Package Chance Mastery</v>
      </c>
      <c r="G6" s="1187">
        <f>IFERROR(__xludf.DUMMYFUNCTION("IF(SUM(BG5:BM5),ARRAYFORMULA(FILTER(AE6:AJ6, BG5:BL5)), """")"),4.0)</f>
        <v>4</v>
      </c>
      <c r="H6" s="1188" t="str">
        <f t="shared" ref="H6:H150" si="18">IF(SUM(BG5:BM5), FORMAT_NUMBER(LABCOST_SINGLE_ADJUSTED(IF(ISNUMBER(SEARCH("Mastery", F6)), "Card Mastery", F6), G6-1)), )</f>
        <v>2.71 q</v>
      </c>
      <c r="I6" s="1187" t="str">
        <f t="array" ref="I6:I150">FORMAT_TIME(D6:D150)</f>
        <v>13d  5h 45m</v>
      </c>
      <c r="J6" s="1189">
        <f>IFERROR(__xludf.DUMMYFUNCTION("IF(SUM(BG5:BM5), ARRAYFORMULA(FILTER(AZ5:BE5, BG5:BL5=1))*D$5,"""")"),0.011124115178962763)</f>
        <v>0.01112411518</v>
      </c>
      <c r="K6" s="1190" t="str">
        <f t="array" ref="K6:K150">IF(ISBLANK(F6:F150), "", FORMAT_NUMBER(AQ6:AQ150))</f>
        <v>2.51 K</v>
      </c>
      <c r="L6" s="1191" t="str">
        <f t="array" ref="L6:L150">IF(D6:D150="", "", FORMAT_TIME_YEAR(SCAN(0, D6:D150, LAMBDA(acc, val, acc + val))))</f>
        <v>13d  5h 45m</v>
      </c>
      <c r="M6" s="1125"/>
      <c r="N6" s="1192">
        <f>AQ5</f>
        <v>2190.4</v>
      </c>
      <c r="O6" s="1125"/>
      <c r="P6" s="1193" t="s">
        <v>642</v>
      </c>
      <c r="Q6" s="691"/>
      <c r="R6" s="691"/>
      <c r="S6" s="692"/>
      <c r="T6" s="1194" t="b">
        <v>0</v>
      </c>
      <c r="U6" s="1125"/>
      <c r="W6" s="1195" t="s">
        <v>142</v>
      </c>
      <c r="X6" s="1196">
        <f>'Master Sheet'!C4</f>
        <v>1</v>
      </c>
      <c r="Y6" s="1197" t="s">
        <v>643</v>
      </c>
      <c r="Z6" s="1198">
        <v>1.0</v>
      </c>
      <c r="AA6" s="1199" t="s">
        <v>643</v>
      </c>
      <c r="AB6" s="1200" t="s">
        <v>643</v>
      </c>
      <c r="AC6" s="1201"/>
      <c r="AD6" s="1125"/>
      <c r="AE6" s="1173">
        <f t="shared" ref="AE6:AJ6" si="2">AE5+BG5</f>
        <v>10</v>
      </c>
      <c r="AF6" s="1173">
        <f t="shared" si="2"/>
        <v>50</v>
      </c>
      <c r="AG6" s="1173">
        <f t="shared" si="2"/>
        <v>10</v>
      </c>
      <c r="AH6" s="1173">
        <f t="shared" si="2"/>
        <v>5</v>
      </c>
      <c r="AI6" s="1174">
        <f t="shared" si="2"/>
        <v>20</v>
      </c>
      <c r="AJ6" s="1175">
        <f t="shared" si="2"/>
        <v>4</v>
      </c>
      <c r="AK6" s="1125"/>
      <c r="AL6" s="1173">
        <f t="shared" si="3"/>
        <v>300</v>
      </c>
      <c r="AM6" s="1173">
        <f t="shared" si="4"/>
        <v>300</v>
      </c>
      <c r="AN6" s="1173">
        <f t="shared" si="5"/>
        <v>300</v>
      </c>
      <c r="AO6" s="1176">
        <f t="shared" si="6"/>
        <v>1</v>
      </c>
      <c r="AP6" s="1175">
        <f t="shared" si="7"/>
        <v>1613</v>
      </c>
      <c r="AQ6" s="1177">
        <f t="shared" si="8"/>
        <v>2513</v>
      </c>
      <c r="AR6" s="1125"/>
      <c r="AS6" s="1173" t="str">
        <f t="shared" si="9"/>
        <v/>
      </c>
      <c r="AT6" s="1173" t="str">
        <f t="shared" si="10"/>
        <v/>
      </c>
      <c r="AU6" s="1173" t="str">
        <f t="shared" si="11"/>
        <v/>
      </c>
      <c r="AV6" s="1173" t="str">
        <f t="shared" si="12"/>
        <v/>
      </c>
      <c r="AW6" s="1178" t="str">
        <f t="shared" si="13"/>
        <v/>
      </c>
      <c r="AX6" s="1175">
        <f t="shared" si="14"/>
        <v>2835.6</v>
      </c>
      <c r="AY6" s="1125"/>
      <c r="AZ6" s="1179" t="str">
        <f t="shared" ref="AZ6:BD6" si="15">IF(AS6="", "", (AS6/$AQ6-1)/LABDURATION_SINGLE_ADJUSTED(AZ$4, AE6+1))</f>
        <v/>
      </c>
      <c r="BA6" s="1179" t="str">
        <f t="shared" si="15"/>
        <v/>
      </c>
      <c r="BB6" s="1179" t="str">
        <f t="shared" si="15"/>
        <v/>
      </c>
      <c r="BC6" s="1179" t="str">
        <f t="shared" si="15"/>
        <v/>
      </c>
      <c r="BD6" s="1180" t="str">
        <f t="shared" si="15"/>
        <v/>
      </c>
      <c r="BE6" s="1181">
        <f t="shared" si="16"/>
        <v>0.008080070927</v>
      </c>
      <c r="BF6" s="1125"/>
      <c r="BG6" s="1182" t="str">
        <f t="array" ref="BG6:BL6">IF(COLUMN(AZ6:BE6) = MIN(IF(AZ6:BE6=MAX(AZ6:BE6), COLUMN(AZ6:BE6))), 1, "")</f>
        <v/>
      </c>
      <c r="BH6" s="1182" t="s">
        <v>549</v>
      </c>
      <c r="BI6" s="1182" t="s">
        <v>549</v>
      </c>
      <c r="BJ6" s="1182" t="s">
        <v>549</v>
      </c>
      <c r="BK6" s="1174" t="s">
        <v>549</v>
      </c>
      <c r="BL6" s="1183">
        <v>1.0</v>
      </c>
      <c r="BM6" s="1125"/>
    </row>
    <row r="7">
      <c r="A7" s="1123"/>
      <c r="B7" s="1125"/>
      <c r="C7" s="1202" t="s">
        <v>644</v>
      </c>
      <c r="D7" s="1185">
        <f t="shared" si="17"/>
        <v>15.88754163</v>
      </c>
      <c r="E7" s="415"/>
      <c r="F7" s="1186" t="str">
        <f>IFERROR(__xludf.DUMMYFUNCTION("IF(SUM(BG6:BM6), ARRAYFORMULA(FILTER(BG$4:BM$4, BG6:BM6=1)), )"),"Recovery Package Chance Mastery")</f>
        <v>Recovery Package Chance Mastery</v>
      </c>
      <c r="G7" s="1187">
        <f>IFERROR(__xludf.DUMMYFUNCTION("IF(SUM(BG6:BM6),ARRAYFORMULA(FILTER(AE7:AJ7, BG6:BL6)), """")"),5.0)</f>
        <v>5</v>
      </c>
      <c r="H7" s="1188" t="str">
        <f t="shared" si="18"/>
        <v>4.46 q</v>
      </c>
      <c r="I7" s="1187" t="s">
        <v>645</v>
      </c>
      <c r="J7" s="1189">
        <f>IFERROR(__xludf.DUMMYFUNCTION("IF(SUM(BG6:BM6), ARRAYFORMULA(FILTER(AZ6:BE6, BG6:BL6=1))*D$5,"""")"),0.008080070927178686)</f>
        <v>0.008080070927</v>
      </c>
      <c r="K7" s="1190" t="s">
        <v>646</v>
      </c>
      <c r="L7" s="1203" t="s">
        <v>647</v>
      </c>
      <c r="M7" s="1125"/>
      <c r="N7" s="1125"/>
      <c r="O7" s="1125"/>
      <c r="P7" s="1125"/>
      <c r="Q7" s="1125"/>
      <c r="R7" s="1125"/>
      <c r="S7" s="1125"/>
      <c r="T7" s="1125"/>
      <c r="U7" s="1125"/>
      <c r="W7" s="1204" t="s">
        <v>146</v>
      </c>
      <c r="X7" s="1205">
        <f>'Master Sheet'!C7</f>
        <v>10</v>
      </c>
      <c r="Y7" s="1206" t="str">
        <f t="shared" ref="Y7:Y11" si="21">IDS_LAB_TARGET(W7)</f>
        <v/>
      </c>
      <c r="Z7" s="1207">
        <v>10.0</v>
      </c>
      <c r="AA7" s="1208">
        <f>X7*0.1%</f>
        <v>0.01</v>
      </c>
      <c r="AB7" s="1125"/>
      <c r="AC7" s="1125"/>
      <c r="AD7" s="1125"/>
      <c r="AE7" s="1173">
        <f t="shared" ref="AE7:AJ7" si="19">AE6+BG6</f>
        <v>10</v>
      </c>
      <c r="AF7" s="1173">
        <f t="shared" si="19"/>
        <v>50</v>
      </c>
      <c r="AG7" s="1173">
        <f t="shared" si="19"/>
        <v>10</v>
      </c>
      <c r="AH7" s="1173">
        <f t="shared" si="19"/>
        <v>5</v>
      </c>
      <c r="AI7" s="1174">
        <f t="shared" si="19"/>
        <v>20</v>
      </c>
      <c r="AJ7" s="1175">
        <f t="shared" si="19"/>
        <v>5</v>
      </c>
      <c r="AK7" s="1125"/>
      <c r="AL7" s="1173">
        <f t="shared" si="3"/>
        <v>300</v>
      </c>
      <c r="AM7" s="1173">
        <f t="shared" si="4"/>
        <v>300</v>
      </c>
      <c r="AN7" s="1173">
        <f t="shared" si="5"/>
        <v>300</v>
      </c>
      <c r="AO7" s="1176">
        <f t="shared" si="6"/>
        <v>1</v>
      </c>
      <c r="AP7" s="1175">
        <f t="shared" si="7"/>
        <v>1935.6</v>
      </c>
      <c r="AQ7" s="1177">
        <f t="shared" si="8"/>
        <v>2835.6</v>
      </c>
      <c r="AR7" s="1125"/>
      <c r="AS7" s="1173" t="str">
        <f t="shared" si="9"/>
        <v/>
      </c>
      <c r="AT7" s="1173" t="str">
        <f t="shared" si="10"/>
        <v/>
      </c>
      <c r="AU7" s="1173" t="str">
        <f t="shared" si="11"/>
        <v/>
      </c>
      <c r="AV7" s="1173" t="str">
        <f t="shared" si="12"/>
        <v/>
      </c>
      <c r="AW7" s="1178" t="str">
        <f t="shared" si="13"/>
        <v/>
      </c>
      <c r="AX7" s="1175">
        <f t="shared" si="14"/>
        <v>3158.2</v>
      </c>
      <c r="AY7" s="1125"/>
      <c r="AZ7" s="1179" t="str">
        <f t="shared" ref="AZ7:BD7" si="20">IF(AS7="", "", (AS7/$AQ7-1)/LABDURATION_SINGLE_ADJUSTED(AZ$4, AE7+1))</f>
        <v/>
      </c>
      <c r="BA7" s="1179" t="str">
        <f t="shared" si="20"/>
        <v/>
      </c>
      <c r="BB7" s="1179" t="str">
        <f t="shared" si="20"/>
        <v/>
      </c>
      <c r="BC7" s="1179" t="str">
        <f t="shared" si="20"/>
        <v/>
      </c>
      <c r="BD7" s="1180" t="str">
        <f t="shared" si="20"/>
        <v/>
      </c>
      <c r="BE7" s="1181">
        <f t="shared" si="16"/>
        <v>0.006137844822</v>
      </c>
      <c r="BF7" s="1125"/>
      <c r="BG7" s="1182" t="str">
        <f t="array" ref="BG7:BL7">IF(COLUMN(AZ7:BE7) = MIN(IF(AZ7:BE7=MAX(AZ7:BE7), COLUMN(AZ7:BE7))), 1, "")</f>
        <v/>
      </c>
      <c r="BH7" s="1182" t="s">
        <v>549</v>
      </c>
      <c r="BI7" s="1182" t="s">
        <v>549</v>
      </c>
      <c r="BJ7" s="1182" t="s">
        <v>549</v>
      </c>
      <c r="BK7" s="1174" t="s">
        <v>549</v>
      </c>
      <c r="BL7" s="1183">
        <v>1.0</v>
      </c>
      <c r="BM7" s="1125"/>
    </row>
    <row r="8">
      <c r="A8" s="1123"/>
      <c r="B8" s="1125"/>
      <c r="C8" s="1209" t="s">
        <v>143</v>
      </c>
      <c r="D8" s="1185">
        <f t="shared" si="17"/>
        <v>18.53546523</v>
      </c>
      <c r="E8" s="415"/>
      <c r="F8" s="1186" t="str">
        <f>IFERROR(__xludf.DUMMYFUNCTION("IF(SUM(BG7:BM7), ARRAYFORMULA(FILTER(BG$4:BM$4, BG7:BM7=1)), )"),"Recovery Package Chance Mastery")</f>
        <v>Recovery Package Chance Mastery</v>
      </c>
      <c r="G8" s="1187">
        <f>IFERROR(__xludf.DUMMYFUNCTION("IF(SUM(BG7:BM7),ARRAYFORMULA(FILTER(AE8:AJ8, BG7:BL7)), """")"),6.0)</f>
        <v>6</v>
      </c>
      <c r="H8" s="1188" t="str">
        <f t="shared" si="18"/>
        <v>6.13 q</v>
      </c>
      <c r="I8" s="1187" t="s">
        <v>648</v>
      </c>
      <c r="J8" s="1189">
        <f>IFERROR(__xludf.DUMMYFUNCTION("IF(SUM(BG7:BM7), ARRAYFORMULA(FILTER(AZ7:BE7, BG7:BL7=1))*D$5,"""")"),0.006137844821957552)</f>
        <v>0.006137844822</v>
      </c>
      <c r="K8" s="1190" t="s">
        <v>649</v>
      </c>
      <c r="L8" s="1203" t="s">
        <v>650</v>
      </c>
      <c r="M8" s="1125"/>
      <c r="N8" s="1125"/>
      <c r="O8" s="1125"/>
      <c r="P8" s="1210" t="s">
        <v>651</v>
      </c>
      <c r="Q8" s="120"/>
      <c r="R8" s="120"/>
      <c r="S8" s="1211"/>
      <c r="T8" s="1212" t="b">
        <v>1</v>
      </c>
      <c r="U8" s="1125"/>
      <c r="W8" s="1204" t="s">
        <v>147</v>
      </c>
      <c r="X8" s="1205">
        <f>'Master Sheet'!C8</f>
        <v>50</v>
      </c>
      <c r="Y8" s="1206">
        <f t="shared" si="21"/>
        <v>50</v>
      </c>
      <c r="Z8" s="1207">
        <v>50.0</v>
      </c>
      <c r="AA8" s="1213">
        <f>X8</f>
        <v>50</v>
      </c>
      <c r="AB8" s="1125"/>
      <c r="AC8" s="1125"/>
      <c r="AD8" s="1125"/>
      <c r="AE8" s="1173">
        <f t="shared" ref="AE8:AJ8" si="22">AE7+BG7</f>
        <v>10</v>
      </c>
      <c r="AF8" s="1173">
        <f t="shared" si="22"/>
        <v>50</v>
      </c>
      <c r="AG8" s="1173">
        <f t="shared" si="22"/>
        <v>10</v>
      </c>
      <c r="AH8" s="1173">
        <f t="shared" si="22"/>
        <v>5</v>
      </c>
      <c r="AI8" s="1174">
        <f t="shared" si="22"/>
        <v>20</v>
      </c>
      <c r="AJ8" s="1175">
        <f t="shared" si="22"/>
        <v>6</v>
      </c>
      <c r="AK8" s="1125"/>
      <c r="AL8" s="1173">
        <f t="shared" si="3"/>
        <v>300</v>
      </c>
      <c r="AM8" s="1173">
        <f t="shared" si="4"/>
        <v>300</v>
      </c>
      <c r="AN8" s="1173">
        <f t="shared" si="5"/>
        <v>300</v>
      </c>
      <c r="AO8" s="1176">
        <f t="shared" si="6"/>
        <v>1</v>
      </c>
      <c r="AP8" s="1175">
        <f t="shared" si="7"/>
        <v>2258.2</v>
      </c>
      <c r="AQ8" s="1177">
        <f t="shared" si="8"/>
        <v>3158.2</v>
      </c>
      <c r="AR8" s="1125"/>
      <c r="AS8" s="1173" t="str">
        <f t="shared" si="9"/>
        <v/>
      </c>
      <c r="AT8" s="1173" t="str">
        <f t="shared" si="10"/>
        <v/>
      </c>
      <c r="AU8" s="1173" t="str">
        <f t="shared" si="11"/>
        <v/>
      </c>
      <c r="AV8" s="1173" t="str">
        <f t="shared" si="12"/>
        <v/>
      </c>
      <c r="AW8" s="1178" t="str">
        <f t="shared" si="13"/>
        <v/>
      </c>
      <c r="AX8" s="1175">
        <f t="shared" si="14"/>
        <v>3480.8</v>
      </c>
      <c r="AY8" s="1125"/>
      <c r="AZ8" s="1179" t="str">
        <f t="shared" ref="AZ8:BD8" si="23">IF(AS8="", "", (AS8/$AQ8-1)/LABDURATION_SINGLE_ADJUSTED(AZ$4, AE8+1))</f>
        <v/>
      </c>
      <c r="BA8" s="1179" t="str">
        <f t="shared" si="23"/>
        <v/>
      </c>
      <c r="BB8" s="1179" t="str">
        <f t="shared" si="23"/>
        <v/>
      </c>
      <c r="BC8" s="1179" t="str">
        <f t="shared" si="23"/>
        <v/>
      </c>
      <c r="BD8" s="1180" t="str">
        <f t="shared" si="23"/>
        <v/>
      </c>
      <c r="BE8" s="1181">
        <f t="shared" si="16"/>
        <v>0.004822023203</v>
      </c>
      <c r="BF8" s="1125"/>
      <c r="BG8" s="1182" t="str">
        <f t="array" ref="BG8:BL8">IF(COLUMN(AZ8:BE8) = MIN(IF(AZ8:BE8=MAX(AZ8:BE8), COLUMN(AZ8:BE8))), 1, "")</f>
        <v/>
      </c>
      <c r="BH8" s="1182" t="s">
        <v>549</v>
      </c>
      <c r="BI8" s="1182" t="s">
        <v>549</v>
      </c>
      <c r="BJ8" s="1182" t="s">
        <v>549</v>
      </c>
      <c r="BK8" s="1174" t="s">
        <v>549</v>
      </c>
      <c r="BL8" s="1183">
        <v>1.0</v>
      </c>
      <c r="BM8" s="1125"/>
    </row>
    <row r="9">
      <c r="A9" s="1123"/>
      <c r="B9" s="1125"/>
      <c r="C9" s="1125"/>
      <c r="D9" s="1185">
        <f t="shared" si="17"/>
        <v>21.18338883</v>
      </c>
      <c r="E9" s="415"/>
      <c r="F9" s="1186" t="str">
        <f>IFERROR(__xludf.DUMMYFUNCTION("IF(SUM(BG8:BM8), ARRAYFORMULA(FILTER(BG$4:BM$4, BG8:BM8=1)), )"),"Recovery Package Chance Mastery")</f>
        <v>Recovery Package Chance Mastery</v>
      </c>
      <c r="G9" s="1187">
        <f>IFERROR(__xludf.DUMMYFUNCTION("IF(SUM(BG8:BM8),ARRAYFORMULA(FILTER(AE9:AJ9, BG8:BL8)), """")"),7.0)</f>
        <v>7</v>
      </c>
      <c r="H9" s="1188" t="str">
        <f t="shared" si="18"/>
        <v>7.24 q</v>
      </c>
      <c r="I9" s="1187" t="s">
        <v>652</v>
      </c>
      <c r="J9" s="1189">
        <f>IFERROR(__xludf.DUMMYFUNCTION("IF(SUM(BG8:BM8), ARRAYFORMULA(FILTER(AZ8:BE8, BG8:BL8=1))*D$5,"""")"),0.004822023203090356)</f>
        <v>0.004822023203</v>
      </c>
      <c r="K9" s="1190" t="s">
        <v>653</v>
      </c>
      <c r="L9" s="1203" t="s">
        <v>654</v>
      </c>
      <c r="M9" s="1125"/>
      <c r="N9" s="1125"/>
      <c r="O9" s="1125"/>
      <c r="P9" s="1214" t="s">
        <v>655</v>
      </c>
      <c r="Q9" s="1215"/>
      <c r="R9" s="1215"/>
      <c r="S9" s="1216">
        <f>IFERROR(AVERAGEIF('Master Sheet'!F52:F67, "&gt;0"), 0)</f>
        <v>0</v>
      </c>
      <c r="T9" s="1217"/>
      <c r="U9" s="1125"/>
      <c r="W9" s="1204" t="s">
        <v>149</v>
      </c>
      <c r="X9" s="1205">
        <f>'Master Sheet'!C10</f>
        <v>10</v>
      </c>
      <c r="Y9" s="1206">
        <f t="shared" si="21"/>
        <v>10</v>
      </c>
      <c r="Z9" s="1207">
        <v>10.0</v>
      </c>
      <c r="AA9" s="1208">
        <f>X9*0.1%</f>
        <v>0.01</v>
      </c>
      <c r="AB9" s="1125"/>
      <c r="AC9" s="1125"/>
      <c r="AD9" s="1125"/>
      <c r="AE9" s="1173">
        <f t="shared" ref="AE9:AJ9" si="24">AE8+BG8</f>
        <v>10</v>
      </c>
      <c r="AF9" s="1173">
        <f t="shared" si="24"/>
        <v>50</v>
      </c>
      <c r="AG9" s="1173">
        <f t="shared" si="24"/>
        <v>10</v>
      </c>
      <c r="AH9" s="1173">
        <f t="shared" si="24"/>
        <v>5</v>
      </c>
      <c r="AI9" s="1174">
        <f t="shared" si="24"/>
        <v>20</v>
      </c>
      <c r="AJ9" s="1175">
        <f t="shared" si="24"/>
        <v>7</v>
      </c>
      <c r="AK9" s="1125"/>
      <c r="AL9" s="1173">
        <f t="shared" si="3"/>
        <v>300</v>
      </c>
      <c r="AM9" s="1173">
        <f t="shared" si="4"/>
        <v>300</v>
      </c>
      <c r="AN9" s="1173">
        <f t="shared" si="5"/>
        <v>300</v>
      </c>
      <c r="AO9" s="1176">
        <f t="shared" si="6"/>
        <v>1</v>
      </c>
      <c r="AP9" s="1175">
        <f t="shared" si="7"/>
        <v>2580.8</v>
      </c>
      <c r="AQ9" s="1177">
        <f t="shared" si="8"/>
        <v>3480.8</v>
      </c>
      <c r="AR9" s="1125"/>
      <c r="AS9" s="1173" t="str">
        <f t="shared" si="9"/>
        <v/>
      </c>
      <c r="AT9" s="1173" t="str">
        <f t="shared" si="10"/>
        <v/>
      </c>
      <c r="AU9" s="1173" t="str">
        <f t="shared" si="11"/>
        <v/>
      </c>
      <c r="AV9" s="1173" t="str">
        <f t="shared" si="12"/>
        <v/>
      </c>
      <c r="AW9" s="1178" t="str">
        <f t="shared" si="13"/>
        <v/>
      </c>
      <c r="AX9" s="1175">
        <f t="shared" si="14"/>
        <v>3803.4</v>
      </c>
      <c r="AY9" s="1125"/>
      <c r="AZ9" s="1179" t="str">
        <f t="shared" ref="AZ9:BD9" si="25">IF(AS9="", "", (AS9/$AQ9-1)/LABDURATION_SINGLE_ADJUSTED(AZ$4, AE9+1))</f>
        <v/>
      </c>
      <c r="BA9" s="1179" t="str">
        <f t="shared" si="25"/>
        <v/>
      </c>
      <c r="BB9" s="1179" t="str">
        <f t="shared" si="25"/>
        <v/>
      </c>
      <c r="BC9" s="1179" t="str">
        <f t="shared" si="25"/>
        <v/>
      </c>
      <c r="BD9" s="1180" t="str">
        <f t="shared" si="25"/>
        <v/>
      </c>
      <c r="BE9" s="1181">
        <f t="shared" si="16"/>
        <v>0.00388899453</v>
      </c>
      <c r="BF9" s="1125"/>
      <c r="BG9" s="1182" t="str">
        <f t="array" ref="BG9:BL9">IF(COLUMN(AZ9:BE9) = MIN(IF(AZ9:BE9=MAX(AZ9:BE9), COLUMN(AZ9:BE9))), 1, "")</f>
        <v/>
      </c>
      <c r="BH9" s="1182" t="s">
        <v>549</v>
      </c>
      <c r="BI9" s="1182" t="s">
        <v>549</v>
      </c>
      <c r="BJ9" s="1182" t="s">
        <v>549</v>
      </c>
      <c r="BK9" s="1174" t="s">
        <v>549</v>
      </c>
      <c r="BL9" s="1183">
        <v>1.0</v>
      </c>
      <c r="BM9" s="1125"/>
    </row>
    <row r="10">
      <c r="A10" s="1123"/>
      <c r="B10" s="1125"/>
      <c r="C10" s="1125"/>
      <c r="D10" s="1185">
        <f t="shared" si="17"/>
        <v>23.83131244</v>
      </c>
      <c r="E10" s="415"/>
      <c r="F10" s="1186" t="str">
        <f>IFERROR(__xludf.DUMMYFUNCTION("IF(SUM(BG9:BM9), ARRAYFORMULA(FILTER(BG$4:BM$4, BG9:BM9=1)), )"),"Recovery Package Chance Mastery")</f>
        <v>Recovery Package Chance Mastery</v>
      </c>
      <c r="G10" s="1187">
        <f>IFERROR(__xludf.DUMMYFUNCTION("IF(SUM(BG9:BM9),ARRAYFORMULA(FILTER(AE10:AJ10, BG9:BL9)), """")"),8.0)</f>
        <v>8</v>
      </c>
      <c r="H10" s="1188" t="str">
        <f t="shared" si="18"/>
        <v>7.8 q</v>
      </c>
      <c r="I10" s="1187" t="s">
        <v>656</v>
      </c>
      <c r="J10" s="1189">
        <f>IFERROR(__xludf.DUMMYFUNCTION("IF(SUM(BG9:BM9), ARRAYFORMULA(FILTER(AZ9:BE9, BG9:BL9=1))*D$5,"""")"),0.0038889945299931173)</f>
        <v>0.00388899453</v>
      </c>
      <c r="K10" s="1190" t="s">
        <v>657</v>
      </c>
      <c r="L10" s="1203" t="s">
        <v>658</v>
      </c>
      <c r="M10" s="1125"/>
      <c r="N10" s="1125"/>
      <c r="O10" s="1125"/>
      <c r="P10" s="1218" t="s">
        <v>143</v>
      </c>
      <c r="Q10" s="1219" t="str">
        <f>"Lvl "&amp; IDS_CARD_LEVEL(P10)</f>
        <v>Lvl 7</v>
      </c>
      <c r="R10" s="1220">
        <f>12% + RIGHT(Q10,1) * 3%</f>
        <v>0.33</v>
      </c>
      <c r="S10" s="1221"/>
      <c r="T10" s="1222" t="b">
        <f>IDS_CARDS_IN_PRESET("Farming", P10)</f>
        <v>1</v>
      </c>
      <c r="U10" s="1125"/>
      <c r="W10" s="1223" t="s">
        <v>150</v>
      </c>
      <c r="X10" s="1224">
        <f>'Master Sheet'!C11</f>
        <v>5</v>
      </c>
      <c r="Y10" s="1225" t="str">
        <f t="shared" si="21"/>
        <v/>
      </c>
      <c r="Z10" s="1226">
        <v>5.0</v>
      </c>
      <c r="AA10" s="1227">
        <f>X10*20%</f>
        <v>1</v>
      </c>
      <c r="AB10" s="1125"/>
      <c r="AC10" s="1125"/>
      <c r="AD10" s="1125"/>
      <c r="AE10" s="1173">
        <f t="shared" ref="AE10:AJ10" si="26">AE9+BG9</f>
        <v>10</v>
      </c>
      <c r="AF10" s="1173">
        <f t="shared" si="26"/>
        <v>50</v>
      </c>
      <c r="AG10" s="1173">
        <f t="shared" si="26"/>
        <v>10</v>
      </c>
      <c r="AH10" s="1173">
        <f t="shared" si="26"/>
        <v>5</v>
      </c>
      <c r="AI10" s="1174">
        <f t="shared" si="26"/>
        <v>20</v>
      </c>
      <c r="AJ10" s="1175">
        <f t="shared" si="26"/>
        <v>8</v>
      </c>
      <c r="AK10" s="1125"/>
      <c r="AL10" s="1173">
        <f t="shared" si="3"/>
        <v>300</v>
      </c>
      <c r="AM10" s="1173">
        <f t="shared" si="4"/>
        <v>300</v>
      </c>
      <c r="AN10" s="1173">
        <f t="shared" si="5"/>
        <v>300</v>
      </c>
      <c r="AO10" s="1176">
        <f t="shared" si="6"/>
        <v>1</v>
      </c>
      <c r="AP10" s="1175">
        <f t="shared" si="7"/>
        <v>2903.4</v>
      </c>
      <c r="AQ10" s="1177">
        <f t="shared" si="8"/>
        <v>3803.4</v>
      </c>
      <c r="AR10" s="1125"/>
      <c r="AS10" s="1173" t="str">
        <f t="shared" si="9"/>
        <v/>
      </c>
      <c r="AT10" s="1173" t="str">
        <f t="shared" si="10"/>
        <v/>
      </c>
      <c r="AU10" s="1173" t="str">
        <f t="shared" si="11"/>
        <v/>
      </c>
      <c r="AV10" s="1173" t="str">
        <f t="shared" si="12"/>
        <v/>
      </c>
      <c r="AW10" s="1178" t="str">
        <f t="shared" si="13"/>
        <v/>
      </c>
      <c r="AX10" s="1175">
        <f t="shared" si="14"/>
        <v>4126</v>
      </c>
      <c r="AY10" s="1125"/>
      <c r="AZ10" s="1179" t="str">
        <f t="shared" ref="AZ10:BD10" si="27">IF(AS10="", "", (AS10/$AQ10-1)/LABDURATION_SINGLE_ADJUSTED(AZ$4, AE10+1))</f>
        <v/>
      </c>
      <c r="BA10" s="1179" t="str">
        <f t="shared" si="27"/>
        <v/>
      </c>
      <c r="BB10" s="1179" t="str">
        <f t="shared" si="27"/>
        <v/>
      </c>
      <c r="BC10" s="1179" t="str">
        <f t="shared" si="27"/>
        <v/>
      </c>
      <c r="BD10" s="1180" t="str">
        <f t="shared" si="27"/>
        <v/>
      </c>
      <c r="BE10" s="1181">
        <f t="shared" si="16"/>
        <v>0.003203221051</v>
      </c>
      <c r="BF10" s="1125"/>
      <c r="BG10" s="1182" t="str">
        <f t="array" ref="BG10:BL10">IF(COLUMN(AZ10:BE10) = MIN(IF(AZ10:BE10=MAX(AZ10:BE10), COLUMN(AZ10:BE10))), 1, "")</f>
        <v/>
      </c>
      <c r="BH10" s="1182" t="s">
        <v>549</v>
      </c>
      <c r="BI10" s="1182" t="s">
        <v>549</v>
      </c>
      <c r="BJ10" s="1182" t="s">
        <v>549</v>
      </c>
      <c r="BK10" s="1174" t="s">
        <v>549</v>
      </c>
      <c r="BL10" s="1183">
        <v>1.0</v>
      </c>
      <c r="BM10" s="1125"/>
    </row>
    <row r="11">
      <c r="A11" s="1123"/>
      <c r="B11" s="1125"/>
      <c r="C11" s="1125"/>
      <c r="D11" s="1185">
        <f t="shared" si="17"/>
        <v>26.47923604</v>
      </c>
      <c r="E11" s="415"/>
      <c r="F11" s="1186" t="str">
        <f>IFERROR(__xludf.DUMMYFUNCTION("IF(SUM(BG10:BM10), ARRAYFORMULA(FILTER(BG$4:BM$4, BG10:BM10=1)), )"),"Recovery Package Chance Mastery")</f>
        <v>Recovery Package Chance Mastery</v>
      </c>
      <c r="G11" s="1187">
        <f>IFERROR(__xludf.DUMMYFUNCTION("IF(SUM(BG10:BM10),ARRAYFORMULA(FILTER(AE11:AJ11, BG10:BL10)), """")"),9.0)</f>
        <v>9</v>
      </c>
      <c r="H11" s="1188" t="str">
        <f t="shared" si="18"/>
        <v>7.96 q</v>
      </c>
      <c r="I11" s="1187" t="s">
        <v>659</v>
      </c>
      <c r="J11" s="1189">
        <f>IFERROR(__xludf.DUMMYFUNCTION("IF(SUM(BG10:BM10), ARRAYFORMULA(FILTER(AZ10:BE10, BG10:BL10=1))*D$5,"""")"),0.003203221050638899)</f>
        <v>0.003203221051</v>
      </c>
      <c r="K11" s="1190" t="s">
        <v>660</v>
      </c>
      <c r="L11" s="1203" t="s">
        <v>661</v>
      </c>
      <c r="M11" s="1125"/>
      <c r="N11" s="1125"/>
      <c r="O11" s="1125"/>
      <c r="P11" s="1228" t="s">
        <v>145</v>
      </c>
      <c r="Q11" s="1229" t="str">
        <f>"Lvl "&amp; IDS_LAB_LEVEL(P11)</f>
        <v>Lvl 3</v>
      </c>
      <c r="R11" s="1230">
        <f>0.4%*(X11+1)</f>
        <v>0.016</v>
      </c>
      <c r="S11" s="1231" t="str">
        <f>IF('_IDS'!$AG21, "Owned", LET(
  RPC, $AC$5+$AA$5+IF(AND($T$8, $T$10), $R$10, 0)+$Y$14+$AC$14,
  RPCB, IF($X$6=1, (RPC*($T$5-1)+1)/$T$5, RPC),
  RPCC, 0.4%*(AJ5+1+RIGHT(S9, 1)),
    RPCM, ROUND(RPCB*RPCC*$T$4,0)*3*(1+AO5),
((AL5 + AM5 + AN5 + RPCM)/AQ5-1)/1000))</f>
        <v>Owned</v>
      </c>
      <c r="T11" s="1232" t="b">
        <f>AND(IDS_CARD_MASTERY(P10), T8, T10)</f>
        <v>1</v>
      </c>
      <c r="U11" s="1125"/>
      <c r="W11" s="1233" t="s">
        <v>145</v>
      </c>
      <c r="X11" s="1234">
        <f>'Master Sheet'!C6</f>
        <v>3</v>
      </c>
      <c r="Y11" s="1235" t="str">
        <f t="shared" si="21"/>
        <v/>
      </c>
      <c r="Z11" s="1236">
        <v>9.0</v>
      </c>
      <c r="AA11" s="1237">
        <f>0.4%*(X11+1)</f>
        <v>0.016</v>
      </c>
      <c r="AB11" s="1125"/>
      <c r="AC11" s="1125"/>
      <c r="AD11" s="1125"/>
      <c r="AE11" s="1173">
        <f t="shared" ref="AE11:AJ11" si="28">AE10+BG10</f>
        <v>10</v>
      </c>
      <c r="AF11" s="1173">
        <f t="shared" si="28"/>
        <v>50</v>
      </c>
      <c r="AG11" s="1173">
        <f t="shared" si="28"/>
        <v>10</v>
      </c>
      <c r="AH11" s="1173">
        <f t="shared" si="28"/>
        <v>5</v>
      </c>
      <c r="AI11" s="1174">
        <f t="shared" si="28"/>
        <v>20</v>
      </c>
      <c r="AJ11" s="1175">
        <f t="shared" si="28"/>
        <v>9</v>
      </c>
      <c r="AK11" s="1125"/>
      <c r="AL11" s="1173">
        <f t="shared" si="3"/>
        <v>300</v>
      </c>
      <c r="AM11" s="1173">
        <f t="shared" si="4"/>
        <v>300</v>
      </c>
      <c r="AN11" s="1173">
        <f t="shared" si="5"/>
        <v>300</v>
      </c>
      <c r="AO11" s="1176">
        <f t="shared" si="6"/>
        <v>1</v>
      </c>
      <c r="AP11" s="1175">
        <f t="shared" si="7"/>
        <v>3226</v>
      </c>
      <c r="AQ11" s="1177">
        <f t="shared" si="8"/>
        <v>4126</v>
      </c>
      <c r="AR11" s="1125"/>
      <c r="AS11" s="1173" t="str">
        <f t="shared" si="9"/>
        <v/>
      </c>
      <c r="AT11" s="1173" t="str">
        <f t="shared" si="10"/>
        <v/>
      </c>
      <c r="AU11" s="1173" t="str">
        <f t="shared" si="11"/>
        <v/>
      </c>
      <c r="AV11" s="1173" t="str">
        <f t="shared" si="12"/>
        <v/>
      </c>
      <c r="AW11" s="1178" t="str">
        <f t="shared" si="13"/>
        <v/>
      </c>
      <c r="AX11" s="1175" t="str">
        <f t="shared" si="14"/>
        <v/>
      </c>
      <c r="AY11" s="1125"/>
      <c r="AZ11" s="1179" t="str">
        <f t="shared" ref="AZ11:BD11" si="29">IF(AS11="", "", (AS11/$AQ11-1)/LABDURATION_SINGLE_ADJUSTED(AZ$4, AE11+1))</f>
        <v/>
      </c>
      <c r="BA11" s="1179" t="str">
        <f t="shared" si="29"/>
        <v/>
      </c>
      <c r="BB11" s="1179" t="str">
        <f t="shared" si="29"/>
        <v/>
      </c>
      <c r="BC11" s="1179" t="str">
        <f t="shared" si="29"/>
        <v/>
      </c>
      <c r="BD11" s="1180" t="str">
        <f t="shared" si="29"/>
        <v/>
      </c>
      <c r="BE11" s="1181" t="str">
        <f t="shared" si="16"/>
        <v/>
      </c>
      <c r="BF11" s="1125"/>
      <c r="BG11" s="1182" t="str">
        <f t="array" ref="BG11:BL11">IF(COLUMN(AZ11:BE11) = MIN(IF(AZ11:BE11=MAX(AZ11:BE11), COLUMN(AZ11:BE11))), 1, "")</f>
        <v/>
      </c>
      <c r="BH11" s="1182" t="s">
        <v>549</v>
      </c>
      <c r="BI11" s="1182" t="s">
        <v>549</v>
      </c>
      <c r="BJ11" s="1182" t="s">
        <v>549</v>
      </c>
      <c r="BK11" s="1174" t="s">
        <v>549</v>
      </c>
      <c r="BL11" s="1183" t="s">
        <v>549</v>
      </c>
      <c r="BM11" s="1125"/>
    </row>
    <row r="12">
      <c r="A12" s="1123"/>
      <c r="B12" s="1125"/>
      <c r="C12" s="1125"/>
      <c r="D12" s="1185" t="str">
        <f t="shared" si="17"/>
        <v/>
      </c>
      <c r="E12" s="415"/>
      <c r="F12" s="1186" t="str">
        <f>IFERROR(__xludf.DUMMYFUNCTION("IF(SUM(BG11:BM11), ARRAYFORMULA(FILTER(BG$4:BM$4, BG11:BM11=1)), )"),"")</f>
        <v/>
      </c>
      <c r="G12" s="1187" t="str">
        <f>IFERROR(__xludf.DUMMYFUNCTION("IF(SUM(BG11:BM11),ARRAYFORMULA(FILTER(AE12:AJ12, BG11:BL11)), """")"),"")</f>
        <v/>
      </c>
      <c r="H12" s="1188" t="str">
        <f t="shared" si="18"/>
        <v/>
      </c>
      <c r="I12" s="1187"/>
      <c r="J12" s="1189" t="str">
        <f>IFERROR(__xludf.DUMMYFUNCTION("IF(SUM(BG11:BM11), ARRAYFORMULA(FILTER(AZ11:BE11, BG11:BL11=1))*D$5,"""")"),"")</f>
        <v/>
      </c>
      <c r="K12" s="1190" t="s">
        <v>549</v>
      </c>
      <c r="L12" s="1203" t="s">
        <v>549</v>
      </c>
      <c r="M12" s="1125"/>
      <c r="N12" s="1125"/>
      <c r="O12" s="1125"/>
      <c r="P12" s="1125"/>
      <c r="Q12" s="1125"/>
      <c r="R12" s="1125"/>
      <c r="S12" s="1125"/>
      <c r="T12" s="1125"/>
      <c r="U12" s="1125"/>
      <c r="W12" s="1125"/>
      <c r="X12" s="1125"/>
      <c r="Y12" s="1125"/>
      <c r="Z12" s="1125"/>
      <c r="AA12" s="1125"/>
      <c r="AB12" s="1125"/>
      <c r="AC12" s="1125"/>
      <c r="AD12" s="1125"/>
      <c r="AE12" s="1173">
        <f t="shared" ref="AE12:AJ12" si="30">AE11+BG11</f>
        <v>10</v>
      </c>
      <c r="AF12" s="1173">
        <f t="shared" si="30"/>
        <v>50</v>
      </c>
      <c r="AG12" s="1173">
        <f t="shared" si="30"/>
        <v>10</v>
      </c>
      <c r="AH12" s="1173">
        <f t="shared" si="30"/>
        <v>5</v>
      </c>
      <c r="AI12" s="1174">
        <f t="shared" si="30"/>
        <v>20</v>
      </c>
      <c r="AJ12" s="1175">
        <f t="shared" si="30"/>
        <v>9</v>
      </c>
      <c r="AK12" s="1125"/>
      <c r="AL12" s="1173">
        <f t="shared" si="3"/>
        <v>300</v>
      </c>
      <c r="AM12" s="1173">
        <f t="shared" si="4"/>
        <v>300</v>
      </c>
      <c r="AN12" s="1173">
        <f t="shared" si="5"/>
        <v>300</v>
      </c>
      <c r="AO12" s="1176">
        <f t="shared" si="6"/>
        <v>1</v>
      </c>
      <c r="AP12" s="1175">
        <f t="shared" si="7"/>
        <v>3226</v>
      </c>
      <c r="AQ12" s="1177">
        <f t="shared" si="8"/>
        <v>4126</v>
      </c>
      <c r="AR12" s="1125"/>
      <c r="AS12" s="1173" t="str">
        <f t="shared" si="9"/>
        <v/>
      </c>
      <c r="AT12" s="1173" t="str">
        <f t="shared" si="10"/>
        <v/>
      </c>
      <c r="AU12" s="1173" t="str">
        <f t="shared" si="11"/>
        <v/>
      </c>
      <c r="AV12" s="1173" t="str">
        <f t="shared" si="12"/>
        <v/>
      </c>
      <c r="AW12" s="1178" t="str">
        <f t="shared" si="13"/>
        <v/>
      </c>
      <c r="AX12" s="1175" t="str">
        <f t="shared" si="14"/>
        <v/>
      </c>
      <c r="AY12" s="1125"/>
      <c r="AZ12" s="1179" t="str">
        <f t="shared" ref="AZ12:BD12" si="31">IF(AS12="", "", (AS12/$AQ12-1)/LABDURATION_SINGLE_ADJUSTED(AZ$4, AE12+1))</f>
        <v/>
      </c>
      <c r="BA12" s="1179" t="str">
        <f t="shared" si="31"/>
        <v/>
      </c>
      <c r="BB12" s="1179" t="str">
        <f t="shared" si="31"/>
        <v/>
      </c>
      <c r="BC12" s="1179" t="str">
        <f t="shared" si="31"/>
        <v/>
      </c>
      <c r="BD12" s="1180" t="str">
        <f t="shared" si="31"/>
        <v/>
      </c>
      <c r="BE12" s="1181" t="str">
        <f t="shared" si="16"/>
        <v/>
      </c>
      <c r="BF12" s="1125"/>
      <c r="BG12" s="1182" t="str">
        <f t="array" ref="BG12:BL12">IF(COLUMN(AZ12:BE12) = MIN(IF(AZ12:BE12=MAX(AZ12:BE12), COLUMN(AZ12:BE12))), 1, "")</f>
        <v/>
      </c>
      <c r="BH12" s="1182" t="s">
        <v>549</v>
      </c>
      <c r="BI12" s="1182" t="s">
        <v>549</v>
      </c>
      <c r="BJ12" s="1182" t="s">
        <v>549</v>
      </c>
      <c r="BK12" s="1174" t="s">
        <v>549</v>
      </c>
      <c r="BL12" s="1183" t="s">
        <v>549</v>
      </c>
      <c r="BM12" s="1125"/>
    </row>
    <row r="13">
      <c r="A13" s="1123"/>
      <c r="B13" s="1125"/>
      <c r="C13" s="1125"/>
      <c r="D13" s="1185" t="str">
        <f t="shared" si="17"/>
        <v/>
      </c>
      <c r="E13" s="415"/>
      <c r="F13" s="1186" t="str">
        <f>IFERROR(__xludf.DUMMYFUNCTION("IF(SUM(BG12:BM12), ARRAYFORMULA(FILTER(BG$4:BM$4, BG12:BM12=1)), )"),"")</f>
        <v/>
      </c>
      <c r="G13" s="1187" t="str">
        <f>IFERROR(__xludf.DUMMYFUNCTION("IF(SUM(BG12:BM12),ARRAYFORMULA(FILTER(AE13:AJ13, BG12:BL12)), """")"),"")</f>
        <v/>
      </c>
      <c r="H13" s="1188" t="str">
        <f t="shared" si="18"/>
        <v/>
      </c>
      <c r="I13" s="1187"/>
      <c r="J13" s="1189" t="str">
        <f>IFERROR(__xludf.DUMMYFUNCTION("IF(SUM(BG12:BM12), ARRAYFORMULA(FILTER(AZ12:BE12, BG12:BL12=1))*D$5,"""")"),"")</f>
        <v/>
      </c>
      <c r="K13" s="1190" t="s">
        <v>549</v>
      </c>
      <c r="L13" s="1203" t="s">
        <v>549</v>
      </c>
      <c r="M13" s="1125"/>
      <c r="N13" s="1125"/>
      <c r="O13" s="1125"/>
      <c r="P13" s="1125"/>
      <c r="Q13" s="1125"/>
      <c r="R13" s="1125"/>
      <c r="S13" s="1125"/>
      <c r="T13" s="1125"/>
      <c r="U13" s="1125"/>
      <c r="W13" s="1238" t="s">
        <v>260</v>
      </c>
      <c r="X13" s="1239"/>
      <c r="Y13" s="1240" t="s">
        <v>643</v>
      </c>
      <c r="Z13" s="1241" t="b">
        <f>'_IDS'!BM2</f>
        <v>1</v>
      </c>
      <c r="AB13" s="1242" t="s">
        <v>643</v>
      </c>
      <c r="AC13" s="1243"/>
      <c r="AD13" s="1125"/>
      <c r="AE13" s="1173">
        <f t="shared" ref="AE13:AJ13" si="32">AE12+BG12</f>
        <v>10</v>
      </c>
      <c r="AF13" s="1173">
        <f t="shared" si="32"/>
        <v>50</v>
      </c>
      <c r="AG13" s="1173">
        <f t="shared" si="32"/>
        <v>10</v>
      </c>
      <c r="AH13" s="1173">
        <f t="shared" si="32"/>
        <v>5</v>
      </c>
      <c r="AI13" s="1174">
        <f t="shared" si="32"/>
        <v>20</v>
      </c>
      <c r="AJ13" s="1175">
        <f t="shared" si="32"/>
        <v>9</v>
      </c>
      <c r="AK13" s="1125"/>
      <c r="AL13" s="1173">
        <f t="shared" si="3"/>
        <v>300</v>
      </c>
      <c r="AM13" s="1173">
        <f t="shared" si="4"/>
        <v>300</v>
      </c>
      <c r="AN13" s="1173">
        <f t="shared" si="5"/>
        <v>300</v>
      </c>
      <c r="AO13" s="1176">
        <f t="shared" si="6"/>
        <v>1</v>
      </c>
      <c r="AP13" s="1175">
        <f t="shared" si="7"/>
        <v>3226</v>
      </c>
      <c r="AQ13" s="1177">
        <f t="shared" si="8"/>
        <v>4126</v>
      </c>
      <c r="AR13" s="1125"/>
      <c r="AS13" s="1173" t="str">
        <f t="shared" si="9"/>
        <v/>
      </c>
      <c r="AT13" s="1173" t="str">
        <f t="shared" si="10"/>
        <v/>
      </c>
      <c r="AU13" s="1173" t="str">
        <f t="shared" si="11"/>
        <v/>
      </c>
      <c r="AV13" s="1173" t="str">
        <f t="shared" si="12"/>
        <v/>
      </c>
      <c r="AW13" s="1178" t="str">
        <f t="shared" si="13"/>
        <v/>
      </c>
      <c r="AX13" s="1175" t="str">
        <f t="shared" si="14"/>
        <v/>
      </c>
      <c r="AY13" s="1125"/>
      <c r="AZ13" s="1179" t="str">
        <f t="shared" ref="AZ13:BD13" si="33">IF(AS13="", "", (AS13/$AQ13-1)/LABDURATION_SINGLE_ADJUSTED(AZ$4, AE13+1))</f>
        <v/>
      </c>
      <c r="BA13" s="1179" t="str">
        <f t="shared" si="33"/>
        <v/>
      </c>
      <c r="BB13" s="1179" t="str">
        <f t="shared" si="33"/>
        <v/>
      </c>
      <c r="BC13" s="1179" t="str">
        <f t="shared" si="33"/>
        <v/>
      </c>
      <c r="BD13" s="1180" t="str">
        <f t="shared" si="33"/>
        <v/>
      </c>
      <c r="BE13" s="1181" t="str">
        <f t="shared" si="16"/>
        <v/>
      </c>
      <c r="BF13" s="1125"/>
      <c r="BG13" s="1182" t="str">
        <f t="array" ref="BG13:BL13">IF(COLUMN(AZ13:BE13) = MIN(IF(AZ13:BE13=MAX(AZ13:BE13), COLUMN(AZ13:BE13))), 1, "")</f>
        <v/>
      </c>
      <c r="BH13" s="1182" t="s">
        <v>549</v>
      </c>
      <c r="BI13" s="1182" t="s">
        <v>549</v>
      </c>
      <c r="BJ13" s="1182" t="s">
        <v>549</v>
      </c>
      <c r="BK13" s="1174" t="s">
        <v>549</v>
      </c>
      <c r="BL13" s="1183" t="s">
        <v>549</v>
      </c>
      <c r="BM13" s="1125"/>
    </row>
    <row r="14">
      <c r="A14" s="1123"/>
      <c r="B14" s="1125"/>
      <c r="C14" s="1125"/>
      <c r="D14" s="1185" t="str">
        <f t="shared" si="17"/>
        <v/>
      </c>
      <c r="E14" s="1244"/>
      <c r="F14" s="1186" t="str">
        <f>IFERROR(__xludf.DUMMYFUNCTION("IF(SUM(BG13:BM13), ARRAYFORMULA(FILTER(BG$4:BM$4, BG13:BM13=1)), )"),"")</f>
        <v/>
      </c>
      <c r="G14" s="1187" t="str">
        <f>IFERROR(__xludf.DUMMYFUNCTION("IF(SUM(BG13:BM13),ARRAYFORMULA(FILTER(AE14:AJ14, BG13:BL13)), """")"),"")</f>
        <v/>
      </c>
      <c r="H14" s="1188" t="str">
        <f t="shared" si="18"/>
        <v/>
      </c>
      <c r="I14" s="1187"/>
      <c r="J14" s="1189" t="str">
        <f>IFERROR(__xludf.DUMMYFUNCTION("IF(SUM(BG13:BM13), ARRAYFORMULA(FILTER(AZ13:BE13, BG13:BL13=1))*D$5,"""")"),"")</f>
        <v/>
      </c>
      <c r="K14" s="1190" t="s">
        <v>549</v>
      </c>
      <c r="L14" s="1203" t="s">
        <v>549</v>
      </c>
      <c r="M14" s="1125"/>
      <c r="N14" s="1125"/>
      <c r="O14" s="1125"/>
      <c r="P14" s="1125"/>
      <c r="Q14" s="1125"/>
      <c r="R14" s="1125"/>
      <c r="S14" s="1125"/>
      <c r="T14" s="1125"/>
      <c r="U14" s="1125"/>
      <c r="W14" s="1245" t="s">
        <v>214</v>
      </c>
      <c r="X14" s="1246"/>
      <c r="Y14" s="1247">
        <f t="array" ref="Y14">IFERROR(LET(
OS,MATCH('_IDS'!$BM$8,'_IDS'!$BL$27:$BL$66, 0) + 4, 
INDEX(OFFSET('_IDS'!$BO$26, OS, 0, 7), MATCH(W14,OFFSET('_IDS'!$BL$26, OS, 0, 7), 0))), 0)</f>
        <v>0.11</v>
      </c>
      <c r="Z14" s="1248">
        <f t="array" ref="Z14">IFERROR(LET(
OS,MATCH('_IDS'!$BM$9,'_IDS'!$BL$27:$BL$66, 0) + 4, 
INDEX(OFFSET('_IDS'!$BO$26, OS, 0, 7), MATCH(W14,OFFSET('_IDS'!$BL$26, OS, 0, 7), 0))), 0)</f>
        <v>0.05</v>
      </c>
      <c r="AA14" s="1130"/>
      <c r="AB14" s="1249"/>
      <c r="AC14" s="1250">
        <f>Z14*(Presets!E17+'_IDS'!B156/100)</f>
        <v>0.005</v>
      </c>
      <c r="AD14" s="1125"/>
      <c r="AE14" s="1173">
        <f t="shared" ref="AE14:AJ14" si="34">AE13+BG13</f>
        <v>10</v>
      </c>
      <c r="AF14" s="1173">
        <f t="shared" si="34"/>
        <v>50</v>
      </c>
      <c r="AG14" s="1173">
        <f t="shared" si="34"/>
        <v>10</v>
      </c>
      <c r="AH14" s="1173">
        <f t="shared" si="34"/>
        <v>5</v>
      </c>
      <c r="AI14" s="1174">
        <f t="shared" si="34"/>
        <v>20</v>
      </c>
      <c r="AJ14" s="1175">
        <f t="shared" si="34"/>
        <v>9</v>
      </c>
      <c r="AK14" s="1125"/>
      <c r="AL14" s="1173">
        <f t="shared" si="3"/>
        <v>300</v>
      </c>
      <c r="AM14" s="1173">
        <f t="shared" si="4"/>
        <v>300</v>
      </c>
      <c r="AN14" s="1173">
        <f t="shared" si="5"/>
        <v>300</v>
      </c>
      <c r="AO14" s="1176">
        <f t="shared" si="6"/>
        <v>1</v>
      </c>
      <c r="AP14" s="1175">
        <f t="shared" si="7"/>
        <v>3226</v>
      </c>
      <c r="AQ14" s="1177">
        <f t="shared" si="8"/>
        <v>4126</v>
      </c>
      <c r="AR14" s="1125"/>
      <c r="AS14" s="1173" t="str">
        <f t="shared" si="9"/>
        <v/>
      </c>
      <c r="AT14" s="1173" t="str">
        <f t="shared" si="10"/>
        <v/>
      </c>
      <c r="AU14" s="1173" t="str">
        <f t="shared" si="11"/>
        <v/>
      </c>
      <c r="AV14" s="1173" t="str">
        <f t="shared" si="12"/>
        <v/>
      </c>
      <c r="AW14" s="1178" t="str">
        <f t="shared" si="13"/>
        <v/>
      </c>
      <c r="AX14" s="1175" t="str">
        <f t="shared" si="14"/>
        <v/>
      </c>
      <c r="AY14" s="1125"/>
      <c r="AZ14" s="1179" t="str">
        <f t="shared" ref="AZ14:BD14" si="35">IF(AS14="", "", (AS14/$AQ14-1)/LABDURATION_SINGLE_ADJUSTED(AZ$4, AE14+1))</f>
        <v/>
      </c>
      <c r="BA14" s="1179" t="str">
        <f t="shared" si="35"/>
        <v/>
      </c>
      <c r="BB14" s="1179" t="str">
        <f t="shared" si="35"/>
        <v/>
      </c>
      <c r="BC14" s="1179" t="str">
        <f t="shared" si="35"/>
        <v/>
      </c>
      <c r="BD14" s="1180" t="str">
        <f t="shared" si="35"/>
        <v/>
      </c>
      <c r="BE14" s="1181" t="str">
        <f t="shared" si="16"/>
        <v/>
      </c>
      <c r="BF14" s="1125"/>
      <c r="BG14" s="1182" t="str">
        <f t="array" ref="BG14:BL14">IF(COLUMN(AZ14:BE14) = MIN(IF(AZ14:BE14=MAX(AZ14:BE14), COLUMN(AZ14:BE14))), 1, "")</f>
        <v/>
      </c>
      <c r="BH14" s="1182" t="s">
        <v>549</v>
      </c>
      <c r="BI14" s="1182" t="s">
        <v>549</v>
      </c>
      <c r="BJ14" s="1182" t="s">
        <v>549</v>
      </c>
      <c r="BK14" s="1174" t="s">
        <v>549</v>
      </c>
      <c r="BL14" s="1183" t="s">
        <v>549</v>
      </c>
      <c r="BM14" s="1125"/>
    </row>
    <row r="15">
      <c r="A15" s="1123"/>
      <c r="B15" s="1125"/>
      <c r="C15" s="1125"/>
      <c r="D15" s="1185" t="str">
        <f t="shared" si="17"/>
        <v/>
      </c>
      <c r="E15" s="1244"/>
      <c r="F15" s="1186" t="str">
        <f>IFERROR(__xludf.DUMMYFUNCTION("IF(SUM(BG14:BM14), ARRAYFORMULA(FILTER(BG$4:BM$4, BG14:BM14=1)), )"),"")</f>
        <v/>
      </c>
      <c r="G15" s="1187" t="str">
        <f>IFERROR(__xludf.DUMMYFUNCTION("IF(SUM(BG14:BM14),ARRAYFORMULA(FILTER(AE15:AJ15, BG14:BL14)), """")"),"")</f>
        <v/>
      </c>
      <c r="H15" s="1188" t="str">
        <f t="shared" si="18"/>
        <v/>
      </c>
      <c r="I15" s="1187"/>
      <c r="J15" s="1189" t="str">
        <f>IFERROR(__xludf.DUMMYFUNCTION("IF(SUM(BG14:BM14), ARRAYFORMULA(FILTER(AZ14:BE14, BG14:BL14=1))*D$5,"""")"),"")</f>
        <v/>
      </c>
      <c r="K15" s="1190" t="s">
        <v>549</v>
      </c>
      <c r="L15" s="1251" t="s">
        <v>549</v>
      </c>
      <c r="M15" s="1125"/>
      <c r="N15" s="1125"/>
      <c r="O15" s="1125"/>
      <c r="P15" s="1125"/>
      <c r="Q15" s="1125"/>
      <c r="R15" s="1125"/>
      <c r="S15" s="1125"/>
      <c r="T15" s="1125"/>
      <c r="U15" s="1125"/>
      <c r="W15" s="1125"/>
      <c r="X15" s="1125"/>
      <c r="Y15" s="1125"/>
      <c r="Z15" s="1125"/>
      <c r="AA15" s="1125"/>
      <c r="AB15" s="1125"/>
      <c r="AC15" s="1125"/>
      <c r="AD15" s="1125"/>
      <c r="AE15" s="1173">
        <f t="shared" ref="AE15:AJ15" si="36">AE14+BG14</f>
        <v>10</v>
      </c>
      <c r="AF15" s="1173">
        <f t="shared" si="36"/>
        <v>50</v>
      </c>
      <c r="AG15" s="1173">
        <f t="shared" si="36"/>
        <v>10</v>
      </c>
      <c r="AH15" s="1173">
        <f t="shared" si="36"/>
        <v>5</v>
      </c>
      <c r="AI15" s="1174">
        <f t="shared" si="36"/>
        <v>20</v>
      </c>
      <c r="AJ15" s="1175">
        <f t="shared" si="36"/>
        <v>9</v>
      </c>
      <c r="AK15" s="1125"/>
      <c r="AL15" s="1173">
        <f t="shared" si="3"/>
        <v>300</v>
      </c>
      <c r="AM15" s="1173">
        <f t="shared" si="4"/>
        <v>300</v>
      </c>
      <c r="AN15" s="1173">
        <f t="shared" si="5"/>
        <v>300</v>
      </c>
      <c r="AO15" s="1176">
        <f t="shared" si="6"/>
        <v>1</v>
      </c>
      <c r="AP15" s="1175">
        <f t="shared" si="7"/>
        <v>3226</v>
      </c>
      <c r="AQ15" s="1177">
        <f t="shared" si="8"/>
        <v>4126</v>
      </c>
      <c r="AR15" s="1125"/>
      <c r="AS15" s="1173" t="str">
        <f t="shared" si="9"/>
        <v/>
      </c>
      <c r="AT15" s="1173" t="str">
        <f t="shared" si="10"/>
        <v/>
      </c>
      <c r="AU15" s="1173" t="str">
        <f t="shared" si="11"/>
        <v/>
      </c>
      <c r="AV15" s="1173" t="str">
        <f t="shared" si="12"/>
        <v/>
      </c>
      <c r="AW15" s="1178" t="str">
        <f t="shared" si="13"/>
        <v/>
      </c>
      <c r="AX15" s="1175" t="str">
        <f t="shared" si="14"/>
        <v/>
      </c>
      <c r="AY15" s="1125"/>
      <c r="AZ15" s="1179" t="str">
        <f t="shared" ref="AZ15:BD15" si="37">IF(AS15="", "", (AS15/$AQ15-1)/LABDURATION_SINGLE_ADJUSTED(AZ$4, AE15+1))</f>
        <v/>
      </c>
      <c r="BA15" s="1179" t="str">
        <f t="shared" si="37"/>
        <v/>
      </c>
      <c r="BB15" s="1179" t="str">
        <f t="shared" si="37"/>
        <v/>
      </c>
      <c r="BC15" s="1179" t="str">
        <f t="shared" si="37"/>
        <v/>
      </c>
      <c r="BD15" s="1180" t="str">
        <f t="shared" si="37"/>
        <v/>
      </c>
      <c r="BE15" s="1181" t="str">
        <f t="shared" si="16"/>
        <v/>
      </c>
      <c r="BF15" s="1125"/>
      <c r="BG15" s="1182" t="str">
        <f t="array" ref="BG15:BL15">IF(COLUMN(AZ15:BE15) = MIN(IF(AZ15:BE15=MAX(AZ15:BE15), COLUMN(AZ15:BE15))), 1, "")</f>
        <v/>
      </c>
      <c r="BH15" s="1182" t="s">
        <v>549</v>
      </c>
      <c r="BI15" s="1182" t="s">
        <v>549</v>
      </c>
      <c r="BJ15" s="1182" t="s">
        <v>549</v>
      </c>
      <c r="BK15" s="1174" t="s">
        <v>549</v>
      </c>
      <c r="BL15" s="1183" t="s">
        <v>549</v>
      </c>
      <c r="BM15" s="1125"/>
    </row>
    <row r="16">
      <c r="A16" s="1123"/>
      <c r="B16" s="1125"/>
      <c r="C16" s="1125"/>
      <c r="D16" s="1185" t="str">
        <f t="shared" si="17"/>
        <v/>
      </c>
      <c r="E16" s="1244"/>
      <c r="F16" s="1186" t="str">
        <f>IFERROR(__xludf.DUMMYFUNCTION("IF(SUM(BG15:BM15), ARRAYFORMULA(FILTER(BG$4:BM$4, BG15:BM15=1)), )"),"")</f>
        <v/>
      </c>
      <c r="G16" s="1187" t="str">
        <f>IFERROR(__xludf.DUMMYFUNCTION("IF(SUM(BG15:BM15),ARRAYFORMULA(FILTER(AE16:AJ16, BG15:BL15)), """")"),"")</f>
        <v/>
      </c>
      <c r="H16" s="1188" t="str">
        <f t="shared" si="18"/>
        <v/>
      </c>
      <c r="I16" s="1187"/>
      <c r="J16" s="1189" t="str">
        <f>IFERROR(__xludf.DUMMYFUNCTION("IF(SUM(BG15:BM15), ARRAYFORMULA(FILTER(AZ15:BE15, BG15:BL15=1))*D$5,"""")"),"")</f>
        <v/>
      </c>
      <c r="K16" s="1190" t="s">
        <v>549</v>
      </c>
      <c r="L16" s="1203" t="s">
        <v>549</v>
      </c>
      <c r="M16" s="1125"/>
      <c r="N16" s="1125"/>
      <c r="O16" s="1125"/>
      <c r="P16" s="1125"/>
      <c r="Q16" s="1125"/>
      <c r="R16" s="1125"/>
      <c r="S16" s="1125"/>
      <c r="T16" s="1125"/>
      <c r="U16" s="1125"/>
      <c r="W16" s="1125"/>
      <c r="X16" s="1125"/>
      <c r="Y16" s="1125"/>
      <c r="Z16" s="1125"/>
      <c r="AA16" s="1125"/>
      <c r="AB16" s="1125"/>
      <c r="AC16" s="1125"/>
      <c r="AD16" s="1125"/>
      <c r="AE16" s="1173">
        <f t="shared" ref="AE16:AJ16" si="38">AE15+BG15</f>
        <v>10</v>
      </c>
      <c r="AF16" s="1173">
        <f t="shared" si="38"/>
        <v>50</v>
      </c>
      <c r="AG16" s="1173">
        <f t="shared" si="38"/>
        <v>10</v>
      </c>
      <c r="AH16" s="1173">
        <f t="shared" si="38"/>
        <v>5</v>
      </c>
      <c r="AI16" s="1174">
        <f t="shared" si="38"/>
        <v>20</v>
      </c>
      <c r="AJ16" s="1175">
        <f t="shared" si="38"/>
        <v>9</v>
      </c>
      <c r="AK16" s="1125"/>
      <c r="AL16" s="1173">
        <f t="shared" si="3"/>
        <v>300</v>
      </c>
      <c r="AM16" s="1173">
        <f t="shared" si="4"/>
        <v>300</v>
      </c>
      <c r="AN16" s="1173">
        <f t="shared" si="5"/>
        <v>300</v>
      </c>
      <c r="AO16" s="1176">
        <f t="shared" si="6"/>
        <v>1</v>
      </c>
      <c r="AP16" s="1175">
        <f t="shared" si="7"/>
        <v>3226</v>
      </c>
      <c r="AQ16" s="1177">
        <f t="shared" si="8"/>
        <v>4126</v>
      </c>
      <c r="AR16" s="1125"/>
      <c r="AS16" s="1173" t="str">
        <f t="shared" si="9"/>
        <v/>
      </c>
      <c r="AT16" s="1173" t="str">
        <f t="shared" si="10"/>
        <v/>
      </c>
      <c r="AU16" s="1173" t="str">
        <f t="shared" si="11"/>
        <v/>
      </c>
      <c r="AV16" s="1173" t="str">
        <f t="shared" si="12"/>
        <v/>
      </c>
      <c r="AW16" s="1178" t="str">
        <f t="shared" si="13"/>
        <v/>
      </c>
      <c r="AX16" s="1175" t="str">
        <f t="shared" si="14"/>
        <v/>
      </c>
      <c r="AY16" s="1125"/>
      <c r="AZ16" s="1179" t="str">
        <f t="shared" ref="AZ16:BD16" si="39">IF(AS16="", "", (AS16/$AQ16-1)/LABDURATION_SINGLE_ADJUSTED(AZ$4, AE16+1))</f>
        <v/>
      </c>
      <c r="BA16" s="1179" t="str">
        <f t="shared" si="39"/>
        <v/>
      </c>
      <c r="BB16" s="1179" t="str">
        <f t="shared" si="39"/>
        <v/>
      </c>
      <c r="BC16" s="1179" t="str">
        <f t="shared" si="39"/>
        <v/>
      </c>
      <c r="BD16" s="1180" t="str">
        <f t="shared" si="39"/>
        <v/>
      </c>
      <c r="BE16" s="1181" t="str">
        <f t="shared" si="16"/>
        <v/>
      </c>
      <c r="BF16" s="1125"/>
      <c r="BG16" s="1182" t="str">
        <f t="array" ref="BG16:BL16">IF(COLUMN(AZ16:BE16) = MIN(IF(AZ16:BE16=MAX(AZ16:BE16), COLUMN(AZ16:BE16))), 1, "")</f>
        <v/>
      </c>
      <c r="BH16" s="1182" t="s">
        <v>549</v>
      </c>
      <c r="BI16" s="1182" t="s">
        <v>549</v>
      </c>
      <c r="BJ16" s="1182" t="s">
        <v>549</v>
      </c>
      <c r="BK16" s="1174" t="s">
        <v>549</v>
      </c>
      <c r="BL16" s="1183" t="s">
        <v>549</v>
      </c>
      <c r="BM16" s="1125"/>
    </row>
    <row r="17">
      <c r="A17" s="1123"/>
      <c r="B17" s="1125"/>
      <c r="C17" s="1125"/>
      <c r="D17" s="1185" t="str">
        <f t="shared" si="17"/>
        <v/>
      </c>
      <c r="E17" s="1244"/>
      <c r="F17" s="1186" t="str">
        <f>IFERROR(__xludf.DUMMYFUNCTION("IF(SUM(BG16:BM16), ARRAYFORMULA(FILTER(BG$4:BM$4, BG16:BM16=1)), )"),"")</f>
        <v/>
      </c>
      <c r="G17" s="1187" t="str">
        <f>IFERROR(__xludf.DUMMYFUNCTION("IF(SUM(BG16:BM16),ARRAYFORMULA(FILTER(AE17:AJ17, BG16:BL16)), """")"),"")</f>
        <v/>
      </c>
      <c r="H17" s="1188" t="str">
        <f t="shared" si="18"/>
        <v/>
      </c>
      <c r="I17" s="1187"/>
      <c r="J17" s="1189" t="str">
        <f>IFERROR(__xludf.DUMMYFUNCTION("IF(SUM(BG16:BM16), ARRAYFORMULA(FILTER(AZ16:BE16, BG16:BL16=1))*D$5,"""")"),"")</f>
        <v/>
      </c>
      <c r="K17" s="1190" t="s">
        <v>549</v>
      </c>
      <c r="L17" s="1203" t="s">
        <v>549</v>
      </c>
      <c r="M17" s="1125"/>
      <c r="N17" s="1125"/>
      <c r="O17" s="1125"/>
      <c r="P17" s="1125"/>
      <c r="Q17" s="1125"/>
      <c r="R17" s="1125"/>
      <c r="S17" s="1125"/>
      <c r="T17" s="1125"/>
      <c r="U17" s="1125"/>
      <c r="W17" s="1125"/>
      <c r="X17" s="1125"/>
      <c r="Y17" s="1125"/>
      <c r="Z17" s="1125"/>
      <c r="AA17" s="1125"/>
      <c r="AB17" s="1125"/>
      <c r="AC17" s="1125"/>
      <c r="AD17" s="1125"/>
      <c r="AE17" s="1173">
        <f t="shared" ref="AE17:AJ17" si="40">AE16+BG16</f>
        <v>10</v>
      </c>
      <c r="AF17" s="1173">
        <f t="shared" si="40"/>
        <v>50</v>
      </c>
      <c r="AG17" s="1173">
        <f t="shared" si="40"/>
        <v>10</v>
      </c>
      <c r="AH17" s="1173">
        <f t="shared" si="40"/>
        <v>5</v>
      </c>
      <c r="AI17" s="1174">
        <f t="shared" si="40"/>
        <v>20</v>
      </c>
      <c r="AJ17" s="1175">
        <f t="shared" si="40"/>
        <v>9</v>
      </c>
      <c r="AK17" s="1125"/>
      <c r="AL17" s="1173">
        <f t="shared" si="3"/>
        <v>300</v>
      </c>
      <c r="AM17" s="1173">
        <f t="shared" si="4"/>
        <v>300</v>
      </c>
      <c r="AN17" s="1173">
        <f t="shared" si="5"/>
        <v>300</v>
      </c>
      <c r="AO17" s="1176">
        <f t="shared" si="6"/>
        <v>1</v>
      </c>
      <c r="AP17" s="1175">
        <f t="shared" si="7"/>
        <v>3226</v>
      </c>
      <c r="AQ17" s="1177">
        <f t="shared" si="8"/>
        <v>4126</v>
      </c>
      <c r="AR17" s="1125"/>
      <c r="AS17" s="1173" t="str">
        <f t="shared" si="9"/>
        <v/>
      </c>
      <c r="AT17" s="1173" t="str">
        <f t="shared" si="10"/>
        <v/>
      </c>
      <c r="AU17" s="1173" t="str">
        <f t="shared" si="11"/>
        <v/>
      </c>
      <c r="AV17" s="1173" t="str">
        <f t="shared" si="12"/>
        <v/>
      </c>
      <c r="AW17" s="1178" t="str">
        <f t="shared" si="13"/>
        <v/>
      </c>
      <c r="AX17" s="1175" t="str">
        <f t="shared" si="14"/>
        <v/>
      </c>
      <c r="AY17" s="1125"/>
      <c r="AZ17" s="1179" t="str">
        <f t="shared" ref="AZ17:BD17" si="41">IF(AS17="", "", (AS17/$AQ17-1)/LABDURATION_SINGLE_ADJUSTED(AZ$4, AE17+1))</f>
        <v/>
      </c>
      <c r="BA17" s="1179" t="str">
        <f t="shared" si="41"/>
        <v/>
      </c>
      <c r="BB17" s="1179" t="str">
        <f t="shared" si="41"/>
        <v/>
      </c>
      <c r="BC17" s="1179" t="str">
        <f t="shared" si="41"/>
        <v/>
      </c>
      <c r="BD17" s="1180" t="str">
        <f t="shared" si="41"/>
        <v/>
      </c>
      <c r="BE17" s="1181" t="str">
        <f t="shared" si="16"/>
        <v/>
      </c>
      <c r="BF17" s="1125"/>
      <c r="BG17" s="1182" t="str">
        <f t="array" ref="BG17:BL17">IF(COLUMN(AZ17:BE17) = MIN(IF(AZ17:BE17=MAX(AZ17:BE17), COLUMN(AZ17:BE17))), 1, "")</f>
        <v/>
      </c>
      <c r="BH17" s="1182" t="s">
        <v>549</v>
      </c>
      <c r="BI17" s="1182" t="s">
        <v>549</v>
      </c>
      <c r="BJ17" s="1182" t="s">
        <v>549</v>
      </c>
      <c r="BK17" s="1174" t="s">
        <v>549</v>
      </c>
      <c r="BL17" s="1183" t="s">
        <v>549</v>
      </c>
      <c r="BM17" s="1125"/>
    </row>
    <row r="18">
      <c r="A18" s="1123"/>
      <c r="B18" s="1125"/>
      <c r="C18" s="1125"/>
      <c r="D18" s="1185" t="str">
        <f t="shared" si="17"/>
        <v/>
      </c>
      <c r="E18" s="1244"/>
      <c r="F18" s="1186" t="str">
        <f>IFERROR(__xludf.DUMMYFUNCTION("IF(SUM(BG17:BM17), ARRAYFORMULA(FILTER(BG$4:BM$4, BG17:BM17=1)), )"),"")</f>
        <v/>
      </c>
      <c r="G18" s="1187" t="str">
        <f>IFERROR(__xludf.DUMMYFUNCTION("IF(SUM(BG17:BM17),ARRAYFORMULA(FILTER(AE18:AJ18, BG17:BL17)), """")"),"")</f>
        <v/>
      </c>
      <c r="H18" s="1188" t="str">
        <f t="shared" si="18"/>
        <v/>
      </c>
      <c r="I18" s="1187"/>
      <c r="J18" s="1189" t="str">
        <f>IFERROR(__xludf.DUMMYFUNCTION("IF(SUM(BG17:BM17), ARRAYFORMULA(FILTER(AZ17:BE17, BG17:BL17=1))*D$5,"""")"),"")</f>
        <v/>
      </c>
      <c r="K18" s="1190" t="s">
        <v>549</v>
      </c>
      <c r="L18" s="1203" t="s">
        <v>549</v>
      </c>
      <c r="M18" s="1125"/>
      <c r="N18" s="1125"/>
      <c r="O18" s="1125"/>
      <c r="P18" s="1125"/>
      <c r="Q18" s="1125"/>
      <c r="R18" s="1125"/>
      <c r="S18" s="1125"/>
      <c r="T18" s="1125"/>
      <c r="U18" s="1125"/>
      <c r="W18" s="1125"/>
      <c r="X18" s="1125"/>
      <c r="Y18" s="1125"/>
      <c r="Z18" s="1125"/>
      <c r="AA18" s="1125"/>
      <c r="AB18" s="1125"/>
      <c r="AC18" s="1125"/>
      <c r="AD18" s="1125"/>
      <c r="AE18" s="1173">
        <f t="shared" ref="AE18:AJ18" si="42">AE17+BG17</f>
        <v>10</v>
      </c>
      <c r="AF18" s="1173">
        <f t="shared" si="42"/>
        <v>50</v>
      </c>
      <c r="AG18" s="1173">
        <f t="shared" si="42"/>
        <v>10</v>
      </c>
      <c r="AH18" s="1173">
        <f t="shared" si="42"/>
        <v>5</v>
      </c>
      <c r="AI18" s="1174">
        <f t="shared" si="42"/>
        <v>20</v>
      </c>
      <c r="AJ18" s="1175">
        <f t="shared" si="42"/>
        <v>9</v>
      </c>
      <c r="AK18" s="1125"/>
      <c r="AL18" s="1173">
        <f t="shared" si="3"/>
        <v>300</v>
      </c>
      <c r="AM18" s="1173">
        <f t="shared" si="4"/>
        <v>300</v>
      </c>
      <c r="AN18" s="1173">
        <f t="shared" si="5"/>
        <v>300</v>
      </c>
      <c r="AO18" s="1176">
        <f t="shared" si="6"/>
        <v>1</v>
      </c>
      <c r="AP18" s="1175">
        <f t="shared" si="7"/>
        <v>3226</v>
      </c>
      <c r="AQ18" s="1177">
        <f t="shared" si="8"/>
        <v>4126</v>
      </c>
      <c r="AR18" s="1125"/>
      <c r="AS18" s="1173" t="str">
        <f t="shared" si="9"/>
        <v/>
      </c>
      <c r="AT18" s="1173" t="str">
        <f t="shared" si="10"/>
        <v/>
      </c>
      <c r="AU18" s="1173" t="str">
        <f t="shared" si="11"/>
        <v/>
      </c>
      <c r="AV18" s="1173" t="str">
        <f t="shared" si="12"/>
        <v/>
      </c>
      <c r="AW18" s="1178" t="str">
        <f t="shared" si="13"/>
        <v/>
      </c>
      <c r="AX18" s="1175" t="str">
        <f t="shared" si="14"/>
        <v/>
      </c>
      <c r="AY18" s="1125"/>
      <c r="AZ18" s="1179" t="str">
        <f t="shared" ref="AZ18:BD18" si="43">IF(AS18="", "", (AS18/$AQ18-1)/LABDURATION_SINGLE_ADJUSTED(AZ$4, AE18+1))</f>
        <v/>
      </c>
      <c r="BA18" s="1179" t="str">
        <f t="shared" si="43"/>
        <v/>
      </c>
      <c r="BB18" s="1179" t="str">
        <f t="shared" si="43"/>
        <v/>
      </c>
      <c r="BC18" s="1179" t="str">
        <f t="shared" si="43"/>
        <v/>
      </c>
      <c r="BD18" s="1180" t="str">
        <f t="shared" si="43"/>
        <v/>
      </c>
      <c r="BE18" s="1181" t="str">
        <f t="shared" si="16"/>
        <v/>
      </c>
      <c r="BF18" s="1125"/>
      <c r="BG18" s="1182" t="str">
        <f t="array" ref="BG18:BL18">IF(COLUMN(AZ18:BE18) = MIN(IF(AZ18:BE18=MAX(AZ18:BE18), COLUMN(AZ18:BE18))), 1, "")</f>
        <v/>
      </c>
      <c r="BH18" s="1182" t="s">
        <v>549</v>
      </c>
      <c r="BI18" s="1182" t="s">
        <v>549</v>
      </c>
      <c r="BJ18" s="1182" t="s">
        <v>549</v>
      </c>
      <c r="BK18" s="1174" t="s">
        <v>549</v>
      </c>
      <c r="BL18" s="1183" t="s">
        <v>549</v>
      </c>
      <c r="BM18" s="1125"/>
    </row>
    <row r="19">
      <c r="A19" s="1123"/>
      <c r="B19" s="1125"/>
      <c r="C19" s="1125"/>
      <c r="D19" s="1185" t="str">
        <f t="shared" si="17"/>
        <v/>
      </c>
      <c r="E19" s="1244"/>
      <c r="F19" s="1186" t="str">
        <f>IFERROR(__xludf.DUMMYFUNCTION("IF(SUM(BG18:BM18), ARRAYFORMULA(FILTER(BG$4:BM$4, BG18:BM18=1)), )"),"")</f>
        <v/>
      </c>
      <c r="G19" s="1187" t="str">
        <f>IFERROR(__xludf.DUMMYFUNCTION("IF(SUM(BG18:BM18),ARRAYFORMULA(FILTER(AE19:AJ19, BG18:BL18)), """")"),"")</f>
        <v/>
      </c>
      <c r="H19" s="1188" t="str">
        <f t="shared" si="18"/>
        <v/>
      </c>
      <c r="I19" s="1187"/>
      <c r="J19" s="1189" t="str">
        <f>IFERROR(__xludf.DUMMYFUNCTION("IF(SUM(BG18:BM18), ARRAYFORMULA(FILTER(AZ18:BE18, BG18:BL18=1))*D$5,"""")"),"")</f>
        <v/>
      </c>
      <c r="K19" s="1190" t="s">
        <v>549</v>
      </c>
      <c r="L19" s="1203" t="s">
        <v>549</v>
      </c>
      <c r="M19" s="1125"/>
      <c r="N19" s="1125"/>
      <c r="O19" s="1125"/>
      <c r="P19" s="1125"/>
      <c r="Q19" s="1125"/>
      <c r="R19" s="1125"/>
      <c r="S19" s="1125"/>
      <c r="T19" s="1125"/>
      <c r="U19" s="1125"/>
      <c r="W19" s="1125"/>
      <c r="X19" s="1125"/>
      <c r="Y19" s="1125"/>
      <c r="Z19" s="1125"/>
      <c r="AA19" s="1125"/>
      <c r="AB19" s="1125"/>
      <c r="AC19" s="1125"/>
      <c r="AD19" s="1125"/>
      <c r="AE19" s="1173">
        <f t="shared" ref="AE19:AJ19" si="44">AE18+BG18</f>
        <v>10</v>
      </c>
      <c r="AF19" s="1173">
        <f t="shared" si="44"/>
        <v>50</v>
      </c>
      <c r="AG19" s="1173">
        <f t="shared" si="44"/>
        <v>10</v>
      </c>
      <c r="AH19" s="1173">
        <f t="shared" si="44"/>
        <v>5</v>
      </c>
      <c r="AI19" s="1174">
        <f t="shared" si="44"/>
        <v>20</v>
      </c>
      <c r="AJ19" s="1175">
        <f t="shared" si="44"/>
        <v>9</v>
      </c>
      <c r="AK19" s="1125"/>
      <c r="AL19" s="1173">
        <f t="shared" si="3"/>
        <v>300</v>
      </c>
      <c r="AM19" s="1173">
        <f t="shared" si="4"/>
        <v>300</v>
      </c>
      <c r="AN19" s="1173">
        <f t="shared" si="5"/>
        <v>300</v>
      </c>
      <c r="AO19" s="1176">
        <f t="shared" si="6"/>
        <v>1</v>
      </c>
      <c r="AP19" s="1175">
        <f t="shared" si="7"/>
        <v>3226</v>
      </c>
      <c r="AQ19" s="1177">
        <f t="shared" si="8"/>
        <v>4126</v>
      </c>
      <c r="AR19" s="1125"/>
      <c r="AS19" s="1173" t="str">
        <f t="shared" si="9"/>
        <v/>
      </c>
      <c r="AT19" s="1173" t="str">
        <f t="shared" si="10"/>
        <v/>
      </c>
      <c r="AU19" s="1173" t="str">
        <f t="shared" si="11"/>
        <v/>
      </c>
      <c r="AV19" s="1173" t="str">
        <f t="shared" si="12"/>
        <v/>
      </c>
      <c r="AW19" s="1178" t="str">
        <f t="shared" si="13"/>
        <v/>
      </c>
      <c r="AX19" s="1175" t="str">
        <f t="shared" si="14"/>
        <v/>
      </c>
      <c r="AY19" s="1125"/>
      <c r="AZ19" s="1179" t="str">
        <f t="shared" ref="AZ19:BD19" si="45">IF(AS19="", "", (AS19/$AQ19-1)/LABDURATION_SINGLE_ADJUSTED(AZ$4, AE19+1))</f>
        <v/>
      </c>
      <c r="BA19" s="1179" t="str">
        <f t="shared" si="45"/>
        <v/>
      </c>
      <c r="BB19" s="1179" t="str">
        <f t="shared" si="45"/>
        <v/>
      </c>
      <c r="BC19" s="1179" t="str">
        <f t="shared" si="45"/>
        <v/>
      </c>
      <c r="BD19" s="1180" t="str">
        <f t="shared" si="45"/>
        <v/>
      </c>
      <c r="BE19" s="1181" t="str">
        <f t="shared" si="16"/>
        <v/>
      </c>
      <c r="BF19" s="1125"/>
      <c r="BG19" s="1182" t="str">
        <f t="array" ref="BG19:BL19">IF(COLUMN(AZ19:BE19) = MIN(IF(AZ19:BE19=MAX(AZ19:BE19), COLUMN(AZ19:BE19))), 1, "")</f>
        <v/>
      </c>
      <c r="BH19" s="1182" t="s">
        <v>549</v>
      </c>
      <c r="BI19" s="1182" t="s">
        <v>549</v>
      </c>
      <c r="BJ19" s="1182" t="s">
        <v>549</v>
      </c>
      <c r="BK19" s="1174" t="s">
        <v>549</v>
      </c>
      <c r="BL19" s="1183" t="s">
        <v>549</v>
      </c>
      <c r="BM19" s="1125"/>
    </row>
    <row r="20">
      <c r="A20" s="1123"/>
      <c r="B20" s="1125"/>
      <c r="C20" s="1125"/>
      <c r="D20" s="1185" t="str">
        <f t="shared" si="17"/>
        <v/>
      </c>
      <c r="E20" s="1244"/>
      <c r="F20" s="1186" t="str">
        <f>IFERROR(__xludf.DUMMYFUNCTION("IF(SUM(BG19:BM19), ARRAYFORMULA(FILTER(BG$4:BM$4, BG19:BM19=1)), )"),"")</f>
        <v/>
      </c>
      <c r="G20" s="1187" t="str">
        <f>IFERROR(__xludf.DUMMYFUNCTION("IF(SUM(BG19:BM19),ARRAYFORMULA(FILTER(AE20:AJ20, BG19:BL19)), """")"),"")</f>
        <v/>
      </c>
      <c r="H20" s="1188" t="str">
        <f t="shared" si="18"/>
        <v/>
      </c>
      <c r="I20" s="1187"/>
      <c r="J20" s="1189" t="str">
        <f>IFERROR(__xludf.DUMMYFUNCTION("IF(SUM(BG19:BM19), ARRAYFORMULA(FILTER(AZ19:BE19, BG19:BL19=1))*D$5,"""")"),"")</f>
        <v/>
      </c>
      <c r="K20" s="1190" t="s">
        <v>549</v>
      </c>
      <c r="L20" s="1203" t="s">
        <v>549</v>
      </c>
      <c r="M20" s="1125"/>
      <c r="N20" s="1125"/>
      <c r="O20" s="1125"/>
      <c r="P20" s="1125"/>
      <c r="Q20" s="1125"/>
      <c r="R20" s="1125"/>
      <c r="S20" s="1125"/>
      <c r="T20" s="1125"/>
      <c r="U20" s="1125"/>
      <c r="W20" s="1125"/>
      <c r="X20" s="1125"/>
      <c r="Y20" s="1125"/>
      <c r="Z20" s="1125"/>
      <c r="AA20" s="1125"/>
      <c r="AB20" s="1125"/>
      <c r="AC20" s="1125"/>
      <c r="AD20" s="1125"/>
      <c r="AE20" s="1173">
        <f t="shared" ref="AE20:AJ20" si="46">AE19+BG19</f>
        <v>10</v>
      </c>
      <c r="AF20" s="1173">
        <f t="shared" si="46"/>
        <v>50</v>
      </c>
      <c r="AG20" s="1173">
        <f t="shared" si="46"/>
        <v>10</v>
      </c>
      <c r="AH20" s="1173">
        <f t="shared" si="46"/>
        <v>5</v>
      </c>
      <c r="AI20" s="1174">
        <f t="shared" si="46"/>
        <v>20</v>
      </c>
      <c r="AJ20" s="1175">
        <f t="shared" si="46"/>
        <v>9</v>
      </c>
      <c r="AK20" s="1125"/>
      <c r="AL20" s="1173">
        <f t="shared" si="3"/>
        <v>300</v>
      </c>
      <c r="AM20" s="1173">
        <f t="shared" si="4"/>
        <v>300</v>
      </c>
      <c r="AN20" s="1173">
        <f t="shared" si="5"/>
        <v>300</v>
      </c>
      <c r="AO20" s="1176">
        <f t="shared" si="6"/>
        <v>1</v>
      </c>
      <c r="AP20" s="1175">
        <f t="shared" si="7"/>
        <v>3226</v>
      </c>
      <c r="AQ20" s="1177">
        <f t="shared" si="8"/>
        <v>4126</v>
      </c>
      <c r="AR20" s="1125"/>
      <c r="AS20" s="1173" t="str">
        <f t="shared" si="9"/>
        <v/>
      </c>
      <c r="AT20" s="1173" t="str">
        <f t="shared" si="10"/>
        <v/>
      </c>
      <c r="AU20" s="1173" t="str">
        <f t="shared" si="11"/>
        <v/>
      </c>
      <c r="AV20" s="1173" t="str">
        <f t="shared" si="12"/>
        <v/>
      </c>
      <c r="AW20" s="1178" t="str">
        <f t="shared" si="13"/>
        <v/>
      </c>
      <c r="AX20" s="1175" t="str">
        <f t="shared" si="14"/>
        <v/>
      </c>
      <c r="AY20" s="1125"/>
      <c r="AZ20" s="1179" t="str">
        <f t="shared" ref="AZ20:BD20" si="47">IF(AS20="", "", (AS20/$AQ20-1)/LABDURATION_SINGLE_ADJUSTED(AZ$4, AE20+1))</f>
        <v/>
      </c>
      <c r="BA20" s="1179" t="str">
        <f t="shared" si="47"/>
        <v/>
      </c>
      <c r="BB20" s="1179" t="str">
        <f t="shared" si="47"/>
        <v/>
      </c>
      <c r="BC20" s="1179" t="str">
        <f t="shared" si="47"/>
        <v/>
      </c>
      <c r="BD20" s="1180" t="str">
        <f t="shared" si="47"/>
        <v/>
      </c>
      <c r="BE20" s="1181" t="str">
        <f t="shared" si="16"/>
        <v/>
      </c>
      <c r="BF20" s="1125"/>
      <c r="BG20" s="1182" t="str">
        <f t="array" ref="BG20:BL20">IF(COLUMN(AZ20:BE20) = MIN(IF(AZ20:BE20=MAX(AZ20:BE20), COLUMN(AZ20:BE20))), 1, "")</f>
        <v/>
      </c>
      <c r="BH20" s="1182" t="s">
        <v>549</v>
      </c>
      <c r="BI20" s="1182" t="s">
        <v>549</v>
      </c>
      <c r="BJ20" s="1182" t="s">
        <v>549</v>
      </c>
      <c r="BK20" s="1174" t="s">
        <v>549</v>
      </c>
      <c r="BL20" s="1183" t="s">
        <v>549</v>
      </c>
      <c r="BM20" s="1125"/>
    </row>
    <row r="21">
      <c r="A21" s="1123"/>
      <c r="B21" s="1125"/>
      <c r="C21" s="1125"/>
      <c r="D21" s="1185" t="str">
        <f t="shared" si="17"/>
        <v/>
      </c>
      <c r="E21" s="1244"/>
      <c r="F21" s="1186" t="str">
        <f>IFERROR(__xludf.DUMMYFUNCTION("IF(SUM(BG20:BM20), ARRAYFORMULA(FILTER(BG$4:BM$4, BG20:BM20=1)), )"),"")</f>
        <v/>
      </c>
      <c r="G21" s="1187" t="str">
        <f>IFERROR(__xludf.DUMMYFUNCTION("IF(SUM(BG20:BM20),ARRAYFORMULA(FILTER(AE21:AJ21, BG20:BL20)), """")"),"")</f>
        <v/>
      </c>
      <c r="H21" s="1188" t="str">
        <f t="shared" si="18"/>
        <v/>
      </c>
      <c r="I21" s="1187"/>
      <c r="J21" s="1189" t="str">
        <f>IFERROR(__xludf.DUMMYFUNCTION("IF(SUM(BG20:BM20), ARRAYFORMULA(FILTER(AZ20:BE20, BG20:BL20=1))*D$5,"""")"),"")</f>
        <v/>
      </c>
      <c r="K21" s="1190" t="s">
        <v>549</v>
      </c>
      <c r="L21" s="1203" t="s">
        <v>549</v>
      </c>
      <c r="M21" s="1125"/>
      <c r="N21" s="1125"/>
      <c r="O21" s="1125"/>
      <c r="P21" s="1125"/>
      <c r="Q21" s="1125"/>
      <c r="R21" s="1125"/>
      <c r="S21" s="1125"/>
      <c r="T21" s="1125"/>
      <c r="U21" s="1125"/>
      <c r="W21" s="1125"/>
      <c r="X21" s="1125"/>
      <c r="Y21" s="1125"/>
      <c r="Z21" s="1125"/>
      <c r="AA21" s="1125"/>
      <c r="AB21" s="1125"/>
      <c r="AC21" s="1125"/>
      <c r="AD21" s="1125"/>
      <c r="AE21" s="1173">
        <f t="shared" ref="AE21:AJ21" si="48">AE20+BG20</f>
        <v>10</v>
      </c>
      <c r="AF21" s="1173">
        <f t="shared" si="48"/>
        <v>50</v>
      </c>
      <c r="AG21" s="1173">
        <f t="shared" si="48"/>
        <v>10</v>
      </c>
      <c r="AH21" s="1173">
        <f t="shared" si="48"/>
        <v>5</v>
      </c>
      <c r="AI21" s="1174">
        <f t="shared" si="48"/>
        <v>20</v>
      </c>
      <c r="AJ21" s="1175">
        <f t="shared" si="48"/>
        <v>9</v>
      </c>
      <c r="AK21" s="1125"/>
      <c r="AL21" s="1173">
        <f t="shared" si="3"/>
        <v>300</v>
      </c>
      <c r="AM21" s="1173">
        <f t="shared" si="4"/>
        <v>300</v>
      </c>
      <c r="AN21" s="1173">
        <f t="shared" si="5"/>
        <v>300</v>
      </c>
      <c r="AO21" s="1176">
        <f t="shared" si="6"/>
        <v>1</v>
      </c>
      <c r="AP21" s="1175">
        <f t="shared" si="7"/>
        <v>3226</v>
      </c>
      <c r="AQ21" s="1177">
        <f t="shared" si="8"/>
        <v>4126</v>
      </c>
      <c r="AR21" s="1125"/>
      <c r="AS21" s="1173" t="str">
        <f t="shared" si="9"/>
        <v/>
      </c>
      <c r="AT21" s="1173" t="str">
        <f t="shared" si="10"/>
        <v/>
      </c>
      <c r="AU21" s="1173" t="str">
        <f t="shared" si="11"/>
        <v/>
      </c>
      <c r="AV21" s="1173" t="str">
        <f t="shared" si="12"/>
        <v/>
      </c>
      <c r="AW21" s="1178" t="str">
        <f t="shared" si="13"/>
        <v/>
      </c>
      <c r="AX21" s="1175" t="str">
        <f t="shared" si="14"/>
        <v/>
      </c>
      <c r="AY21" s="1125"/>
      <c r="AZ21" s="1179" t="str">
        <f t="shared" ref="AZ21:BD21" si="49">IF(AS21="", "", (AS21/$AQ21-1)/LABDURATION_SINGLE_ADJUSTED(AZ$4, AE21+1))</f>
        <v/>
      </c>
      <c r="BA21" s="1179" t="str">
        <f t="shared" si="49"/>
        <v/>
      </c>
      <c r="BB21" s="1179" t="str">
        <f t="shared" si="49"/>
        <v/>
      </c>
      <c r="BC21" s="1179" t="str">
        <f t="shared" si="49"/>
        <v/>
      </c>
      <c r="BD21" s="1180" t="str">
        <f t="shared" si="49"/>
        <v/>
      </c>
      <c r="BE21" s="1181" t="str">
        <f t="shared" si="16"/>
        <v/>
      </c>
      <c r="BF21" s="1125"/>
      <c r="BG21" s="1182" t="str">
        <f t="array" ref="BG21:BL21">IF(COLUMN(AZ21:BE21) = MIN(IF(AZ21:BE21=MAX(AZ21:BE21), COLUMN(AZ21:BE21))), 1, "")</f>
        <v/>
      </c>
      <c r="BH21" s="1182" t="s">
        <v>549</v>
      </c>
      <c r="BI21" s="1182" t="s">
        <v>549</v>
      </c>
      <c r="BJ21" s="1182" t="s">
        <v>549</v>
      </c>
      <c r="BK21" s="1174" t="s">
        <v>549</v>
      </c>
      <c r="BL21" s="1183" t="s">
        <v>549</v>
      </c>
      <c r="BM21" s="1125"/>
    </row>
    <row r="22">
      <c r="A22" s="1123"/>
      <c r="B22" s="1125"/>
      <c r="C22" s="1125"/>
      <c r="D22" s="1185" t="str">
        <f t="shared" si="17"/>
        <v/>
      </c>
      <c r="E22" s="1244"/>
      <c r="F22" s="1186" t="str">
        <f>IFERROR(__xludf.DUMMYFUNCTION("IF(SUM(BG21:BM21), ARRAYFORMULA(FILTER(BG$4:BM$4, BG21:BM21=1)), )"),"")</f>
        <v/>
      </c>
      <c r="G22" s="1187" t="str">
        <f>IFERROR(__xludf.DUMMYFUNCTION("IF(SUM(BG21:BM21),ARRAYFORMULA(FILTER(AE22:AJ22, BG21:BL21)), """")"),"")</f>
        <v/>
      </c>
      <c r="H22" s="1188" t="str">
        <f t="shared" si="18"/>
        <v/>
      </c>
      <c r="I22" s="1187"/>
      <c r="J22" s="1189" t="str">
        <f>IFERROR(__xludf.DUMMYFUNCTION("IF(SUM(BG21:BM21), ARRAYFORMULA(FILTER(AZ21:BE21, BG21:BL21=1))*D$5,"""")"),"")</f>
        <v/>
      </c>
      <c r="K22" s="1190" t="s">
        <v>549</v>
      </c>
      <c r="L22" s="1203" t="s">
        <v>549</v>
      </c>
      <c r="M22" s="1125"/>
      <c r="N22" s="1125"/>
      <c r="O22" s="1125"/>
      <c r="P22" s="1125"/>
      <c r="Q22" s="1125"/>
      <c r="R22" s="1125"/>
      <c r="S22" s="1125"/>
      <c r="T22" s="1125"/>
      <c r="U22" s="1125"/>
      <c r="W22" s="1125"/>
      <c r="X22" s="1125"/>
      <c r="Y22" s="1125"/>
      <c r="Z22" s="1125"/>
      <c r="AA22" s="1125"/>
      <c r="AB22" s="1125"/>
      <c r="AC22" s="1125"/>
      <c r="AD22" s="1125"/>
      <c r="AE22" s="1173">
        <f t="shared" ref="AE22:AJ22" si="50">AE21+BG21</f>
        <v>10</v>
      </c>
      <c r="AF22" s="1173">
        <f t="shared" si="50"/>
        <v>50</v>
      </c>
      <c r="AG22" s="1173">
        <f t="shared" si="50"/>
        <v>10</v>
      </c>
      <c r="AH22" s="1173">
        <f t="shared" si="50"/>
        <v>5</v>
      </c>
      <c r="AI22" s="1174">
        <f t="shared" si="50"/>
        <v>20</v>
      </c>
      <c r="AJ22" s="1175">
        <f t="shared" si="50"/>
        <v>9</v>
      </c>
      <c r="AK22" s="1125"/>
      <c r="AL22" s="1173">
        <f t="shared" si="3"/>
        <v>300</v>
      </c>
      <c r="AM22" s="1173">
        <f t="shared" si="4"/>
        <v>300</v>
      </c>
      <c r="AN22" s="1173">
        <f t="shared" si="5"/>
        <v>300</v>
      </c>
      <c r="AO22" s="1176">
        <f t="shared" si="6"/>
        <v>1</v>
      </c>
      <c r="AP22" s="1175">
        <f t="shared" si="7"/>
        <v>3226</v>
      </c>
      <c r="AQ22" s="1177">
        <f t="shared" si="8"/>
        <v>4126</v>
      </c>
      <c r="AR22" s="1125"/>
      <c r="AS22" s="1173" t="str">
        <f t="shared" si="9"/>
        <v/>
      </c>
      <c r="AT22" s="1173" t="str">
        <f t="shared" si="10"/>
        <v/>
      </c>
      <c r="AU22" s="1173" t="str">
        <f t="shared" si="11"/>
        <v/>
      </c>
      <c r="AV22" s="1173" t="str">
        <f t="shared" si="12"/>
        <v/>
      </c>
      <c r="AW22" s="1178" t="str">
        <f t="shared" si="13"/>
        <v/>
      </c>
      <c r="AX22" s="1175" t="str">
        <f t="shared" si="14"/>
        <v/>
      </c>
      <c r="AY22" s="1125"/>
      <c r="AZ22" s="1179" t="str">
        <f t="shared" ref="AZ22:BD22" si="51">IF(AS22="", "", (AS22/$AQ22-1)/LABDURATION_SINGLE_ADJUSTED(AZ$4, AE22+1))</f>
        <v/>
      </c>
      <c r="BA22" s="1179" t="str">
        <f t="shared" si="51"/>
        <v/>
      </c>
      <c r="BB22" s="1179" t="str">
        <f t="shared" si="51"/>
        <v/>
      </c>
      <c r="BC22" s="1179" t="str">
        <f t="shared" si="51"/>
        <v/>
      </c>
      <c r="BD22" s="1180" t="str">
        <f t="shared" si="51"/>
        <v/>
      </c>
      <c r="BE22" s="1181" t="str">
        <f t="shared" si="16"/>
        <v/>
      </c>
      <c r="BF22" s="1125"/>
      <c r="BG22" s="1182" t="str">
        <f t="array" ref="BG22:BL22">IF(COLUMN(AZ22:BE22) = MIN(IF(AZ22:BE22=MAX(AZ22:BE22), COLUMN(AZ22:BE22))), 1, "")</f>
        <v/>
      </c>
      <c r="BH22" s="1182" t="s">
        <v>549</v>
      </c>
      <c r="BI22" s="1182" t="s">
        <v>549</v>
      </c>
      <c r="BJ22" s="1182" t="s">
        <v>549</v>
      </c>
      <c r="BK22" s="1174" t="s">
        <v>549</v>
      </c>
      <c r="BL22" s="1183" t="s">
        <v>549</v>
      </c>
      <c r="BM22" s="1125"/>
    </row>
    <row r="23">
      <c r="A23" s="1123"/>
      <c r="B23" s="1125"/>
      <c r="C23" s="1125"/>
      <c r="D23" s="1185" t="str">
        <f t="shared" si="17"/>
        <v/>
      </c>
      <c r="E23" s="1244"/>
      <c r="F23" s="1186" t="str">
        <f>IFERROR(__xludf.DUMMYFUNCTION("IF(SUM(BG22:BM22), ARRAYFORMULA(FILTER(BG$4:BM$4, BG22:BM22=1)), )"),"")</f>
        <v/>
      </c>
      <c r="G23" s="1187" t="str">
        <f>IFERROR(__xludf.DUMMYFUNCTION("IF(SUM(BG22:BM22),ARRAYFORMULA(FILTER(AE23:AJ23, BG22:BL22)), """")"),"")</f>
        <v/>
      </c>
      <c r="H23" s="1188" t="str">
        <f t="shared" si="18"/>
        <v/>
      </c>
      <c r="I23" s="1187"/>
      <c r="J23" s="1189" t="str">
        <f>IFERROR(__xludf.DUMMYFUNCTION("IF(SUM(BG22:BM22), ARRAYFORMULA(FILTER(AZ22:BE22, BG22:BL22=1))*D$5,"""")"),"")</f>
        <v/>
      </c>
      <c r="K23" s="1190" t="s">
        <v>549</v>
      </c>
      <c r="L23" s="1203" t="s">
        <v>549</v>
      </c>
      <c r="M23" s="1125"/>
      <c r="N23" s="1125"/>
      <c r="O23" s="1125"/>
      <c r="P23" s="1125"/>
      <c r="Q23" s="1125"/>
      <c r="R23" s="1125"/>
      <c r="S23" s="1125"/>
      <c r="T23" s="1125"/>
      <c r="U23" s="1125"/>
      <c r="W23" s="1125"/>
      <c r="X23" s="1125"/>
      <c r="Y23" s="1125"/>
      <c r="Z23" s="1125"/>
      <c r="AA23" s="1125"/>
      <c r="AB23" s="1125"/>
      <c r="AC23" s="1125"/>
      <c r="AD23" s="1125"/>
      <c r="AE23" s="1173">
        <f t="shared" ref="AE23:AJ23" si="52">AE22+BG22</f>
        <v>10</v>
      </c>
      <c r="AF23" s="1173">
        <f t="shared" si="52"/>
        <v>50</v>
      </c>
      <c r="AG23" s="1173">
        <f t="shared" si="52"/>
        <v>10</v>
      </c>
      <c r="AH23" s="1173">
        <f t="shared" si="52"/>
        <v>5</v>
      </c>
      <c r="AI23" s="1174">
        <f t="shared" si="52"/>
        <v>20</v>
      </c>
      <c r="AJ23" s="1175">
        <f t="shared" si="52"/>
        <v>9</v>
      </c>
      <c r="AK23" s="1125"/>
      <c r="AL23" s="1173">
        <f t="shared" si="3"/>
        <v>300</v>
      </c>
      <c r="AM23" s="1173">
        <f t="shared" si="4"/>
        <v>300</v>
      </c>
      <c r="AN23" s="1173">
        <f t="shared" si="5"/>
        <v>300</v>
      </c>
      <c r="AO23" s="1176">
        <f t="shared" si="6"/>
        <v>1</v>
      </c>
      <c r="AP23" s="1175">
        <f t="shared" si="7"/>
        <v>3226</v>
      </c>
      <c r="AQ23" s="1177">
        <f t="shared" si="8"/>
        <v>4126</v>
      </c>
      <c r="AR23" s="1125"/>
      <c r="AS23" s="1173" t="str">
        <f t="shared" si="9"/>
        <v/>
      </c>
      <c r="AT23" s="1173" t="str">
        <f t="shared" si="10"/>
        <v/>
      </c>
      <c r="AU23" s="1173" t="str">
        <f t="shared" si="11"/>
        <v/>
      </c>
      <c r="AV23" s="1173" t="str">
        <f t="shared" si="12"/>
        <v/>
      </c>
      <c r="AW23" s="1178" t="str">
        <f t="shared" si="13"/>
        <v/>
      </c>
      <c r="AX23" s="1175" t="str">
        <f t="shared" si="14"/>
        <v/>
      </c>
      <c r="AY23" s="1125"/>
      <c r="AZ23" s="1179" t="str">
        <f t="shared" ref="AZ23:BD23" si="53">IF(AS23="", "", (AS23/$AQ23-1)/LABDURATION_SINGLE_ADJUSTED(AZ$4, AE23+1))</f>
        <v/>
      </c>
      <c r="BA23" s="1179" t="str">
        <f t="shared" si="53"/>
        <v/>
      </c>
      <c r="BB23" s="1179" t="str">
        <f t="shared" si="53"/>
        <v/>
      </c>
      <c r="BC23" s="1179" t="str">
        <f t="shared" si="53"/>
        <v/>
      </c>
      <c r="BD23" s="1180" t="str">
        <f t="shared" si="53"/>
        <v/>
      </c>
      <c r="BE23" s="1181" t="str">
        <f t="shared" si="16"/>
        <v/>
      </c>
      <c r="BF23" s="1125"/>
      <c r="BG23" s="1182" t="str">
        <f t="array" ref="BG23:BL23">IF(COLUMN(AZ23:BE23) = MIN(IF(AZ23:BE23=MAX(AZ23:BE23), COLUMN(AZ23:BE23))), 1, "")</f>
        <v/>
      </c>
      <c r="BH23" s="1182" t="s">
        <v>549</v>
      </c>
      <c r="BI23" s="1182" t="s">
        <v>549</v>
      </c>
      <c r="BJ23" s="1182" t="s">
        <v>549</v>
      </c>
      <c r="BK23" s="1174" t="s">
        <v>549</v>
      </c>
      <c r="BL23" s="1183" t="s">
        <v>549</v>
      </c>
      <c r="BM23" s="1125"/>
    </row>
    <row r="24">
      <c r="A24" s="1123"/>
      <c r="B24" s="1125"/>
      <c r="C24" s="1125"/>
      <c r="D24" s="1185" t="str">
        <f t="shared" si="17"/>
        <v/>
      </c>
      <c r="E24" s="1244"/>
      <c r="F24" s="1186" t="str">
        <f>IFERROR(__xludf.DUMMYFUNCTION("IF(SUM(BG23:BM23), ARRAYFORMULA(FILTER(BG$4:BM$4, BG23:BM23=1)), )"),"")</f>
        <v/>
      </c>
      <c r="G24" s="1187" t="str">
        <f>IFERROR(__xludf.DUMMYFUNCTION("IF(SUM(BG23:BM23),ARRAYFORMULA(FILTER(AE24:AJ24, BG23:BL23)), """")"),"")</f>
        <v/>
      </c>
      <c r="H24" s="1188" t="str">
        <f t="shared" si="18"/>
        <v/>
      </c>
      <c r="I24" s="1187"/>
      <c r="J24" s="1189" t="str">
        <f>IFERROR(__xludf.DUMMYFUNCTION("IF(SUM(BG23:BM23), ARRAYFORMULA(FILTER(AZ23:BE23, BG23:BL23=1))*D$5,"""")"),"")</f>
        <v/>
      </c>
      <c r="K24" s="1190" t="s">
        <v>549</v>
      </c>
      <c r="L24" s="1203" t="s">
        <v>549</v>
      </c>
      <c r="M24" s="1125"/>
      <c r="N24" s="1125"/>
      <c r="O24" s="1125"/>
      <c r="P24" s="1125"/>
      <c r="Q24" s="1125"/>
      <c r="R24" s="1125"/>
      <c r="S24" s="1125"/>
      <c r="T24" s="1125"/>
      <c r="U24" s="1125"/>
      <c r="W24" s="1125"/>
      <c r="X24" s="1125"/>
      <c r="Y24" s="1125"/>
      <c r="Z24" s="1125"/>
      <c r="AA24" s="1125"/>
      <c r="AB24" s="1125"/>
      <c r="AC24" s="1125"/>
      <c r="AD24" s="1125"/>
      <c r="AE24" s="1173">
        <f t="shared" ref="AE24:AJ24" si="54">AE23+BG23</f>
        <v>10</v>
      </c>
      <c r="AF24" s="1173">
        <f t="shared" si="54"/>
        <v>50</v>
      </c>
      <c r="AG24" s="1173">
        <f t="shared" si="54"/>
        <v>10</v>
      </c>
      <c r="AH24" s="1173">
        <f t="shared" si="54"/>
        <v>5</v>
      </c>
      <c r="AI24" s="1174">
        <f t="shared" si="54"/>
        <v>20</v>
      </c>
      <c r="AJ24" s="1175">
        <f t="shared" si="54"/>
        <v>9</v>
      </c>
      <c r="AK24" s="1125"/>
      <c r="AL24" s="1173">
        <f t="shared" si="3"/>
        <v>300</v>
      </c>
      <c r="AM24" s="1173">
        <f t="shared" si="4"/>
        <v>300</v>
      </c>
      <c r="AN24" s="1173">
        <f t="shared" si="5"/>
        <v>300</v>
      </c>
      <c r="AO24" s="1176">
        <f t="shared" si="6"/>
        <v>1</v>
      </c>
      <c r="AP24" s="1175">
        <f t="shared" si="7"/>
        <v>3226</v>
      </c>
      <c r="AQ24" s="1177">
        <f t="shared" si="8"/>
        <v>4126</v>
      </c>
      <c r="AR24" s="1125"/>
      <c r="AS24" s="1173" t="str">
        <f t="shared" si="9"/>
        <v/>
      </c>
      <c r="AT24" s="1173" t="str">
        <f t="shared" si="10"/>
        <v/>
      </c>
      <c r="AU24" s="1173" t="str">
        <f t="shared" si="11"/>
        <v/>
      </c>
      <c r="AV24" s="1173" t="str">
        <f t="shared" si="12"/>
        <v/>
      </c>
      <c r="AW24" s="1178" t="str">
        <f t="shared" si="13"/>
        <v/>
      </c>
      <c r="AX24" s="1175" t="str">
        <f t="shared" si="14"/>
        <v/>
      </c>
      <c r="AY24" s="1125"/>
      <c r="AZ24" s="1179" t="str">
        <f t="shared" ref="AZ24:BD24" si="55">IF(AS24="", "", (AS24/$AQ24-1)/LABDURATION_SINGLE_ADJUSTED(AZ$4, AE24+1))</f>
        <v/>
      </c>
      <c r="BA24" s="1179" t="str">
        <f t="shared" si="55"/>
        <v/>
      </c>
      <c r="BB24" s="1179" t="str">
        <f t="shared" si="55"/>
        <v/>
      </c>
      <c r="BC24" s="1179" t="str">
        <f t="shared" si="55"/>
        <v/>
      </c>
      <c r="BD24" s="1180" t="str">
        <f t="shared" si="55"/>
        <v/>
      </c>
      <c r="BE24" s="1181" t="str">
        <f t="shared" si="16"/>
        <v/>
      </c>
      <c r="BF24" s="1125"/>
      <c r="BG24" s="1182" t="str">
        <f t="array" ref="BG24:BL24">IF(COLUMN(AZ24:BE24) = MIN(IF(AZ24:BE24=MAX(AZ24:BE24), COLUMN(AZ24:BE24))), 1, "")</f>
        <v/>
      </c>
      <c r="BH24" s="1182" t="s">
        <v>549</v>
      </c>
      <c r="BI24" s="1182" t="s">
        <v>549</v>
      </c>
      <c r="BJ24" s="1182" t="s">
        <v>549</v>
      </c>
      <c r="BK24" s="1174" t="s">
        <v>549</v>
      </c>
      <c r="BL24" s="1183" t="s">
        <v>549</v>
      </c>
      <c r="BM24" s="1125"/>
    </row>
    <row r="25">
      <c r="A25" s="1123"/>
      <c r="B25" s="1125"/>
      <c r="C25" s="1125"/>
      <c r="D25" s="1185" t="str">
        <f t="shared" si="17"/>
        <v/>
      </c>
      <c r="E25" s="1244"/>
      <c r="F25" s="1186" t="str">
        <f>IFERROR(__xludf.DUMMYFUNCTION("IF(SUM(BG24:BM24), ARRAYFORMULA(FILTER(BG$4:BM$4, BG24:BM24=1)), )"),"")</f>
        <v/>
      </c>
      <c r="G25" s="1187" t="str">
        <f>IFERROR(__xludf.DUMMYFUNCTION("IF(SUM(BG24:BM24),ARRAYFORMULA(FILTER(AE25:AJ25, BG24:BL24)), """")"),"")</f>
        <v/>
      </c>
      <c r="H25" s="1188" t="str">
        <f t="shared" si="18"/>
        <v/>
      </c>
      <c r="I25" s="1187"/>
      <c r="J25" s="1189" t="str">
        <f>IFERROR(__xludf.DUMMYFUNCTION("IF(SUM(BG24:BM24), ARRAYFORMULA(FILTER(AZ24:BE24, BG24:BL24=1))*D$5,"""")"),"")</f>
        <v/>
      </c>
      <c r="K25" s="1190" t="s">
        <v>549</v>
      </c>
      <c r="L25" s="1251" t="s">
        <v>549</v>
      </c>
      <c r="M25" s="1125"/>
      <c r="N25" s="1125"/>
      <c r="O25" s="1125"/>
      <c r="P25" s="1125"/>
      <c r="Q25" s="1125"/>
      <c r="R25" s="1125"/>
      <c r="S25" s="1125"/>
      <c r="T25" s="1125"/>
      <c r="U25" s="1125"/>
      <c r="W25" s="1125"/>
      <c r="X25" s="1125"/>
      <c r="Y25" s="1125"/>
      <c r="Z25" s="1125"/>
      <c r="AA25" s="1125"/>
      <c r="AB25" s="1125"/>
      <c r="AC25" s="1125"/>
      <c r="AD25" s="1125"/>
      <c r="AE25" s="1173">
        <f t="shared" ref="AE25:AJ25" si="56">AE24+BG24</f>
        <v>10</v>
      </c>
      <c r="AF25" s="1173">
        <f t="shared" si="56"/>
        <v>50</v>
      </c>
      <c r="AG25" s="1173">
        <f t="shared" si="56"/>
        <v>10</v>
      </c>
      <c r="AH25" s="1173">
        <f t="shared" si="56"/>
        <v>5</v>
      </c>
      <c r="AI25" s="1174">
        <f t="shared" si="56"/>
        <v>20</v>
      </c>
      <c r="AJ25" s="1175">
        <f t="shared" si="56"/>
        <v>9</v>
      </c>
      <c r="AK25" s="1125"/>
      <c r="AL25" s="1173">
        <f t="shared" si="3"/>
        <v>300</v>
      </c>
      <c r="AM25" s="1173">
        <f t="shared" si="4"/>
        <v>300</v>
      </c>
      <c r="AN25" s="1173">
        <f t="shared" si="5"/>
        <v>300</v>
      </c>
      <c r="AO25" s="1176">
        <f t="shared" si="6"/>
        <v>1</v>
      </c>
      <c r="AP25" s="1175">
        <f t="shared" si="7"/>
        <v>3226</v>
      </c>
      <c r="AQ25" s="1177">
        <f t="shared" si="8"/>
        <v>4126</v>
      </c>
      <c r="AR25" s="1125"/>
      <c r="AS25" s="1173" t="str">
        <f t="shared" si="9"/>
        <v/>
      </c>
      <c r="AT25" s="1173" t="str">
        <f t="shared" si="10"/>
        <v/>
      </c>
      <c r="AU25" s="1173" t="str">
        <f t="shared" si="11"/>
        <v/>
      </c>
      <c r="AV25" s="1173" t="str">
        <f t="shared" si="12"/>
        <v/>
      </c>
      <c r="AW25" s="1178" t="str">
        <f t="shared" si="13"/>
        <v/>
      </c>
      <c r="AX25" s="1175" t="str">
        <f t="shared" si="14"/>
        <v/>
      </c>
      <c r="AY25" s="1125"/>
      <c r="AZ25" s="1179" t="str">
        <f t="shared" ref="AZ25:BD25" si="57">IF(AS25="", "", (AS25/$AQ25-1)/LABDURATION_SINGLE_ADJUSTED(AZ$4, AE25+1))</f>
        <v/>
      </c>
      <c r="BA25" s="1179" t="str">
        <f t="shared" si="57"/>
        <v/>
      </c>
      <c r="BB25" s="1179" t="str">
        <f t="shared" si="57"/>
        <v/>
      </c>
      <c r="BC25" s="1179" t="str">
        <f t="shared" si="57"/>
        <v/>
      </c>
      <c r="BD25" s="1180" t="str">
        <f t="shared" si="57"/>
        <v/>
      </c>
      <c r="BE25" s="1181" t="str">
        <f t="shared" si="16"/>
        <v/>
      </c>
      <c r="BF25" s="1125"/>
      <c r="BG25" s="1182" t="str">
        <f t="array" ref="BG25:BL25">IF(COLUMN(AZ25:BE25) = MIN(IF(AZ25:BE25=MAX(AZ25:BE25), COLUMN(AZ25:BE25))), 1, "")</f>
        <v/>
      </c>
      <c r="BH25" s="1182" t="s">
        <v>549</v>
      </c>
      <c r="BI25" s="1182" t="s">
        <v>549</v>
      </c>
      <c r="BJ25" s="1182" t="s">
        <v>549</v>
      </c>
      <c r="BK25" s="1174" t="s">
        <v>549</v>
      </c>
      <c r="BL25" s="1183" t="s">
        <v>549</v>
      </c>
      <c r="BM25" s="1125"/>
    </row>
    <row r="26">
      <c r="A26" s="1123"/>
      <c r="B26" s="1125"/>
      <c r="C26" s="1125"/>
      <c r="D26" s="1185" t="str">
        <f t="shared" si="17"/>
        <v/>
      </c>
      <c r="E26" s="1244"/>
      <c r="F26" s="1186" t="str">
        <f>IFERROR(__xludf.DUMMYFUNCTION("IF(SUM(BG25:BM25), ARRAYFORMULA(FILTER(BG$4:BM$4, BG25:BM25=1)), )"),"")</f>
        <v/>
      </c>
      <c r="G26" s="1187" t="str">
        <f>IFERROR(__xludf.DUMMYFUNCTION("IF(SUM(BG25:BM25),ARRAYFORMULA(FILTER(AE26:AJ26, BG25:BL25)), """")"),"")</f>
        <v/>
      </c>
      <c r="H26" s="1188" t="str">
        <f t="shared" si="18"/>
        <v/>
      </c>
      <c r="I26" s="1187"/>
      <c r="J26" s="1189" t="str">
        <f>IFERROR(__xludf.DUMMYFUNCTION("IF(SUM(BG25:BM25), ARRAYFORMULA(FILTER(AZ25:BE25, BG25:BL25=1))*D$5,"""")"),"")</f>
        <v/>
      </c>
      <c r="K26" s="1190" t="s">
        <v>549</v>
      </c>
      <c r="L26" s="1203" t="s">
        <v>549</v>
      </c>
      <c r="M26" s="1125"/>
      <c r="N26" s="1125"/>
      <c r="O26" s="1125"/>
      <c r="P26" s="1125"/>
      <c r="Q26" s="1125"/>
      <c r="R26" s="1125"/>
      <c r="S26" s="1125"/>
      <c r="T26" s="1125"/>
      <c r="U26" s="1125"/>
      <c r="W26" s="1125"/>
      <c r="X26" s="1125"/>
      <c r="Y26" s="1125"/>
      <c r="Z26" s="1125"/>
      <c r="AA26" s="1125"/>
      <c r="AB26" s="1125"/>
      <c r="AC26" s="1125"/>
      <c r="AD26" s="1125"/>
      <c r="AE26" s="1173">
        <f t="shared" ref="AE26:AJ26" si="58">AE25+BG25</f>
        <v>10</v>
      </c>
      <c r="AF26" s="1173">
        <f t="shared" si="58"/>
        <v>50</v>
      </c>
      <c r="AG26" s="1173">
        <f t="shared" si="58"/>
        <v>10</v>
      </c>
      <c r="AH26" s="1173">
        <f t="shared" si="58"/>
        <v>5</v>
      </c>
      <c r="AI26" s="1174">
        <f t="shared" si="58"/>
        <v>20</v>
      </c>
      <c r="AJ26" s="1175">
        <f t="shared" si="58"/>
        <v>9</v>
      </c>
      <c r="AK26" s="1125"/>
      <c r="AL26" s="1173">
        <f t="shared" si="3"/>
        <v>300</v>
      </c>
      <c r="AM26" s="1173">
        <f t="shared" si="4"/>
        <v>300</v>
      </c>
      <c r="AN26" s="1173">
        <f t="shared" si="5"/>
        <v>300</v>
      </c>
      <c r="AO26" s="1176">
        <f t="shared" si="6"/>
        <v>1</v>
      </c>
      <c r="AP26" s="1175">
        <f t="shared" si="7"/>
        <v>3226</v>
      </c>
      <c r="AQ26" s="1177">
        <f t="shared" si="8"/>
        <v>4126</v>
      </c>
      <c r="AR26" s="1125"/>
      <c r="AS26" s="1173" t="str">
        <f t="shared" si="9"/>
        <v/>
      </c>
      <c r="AT26" s="1173" t="str">
        <f t="shared" si="10"/>
        <v/>
      </c>
      <c r="AU26" s="1173" t="str">
        <f t="shared" si="11"/>
        <v/>
      </c>
      <c r="AV26" s="1173" t="str">
        <f t="shared" si="12"/>
        <v/>
      </c>
      <c r="AW26" s="1178" t="str">
        <f t="shared" si="13"/>
        <v/>
      </c>
      <c r="AX26" s="1175" t="str">
        <f t="shared" si="14"/>
        <v/>
      </c>
      <c r="AY26" s="1125"/>
      <c r="AZ26" s="1179" t="str">
        <f t="shared" ref="AZ26:BD26" si="59">IF(AS26="", "", (AS26/$AQ26-1)/LABDURATION_SINGLE_ADJUSTED(AZ$4, AE26+1))</f>
        <v/>
      </c>
      <c r="BA26" s="1179" t="str">
        <f t="shared" si="59"/>
        <v/>
      </c>
      <c r="BB26" s="1179" t="str">
        <f t="shared" si="59"/>
        <v/>
      </c>
      <c r="BC26" s="1179" t="str">
        <f t="shared" si="59"/>
        <v/>
      </c>
      <c r="BD26" s="1180" t="str">
        <f t="shared" si="59"/>
        <v/>
      </c>
      <c r="BE26" s="1181" t="str">
        <f t="shared" si="16"/>
        <v/>
      </c>
      <c r="BF26" s="1125"/>
      <c r="BG26" s="1182" t="str">
        <f t="array" ref="BG26:BL26">IF(COLUMN(AZ26:BE26) = MIN(IF(AZ26:BE26=MAX(AZ26:BE26), COLUMN(AZ26:BE26))), 1, "")</f>
        <v/>
      </c>
      <c r="BH26" s="1182" t="s">
        <v>549</v>
      </c>
      <c r="BI26" s="1182" t="s">
        <v>549</v>
      </c>
      <c r="BJ26" s="1182" t="s">
        <v>549</v>
      </c>
      <c r="BK26" s="1174" t="s">
        <v>549</v>
      </c>
      <c r="BL26" s="1183" t="s">
        <v>549</v>
      </c>
      <c r="BM26" s="1125"/>
    </row>
    <row r="27">
      <c r="A27" s="1123"/>
      <c r="B27" s="1125"/>
      <c r="C27" s="1125"/>
      <c r="D27" s="1185" t="str">
        <f t="shared" si="17"/>
        <v/>
      </c>
      <c r="E27" s="1244"/>
      <c r="F27" s="1186" t="str">
        <f>IFERROR(__xludf.DUMMYFUNCTION("IF(SUM(BG26:BM26), ARRAYFORMULA(FILTER(BG$4:BM$4, BG26:BM26=1)), )"),"")</f>
        <v/>
      </c>
      <c r="G27" s="1187" t="str">
        <f>IFERROR(__xludf.DUMMYFUNCTION("IF(SUM(BG26:BM26),ARRAYFORMULA(FILTER(AE27:AJ27, BG26:BL26)), """")"),"")</f>
        <v/>
      </c>
      <c r="H27" s="1188" t="str">
        <f t="shared" si="18"/>
        <v/>
      </c>
      <c r="I27" s="1187"/>
      <c r="J27" s="1189" t="str">
        <f>IFERROR(__xludf.DUMMYFUNCTION("IF(SUM(BG26:BM26), ARRAYFORMULA(FILTER(AZ26:BE26, BG26:BL26=1))*D$5,"""")"),"")</f>
        <v/>
      </c>
      <c r="K27" s="1190" t="s">
        <v>549</v>
      </c>
      <c r="L27" s="1203" t="s">
        <v>549</v>
      </c>
      <c r="M27" s="1125"/>
      <c r="N27" s="1125"/>
      <c r="O27" s="1125"/>
      <c r="P27" s="1125"/>
      <c r="Q27" s="1125"/>
      <c r="R27" s="1125"/>
      <c r="S27" s="1125"/>
      <c r="T27" s="1125"/>
      <c r="U27" s="1125"/>
      <c r="W27" s="1125"/>
      <c r="X27" s="1125"/>
      <c r="Y27" s="1125"/>
      <c r="Z27" s="1125"/>
      <c r="AA27" s="1125"/>
      <c r="AB27" s="1125"/>
      <c r="AC27" s="1125"/>
      <c r="AD27" s="1125"/>
      <c r="AE27" s="1173">
        <f t="shared" ref="AE27:AJ27" si="60">AE26+BG26</f>
        <v>10</v>
      </c>
      <c r="AF27" s="1173">
        <f t="shared" si="60"/>
        <v>50</v>
      </c>
      <c r="AG27" s="1173">
        <f t="shared" si="60"/>
        <v>10</v>
      </c>
      <c r="AH27" s="1173">
        <f t="shared" si="60"/>
        <v>5</v>
      </c>
      <c r="AI27" s="1174">
        <f t="shared" si="60"/>
        <v>20</v>
      </c>
      <c r="AJ27" s="1175">
        <f t="shared" si="60"/>
        <v>9</v>
      </c>
      <c r="AK27" s="1125"/>
      <c r="AL27" s="1173">
        <f t="shared" si="3"/>
        <v>300</v>
      </c>
      <c r="AM27" s="1173">
        <f t="shared" si="4"/>
        <v>300</v>
      </c>
      <c r="AN27" s="1173">
        <f t="shared" si="5"/>
        <v>300</v>
      </c>
      <c r="AO27" s="1176">
        <f t="shared" si="6"/>
        <v>1</v>
      </c>
      <c r="AP27" s="1175">
        <f t="shared" si="7"/>
        <v>3226</v>
      </c>
      <c r="AQ27" s="1177">
        <f t="shared" si="8"/>
        <v>4126</v>
      </c>
      <c r="AR27" s="1125"/>
      <c r="AS27" s="1173" t="str">
        <f t="shared" si="9"/>
        <v/>
      </c>
      <c r="AT27" s="1173" t="str">
        <f t="shared" si="10"/>
        <v/>
      </c>
      <c r="AU27" s="1173" t="str">
        <f t="shared" si="11"/>
        <v/>
      </c>
      <c r="AV27" s="1173" t="str">
        <f t="shared" si="12"/>
        <v/>
      </c>
      <c r="AW27" s="1178" t="str">
        <f t="shared" si="13"/>
        <v/>
      </c>
      <c r="AX27" s="1175" t="str">
        <f t="shared" si="14"/>
        <v/>
      </c>
      <c r="AY27" s="1125"/>
      <c r="AZ27" s="1179" t="str">
        <f t="shared" ref="AZ27:BD27" si="61">IF(AS27="", "", (AS27/$AQ27-1)/LABDURATION_SINGLE_ADJUSTED(AZ$4, AE27+1))</f>
        <v/>
      </c>
      <c r="BA27" s="1179" t="str">
        <f t="shared" si="61"/>
        <v/>
      </c>
      <c r="BB27" s="1179" t="str">
        <f t="shared" si="61"/>
        <v/>
      </c>
      <c r="BC27" s="1179" t="str">
        <f t="shared" si="61"/>
        <v/>
      </c>
      <c r="BD27" s="1180" t="str">
        <f t="shared" si="61"/>
        <v/>
      </c>
      <c r="BE27" s="1181" t="str">
        <f t="shared" si="16"/>
        <v/>
      </c>
      <c r="BF27" s="1125"/>
      <c r="BG27" s="1182" t="str">
        <f t="array" ref="BG27:BL27">IF(COLUMN(AZ27:BE27) = MIN(IF(AZ27:BE27=MAX(AZ27:BE27), COLUMN(AZ27:BE27))), 1, "")</f>
        <v/>
      </c>
      <c r="BH27" s="1182" t="s">
        <v>549</v>
      </c>
      <c r="BI27" s="1182" t="s">
        <v>549</v>
      </c>
      <c r="BJ27" s="1182" t="s">
        <v>549</v>
      </c>
      <c r="BK27" s="1174" t="s">
        <v>549</v>
      </c>
      <c r="BL27" s="1183" t="s">
        <v>549</v>
      </c>
      <c r="BM27" s="1125"/>
    </row>
    <row r="28">
      <c r="A28" s="1123"/>
      <c r="B28" s="1125"/>
      <c r="C28" s="1125"/>
      <c r="D28" s="1185" t="str">
        <f t="shared" si="17"/>
        <v/>
      </c>
      <c r="E28" s="1244"/>
      <c r="F28" s="1186" t="str">
        <f>IFERROR(__xludf.DUMMYFUNCTION("IF(SUM(BG27:BM27), ARRAYFORMULA(FILTER(BG$4:BM$4, BG27:BM27=1)), )"),"")</f>
        <v/>
      </c>
      <c r="G28" s="1187" t="str">
        <f>IFERROR(__xludf.DUMMYFUNCTION("IF(SUM(BG27:BM27),ARRAYFORMULA(FILTER(AE28:AJ28, BG27:BL27)), """")"),"")</f>
        <v/>
      </c>
      <c r="H28" s="1188" t="str">
        <f t="shared" si="18"/>
        <v/>
      </c>
      <c r="I28" s="1187"/>
      <c r="J28" s="1189" t="str">
        <f>IFERROR(__xludf.DUMMYFUNCTION("IF(SUM(BG27:BM27), ARRAYFORMULA(FILTER(AZ27:BE27, BG27:BL27=1))*D$5,"""")"),"")</f>
        <v/>
      </c>
      <c r="K28" s="1190" t="s">
        <v>549</v>
      </c>
      <c r="L28" s="1203" t="s">
        <v>549</v>
      </c>
      <c r="M28" s="1125"/>
      <c r="N28" s="1125"/>
      <c r="O28" s="1125"/>
      <c r="P28" s="1125"/>
      <c r="Q28" s="1125"/>
      <c r="R28" s="1125"/>
      <c r="S28" s="1125"/>
      <c r="T28" s="1125"/>
      <c r="U28" s="1125"/>
      <c r="W28" s="1125"/>
      <c r="X28" s="1125"/>
      <c r="Y28" s="1125"/>
      <c r="Z28" s="1125"/>
      <c r="AA28" s="1125"/>
      <c r="AB28" s="1125"/>
      <c r="AC28" s="1125"/>
      <c r="AD28" s="1125"/>
      <c r="AE28" s="1173">
        <f t="shared" ref="AE28:AJ28" si="62">AE27+BG27</f>
        <v>10</v>
      </c>
      <c r="AF28" s="1173">
        <f t="shared" si="62"/>
        <v>50</v>
      </c>
      <c r="AG28" s="1173">
        <f t="shared" si="62"/>
        <v>10</v>
      </c>
      <c r="AH28" s="1173">
        <f t="shared" si="62"/>
        <v>5</v>
      </c>
      <c r="AI28" s="1174">
        <f t="shared" si="62"/>
        <v>20</v>
      </c>
      <c r="AJ28" s="1175">
        <f t="shared" si="62"/>
        <v>9</v>
      </c>
      <c r="AK28" s="1125"/>
      <c r="AL28" s="1173">
        <f t="shared" si="3"/>
        <v>300</v>
      </c>
      <c r="AM28" s="1173">
        <f t="shared" si="4"/>
        <v>300</v>
      </c>
      <c r="AN28" s="1173">
        <f t="shared" si="5"/>
        <v>300</v>
      </c>
      <c r="AO28" s="1176">
        <f t="shared" si="6"/>
        <v>1</v>
      </c>
      <c r="AP28" s="1175">
        <f t="shared" si="7"/>
        <v>3226</v>
      </c>
      <c r="AQ28" s="1177">
        <f t="shared" si="8"/>
        <v>4126</v>
      </c>
      <c r="AR28" s="1125"/>
      <c r="AS28" s="1173" t="str">
        <f t="shared" si="9"/>
        <v/>
      </c>
      <c r="AT28" s="1173" t="str">
        <f t="shared" si="10"/>
        <v/>
      </c>
      <c r="AU28" s="1173" t="str">
        <f t="shared" si="11"/>
        <v/>
      </c>
      <c r="AV28" s="1173" t="str">
        <f t="shared" si="12"/>
        <v/>
      </c>
      <c r="AW28" s="1178" t="str">
        <f t="shared" si="13"/>
        <v/>
      </c>
      <c r="AX28" s="1175" t="str">
        <f t="shared" si="14"/>
        <v/>
      </c>
      <c r="AY28" s="1125"/>
      <c r="AZ28" s="1179" t="str">
        <f t="shared" ref="AZ28:BD28" si="63">IF(AS28="", "", (AS28/$AQ28-1)/LABDURATION_SINGLE_ADJUSTED(AZ$4, AE28+1))</f>
        <v/>
      </c>
      <c r="BA28" s="1179" t="str">
        <f t="shared" si="63"/>
        <v/>
      </c>
      <c r="BB28" s="1179" t="str">
        <f t="shared" si="63"/>
        <v/>
      </c>
      <c r="BC28" s="1179" t="str">
        <f t="shared" si="63"/>
        <v/>
      </c>
      <c r="BD28" s="1180" t="str">
        <f t="shared" si="63"/>
        <v/>
      </c>
      <c r="BE28" s="1181" t="str">
        <f t="shared" si="16"/>
        <v/>
      </c>
      <c r="BF28" s="1125"/>
      <c r="BG28" s="1182" t="str">
        <f t="array" ref="BG28:BL28">IF(COLUMN(AZ28:BE28) = MIN(IF(AZ28:BE28=MAX(AZ28:BE28), COLUMN(AZ28:BE28))), 1, "")</f>
        <v/>
      </c>
      <c r="BH28" s="1182" t="s">
        <v>549</v>
      </c>
      <c r="BI28" s="1182" t="s">
        <v>549</v>
      </c>
      <c r="BJ28" s="1182" t="s">
        <v>549</v>
      </c>
      <c r="BK28" s="1174" t="s">
        <v>549</v>
      </c>
      <c r="BL28" s="1183" t="s">
        <v>549</v>
      </c>
      <c r="BM28" s="1125"/>
    </row>
    <row r="29">
      <c r="A29" s="1123"/>
      <c r="B29" s="1125"/>
      <c r="C29" s="1125"/>
      <c r="D29" s="1185" t="str">
        <f t="shared" si="17"/>
        <v/>
      </c>
      <c r="E29" s="1244"/>
      <c r="F29" s="1186" t="str">
        <f>IFERROR(__xludf.DUMMYFUNCTION("IF(SUM(BG28:BM28), ARRAYFORMULA(FILTER(BG$4:BM$4, BG28:BM28=1)), )"),"")</f>
        <v/>
      </c>
      <c r="G29" s="1187" t="str">
        <f>IFERROR(__xludf.DUMMYFUNCTION("IF(SUM(BG28:BM28),ARRAYFORMULA(FILTER(AE29:AJ29, BG28:BL28)), """")"),"")</f>
        <v/>
      </c>
      <c r="H29" s="1188" t="str">
        <f t="shared" si="18"/>
        <v/>
      </c>
      <c r="I29" s="1187"/>
      <c r="J29" s="1189" t="str">
        <f>IFERROR(__xludf.DUMMYFUNCTION("IF(SUM(BG28:BM28), ARRAYFORMULA(FILTER(AZ28:BE28, BG28:BL28=1))*D$5,"""")"),"")</f>
        <v/>
      </c>
      <c r="K29" s="1190" t="s">
        <v>549</v>
      </c>
      <c r="L29" s="1203" t="s">
        <v>549</v>
      </c>
      <c r="M29" s="1125"/>
      <c r="N29" s="1125"/>
      <c r="O29" s="1125"/>
      <c r="P29" s="1125"/>
      <c r="Q29" s="1125"/>
      <c r="R29" s="1125"/>
      <c r="S29" s="1125"/>
      <c r="T29" s="1125"/>
      <c r="U29" s="1125"/>
      <c r="W29" s="1125"/>
      <c r="X29" s="1125"/>
      <c r="Y29" s="1125"/>
      <c r="Z29" s="1125"/>
      <c r="AA29" s="1125"/>
      <c r="AB29" s="1125"/>
      <c r="AC29" s="1125"/>
      <c r="AD29" s="1125"/>
      <c r="AE29" s="1173">
        <f t="shared" ref="AE29:AJ29" si="64">AE28+BG28</f>
        <v>10</v>
      </c>
      <c r="AF29" s="1173">
        <f t="shared" si="64"/>
        <v>50</v>
      </c>
      <c r="AG29" s="1173">
        <f t="shared" si="64"/>
        <v>10</v>
      </c>
      <c r="AH29" s="1173">
        <f t="shared" si="64"/>
        <v>5</v>
      </c>
      <c r="AI29" s="1174">
        <f t="shared" si="64"/>
        <v>20</v>
      </c>
      <c r="AJ29" s="1175">
        <f t="shared" si="64"/>
        <v>9</v>
      </c>
      <c r="AK29" s="1125"/>
      <c r="AL29" s="1173">
        <f t="shared" si="3"/>
        <v>300</v>
      </c>
      <c r="AM29" s="1173">
        <f t="shared" si="4"/>
        <v>300</v>
      </c>
      <c r="AN29" s="1173">
        <f t="shared" si="5"/>
        <v>300</v>
      </c>
      <c r="AO29" s="1176">
        <f t="shared" si="6"/>
        <v>1</v>
      </c>
      <c r="AP29" s="1175">
        <f t="shared" si="7"/>
        <v>3226</v>
      </c>
      <c r="AQ29" s="1177">
        <f t="shared" si="8"/>
        <v>4126</v>
      </c>
      <c r="AR29" s="1125"/>
      <c r="AS29" s="1173" t="str">
        <f t="shared" si="9"/>
        <v/>
      </c>
      <c r="AT29" s="1173" t="str">
        <f t="shared" si="10"/>
        <v/>
      </c>
      <c r="AU29" s="1173" t="str">
        <f t="shared" si="11"/>
        <v/>
      </c>
      <c r="AV29" s="1173" t="str">
        <f t="shared" si="12"/>
        <v/>
      </c>
      <c r="AW29" s="1178" t="str">
        <f t="shared" si="13"/>
        <v/>
      </c>
      <c r="AX29" s="1175" t="str">
        <f t="shared" si="14"/>
        <v/>
      </c>
      <c r="AY29" s="1125"/>
      <c r="AZ29" s="1179" t="str">
        <f t="shared" ref="AZ29:BD29" si="65">IF(AS29="", "", (AS29/$AQ29-1)/LABDURATION_SINGLE_ADJUSTED(AZ$4, AE29+1))</f>
        <v/>
      </c>
      <c r="BA29" s="1179" t="str">
        <f t="shared" si="65"/>
        <v/>
      </c>
      <c r="BB29" s="1179" t="str">
        <f t="shared" si="65"/>
        <v/>
      </c>
      <c r="BC29" s="1179" t="str">
        <f t="shared" si="65"/>
        <v/>
      </c>
      <c r="BD29" s="1180" t="str">
        <f t="shared" si="65"/>
        <v/>
      </c>
      <c r="BE29" s="1181" t="str">
        <f t="shared" si="16"/>
        <v/>
      </c>
      <c r="BF29" s="1125"/>
      <c r="BG29" s="1182" t="str">
        <f t="array" ref="BG29:BL29">IF(COLUMN(AZ29:BE29) = MIN(IF(AZ29:BE29=MAX(AZ29:BE29), COLUMN(AZ29:BE29))), 1, "")</f>
        <v/>
      </c>
      <c r="BH29" s="1182" t="s">
        <v>549</v>
      </c>
      <c r="BI29" s="1182" t="s">
        <v>549</v>
      </c>
      <c r="BJ29" s="1182" t="s">
        <v>549</v>
      </c>
      <c r="BK29" s="1174" t="s">
        <v>549</v>
      </c>
      <c r="BL29" s="1183" t="s">
        <v>549</v>
      </c>
      <c r="BM29" s="1125"/>
    </row>
    <row r="30">
      <c r="A30" s="1123"/>
      <c r="B30" s="1125"/>
      <c r="C30" s="1125"/>
      <c r="D30" s="1185" t="str">
        <f t="shared" si="17"/>
        <v/>
      </c>
      <c r="E30" s="1244"/>
      <c r="F30" s="1186" t="str">
        <f>IFERROR(__xludf.DUMMYFUNCTION("IF(SUM(BG29:BM29), ARRAYFORMULA(FILTER(BG$4:BM$4, BG29:BM29=1)), )"),"")</f>
        <v/>
      </c>
      <c r="G30" s="1187" t="str">
        <f>IFERROR(__xludf.DUMMYFUNCTION("IF(SUM(BG29:BM29),ARRAYFORMULA(FILTER(AE30:AJ30, BG29:BL29)), """")"),"")</f>
        <v/>
      </c>
      <c r="H30" s="1188" t="str">
        <f t="shared" si="18"/>
        <v/>
      </c>
      <c r="I30" s="1187"/>
      <c r="J30" s="1189" t="str">
        <f>IFERROR(__xludf.DUMMYFUNCTION("IF(SUM(BG29:BM29), ARRAYFORMULA(FILTER(AZ29:BE29, BG29:BL29=1))*D$5,"""")"),"")</f>
        <v/>
      </c>
      <c r="K30" s="1190" t="s">
        <v>549</v>
      </c>
      <c r="L30" s="1203" t="s">
        <v>549</v>
      </c>
      <c r="M30" s="1125"/>
      <c r="N30" s="1125"/>
      <c r="O30" s="1125"/>
      <c r="P30" s="1125"/>
      <c r="Q30" s="1125"/>
      <c r="R30" s="1125"/>
      <c r="S30" s="1125"/>
      <c r="T30" s="1125"/>
      <c r="U30" s="1125"/>
      <c r="W30" s="1125"/>
      <c r="X30" s="1125"/>
      <c r="Y30" s="1125"/>
      <c r="Z30" s="1125"/>
      <c r="AA30" s="1125"/>
      <c r="AB30" s="1125"/>
      <c r="AC30" s="1125"/>
      <c r="AD30" s="1125"/>
      <c r="AE30" s="1173">
        <f t="shared" ref="AE30:AJ30" si="66">AE29+BG29</f>
        <v>10</v>
      </c>
      <c r="AF30" s="1173">
        <f t="shared" si="66"/>
        <v>50</v>
      </c>
      <c r="AG30" s="1173">
        <f t="shared" si="66"/>
        <v>10</v>
      </c>
      <c r="AH30" s="1173">
        <f t="shared" si="66"/>
        <v>5</v>
      </c>
      <c r="AI30" s="1174">
        <f t="shared" si="66"/>
        <v>20</v>
      </c>
      <c r="AJ30" s="1175">
        <f t="shared" si="66"/>
        <v>9</v>
      </c>
      <c r="AK30" s="1125"/>
      <c r="AL30" s="1173">
        <f t="shared" si="3"/>
        <v>300</v>
      </c>
      <c r="AM30" s="1173">
        <f t="shared" si="4"/>
        <v>300</v>
      </c>
      <c r="AN30" s="1173">
        <f t="shared" si="5"/>
        <v>300</v>
      </c>
      <c r="AO30" s="1176">
        <f t="shared" si="6"/>
        <v>1</v>
      </c>
      <c r="AP30" s="1175">
        <f t="shared" si="7"/>
        <v>3226</v>
      </c>
      <c r="AQ30" s="1177">
        <f t="shared" si="8"/>
        <v>4126</v>
      </c>
      <c r="AR30" s="1125"/>
      <c r="AS30" s="1173" t="str">
        <f t="shared" si="9"/>
        <v/>
      </c>
      <c r="AT30" s="1173" t="str">
        <f t="shared" si="10"/>
        <v/>
      </c>
      <c r="AU30" s="1173" t="str">
        <f t="shared" si="11"/>
        <v/>
      </c>
      <c r="AV30" s="1173" t="str">
        <f t="shared" si="12"/>
        <v/>
      </c>
      <c r="AW30" s="1178" t="str">
        <f t="shared" si="13"/>
        <v/>
      </c>
      <c r="AX30" s="1175" t="str">
        <f t="shared" si="14"/>
        <v/>
      </c>
      <c r="AY30" s="1125"/>
      <c r="AZ30" s="1179" t="str">
        <f t="shared" ref="AZ30:BD30" si="67">IF(AS30="", "", (AS30/$AQ30-1)/LABDURATION_SINGLE_ADJUSTED(AZ$4, AE30+1))</f>
        <v/>
      </c>
      <c r="BA30" s="1179" t="str">
        <f t="shared" si="67"/>
        <v/>
      </c>
      <c r="BB30" s="1179" t="str">
        <f t="shared" si="67"/>
        <v/>
      </c>
      <c r="BC30" s="1179" t="str">
        <f t="shared" si="67"/>
        <v/>
      </c>
      <c r="BD30" s="1180" t="str">
        <f t="shared" si="67"/>
        <v/>
      </c>
      <c r="BE30" s="1181" t="str">
        <f t="shared" si="16"/>
        <v/>
      </c>
      <c r="BF30" s="1125"/>
      <c r="BG30" s="1182" t="str">
        <f t="array" ref="BG30:BL30">IF(COLUMN(AZ30:BE30) = MIN(IF(AZ30:BE30=MAX(AZ30:BE30), COLUMN(AZ30:BE30))), 1, "")</f>
        <v/>
      </c>
      <c r="BH30" s="1182" t="s">
        <v>549</v>
      </c>
      <c r="BI30" s="1182" t="s">
        <v>549</v>
      </c>
      <c r="BJ30" s="1182" t="s">
        <v>549</v>
      </c>
      <c r="BK30" s="1174" t="s">
        <v>549</v>
      </c>
      <c r="BL30" s="1183" t="s">
        <v>549</v>
      </c>
      <c r="BM30" s="1125"/>
    </row>
    <row r="31">
      <c r="A31" s="1123"/>
      <c r="B31" s="1125"/>
      <c r="C31" s="1125"/>
      <c r="D31" s="1185" t="str">
        <f t="shared" si="17"/>
        <v/>
      </c>
      <c r="E31" s="1244"/>
      <c r="F31" s="1186" t="str">
        <f>IFERROR(__xludf.DUMMYFUNCTION("IF(SUM(BG30:BM30), ARRAYFORMULA(FILTER(BG$4:BM$4, BG30:BM30=1)), )"),"")</f>
        <v/>
      </c>
      <c r="G31" s="1187" t="str">
        <f>IFERROR(__xludf.DUMMYFUNCTION("IF(SUM(BG30:BM30),ARRAYFORMULA(FILTER(AE31:AJ31, BG30:BL30)), """")"),"")</f>
        <v/>
      </c>
      <c r="H31" s="1188" t="str">
        <f t="shared" si="18"/>
        <v/>
      </c>
      <c r="I31" s="1187"/>
      <c r="J31" s="1189" t="str">
        <f>IFERROR(__xludf.DUMMYFUNCTION("IF(SUM(BG30:BM30), ARRAYFORMULA(FILTER(AZ30:BE30, BG30:BL30=1))*D$5,"""")"),"")</f>
        <v/>
      </c>
      <c r="K31" s="1190" t="s">
        <v>549</v>
      </c>
      <c r="L31" s="1203" t="s">
        <v>549</v>
      </c>
      <c r="M31" s="1125"/>
      <c r="N31" s="1125"/>
      <c r="O31" s="1125"/>
      <c r="P31" s="1125"/>
      <c r="Q31" s="1125"/>
      <c r="R31" s="1125"/>
      <c r="S31" s="1125"/>
      <c r="T31" s="1125"/>
      <c r="U31" s="1125"/>
      <c r="W31" s="1125"/>
      <c r="X31" s="1125"/>
      <c r="Y31" s="1125"/>
      <c r="Z31" s="1125"/>
      <c r="AA31" s="1125"/>
      <c r="AB31" s="1125"/>
      <c r="AC31" s="1125"/>
      <c r="AD31" s="1125"/>
      <c r="AE31" s="1173">
        <f t="shared" ref="AE31:AJ31" si="68">AE30+BG30</f>
        <v>10</v>
      </c>
      <c r="AF31" s="1173">
        <f t="shared" si="68"/>
        <v>50</v>
      </c>
      <c r="AG31" s="1173">
        <f t="shared" si="68"/>
        <v>10</v>
      </c>
      <c r="AH31" s="1173">
        <f t="shared" si="68"/>
        <v>5</v>
      </c>
      <c r="AI31" s="1174">
        <f t="shared" si="68"/>
        <v>20</v>
      </c>
      <c r="AJ31" s="1175">
        <f t="shared" si="68"/>
        <v>9</v>
      </c>
      <c r="AK31" s="1125"/>
      <c r="AL31" s="1173">
        <f t="shared" si="3"/>
        <v>300</v>
      </c>
      <c r="AM31" s="1173">
        <f t="shared" si="4"/>
        <v>300</v>
      </c>
      <c r="AN31" s="1173">
        <f t="shared" si="5"/>
        <v>300</v>
      </c>
      <c r="AO31" s="1176">
        <f t="shared" si="6"/>
        <v>1</v>
      </c>
      <c r="AP31" s="1175">
        <f t="shared" si="7"/>
        <v>3226</v>
      </c>
      <c r="AQ31" s="1177">
        <f t="shared" si="8"/>
        <v>4126</v>
      </c>
      <c r="AR31" s="1125"/>
      <c r="AS31" s="1173" t="str">
        <f t="shared" si="9"/>
        <v/>
      </c>
      <c r="AT31" s="1173" t="str">
        <f t="shared" si="10"/>
        <v/>
      </c>
      <c r="AU31" s="1173" t="str">
        <f t="shared" si="11"/>
        <v/>
      </c>
      <c r="AV31" s="1173" t="str">
        <f t="shared" si="12"/>
        <v/>
      </c>
      <c r="AW31" s="1178" t="str">
        <f t="shared" si="13"/>
        <v/>
      </c>
      <c r="AX31" s="1175" t="str">
        <f t="shared" si="14"/>
        <v/>
      </c>
      <c r="AY31" s="1125"/>
      <c r="AZ31" s="1179" t="str">
        <f t="shared" ref="AZ31:BD31" si="69">IF(AS31="", "", (AS31/$AQ31-1)/LABDURATION_SINGLE_ADJUSTED(AZ$4, AE31+1))</f>
        <v/>
      </c>
      <c r="BA31" s="1179" t="str">
        <f t="shared" si="69"/>
        <v/>
      </c>
      <c r="BB31" s="1179" t="str">
        <f t="shared" si="69"/>
        <v/>
      </c>
      <c r="BC31" s="1179" t="str">
        <f t="shared" si="69"/>
        <v/>
      </c>
      <c r="BD31" s="1180" t="str">
        <f t="shared" si="69"/>
        <v/>
      </c>
      <c r="BE31" s="1181" t="str">
        <f t="shared" si="16"/>
        <v/>
      </c>
      <c r="BF31" s="1125"/>
      <c r="BG31" s="1182" t="str">
        <f t="array" ref="BG31:BL31">IF(COLUMN(AZ31:BE31) = MIN(IF(AZ31:BE31=MAX(AZ31:BE31), COLUMN(AZ31:BE31))), 1, "")</f>
        <v/>
      </c>
      <c r="BH31" s="1182" t="s">
        <v>549</v>
      </c>
      <c r="BI31" s="1182" t="s">
        <v>549</v>
      </c>
      <c r="BJ31" s="1182" t="s">
        <v>549</v>
      </c>
      <c r="BK31" s="1174" t="s">
        <v>549</v>
      </c>
      <c r="BL31" s="1183" t="s">
        <v>549</v>
      </c>
      <c r="BM31" s="1125"/>
    </row>
    <row r="32">
      <c r="A32" s="1123"/>
      <c r="B32" s="1125"/>
      <c r="C32" s="1125"/>
      <c r="D32" s="1185" t="str">
        <f t="shared" si="17"/>
        <v/>
      </c>
      <c r="E32" s="1244"/>
      <c r="F32" s="1186" t="str">
        <f>IFERROR(__xludf.DUMMYFUNCTION("IF(SUM(BG31:BM31), ARRAYFORMULA(FILTER(BG$4:BM$4, BG31:BM31=1)), )"),"")</f>
        <v/>
      </c>
      <c r="G32" s="1187" t="str">
        <f>IFERROR(__xludf.DUMMYFUNCTION("IF(SUM(BG31:BM31),ARRAYFORMULA(FILTER(AE32:AJ32, BG31:BL31)), """")"),"")</f>
        <v/>
      </c>
      <c r="H32" s="1188" t="str">
        <f t="shared" si="18"/>
        <v/>
      </c>
      <c r="I32" s="1187"/>
      <c r="J32" s="1189" t="str">
        <f>IFERROR(__xludf.DUMMYFUNCTION("IF(SUM(BG31:BM31), ARRAYFORMULA(FILTER(AZ31:BE31, BG31:BL31=1))*D$5,"""")"),"")</f>
        <v/>
      </c>
      <c r="K32" s="1190" t="s">
        <v>549</v>
      </c>
      <c r="L32" s="1203" t="s">
        <v>549</v>
      </c>
      <c r="M32" s="1125"/>
      <c r="N32" s="1125"/>
      <c r="O32" s="1125"/>
      <c r="P32" s="1125"/>
      <c r="Q32" s="1125"/>
      <c r="R32" s="1125"/>
      <c r="S32" s="1125"/>
      <c r="T32" s="1125"/>
      <c r="U32" s="1125"/>
      <c r="W32" s="1125"/>
      <c r="X32" s="1125"/>
      <c r="Y32" s="1125"/>
      <c r="Z32" s="1125"/>
      <c r="AA32" s="1125"/>
      <c r="AB32" s="1125"/>
      <c r="AC32" s="1125"/>
      <c r="AD32" s="1125"/>
      <c r="AE32" s="1173">
        <f t="shared" ref="AE32:AJ32" si="70">AE31+BG31</f>
        <v>10</v>
      </c>
      <c r="AF32" s="1173">
        <f t="shared" si="70"/>
        <v>50</v>
      </c>
      <c r="AG32" s="1173">
        <f t="shared" si="70"/>
        <v>10</v>
      </c>
      <c r="AH32" s="1173">
        <f t="shared" si="70"/>
        <v>5</v>
      </c>
      <c r="AI32" s="1174">
        <f t="shared" si="70"/>
        <v>20</v>
      </c>
      <c r="AJ32" s="1175">
        <f t="shared" si="70"/>
        <v>9</v>
      </c>
      <c r="AK32" s="1125"/>
      <c r="AL32" s="1173">
        <f t="shared" si="3"/>
        <v>300</v>
      </c>
      <c r="AM32" s="1173">
        <f t="shared" si="4"/>
        <v>300</v>
      </c>
      <c r="AN32" s="1173">
        <f t="shared" si="5"/>
        <v>300</v>
      </c>
      <c r="AO32" s="1176">
        <f t="shared" si="6"/>
        <v>1</v>
      </c>
      <c r="AP32" s="1175">
        <f t="shared" si="7"/>
        <v>3226</v>
      </c>
      <c r="AQ32" s="1177">
        <f t="shared" si="8"/>
        <v>4126</v>
      </c>
      <c r="AR32" s="1125"/>
      <c r="AS32" s="1173" t="str">
        <f t="shared" si="9"/>
        <v/>
      </c>
      <c r="AT32" s="1173" t="str">
        <f t="shared" si="10"/>
        <v/>
      </c>
      <c r="AU32" s="1173" t="str">
        <f t="shared" si="11"/>
        <v/>
      </c>
      <c r="AV32" s="1173" t="str">
        <f t="shared" si="12"/>
        <v/>
      </c>
      <c r="AW32" s="1178" t="str">
        <f t="shared" si="13"/>
        <v/>
      </c>
      <c r="AX32" s="1175" t="str">
        <f t="shared" si="14"/>
        <v/>
      </c>
      <c r="AY32" s="1125"/>
      <c r="AZ32" s="1179" t="str">
        <f t="shared" ref="AZ32:BD32" si="71">IF(AS32="", "", (AS32/$AQ32-1)/LABDURATION_SINGLE_ADJUSTED(AZ$4, AE32+1))</f>
        <v/>
      </c>
      <c r="BA32" s="1179" t="str">
        <f t="shared" si="71"/>
        <v/>
      </c>
      <c r="BB32" s="1179" t="str">
        <f t="shared" si="71"/>
        <v/>
      </c>
      <c r="BC32" s="1179" t="str">
        <f t="shared" si="71"/>
        <v/>
      </c>
      <c r="BD32" s="1180" t="str">
        <f t="shared" si="71"/>
        <v/>
      </c>
      <c r="BE32" s="1181" t="str">
        <f t="shared" si="16"/>
        <v/>
      </c>
      <c r="BF32" s="1125"/>
      <c r="BG32" s="1182" t="str">
        <f t="array" ref="BG32:BL32">IF(COLUMN(AZ32:BE32) = MIN(IF(AZ32:BE32=MAX(AZ32:BE32), COLUMN(AZ32:BE32))), 1, "")</f>
        <v/>
      </c>
      <c r="BH32" s="1182" t="s">
        <v>549</v>
      </c>
      <c r="BI32" s="1182" t="s">
        <v>549</v>
      </c>
      <c r="BJ32" s="1182" t="s">
        <v>549</v>
      </c>
      <c r="BK32" s="1174" t="s">
        <v>549</v>
      </c>
      <c r="BL32" s="1183" t="s">
        <v>549</v>
      </c>
      <c r="BM32" s="1125"/>
    </row>
    <row r="33">
      <c r="A33" s="1123"/>
      <c r="B33" s="1125"/>
      <c r="C33" s="1125"/>
      <c r="D33" s="1185" t="str">
        <f t="shared" si="17"/>
        <v/>
      </c>
      <c r="E33" s="1244"/>
      <c r="F33" s="1186" t="str">
        <f>IFERROR(__xludf.DUMMYFUNCTION("IF(SUM(BG32:BM32), ARRAYFORMULA(FILTER(BG$4:BM$4, BG32:BM32=1)), )"),"")</f>
        <v/>
      </c>
      <c r="G33" s="1187" t="str">
        <f>IFERROR(__xludf.DUMMYFUNCTION("IF(SUM(BG32:BM32),ARRAYFORMULA(FILTER(AE33:AJ33, BG32:BL32)), """")"),"")</f>
        <v/>
      </c>
      <c r="H33" s="1188" t="str">
        <f t="shared" si="18"/>
        <v/>
      </c>
      <c r="I33" s="1187"/>
      <c r="J33" s="1189" t="str">
        <f>IFERROR(__xludf.DUMMYFUNCTION("IF(SUM(BG32:BM32), ARRAYFORMULA(FILTER(AZ32:BE32, BG32:BL32=1))*D$5,"""")"),"")</f>
        <v/>
      </c>
      <c r="K33" s="1190" t="s">
        <v>549</v>
      </c>
      <c r="L33" s="1203" t="s">
        <v>549</v>
      </c>
      <c r="M33" s="1125"/>
      <c r="N33" s="1125"/>
      <c r="O33" s="1125"/>
      <c r="P33" s="1125"/>
      <c r="Q33" s="1125"/>
      <c r="R33" s="1125"/>
      <c r="S33" s="1125"/>
      <c r="T33" s="1125"/>
      <c r="U33" s="1125"/>
      <c r="W33" s="1125"/>
      <c r="X33" s="1125"/>
      <c r="Y33" s="1125"/>
      <c r="Z33" s="1125"/>
      <c r="AA33" s="1125"/>
      <c r="AB33" s="1125"/>
      <c r="AC33" s="1125"/>
      <c r="AD33" s="1125"/>
      <c r="AE33" s="1173">
        <f t="shared" ref="AE33:AJ33" si="72">AE32+BG32</f>
        <v>10</v>
      </c>
      <c r="AF33" s="1173">
        <f t="shared" si="72"/>
        <v>50</v>
      </c>
      <c r="AG33" s="1173">
        <f t="shared" si="72"/>
        <v>10</v>
      </c>
      <c r="AH33" s="1173">
        <f t="shared" si="72"/>
        <v>5</v>
      </c>
      <c r="AI33" s="1174">
        <f t="shared" si="72"/>
        <v>20</v>
      </c>
      <c r="AJ33" s="1175">
        <f t="shared" si="72"/>
        <v>9</v>
      </c>
      <c r="AK33" s="1125"/>
      <c r="AL33" s="1173">
        <f t="shared" si="3"/>
        <v>300</v>
      </c>
      <c r="AM33" s="1173">
        <f t="shared" si="4"/>
        <v>300</v>
      </c>
      <c r="AN33" s="1173">
        <f t="shared" si="5"/>
        <v>300</v>
      </c>
      <c r="AO33" s="1176">
        <f t="shared" si="6"/>
        <v>1</v>
      </c>
      <c r="AP33" s="1175">
        <f t="shared" si="7"/>
        <v>3226</v>
      </c>
      <c r="AQ33" s="1177">
        <f t="shared" si="8"/>
        <v>4126</v>
      </c>
      <c r="AR33" s="1125"/>
      <c r="AS33" s="1173" t="str">
        <f t="shared" si="9"/>
        <v/>
      </c>
      <c r="AT33" s="1173" t="str">
        <f t="shared" si="10"/>
        <v/>
      </c>
      <c r="AU33" s="1173" t="str">
        <f t="shared" si="11"/>
        <v/>
      </c>
      <c r="AV33" s="1173" t="str">
        <f t="shared" si="12"/>
        <v/>
      </c>
      <c r="AW33" s="1178" t="str">
        <f t="shared" si="13"/>
        <v/>
      </c>
      <c r="AX33" s="1175" t="str">
        <f t="shared" si="14"/>
        <v/>
      </c>
      <c r="AY33" s="1125"/>
      <c r="AZ33" s="1179" t="str">
        <f t="shared" ref="AZ33:BD33" si="73">IF(AS33="", "", (AS33/$AQ33-1)/LABDURATION_SINGLE_ADJUSTED(AZ$4, AE33+1))</f>
        <v/>
      </c>
      <c r="BA33" s="1179" t="str">
        <f t="shared" si="73"/>
        <v/>
      </c>
      <c r="BB33" s="1179" t="str">
        <f t="shared" si="73"/>
        <v/>
      </c>
      <c r="BC33" s="1179" t="str">
        <f t="shared" si="73"/>
        <v/>
      </c>
      <c r="BD33" s="1180" t="str">
        <f t="shared" si="73"/>
        <v/>
      </c>
      <c r="BE33" s="1181" t="str">
        <f t="shared" si="16"/>
        <v/>
      </c>
      <c r="BF33" s="1125"/>
      <c r="BG33" s="1182" t="str">
        <f t="array" ref="BG33:BL33">IF(COLUMN(AZ33:BE33) = MIN(IF(AZ33:BE33=MAX(AZ33:BE33), COLUMN(AZ33:BE33))), 1, "")</f>
        <v/>
      </c>
      <c r="BH33" s="1182" t="s">
        <v>549</v>
      </c>
      <c r="BI33" s="1182" t="s">
        <v>549</v>
      </c>
      <c r="BJ33" s="1182" t="s">
        <v>549</v>
      </c>
      <c r="BK33" s="1174" t="s">
        <v>549</v>
      </c>
      <c r="BL33" s="1183" t="s">
        <v>549</v>
      </c>
      <c r="BM33" s="1125"/>
    </row>
    <row r="34">
      <c r="A34" s="1123"/>
      <c r="B34" s="1125"/>
      <c r="C34" s="1125"/>
      <c r="D34" s="1185" t="str">
        <f t="shared" si="17"/>
        <v/>
      </c>
      <c r="E34" s="1244"/>
      <c r="F34" s="1186" t="str">
        <f>IFERROR(__xludf.DUMMYFUNCTION("IF(SUM(BG33:BM33), ARRAYFORMULA(FILTER(BG$4:BM$4, BG33:BM33=1)), )"),"")</f>
        <v/>
      </c>
      <c r="G34" s="1187" t="str">
        <f>IFERROR(__xludf.DUMMYFUNCTION("IF(SUM(BG33:BM33),ARRAYFORMULA(FILTER(AE34:AJ34, BG33:BL33)), """")"),"")</f>
        <v/>
      </c>
      <c r="H34" s="1188" t="str">
        <f t="shared" si="18"/>
        <v/>
      </c>
      <c r="I34" s="1187"/>
      <c r="J34" s="1189" t="str">
        <f>IFERROR(__xludf.DUMMYFUNCTION("IF(SUM(BG33:BM33), ARRAYFORMULA(FILTER(AZ33:BE33, BG33:BL33=1))*D$5,"""")"),"")</f>
        <v/>
      </c>
      <c r="K34" s="1190" t="s">
        <v>549</v>
      </c>
      <c r="L34" s="1203" t="s">
        <v>549</v>
      </c>
      <c r="M34" s="1125"/>
      <c r="N34" s="1125"/>
      <c r="O34" s="1125"/>
      <c r="P34" s="1125"/>
      <c r="Q34" s="1125"/>
      <c r="R34" s="1125"/>
      <c r="S34" s="1125"/>
      <c r="T34" s="1125"/>
      <c r="U34" s="1125"/>
      <c r="W34" s="1125"/>
      <c r="X34" s="1125"/>
      <c r="Y34" s="1125"/>
      <c r="Z34" s="1125"/>
      <c r="AA34" s="1125"/>
      <c r="AB34" s="1125"/>
      <c r="AC34" s="1125"/>
      <c r="AD34" s="1125"/>
      <c r="AE34" s="1173">
        <f t="shared" ref="AE34:AJ34" si="74">AE33+BG33</f>
        <v>10</v>
      </c>
      <c r="AF34" s="1173">
        <f t="shared" si="74"/>
        <v>50</v>
      </c>
      <c r="AG34" s="1173">
        <f t="shared" si="74"/>
        <v>10</v>
      </c>
      <c r="AH34" s="1173">
        <f t="shared" si="74"/>
        <v>5</v>
      </c>
      <c r="AI34" s="1174">
        <f t="shared" si="74"/>
        <v>20</v>
      </c>
      <c r="AJ34" s="1175">
        <f t="shared" si="74"/>
        <v>9</v>
      </c>
      <c r="AK34" s="1125"/>
      <c r="AL34" s="1173">
        <f t="shared" si="3"/>
        <v>300</v>
      </c>
      <c r="AM34" s="1173">
        <f t="shared" si="4"/>
        <v>300</v>
      </c>
      <c r="AN34" s="1173">
        <f t="shared" si="5"/>
        <v>300</v>
      </c>
      <c r="AO34" s="1176">
        <f t="shared" si="6"/>
        <v>1</v>
      </c>
      <c r="AP34" s="1175">
        <f t="shared" si="7"/>
        <v>3226</v>
      </c>
      <c r="AQ34" s="1177">
        <f t="shared" si="8"/>
        <v>4126</v>
      </c>
      <c r="AR34" s="1125"/>
      <c r="AS34" s="1173" t="str">
        <f t="shared" si="9"/>
        <v/>
      </c>
      <c r="AT34" s="1173" t="str">
        <f t="shared" si="10"/>
        <v/>
      </c>
      <c r="AU34" s="1173" t="str">
        <f t="shared" si="11"/>
        <v/>
      </c>
      <c r="AV34" s="1173" t="str">
        <f t="shared" si="12"/>
        <v/>
      </c>
      <c r="AW34" s="1178" t="str">
        <f t="shared" si="13"/>
        <v/>
      </c>
      <c r="AX34" s="1175" t="str">
        <f t="shared" si="14"/>
        <v/>
      </c>
      <c r="AY34" s="1125"/>
      <c r="AZ34" s="1179" t="str">
        <f t="shared" ref="AZ34:BD34" si="75">IF(AS34="", "", (AS34/$AQ34-1)/LABDURATION_SINGLE_ADJUSTED(AZ$4, AE34+1))</f>
        <v/>
      </c>
      <c r="BA34" s="1179" t="str">
        <f t="shared" si="75"/>
        <v/>
      </c>
      <c r="BB34" s="1179" t="str">
        <f t="shared" si="75"/>
        <v/>
      </c>
      <c r="BC34" s="1179" t="str">
        <f t="shared" si="75"/>
        <v/>
      </c>
      <c r="BD34" s="1180" t="str">
        <f t="shared" si="75"/>
        <v/>
      </c>
      <c r="BE34" s="1181" t="str">
        <f t="shared" si="16"/>
        <v/>
      </c>
      <c r="BF34" s="1125"/>
      <c r="BG34" s="1182" t="str">
        <f t="array" ref="BG34:BL34">IF(COLUMN(AZ34:BE34) = MIN(IF(AZ34:BE34=MAX(AZ34:BE34), COLUMN(AZ34:BE34))), 1, "")</f>
        <v/>
      </c>
      <c r="BH34" s="1182" t="s">
        <v>549</v>
      </c>
      <c r="BI34" s="1182" t="s">
        <v>549</v>
      </c>
      <c r="BJ34" s="1182" t="s">
        <v>549</v>
      </c>
      <c r="BK34" s="1174" t="s">
        <v>549</v>
      </c>
      <c r="BL34" s="1183" t="s">
        <v>549</v>
      </c>
      <c r="BM34" s="1125"/>
    </row>
    <row r="35">
      <c r="A35" s="1123"/>
      <c r="B35" s="1125"/>
      <c r="C35" s="1125"/>
      <c r="D35" s="1185" t="str">
        <f t="shared" si="17"/>
        <v/>
      </c>
      <c r="E35" s="1244"/>
      <c r="F35" s="1186" t="str">
        <f>IFERROR(__xludf.DUMMYFUNCTION("IF(SUM(BG34:BM34), ARRAYFORMULA(FILTER(BG$4:BM$4, BG34:BM34=1)), )"),"")</f>
        <v/>
      </c>
      <c r="G35" s="1187" t="str">
        <f>IFERROR(__xludf.DUMMYFUNCTION("IF(SUM(BG34:BM34),ARRAYFORMULA(FILTER(AE35:AJ35, BG34:BL34)), """")"),"")</f>
        <v/>
      </c>
      <c r="H35" s="1188" t="str">
        <f t="shared" si="18"/>
        <v/>
      </c>
      <c r="I35" s="1187"/>
      <c r="J35" s="1189" t="str">
        <f>IFERROR(__xludf.DUMMYFUNCTION("IF(SUM(BG34:BM34), ARRAYFORMULA(FILTER(AZ34:BE34, BG34:BL34=1))*D$5,"""")"),"")</f>
        <v/>
      </c>
      <c r="K35" s="1190" t="s">
        <v>549</v>
      </c>
      <c r="L35" s="1251" t="s">
        <v>549</v>
      </c>
      <c r="M35" s="1125"/>
      <c r="N35" s="1125"/>
      <c r="O35" s="1125"/>
      <c r="P35" s="1125"/>
      <c r="Q35" s="1125"/>
      <c r="R35" s="1125"/>
      <c r="S35" s="1125"/>
      <c r="T35" s="1125"/>
      <c r="U35" s="1125"/>
      <c r="V35" s="1130"/>
      <c r="W35" s="1125"/>
      <c r="X35" s="1125"/>
      <c r="Y35" s="1125"/>
      <c r="Z35" s="1125"/>
      <c r="AA35" s="1125"/>
      <c r="AB35" s="1125"/>
      <c r="AC35" s="1125"/>
      <c r="AD35" s="1125"/>
      <c r="AE35" s="1173">
        <f t="shared" ref="AE35:AJ35" si="76">AE34+BG34</f>
        <v>10</v>
      </c>
      <c r="AF35" s="1173">
        <f t="shared" si="76"/>
        <v>50</v>
      </c>
      <c r="AG35" s="1173">
        <f t="shared" si="76"/>
        <v>10</v>
      </c>
      <c r="AH35" s="1173">
        <f t="shared" si="76"/>
        <v>5</v>
      </c>
      <c r="AI35" s="1174">
        <f t="shared" si="76"/>
        <v>20</v>
      </c>
      <c r="AJ35" s="1175">
        <f t="shared" si="76"/>
        <v>9</v>
      </c>
      <c r="AK35" s="1125"/>
      <c r="AL35" s="1173">
        <f t="shared" si="3"/>
        <v>300</v>
      </c>
      <c r="AM35" s="1173">
        <f t="shared" si="4"/>
        <v>300</v>
      </c>
      <c r="AN35" s="1173">
        <f t="shared" si="5"/>
        <v>300</v>
      </c>
      <c r="AO35" s="1176">
        <f t="shared" si="6"/>
        <v>1</v>
      </c>
      <c r="AP35" s="1175">
        <f t="shared" si="7"/>
        <v>3226</v>
      </c>
      <c r="AQ35" s="1177">
        <f t="shared" si="8"/>
        <v>4126</v>
      </c>
      <c r="AR35" s="1125"/>
      <c r="AS35" s="1173" t="str">
        <f t="shared" si="9"/>
        <v/>
      </c>
      <c r="AT35" s="1173" t="str">
        <f t="shared" si="10"/>
        <v/>
      </c>
      <c r="AU35" s="1173" t="str">
        <f t="shared" si="11"/>
        <v/>
      </c>
      <c r="AV35" s="1173" t="str">
        <f t="shared" si="12"/>
        <v/>
      </c>
      <c r="AW35" s="1178" t="str">
        <f t="shared" si="13"/>
        <v/>
      </c>
      <c r="AX35" s="1175" t="str">
        <f t="shared" si="14"/>
        <v/>
      </c>
      <c r="AY35" s="1125"/>
      <c r="AZ35" s="1179" t="str">
        <f t="shared" ref="AZ35:BD35" si="77">IF(AS35="", "", (AS35/$AQ35-1)/LABDURATION_SINGLE_ADJUSTED(AZ$4, AE35+1))</f>
        <v/>
      </c>
      <c r="BA35" s="1179" t="str">
        <f t="shared" si="77"/>
        <v/>
      </c>
      <c r="BB35" s="1179" t="str">
        <f t="shared" si="77"/>
        <v/>
      </c>
      <c r="BC35" s="1179" t="str">
        <f t="shared" si="77"/>
        <v/>
      </c>
      <c r="BD35" s="1180" t="str">
        <f t="shared" si="77"/>
        <v/>
      </c>
      <c r="BE35" s="1181" t="str">
        <f t="shared" si="16"/>
        <v/>
      </c>
      <c r="BF35" s="1125"/>
      <c r="BG35" s="1182" t="str">
        <f t="array" ref="BG35:BL35">IF(COLUMN(AZ35:BE35) = MIN(IF(AZ35:BE35=MAX(AZ35:BE35), COLUMN(AZ35:BE35))), 1, "")</f>
        <v/>
      </c>
      <c r="BH35" s="1182" t="s">
        <v>549</v>
      </c>
      <c r="BI35" s="1182" t="s">
        <v>549</v>
      </c>
      <c r="BJ35" s="1182" t="s">
        <v>549</v>
      </c>
      <c r="BK35" s="1174" t="s">
        <v>549</v>
      </c>
      <c r="BL35" s="1183" t="s">
        <v>549</v>
      </c>
      <c r="BM35" s="1125"/>
    </row>
    <row r="36">
      <c r="A36" s="1123"/>
      <c r="B36" s="1125"/>
      <c r="C36" s="1125"/>
      <c r="D36" s="1185" t="str">
        <f t="shared" si="17"/>
        <v/>
      </c>
      <c r="E36" s="1244"/>
      <c r="F36" s="1186" t="str">
        <f>IFERROR(__xludf.DUMMYFUNCTION("IF(SUM(BG35:BM35), ARRAYFORMULA(FILTER(BG$4:BM$4, BG35:BM35=1)), )"),"")</f>
        <v/>
      </c>
      <c r="G36" s="1187" t="str">
        <f>IFERROR(__xludf.DUMMYFUNCTION("IF(SUM(BG35:BM35),ARRAYFORMULA(FILTER(AE36:AJ36, BG35:BL35)), """")"),"")</f>
        <v/>
      </c>
      <c r="H36" s="1188" t="str">
        <f t="shared" si="18"/>
        <v/>
      </c>
      <c r="I36" s="1187"/>
      <c r="J36" s="1189" t="str">
        <f>IFERROR(__xludf.DUMMYFUNCTION("IF(SUM(BG35:BM35), ARRAYFORMULA(FILTER(AZ35:BE35, BG35:BL35=1))*D$5,"""")"),"")</f>
        <v/>
      </c>
      <c r="K36" s="1190" t="s">
        <v>549</v>
      </c>
      <c r="L36" s="1203" t="s">
        <v>549</v>
      </c>
      <c r="M36" s="1125"/>
      <c r="N36" s="1125"/>
      <c r="O36" s="1125"/>
      <c r="P36" s="1125"/>
      <c r="Q36" s="1125"/>
      <c r="R36" s="1125"/>
      <c r="S36" s="1125"/>
      <c r="T36" s="1125"/>
      <c r="U36" s="1125"/>
      <c r="V36" s="1130"/>
      <c r="W36" s="1125"/>
      <c r="X36" s="1125"/>
      <c r="Y36" s="1125"/>
      <c r="Z36" s="1125"/>
      <c r="AA36" s="1125"/>
      <c r="AB36" s="1125"/>
      <c r="AC36" s="1125"/>
      <c r="AD36" s="1125"/>
      <c r="AE36" s="1173">
        <f t="shared" ref="AE36:AJ36" si="78">AE35+BG35</f>
        <v>10</v>
      </c>
      <c r="AF36" s="1173">
        <f t="shared" si="78"/>
        <v>50</v>
      </c>
      <c r="AG36" s="1173">
        <f t="shared" si="78"/>
        <v>10</v>
      </c>
      <c r="AH36" s="1173">
        <f t="shared" si="78"/>
        <v>5</v>
      </c>
      <c r="AI36" s="1174">
        <f t="shared" si="78"/>
        <v>20</v>
      </c>
      <c r="AJ36" s="1175">
        <f t="shared" si="78"/>
        <v>9</v>
      </c>
      <c r="AK36" s="1125"/>
      <c r="AL36" s="1173">
        <f t="shared" si="3"/>
        <v>300</v>
      </c>
      <c r="AM36" s="1173">
        <f t="shared" si="4"/>
        <v>300</v>
      </c>
      <c r="AN36" s="1173">
        <f t="shared" si="5"/>
        <v>300</v>
      </c>
      <c r="AO36" s="1176">
        <f t="shared" si="6"/>
        <v>1</v>
      </c>
      <c r="AP36" s="1175">
        <f t="shared" si="7"/>
        <v>3226</v>
      </c>
      <c r="AQ36" s="1177">
        <f t="shared" si="8"/>
        <v>4126</v>
      </c>
      <c r="AR36" s="1125"/>
      <c r="AS36" s="1173" t="str">
        <f t="shared" si="9"/>
        <v/>
      </c>
      <c r="AT36" s="1173" t="str">
        <f t="shared" si="10"/>
        <v/>
      </c>
      <c r="AU36" s="1173" t="str">
        <f t="shared" si="11"/>
        <v/>
      </c>
      <c r="AV36" s="1173" t="str">
        <f t="shared" si="12"/>
        <v/>
      </c>
      <c r="AW36" s="1178" t="str">
        <f t="shared" si="13"/>
        <v/>
      </c>
      <c r="AX36" s="1175" t="str">
        <f t="shared" si="14"/>
        <v/>
      </c>
      <c r="AY36" s="1125"/>
      <c r="AZ36" s="1179" t="str">
        <f t="shared" ref="AZ36:BD36" si="79">IF(AS36="", "", (AS36/$AQ36-1)/LABDURATION_SINGLE_ADJUSTED(AZ$4, AE36+1))</f>
        <v/>
      </c>
      <c r="BA36" s="1179" t="str">
        <f t="shared" si="79"/>
        <v/>
      </c>
      <c r="BB36" s="1179" t="str">
        <f t="shared" si="79"/>
        <v/>
      </c>
      <c r="BC36" s="1179" t="str">
        <f t="shared" si="79"/>
        <v/>
      </c>
      <c r="BD36" s="1180" t="str">
        <f t="shared" si="79"/>
        <v/>
      </c>
      <c r="BE36" s="1181" t="str">
        <f t="shared" si="16"/>
        <v/>
      </c>
      <c r="BF36" s="1125"/>
      <c r="BG36" s="1182" t="str">
        <f t="array" ref="BG36:BL36">IF(COLUMN(AZ36:BE36) = MIN(IF(AZ36:BE36=MAX(AZ36:BE36), COLUMN(AZ36:BE36))), 1, "")</f>
        <v/>
      </c>
      <c r="BH36" s="1182" t="s">
        <v>549</v>
      </c>
      <c r="BI36" s="1182" t="s">
        <v>549</v>
      </c>
      <c r="BJ36" s="1182" t="s">
        <v>549</v>
      </c>
      <c r="BK36" s="1174" t="s">
        <v>549</v>
      </c>
      <c r="BL36" s="1183" t="s">
        <v>549</v>
      </c>
      <c r="BM36" s="1125"/>
    </row>
    <row r="37">
      <c r="A37" s="1123"/>
      <c r="B37" s="1125"/>
      <c r="C37" s="1125"/>
      <c r="D37" s="1185" t="str">
        <f t="shared" si="17"/>
        <v/>
      </c>
      <c r="E37" s="1244"/>
      <c r="F37" s="1186" t="str">
        <f>IFERROR(__xludf.DUMMYFUNCTION("IF(SUM(BG36:BM36), ARRAYFORMULA(FILTER(BG$4:BM$4, BG36:BM36=1)), )"),"")</f>
        <v/>
      </c>
      <c r="G37" s="1187" t="str">
        <f>IFERROR(__xludf.DUMMYFUNCTION("IF(SUM(BG36:BM36),ARRAYFORMULA(FILTER(AE37:AJ37, BG36:BL36)), """")"),"")</f>
        <v/>
      </c>
      <c r="H37" s="1188" t="str">
        <f t="shared" si="18"/>
        <v/>
      </c>
      <c r="I37" s="1187"/>
      <c r="J37" s="1189" t="str">
        <f>IFERROR(__xludf.DUMMYFUNCTION("IF(SUM(BG36:BM36), ARRAYFORMULA(FILTER(AZ36:BE36, BG36:BL36=1))*D$5,"""")"),"")</f>
        <v/>
      </c>
      <c r="K37" s="1190" t="s">
        <v>549</v>
      </c>
      <c r="L37" s="1203" t="s">
        <v>549</v>
      </c>
      <c r="M37" s="1125"/>
      <c r="N37" s="1125"/>
      <c r="O37" s="1125"/>
      <c r="P37" s="1125"/>
      <c r="Q37" s="1125"/>
      <c r="R37" s="1125"/>
      <c r="S37" s="1125"/>
      <c r="T37" s="1125"/>
      <c r="U37" s="1125"/>
      <c r="V37" s="1130"/>
      <c r="W37" s="1125"/>
      <c r="X37" s="1125"/>
      <c r="Y37" s="1125"/>
      <c r="Z37" s="1125"/>
      <c r="AA37" s="1125"/>
      <c r="AB37" s="1125"/>
      <c r="AC37" s="1125"/>
      <c r="AD37" s="1125"/>
      <c r="AE37" s="1173">
        <f t="shared" ref="AE37:AJ37" si="80">AE36+BG36</f>
        <v>10</v>
      </c>
      <c r="AF37" s="1173">
        <f t="shared" si="80"/>
        <v>50</v>
      </c>
      <c r="AG37" s="1173">
        <f t="shared" si="80"/>
        <v>10</v>
      </c>
      <c r="AH37" s="1173">
        <f t="shared" si="80"/>
        <v>5</v>
      </c>
      <c r="AI37" s="1174">
        <f t="shared" si="80"/>
        <v>20</v>
      </c>
      <c r="AJ37" s="1175">
        <f t="shared" si="80"/>
        <v>9</v>
      </c>
      <c r="AK37" s="1125"/>
      <c r="AL37" s="1173">
        <f t="shared" si="3"/>
        <v>300</v>
      </c>
      <c r="AM37" s="1173">
        <f t="shared" si="4"/>
        <v>300</v>
      </c>
      <c r="AN37" s="1173">
        <f t="shared" si="5"/>
        <v>300</v>
      </c>
      <c r="AO37" s="1176">
        <f t="shared" si="6"/>
        <v>1</v>
      </c>
      <c r="AP37" s="1175">
        <f t="shared" si="7"/>
        <v>3226</v>
      </c>
      <c r="AQ37" s="1177">
        <f t="shared" si="8"/>
        <v>4126</v>
      </c>
      <c r="AR37" s="1125"/>
      <c r="AS37" s="1173" t="str">
        <f t="shared" si="9"/>
        <v/>
      </c>
      <c r="AT37" s="1173" t="str">
        <f t="shared" si="10"/>
        <v/>
      </c>
      <c r="AU37" s="1173" t="str">
        <f t="shared" si="11"/>
        <v/>
      </c>
      <c r="AV37" s="1173" t="str">
        <f t="shared" si="12"/>
        <v/>
      </c>
      <c r="AW37" s="1178" t="str">
        <f t="shared" si="13"/>
        <v/>
      </c>
      <c r="AX37" s="1175" t="str">
        <f t="shared" si="14"/>
        <v/>
      </c>
      <c r="AY37" s="1125"/>
      <c r="AZ37" s="1179" t="str">
        <f t="shared" ref="AZ37:BD37" si="81">IF(AS37="", "", (AS37/$AQ37-1)/LABDURATION_SINGLE_ADJUSTED(AZ$4, AE37+1))</f>
        <v/>
      </c>
      <c r="BA37" s="1179" t="str">
        <f t="shared" si="81"/>
        <v/>
      </c>
      <c r="BB37" s="1179" t="str">
        <f t="shared" si="81"/>
        <v/>
      </c>
      <c r="BC37" s="1179" t="str">
        <f t="shared" si="81"/>
        <v/>
      </c>
      <c r="BD37" s="1180" t="str">
        <f t="shared" si="81"/>
        <v/>
      </c>
      <c r="BE37" s="1181" t="str">
        <f t="shared" si="16"/>
        <v/>
      </c>
      <c r="BF37" s="1125"/>
      <c r="BG37" s="1182" t="str">
        <f t="array" ref="BG37:BL37">IF(COLUMN(AZ37:BE37) = MIN(IF(AZ37:BE37=MAX(AZ37:BE37), COLUMN(AZ37:BE37))), 1, "")</f>
        <v/>
      </c>
      <c r="BH37" s="1182" t="s">
        <v>549</v>
      </c>
      <c r="BI37" s="1182" t="s">
        <v>549</v>
      </c>
      <c r="BJ37" s="1182" t="s">
        <v>549</v>
      </c>
      <c r="BK37" s="1174" t="s">
        <v>549</v>
      </c>
      <c r="BL37" s="1183" t="s">
        <v>549</v>
      </c>
      <c r="BM37" s="1125"/>
    </row>
    <row r="38">
      <c r="A38" s="1123"/>
      <c r="B38" s="1125"/>
      <c r="C38" s="1125"/>
      <c r="D38" s="1185" t="str">
        <f t="shared" si="17"/>
        <v/>
      </c>
      <c r="E38" s="1244"/>
      <c r="F38" s="1186" t="str">
        <f>IFERROR(__xludf.DUMMYFUNCTION("IF(SUM(BG37:BM37), ARRAYFORMULA(FILTER(BG$4:BM$4, BG37:BM37=1)), )"),"")</f>
        <v/>
      </c>
      <c r="G38" s="1187" t="str">
        <f>IFERROR(__xludf.DUMMYFUNCTION("IF(SUM(BG37:BM37),ARRAYFORMULA(FILTER(AE38:AJ38, BG37:BL37)), """")"),"")</f>
        <v/>
      </c>
      <c r="H38" s="1188" t="str">
        <f t="shared" si="18"/>
        <v/>
      </c>
      <c r="I38" s="1187"/>
      <c r="J38" s="1189" t="str">
        <f>IFERROR(__xludf.DUMMYFUNCTION("IF(SUM(BG37:BM37), ARRAYFORMULA(FILTER(AZ37:BE37, BG37:BL37=1))*D$5,"""")"),"")</f>
        <v/>
      </c>
      <c r="K38" s="1190" t="s">
        <v>549</v>
      </c>
      <c r="L38" s="1203" t="s">
        <v>549</v>
      </c>
      <c r="M38" s="1125"/>
      <c r="N38" s="1125"/>
      <c r="O38" s="1125"/>
      <c r="P38" s="1125"/>
      <c r="Q38" s="1125"/>
      <c r="R38" s="1125"/>
      <c r="S38" s="1125"/>
      <c r="T38" s="1125"/>
      <c r="U38" s="1125"/>
      <c r="V38" s="1130"/>
      <c r="W38" s="1125"/>
      <c r="X38" s="1125"/>
      <c r="Y38" s="1125"/>
      <c r="Z38" s="1125"/>
      <c r="AA38" s="1125"/>
      <c r="AB38" s="1125"/>
      <c r="AC38" s="1125"/>
      <c r="AD38" s="1125"/>
      <c r="AE38" s="1173">
        <f t="shared" ref="AE38:AJ38" si="82">AE37+BG37</f>
        <v>10</v>
      </c>
      <c r="AF38" s="1173">
        <f t="shared" si="82"/>
        <v>50</v>
      </c>
      <c r="AG38" s="1173">
        <f t="shared" si="82"/>
        <v>10</v>
      </c>
      <c r="AH38" s="1173">
        <f t="shared" si="82"/>
        <v>5</v>
      </c>
      <c r="AI38" s="1174">
        <f t="shared" si="82"/>
        <v>20</v>
      </c>
      <c r="AJ38" s="1175">
        <f t="shared" si="82"/>
        <v>9</v>
      </c>
      <c r="AK38" s="1125"/>
      <c r="AL38" s="1173">
        <f t="shared" si="3"/>
        <v>300</v>
      </c>
      <c r="AM38" s="1173">
        <f t="shared" si="4"/>
        <v>300</v>
      </c>
      <c r="AN38" s="1173">
        <f t="shared" si="5"/>
        <v>300</v>
      </c>
      <c r="AO38" s="1176">
        <f t="shared" si="6"/>
        <v>1</v>
      </c>
      <c r="AP38" s="1175">
        <f t="shared" si="7"/>
        <v>3226</v>
      </c>
      <c r="AQ38" s="1177">
        <f t="shared" si="8"/>
        <v>4126</v>
      </c>
      <c r="AR38" s="1125"/>
      <c r="AS38" s="1173" t="str">
        <f t="shared" si="9"/>
        <v/>
      </c>
      <c r="AT38" s="1173" t="str">
        <f t="shared" si="10"/>
        <v/>
      </c>
      <c r="AU38" s="1173" t="str">
        <f t="shared" si="11"/>
        <v/>
      </c>
      <c r="AV38" s="1173" t="str">
        <f t="shared" si="12"/>
        <v/>
      </c>
      <c r="AW38" s="1178" t="str">
        <f t="shared" si="13"/>
        <v/>
      </c>
      <c r="AX38" s="1175" t="str">
        <f t="shared" si="14"/>
        <v/>
      </c>
      <c r="AY38" s="1125"/>
      <c r="AZ38" s="1179" t="str">
        <f t="shared" ref="AZ38:BD38" si="83">IF(AS38="", "", (AS38/$AQ38-1)/LABDURATION_SINGLE_ADJUSTED(AZ$4, AE38+1))</f>
        <v/>
      </c>
      <c r="BA38" s="1179" t="str">
        <f t="shared" si="83"/>
        <v/>
      </c>
      <c r="BB38" s="1179" t="str">
        <f t="shared" si="83"/>
        <v/>
      </c>
      <c r="BC38" s="1179" t="str">
        <f t="shared" si="83"/>
        <v/>
      </c>
      <c r="BD38" s="1180" t="str">
        <f t="shared" si="83"/>
        <v/>
      </c>
      <c r="BE38" s="1181" t="str">
        <f t="shared" si="16"/>
        <v/>
      </c>
      <c r="BF38" s="1125"/>
      <c r="BG38" s="1182" t="str">
        <f t="array" ref="BG38:BL38">IF(COLUMN(AZ38:BE38) = MIN(IF(AZ38:BE38=MAX(AZ38:BE38), COLUMN(AZ38:BE38))), 1, "")</f>
        <v/>
      </c>
      <c r="BH38" s="1182" t="s">
        <v>549</v>
      </c>
      <c r="BI38" s="1182" t="s">
        <v>549</v>
      </c>
      <c r="BJ38" s="1182" t="s">
        <v>549</v>
      </c>
      <c r="BK38" s="1174" t="s">
        <v>549</v>
      </c>
      <c r="BL38" s="1183" t="s">
        <v>549</v>
      </c>
      <c r="BM38" s="1125"/>
    </row>
    <row r="39">
      <c r="A39" s="1123"/>
      <c r="B39" s="1125"/>
      <c r="C39" s="1125"/>
      <c r="D39" s="1185" t="str">
        <f t="shared" si="17"/>
        <v/>
      </c>
      <c r="E39" s="1244"/>
      <c r="F39" s="1186" t="str">
        <f>IFERROR(__xludf.DUMMYFUNCTION("IF(SUM(BG38:BM38), ARRAYFORMULA(FILTER(BG$4:BM$4, BG38:BM38=1)), )"),"")</f>
        <v/>
      </c>
      <c r="G39" s="1187" t="str">
        <f>IFERROR(__xludf.DUMMYFUNCTION("IF(SUM(BG38:BM38),ARRAYFORMULA(FILTER(AE39:AJ39, BG38:BL38)), """")"),"")</f>
        <v/>
      </c>
      <c r="H39" s="1188" t="str">
        <f t="shared" si="18"/>
        <v/>
      </c>
      <c r="I39" s="1187"/>
      <c r="J39" s="1189" t="str">
        <f>IFERROR(__xludf.DUMMYFUNCTION("IF(SUM(BG38:BM38), ARRAYFORMULA(FILTER(AZ38:BE38, BG38:BL38=1))*D$5,"""")"),"")</f>
        <v/>
      </c>
      <c r="K39" s="1190" t="s">
        <v>549</v>
      </c>
      <c r="L39" s="1203" t="s">
        <v>549</v>
      </c>
      <c r="M39" s="1125"/>
      <c r="N39" s="1125"/>
      <c r="O39" s="1125"/>
      <c r="P39" s="1125"/>
      <c r="Q39" s="1125"/>
      <c r="R39" s="1125"/>
      <c r="S39" s="1125"/>
      <c r="T39" s="1125"/>
      <c r="U39" s="1125"/>
      <c r="V39" s="1130"/>
      <c r="W39" s="1125"/>
      <c r="X39" s="1125"/>
      <c r="Y39" s="1125"/>
      <c r="Z39" s="1125"/>
      <c r="AA39" s="1125"/>
      <c r="AB39" s="1125"/>
      <c r="AC39" s="1125"/>
      <c r="AD39" s="1125"/>
      <c r="AE39" s="1173">
        <f t="shared" ref="AE39:AJ39" si="84">AE38+BG38</f>
        <v>10</v>
      </c>
      <c r="AF39" s="1173">
        <f t="shared" si="84"/>
        <v>50</v>
      </c>
      <c r="AG39" s="1173">
        <f t="shared" si="84"/>
        <v>10</v>
      </c>
      <c r="AH39" s="1173">
        <f t="shared" si="84"/>
        <v>5</v>
      </c>
      <c r="AI39" s="1174">
        <f t="shared" si="84"/>
        <v>20</v>
      </c>
      <c r="AJ39" s="1175">
        <f t="shared" si="84"/>
        <v>9</v>
      </c>
      <c r="AK39" s="1125"/>
      <c r="AL39" s="1173">
        <f t="shared" si="3"/>
        <v>300</v>
      </c>
      <c r="AM39" s="1173">
        <f t="shared" si="4"/>
        <v>300</v>
      </c>
      <c r="AN39" s="1173">
        <f t="shared" si="5"/>
        <v>300</v>
      </c>
      <c r="AO39" s="1176">
        <f t="shared" si="6"/>
        <v>1</v>
      </c>
      <c r="AP39" s="1175">
        <f t="shared" si="7"/>
        <v>3226</v>
      </c>
      <c r="AQ39" s="1177">
        <f t="shared" si="8"/>
        <v>4126</v>
      </c>
      <c r="AR39" s="1125"/>
      <c r="AS39" s="1173" t="str">
        <f t="shared" si="9"/>
        <v/>
      </c>
      <c r="AT39" s="1173" t="str">
        <f t="shared" si="10"/>
        <v/>
      </c>
      <c r="AU39" s="1173" t="str">
        <f t="shared" si="11"/>
        <v/>
      </c>
      <c r="AV39" s="1173" t="str">
        <f t="shared" si="12"/>
        <v/>
      </c>
      <c r="AW39" s="1178" t="str">
        <f t="shared" si="13"/>
        <v/>
      </c>
      <c r="AX39" s="1175" t="str">
        <f t="shared" si="14"/>
        <v/>
      </c>
      <c r="AY39" s="1125"/>
      <c r="AZ39" s="1179" t="str">
        <f t="shared" ref="AZ39:BD39" si="85">IF(AS39="", "", (AS39/$AQ39-1)/LABDURATION_SINGLE_ADJUSTED(AZ$4, AE39+1))</f>
        <v/>
      </c>
      <c r="BA39" s="1179" t="str">
        <f t="shared" si="85"/>
        <v/>
      </c>
      <c r="BB39" s="1179" t="str">
        <f t="shared" si="85"/>
        <v/>
      </c>
      <c r="BC39" s="1179" t="str">
        <f t="shared" si="85"/>
        <v/>
      </c>
      <c r="BD39" s="1180" t="str">
        <f t="shared" si="85"/>
        <v/>
      </c>
      <c r="BE39" s="1181" t="str">
        <f t="shared" si="16"/>
        <v/>
      </c>
      <c r="BF39" s="1125"/>
      <c r="BG39" s="1182" t="str">
        <f t="array" ref="BG39:BL39">IF(COLUMN(AZ39:BE39) = MIN(IF(AZ39:BE39=MAX(AZ39:BE39), COLUMN(AZ39:BE39))), 1, "")</f>
        <v/>
      </c>
      <c r="BH39" s="1182" t="s">
        <v>549</v>
      </c>
      <c r="BI39" s="1182" t="s">
        <v>549</v>
      </c>
      <c r="BJ39" s="1182" t="s">
        <v>549</v>
      </c>
      <c r="BK39" s="1174" t="s">
        <v>549</v>
      </c>
      <c r="BL39" s="1183" t="s">
        <v>549</v>
      </c>
      <c r="BM39" s="1125"/>
    </row>
    <row r="40">
      <c r="A40" s="1123"/>
      <c r="B40" s="1125"/>
      <c r="C40" s="1125"/>
      <c r="D40" s="1185" t="str">
        <f t="shared" si="17"/>
        <v/>
      </c>
      <c r="E40" s="1244"/>
      <c r="F40" s="1186" t="str">
        <f>IFERROR(__xludf.DUMMYFUNCTION("IF(SUM(BG39:BM39), ARRAYFORMULA(FILTER(BG$4:BM$4, BG39:BM39=1)), )"),"")</f>
        <v/>
      </c>
      <c r="G40" s="1187" t="str">
        <f>IFERROR(__xludf.DUMMYFUNCTION("IF(SUM(BG39:BM39),ARRAYFORMULA(FILTER(AE40:AJ40, BG39:BL39)), """")"),"")</f>
        <v/>
      </c>
      <c r="H40" s="1188" t="str">
        <f t="shared" si="18"/>
        <v/>
      </c>
      <c r="I40" s="1187"/>
      <c r="J40" s="1189" t="str">
        <f>IFERROR(__xludf.DUMMYFUNCTION("IF(SUM(BG39:BM39), ARRAYFORMULA(FILTER(AZ39:BE39, BG39:BL39=1))*D$5,"""")"),"")</f>
        <v/>
      </c>
      <c r="K40" s="1190" t="s">
        <v>549</v>
      </c>
      <c r="L40" s="1203" t="s">
        <v>549</v>
      </c>
      <c r="M40" s="1125"/>
      <c r="N40" s="1125"/>
      <c r="O40" s="1125"/>
      <c r="P40" s="1125"/>
      <c r="Q40" s="1125"/>
      <c r="R40" s="1125"/>
      <c r="S40" s="1125"/>
      <c r="T40" s="1125"/>
      <c r="U40" s="1125"/>
      <c r="V40" s="1130"/>
      <c r="W40" s="1125"/>
      <c r="X40" s="1125"/>
      <c r="Y40" s="1125"/>
      <c r="Z40" s="1125"/>
      <c r="AA40" s="1125"/>
      <c r="AB40" s="1125"/>
      <c r="AC40" s="1125"/>
      <c r="AD40" s="1125"/>
      <c r="AE40" s="1173">
        <f t="shared" ref="AE40:AJ40" si="86">AE39+BG39</f>
        <v>10</v>
      </c>
      <c r="AF40" s="1173">
        <f t="shared" si="86"/>
        <v>50</v>
      </c>
      <c r="AG40" s="1173">
        <f t="shared" si="86"/>
        <v>10</v>
      </c>
      <c r="AH40" s="1173">
        <f t="shared" si="86"/>
        <v>5</v>
      </c>
      <c r="AI40" s="1174">
        <f t="shared" si="86"/>
        <v>20</v>
      </c>
      <c r="AJ40" s="1175">
        <f t="shared" si="86"/>
        <v>9</v>
      </c>
      <c r="AK40" s="1125"/>
      <c r="AL40" s="1173">
        <f t="shared" si="3"/>
        <v>300</v>
      </c>
      <c r="AM40" s="1173">
        <f t="shared" si="4"/>
        <v>300</v>
      </c>
      <c r="AN40" s="1173">
        <f t="shared" si="5"/>
        <v>300</v>
      </c>
      <c r="AO40" s="1176">
        <f t="shared" si="6"/>
        <v>1</v>
      </c>
      <c r="AP40" s="1175">
        <f t="shared" si="7"/>
        <v>3226</v>
      </c>
      <c r="AQ40" s="1177">
        <f t="shared" si="8"/>
        <v>4126</v>
      </c>
      <c r="AR40" s="1125"/>
      <c r="AS40" s="1173" t="str">
        <f t="shared" si="9"/>
        <v/>
      </c>
      <c r="AT40" s="1173" t="str">
        <f t="shared" si="10"/>
        <v/>
      </c>
      <c r="AU40" s="1173" t="str">
        <f t="shared" si="11"/>
        <v/>
      </c>
      <c r="AV40" s="1173" t="str">
        <f t="shared" si="12"/>
        <v/>
      </c>
      <c r="AW40" s="1178" t="str">
        <f t="shared" si="13"/>
        <v/>
      </c>
      <c r="AX40" s="1175" t="str">
        <f t="shared" si="14"/>
        <v/>
      </c>
      <c r="AY40" s="1125"/>
      <c r="AZ40" s="1179" t="str">
        <f t="shared" ref="AZ40:BD40" si="87">IF(AS40="", "", (AS40/$AQ40-1)/LABDURATION_SINGLE_ADJUSTED(AZ$4, AE40+1))</f>
        <v/>
      </c>
      <c r="BA40" s="1179" t="str">
        <f t="shared" si="87"/>
        <v/>
      </c>
      <c r="BB40" s="1179" t="str">
        <f t="shared" si="87"/>
        <v/>
      </c>
      <c r="BC40" s="1179" t="str">
        <f t="shared" si="87"/>
        <v/>
      </c>
      <c r="BD40" s="1180" t="str">
        <f t="shared" si="87"/>
        <v/>
      </c>
      <c r="BE40" s="1181" t="str">
        <f t="shared" si="16"/>
        <v/>
      </c>
      <c r="BF40" s="1125"/>
      <c r="BG40" s="1182" t="str">
        <f t="array" ref="BG40:BL40">IF(COLUMN(AZ40:BE40) = MIN(IF(AZ40:BE40=MAX(AZ40:BE40), COLUMN(AZ40:BE40))), 1, "")</f>
        <v/>
      </c>
      <c r="BH40" s="1182" t="s">
        <v>549</v>
      </c>
      <c r="BI40" s="1182" t="s">
        <v>549</v>
      </c>
      <c r="BJ40" s="1182" t="s">
        <v>549</v>
      </c>
      <c r="BK40" s="1174" t="s">
        <v>549</v>
      </c>
      <c r="BL40" s="1183" t="s">
        <v>549</v>
      </c>
      <c r="BM40" s="1125"/>
    </row>
    <row r="41">
      <c r="A41" s="1123"/>
      <c r="B41" s="1125"/>
      <c r="C41" s="1125"/>
      <c r="D41" s="1185" t="str">
        <f t="shared" si="17"/>
        <v/>
      </c>
      <c r="E41" s="1244"/>
      <c r="F41" s="1186" t="str">
        <f>IFERROR(__xludf.DUMMYFUNCTION("IF(SUM(BG40:BM40), ARRAYFORMULA(FILTER(BG$4:BM$4, BG40:BM40=1)), )"),"")</f>
        <v/>
      </c>
      <c r="G41" s="1187" t="str">
        <f>IFERROR(__xludf.DUMMYFUNCTION("IF(SUM(BG40:BM40),ARRAYFORMULA(FILTER(AE41:AJ41, BG40:BL40)), """")"),"")</f>
        <v/>
      </c>
      <c r="H41" s="1188" t="str">
        <f t="shared" si="18"/>
        <v/>
      </c>
      <c r="I41" s="1187"/>
      <c r="J41" s="1189" t="str">
        <f>IFERROR(__xludf.DUMMYFUNCTION("IF(SUM(BG40:BM40), ARRAYFORMULA(FILTER(AZ40:BE40, BG40:BL40=1))*D$5,"""")"),"")</f>
        <v/>
      </c>
      <c r="K41" s="1190" t="s">
        <v>549</v>
      </c>
      <c r="L41" s="1203" t="s">
        <v>549</v>
      </c>
      <c r="M41" s="1125"/>
      <c r="N41" s="1125"/>
      <c r="O41" s="1125"/>
      <c r="P41" s="1125"/>
      <c r="Q41" s="1125"/>
      <c r="R41" s="1125"/>
      <c r="S41" s="1125"/>
      <c r="T41" s="1125"/>
      <c r="U41" s="1125"/>
      <c r="V41" s="1130"/>
      <c r="W41" s="1125"/>
      <c r="X41" s="1125"/>
      <c r="Y41" s="1125"/>
      <c r="Z41" s="1125"/>
      <c r="AA41" s="1125"/>
      <c r="AB41" s="1125"/>
      <c r="AC41" s="1125"/>
      <c r="AD41" s="1125"/>
      <c r="AE41" s="1173">
        <f t="shared" ref="AE41:AJ41" si="88">AE40+BG40</f>
        <v>10</v>
      </c>
      <c r="AF41" s="1173">
        <f t="shared" si="88"/>
        <v>50</v>
      </c>
      <c r="AG41" s="1173">
        <f t="shared" si="88"/>
        <v>10</v>
      </c>
      <c r="AH41" s="1173">
        <f t="shared" si="88"/>
        <v>5</v>
      </c>
      <c r="AI41" s="1174">
        <f t="shared" si="88"/>
        <v>20</v>
      </c>
      <c r="AJ41" s="1175">
        <f t="shared" si="88"/>
        <v>9</v>
      </c>
      <c r="AK41" s="1125"/>
      <c r="AL41" s="1173">
        <f t="shared" si="3"/>
        <v>300</v>
      </c>
      <c r="AM41" s="1173">
        <f t="shared" si="4"/>
        <v>300</v>
      </c>
      <c r="AN41" s="1173">
        <f t="shared" si="5"/>
        <v>300</v>
      </c>
      <c r="AO41" s="1176">
        <f t="shared" si="6"/>
        <v>1</v>
      </c>
      <c r="AP41" s="1175">
        <f t="shared" si="7"/>
        <v>3226</v>
      </c>
      <c r="AQ41" s="1177">
        <f t="shared" si="8"/>
        <v>4126</v>
      </c>
      <c r="AR41" s="1125"/>
      <c r="AS41" s="1173" t="str">
        <f t="shared" si="9"/>
        <v/>
      </c>
      <c r="AT41" s="1173" t="str">
        <f t="shared" si="10"/>
        <v/>
      </c>
      <c r="AU41" s="1173" t="str">
        <f t="shared" si="11"/>
        <v/>
      </c>
      <c r="AV41" s="1173" t="str">
        <f t="shared" si="12"/>
        <v/>
      </c>
      <c r="AW41" s="1178" t="str">
        <f t="shared" si="13"/>
        <v/>
      </c>
      <c r="AX41" s="1175" t="str">
        <f t="shared" si="14"/>
        <v/>
      </c>
      <c r="AY41" s="1125"/>
      <c r="AZ41" s="1179" t="str">
        <f t="shared" ref="AZ41:BD41" si="89">IF(AS41="", "", (AS41/$AQ41-1)/LABDURATION_SINGLE_ADJUSTED(AZ$4, AE41+1))</f>
        <v/>
      </c>
      <c r="BA41" s="1179" t="str">
        <f t="shared" si="89"/>
        <v/>
      </c>
      <c r="BB41" s="1179" t="str">
        <f t="shared" si="89"/>
        <v/>
      </c>
      <c r="BC41" s="1179" t="str">
        <f t="shared" si="89"/>
        <v/>
      </c>
      <c r="BD41" s="1180" t="str">
        <f t="shared" si="89"/>
        <v/>
      </c>
      <c r="BE41" s="1181" t="str">
        <f t="shared" si="16"/>
        <v/>
      </c>
      <c r="BF41" s="1125"/>
      <c r="BG41" s="1182" t="str">
        <f t="array" ref="BG41:BL41">IF(COLUMN(AZ41:BE41) = MIN(IF(AZ41:BE41=MAX(AZ41:BE41), COLUMN(AZ41:BE41))), 1, "")</f>
        <v/>
      </c>
      <c r="BH41" s="1182" t="s">
        <v>549</v>
      </c>
      <c r="BI41" s="1182" t="s">
        <v>549</v>
      </c>
      <c r="BJ41" s="1182" t="s">
        <v>549</v>
      </c>
      <c r="BK41" s="1174" t="s">
        <v>549</v>
      </c>
      <c r="BL41" s="1183" t="s">
        <v>549</v>
      </c>
      <c r="BM41" s="1125"/>
    </row>
    <row r="42">
      <c r="A42" s="1123"/>
      <c r="B42" s="1125"/>
      <c r="C42" s="1125"/>
      <c r="D42" s="1185" t="str">
        <f t="shared" si="17"/>
        <v/>
      </c>
      <c r="E42" s="1244"/>
      <c r="F42" s="1186" t="str">
        <f>IFERROR(__xludf.DUMMYFUNCTION("IF(SUM(BG41:BM41), ARRAYFORMULA(FILTER(BG$4:BM$4, BG41:BM41=1)), )"),"")</f>
        <v/>
      </c>
      <c r="G42" s="1187" t="str">
        <f>IFERROR(__xludf.DUMMYFUNCTION("IF(SUM(BG41:BM41),ARRAYFORMULA(FILTER(AE42:AJ42, BG41:BL41)), """")"),"")</f>
        <v/>
      </c>
      <c r="H42" s="1188" t="str">
        <f t="shared" si="18"/>
        <v/>
      </c>
      <c r="I42" s="1187"/>
      <c r="J42" s="1189" t="str">
        <f>IFERROR(__xludf.DUMMYFUNCTION("IF(SUM(BG41:BM41), ARRAYFORMULA(FILTER(AZ41:BE41, BG41:BL41=1))*D$5,"""")"),"")</f>
        <v/>
      </c>
      <c r="K42" s="1190" t="s">
        <v>549</v>
      </c>
      <c r="L42" s="1203" t="s">
        <v>549</v>
      </c>
      <c r="M42" s="1125"/>
      <c r="N42" s="1125"/>
      <c r="O42" s="1125"/>
      <c r="P42" s="1125"/>
      <c r="Q42" s="1125"/>
      <c r="R42" s="1125"/>
      <c r="S42" s="1125"/>
      <c r="T42" s="1125"/>
      <c r="U42" s="1125"/>
      <c r="V42" s="1130"/>
      <c r="W42" s="1125"/>
      <c r="X42" s="1125"/>
      <c r="Y42" s="1125"/>
      <c r="Z42" s="1125"/>
      <c r="AA42" s="1125"/>
      <c r="AB42" s="1125"/>
      <c r="AC42" s="1125"/>
      <c r="AD42" s="1125"/>
      <c r="AE42" s="1173">
        <f t="shared" ref="AE42:AJ42" si="90">AE41+BG41</f>
        <v>10</v>
      </c>
      <c r="AF42" s="1173">
        <f t="shared" si="90"/>
        <v>50</v>
      </c>
      <c r="AG42" s="1173">
        <f t="shared" si="90"/>
        <v>10</v>
      </c>
      <c r="AH42" s="1173">
        <f t="shared" si="90"/>
        <v>5</v>
      </c>
      <c r="AI42" s="1174">
        <f t="shared" si="90"/>
        <v>20</v>
      </c>
      <c r="AJ42" s="1175">
        <f t="shared" si="90"/>
        <v>9</v>
      </c>
      <c r="AK42" s="1125"/>
      <c r="AL42" s="1173">
        <f t="shared" si="3"/>
        <v>300</v>
      </c>
      <c r="AM42" s="1173">
        <f t="shared" si="4"/>
        <v>300</v>
      </c>
      <c r="AN42" s="1173">
        <f t="shared" si="5"/>
        <v>300</v>
      </c>
      <c r="AO42" s="1176">
        <f t="shared" si="6"/>
        <v>1</v>
      </c>
      <c r="AP42" s="1175">
        <f t="shared" si="7"/>
        <v>3226</v>
      </c>
      <c r="AQ42" s="1177">
        <f t="shared" si="8"/>
        <v>4126</v>
      </c>
      <c r="AR42" s="1125"/>
      <c r="AS42" s="1173" t="str">
        <f t="shared" si="9"/>
        <v/>
      </c>
      <c r="AT42" s="1173" t="str">
        <f t="shared" si="10"/>
        <v/>
      </c>
      <c r="AU42" s="1173" t="str">
        <f t="shared" si="11"/>
        <v/>
      </c>
      <c r="AV42" s="1173" t="str">
        <f t="shared" si="12"/>
        <v/>
      </c>
      <c r="AW42" s="1178" t="str">
        <f t="shared" si="13"/>
        <v/>
      </c>
      <c r="AX42" s="1175" t="str">
        <f t="shared" si="14"/>
        <v/>
      </c>
      <c r="AY42" s="1125"/>
      <c r="AZ42" s="1179" t="str">
        <f t="shared" ref="AZ42:BD42" si="91">IF(AS42="", "", (AS42/$AQ42-1)/LABDURATION_SINGLE_ADJUSTED(AZ$4, AE42+1))</f>
        <v/>
      </c>
      <c r="BA42" s="1179" t="str">
        <f t="shared" si="91"/>
        <v/>
      </c>
      <c r="BB42" s="1179" t="str">
        <f t="shared" si="91"/>
        <v/>
      </c>
      <c r="BC42" s="1179" t="str">
        <f t="shared" si="91"/>
        <v/>
      </c>
      <c r="BD42" s="1180" t="str">
        <f t="shared" si="91"/>
        <v/>
      </c>
      <c r="BE42" s="1181" t="str">
        <f t="shared" si="16"/>
        <v/>
      </c>
      <c r="BF42" s="1125"/>
      <c r="BG42" s="1182" t="str">
        <f t="array" ref="BG42:BL42">IF(COLUMN(AZ42:BE42) = MIN(IF(AZ42:BE42=MAX(AZ42:BE42), COLUMN(AZ42:BE42))), 1, "")</f>
        <v/>
      </c>
      <c r="BH42" s="1182" t="s">
        <v>549</v>
      </c>
      <c r="BI42" s="1182" t="s">
        <v>549</v>
      </c>
      <c r="BJ42" s="1182" t="s">
        <v>549</v>
      </c>
      <c r="BK42" s="1174" t="s">
        <v>549</v>
      </c>
      <c r="BL42" s="1183" t="s">
        <v>549</v>
      </c>
      <c r="BM42" s="1125"/>
    </row>
    <row r="43">
      <c r="A43" s="1123"/>
      <c r="B43" s="1125"/>
      <c r="C43" s="1125"/>
      <c r="D43" s="1185" t="str">
        <f t="shared" si="17"/>
        <v/>
      </c>
      <c r="E43" s="1244"/>
      <c r="F43" s="1186" t="str">
        <f>IFERROR(__xludf.DUMMYFUNCTION("IF(SUM(BG42:BM42), ARRAYFORMULA(FILTER(BG$4:BM$4, BG42:BM42=1)), )"),"")</f>
        <v/>
      </c>
      <c r="G43" s="1187" t="str">
        <f>IFERROR(__xludf.DUMMYFUNCTION("IF(SUM(BG42:BM42),ARRAYFORMULA(FILTER(AE43:AJ43, BG42:BL42)), """")"),"")</f>
        <v/>
      </c>
      <c r="H43" s="1188" t="str">
        <f t="shared" si="18"/>
        <v/>
      </c>
      <c r="I43" s="1187"/>
      <c r="J43" s="1189" t="str">
        <f>IFERROR(__xludf.DUMMYFUNCTION("IF(SUM(BG42:BM42), ARRAYFORMULA(FILTER(AZ42:BE42, BG42:BL42=1))*D$5,"""")"),"")</f>
        <v/>
      </c>
      <c r="K43" s="1190" t="s">
        <v>549</v>
      </c>
      <c r="L43" s="1203" t="s">
        <v>549</v>
      </c>
      <c r="M43" s="1125"/>
      <c r="N43" s="1125"/>
      <c r="O43" s="1125"/>
      <c r="P43" s="1125"/>
      <c r="Q43" s="1125"/>
      <c r="R43" s="1125"/>
      <c r="S43" s="1125"/>
      <c r="T43" s="1125"/>
      <c r="U43" s="1125"/>
      <c r="V43" s="1130"/>
      <c r="W43" s="1125"/>
      <c r="X43" s="1125"/>
      <c r="Y43" s="1125"/>
      <c r="Z43" s="1125"/>
      <c r="AA43" s="1125"/>
      <c r="AB43" s="1125"/>
      <c r="AC43" s="1125"/>
      <c r="AD43" s="1125"/>
      <c r="AE43" s="1173">
        <f t="shared" ref="AE43:AJ43" si="92">AE42+BG42</f>
        <v>10</v>
      </c>
      <c r="AF43" s="1173">
        <f t="shared" si="92"/>
        <v>50</v>
      </c>
      <c r="AG43" s="1173">
        <f t="shared" si="92"/>
        <v>10</v>
      </c>
      <c r="AH43" s="1173">
        <f t="shared" si="92"/>
        <v>5</v>
      </c>
      <c r="AI43" s="1174">
        <f t="shared" si="92"/>
        <v>20</v>
      </c>
      <c r="AJ43" s="1175">
        <f t="shared" si="92"/>
        <v>9</v>
      </c>
      <c r="AK43" s="1125"/>
      <c r="AL43" s="1173">
        <f t="shared" si="3"/>
        <v>300</v>
      </c>
      <c r="AM43" s="1173">
        <f t="shared" si="4"/>
        <v>300</v>
      </c>
      <c r="AN43" s="1173">
        <f t="shared" si="5"/>
        <v>300</v>
      </c>
      <c r="AO43" s="1176">
        <f t="shared" si="6"/>
        <v>1</v>
      </c>
      <c r="AP43" s="1175">
        <f t="shared" si="7"/>
        <v>3226</v>
      </c>
      <c r="AQ43" s="1177">
        <f t="shared" si="8"/>
        <v>4126</v>
      </c>
      <c r="AR43" s="1125"/>
      <c r="AS43" s="1173" t="str">
        <f t="shared" si="9"/>
        <v/>
      </c>
      <c r="AT43" s="1173" t="str">
        <f t="shared" si="10"/>
        <v/>
      </c>
      <c r="AU43" s="1173" t="str">
        <f t="shared" si="11"/>
        <v/>
      </c>
      <c r="AV43" s="1173" t="str">
        <f t="shared" si="12"/>
        <v/>
      </c>
      <c r="AW43" s="1178" t="str">
        <f t="shared" si="13"/>
        <v/>
      </c>
      <c r="AX43" s="1175" t="str">
        <f t="shared" si="14"/>
        <v/>
      </c>
      <c r="AY43" s="1125"/>
      <c r="AZ43" s="1179" t="str">
        <f t="shared" ref="AZ43:BD43" si="93">IF(AS43="", "", (AS43/$AQ43-1)/LABDURATION_SINGLE_ADJUSTED(AZ$4, AE43+1))</f>
        <v/>
      </c>
      <c r="BA43" s="1179" t="str">
        <f t="shared" si="93"/>
        <v/>
      </c>
      <c r="BB43" s="1179" t="str">
        <f t="shared" si="93"/>
        <v/>
      </c>
      <c r="BC43" s="1179" t="str">
        <f t="shared" si="93"/>
        <v/>
      </c>
      <c r="BD43" s="1180" t="str">
        <f t="shared" si="93"/>
        <v/>
      </c>
      <c r="BE43" s="1181" t="str">
        <f t="shared" si="16"/>
        <v/>
      </c>
      <c r="BF43" s="1125"/>
      <c r="BG43" s="1182" t="str">
        <f t="array" ref="BG43:BL43">IF(COLUMN(AZ43:BE43) = MIN(IF(AZ43:BE43=MAX(AZ43:BE43), COLUMN(AZ43:BE43))), 1, "")</f>
        <v/>
      </c>
      <c r="BH43" s="1182" t="s">
        <v>549</v>
      </c>
      <c r="BI43" s="1182" t="s">
        <v>549</v>
      </c>
      <c r="BJ43" s="1182" t="s">
        <v>549</v>
      </c>
      <c r="BK43" s="1174" t="s">
        <v>549</v>
      </c>
      <c r="BL43" s="1183" t="s">
        <v>549</v>
      </c>
      <c r="BM43" s="1125"/>
    </row>
    <row r="44">
      <c r="A44" s="1123"/>
      <c r="B44" s="1125"/>
      <c r="C44" s="1125"/>
      <c r="D44" s="1185" t="str">
        <f t="shared" si="17"/>
        <v/>
      </c>
      <c r="E44" s="1244"/>
      <c r="F44" s="1186" t="str">
        <f>IFERROR(__xludf.DUMMYFUNCTION("IF(SUM(BG43:BM43), ARRAYFORMULA(FILTER(BG$4:BM$4, BG43:BM43=1)), )"),"")</f>
        <v/>
      </c>
      <c r="G44" s="1187" t="str">
        <f>IFERROR(__xludf.DUMMYFUNCTION("IF(SUM(BG43:BM43),ARRAYFORMULA(FILTER(AE44:AJ44, BG43:BL43)), """")"),"")</f>
        <v/>
      </c>
      <c r="H44" s="1188" t="str">
        <f t="shared" si="18"/>
        <v/>
      </c>
      <c r="I44" s="1187"/>
      <c r="J44" s="1189" t="str">
        <f>IFERROR(__xludf.DUMMYFUNCTION("IF(SUM(BG43:BM43), ARRAYFORMULA(FILTER(AZ43:BE43, BG43:BL43=1))*D$5,"""")"),"")</f>
        <v/>
      </c>
      <c r="K44" s="1190" t="s">
        <v>549</v>
      </c>
      <c r="L44" s="1203" t="s">
        <v>549</v>
      </c>
      <c r="M44" s="1125"/>
      <c r="N44" s="1125"/>
      <c r="O44" s="1125"/>
      <c r="P44" s="1125"/>
      <c r="Q44" s="1125"/>
      <c r="R44" s="1125"/>
      <c r="S44" s="1125"/>
      <c r="T44" s="1125"/>
      <c r="U44" s="1125"/>
      <c r="V44" s="1130"/>
      <c r="W44" s="1125"/>
      <c r="X44" s="1125"/>
      <c r="Y44" s="1125"/>
      <c r="Z44" s="1125"/>
      <c r="AA44" s="1125"/>
      <c r="AB44" s="1125"/>
      <c r="AC44" s="1125"/>
      <c r="AD44" s="1125"/>
      <c r="AE44" s="1173">
        <f t="shared" ref="AE44:AJ44" si="94">AE43+BG43</f>
        <v>10</v>
      </c>
      <c r="AF44" s="1173">
        <f t="shared" si="94"/>
        <v>50</v>
      </c>
      <c r="AG44" s="1173">
        <f t="shared" si="94"/>
        <v>10</v>
      </c>
      <c r="AH44" s="1173">
        <f t="shared" si="94"/>
        <v>5</v>
      </c>
      <c r="AI44" s="1174">
        <f t="shared" si="94"/>
        <v>20</v>
      </c>
      <c r="AJ44" s="1175">
        <f t="shared" si="94"/>
        <v>9</v>
      </c>
      <c r="AK44" s="1125"/>
      <c r="AL44" s="1173">
        <f t="shared" si="3"/>
        <v>300</v>
      </c>
      <c r="AM44" s="1173">
        <f t="shared" si="4"/>
        <v>300</v>
      </c>
      <c r="AN44" s="1173">
        <f t="shared" si="5"/>
        <v>300</v>
      </c>
      <c r="AO44" s="1176">
        <f t="shared" si="6"/>
        <v>1</v>
      </c>
      <c r="AP44" s="1175">
        <f t="shared" si="7"/>
        <v>3226</v>
      </c>
      <c r="AQ44" s="1177">
        <f t="shared" si="8"/>
        <v>4126</v>
      </c>
      <c r="AR44" s="1125"/>
      <c r="AS44" s="1173" t="str">
        <f t="shared" si="9"/>
        <v/>
      </c>
      <c r="AT44" s="1173" t="str">
        <f t="shared" si="10"/>
        <v/>
      </c>
      <c r="AU44" s="1173" t="str">
        <f t="shared" si="11"/>
        <v/>
      </c>
      <c r="AV44" s="1173" t="str">
        <f t="shared" si="12"/>
        <v/>
      </c>
      <c r="AW44" s="1178" t="str">
        <f t="shared" si="13"/>
        <v/>
      </c>
      <c r="AX44" s="1175" t="str">
        <f t="shared" si="14"/>
        <v/>
      </c>
      <c r="AY44" s="1125"/>
      <c r="AZ44" s="1179" t="str">
        <f t="shared" ref="AZ44:BD44" si="95">IF(AS44="", "", (AS44/$AQ44-1)/LABDURATION_SINGLE_ADJUSTED(AZ$4, AE44+1))</f>
        <v/>
      </c>
      <c r="BA44" s="1179" t="str">
        <f t="shared" si="95"/>
        <v/>
      </c>
      <c r="BB44" s="1179" t="str">
        <f t="shared" si="95"/>
        <v/>
      </c>
      <c r="BC44" s="1179" t="str">
        <f t="shared" si="95"/>
        <v/>
      </c>
      <c r="BD44" s="1180" t="str">
        <f t="shared" si="95"/>
        <v/>
      </c>
      <c r="BE44" s="1181" t="str">
        <f t="shared" si="16"/>
        <v/>
      </c>
      <c r="BF44" s="1125"/>
      <c r="BG44" s="1182" t="str">
        <f t="array" ref="BG44:BL44">IF(COLUMN(AZ44:BE44) = MIN(IF(AZ44:BE44=MAX(AZ44:BE44), COLUMN(AZ44:BE44))), 1, "")</f>
        <v/>
      </c>
      <c r="BH44" s="1182" t="s">
        <v>549</v>
      </c>
      <c r="BI44" s="1182" t="s">
        <v>549</v>
      </c>
      <c r="BJ44" s="1182" t="s">
        <v>549</v>
      </c>
      <c r="BK44" s="1174" t="s">
        <v>549</v>
      </c>
      <c r="BL44" s="1183" t="s">
        <v>549</v>
      </c>
      <c r="BM44" s="1125"/>
    </row>
    <row r="45">
      <c r="A45" s="1123"/>
      <c r="B45" s="1125"/>
      <c r="C45" s="1125"/>
      <c r="D45" s="1185" t="str">
        <f t="shared" si="17"/>
        <v/>
      </c>
      <c r="E45" s="1244"/>
      <c r="F45" s="1186" t="str">
        <f>IFERROR(__xludf.DUMMYFUNCTION("IF(SUM(BG44:BM44), ARRAYFORMULA(FILTER(BG$4:BM$4, BG44:BM44=1)), )"),"")</f>
        <v/>
      </c>
      <c r="G45" s="1187" t="str">
        <f>IFERROR(__xludf.DUMMYFUNCTION("IF(SUM(BG44:BM44),ARRAYFORMULA(FILTER(AE45:AJ45, BG44:BL44)), """")"),"")</f>
        <v/>
      </c>
      <c r="H45" s="1188" t="str">
        <f t="shared" si="18"/>
        <v/>
      </c>
      <c r="I45" s="1187"/>
      <c r="J45" s="1189" t="str">
        <f>IFERROR(__xludf.DUMMYFUNCTION("IF(SUM(BG44:BM44), ARRAYFORMULA(FILTER(AZ44:BE44, BG44:BL44=1))*D$5,"""")"),"")</f>
        <v/>
      </c>
      <c r="K45" s="1190" t="s">
        <v>549</v>
      </c>
      <c r="L45" s="1251" t="s">
        <v>549</v>
      </c>
      <c r="M45" s="1125"/>
      <c r="N45" s="1125"/>
      <c r="O45" s="1125"/>
      <c r="P45" s="1125"/>
      <c r="Q45" s="1125"/>
      <c r="R45" s="1125"/>
      <c r="S45" s="1125"/>
      <c r="T45" s="1125"/>
      <c r="U45" s="1125"/>
      <c r="V45" s="1130"/>
      <c r="W45" s="1125"/>
      <c r="X45" s="1125"/>
      <c r="Y45" s="1125"/>
      <c r="Z45" s="1125"/>
      <c r="AA45" s="1125"/>
      <c r="AB45" s="1125"/>
      <c r="AC45" s="1125"/>
      <c r="AD45" s="1125"/>
      <c r="AE45" s="1173">
        <f t="shared" ref="AE45:AJ45" si="96">AE44+BG44</f>
        <v>10</v>
      </c>
      <c r="AF45" s="1173">
        <f t="shared" si="96"/>
        <v>50</v>
      </c>
      <c r="AG45" s="1173">
        <f t="shared" si="96"/>
        <v>10</v>
      </c>
      <c r="AH45" s="1173">
        <f t="shared" si="96"/>
        <v>5</v>
      </c>
      <c r="AI45" s="1174">
        <f t="shared" si="96"/>
        <v>20</v>
      </c>
      <c r="AJ45" s="1175">
        <f t="shared" si="96"/>
        <v>9</v>
      </c>
      <c r="AK45" s="1125"/>
      <c r="AL45" s="1173">
        <f t="shared" si="3"/>
        <v>300</v>
      </c>
      <c r="AM45" s="1173">
        <f t="shared" si="4"/>
        <v>300</v>
      </c>
      <c r="AN45" s="1173">
        <f t="shared" si="5"/>
        <v>300</v>
      </c>
      <c r="AO45" s="1176">
        <f t="shared" si="6"/>
        <v>1</v>
      </c>
      <c r="AP45" s="1175">
        <f t="shared" si="7"/>
        <v>3226</v>
      </c>
      <c r="AQ45" s="1177">
        <f t="shared" si="8"/>
        <v>4126</v>
      </c>
      <c r="AR45" s="1125"/>
      <c r="AS45" s="1173" t="str">
        <f t="shared" si="9"/>
        <v/>
      </c>
      <c r="AT45" s="1173" t="str">
        <f t="shared" si="10"/>
        <v/>
      </c>
      <c r="AU45" s="1173" t="str">
        <f t="shared" si="11"/>
        <v/>
      </c>
      <c r="AV45" s="1173" t="str">
        <f t="shared" si="12"/>
        <v/>
      </c>
      <c r="AW45" s="1178" t="str">
        <f t="shared" si="13"/>
        <v/>
      </c>
      <c r="AX45" s="1175" t="str">
        <f t="shared" si="14"/>
        <v/>
      </c>
      <c r="AY45" s="1125"/>
      <c r="AZ45" s="1179" t="str">
        <f t="shared" ref="AZ45:BD45" si="97">IF(AS45="", "", (AS45/$AQ45-1)/LABDURATION_SINGLE_ADJUSTED(AZ$4, AE45+1))</f>
        <v/>
      </c>
      <c r="BA45" s="1179" t="str">
        <f t="shared" si="97"/>
        <v/>
      </c>
      <c r="BB45" s="1179" t="str">
        <f t="shared" si="97"/>
        <v/>
      </c>
      <c r="BC45" s="1179" t="str">
        <f t="shared" si="97"/>
        <v/>
      </c>
      <c r="BD45" s="1180" t="str">
        <f t="shared" si="97"/>
        <v/>
      </c>
      <c r="BE45" s="1181" t="str">
        <f t="shared" si="16"/>
        <v/>
      </c>
      <c r="BF45" s="1125"/>
      <c r="BG45" s="1182" t="str">
        <f t="array" ref="BG45:BL45">IF(COLUMN(AZ45:BE45) = MIN(IF(AZ45:BE45=MAX(AZ45:BE45), COLUMN(AZ45:BE45))), 1, "")</f>
        <v/>
      </c>
      <c r="BH45" s="1182" t="s">
        <v>549</v>
      </c>
      <c r="BI45" s="1182" t="s">
        <v>549</v>
      </c>
      <c r="BJ45" s="1182" t="s">
        <v>549</v>
      </c>
      <c r="BK45" s="1174" t="s">
        <v>549</v>
      </c>
      <c r="BL45" s="1183" t="s">
        <v>549</v>
      </c>
      <c r="BM45" s="1125"/>
    </row>
    <row r="46">
      <c r="A46" s="1123"/>
      <c r="B46" s="1125"/>
      <c r="C46" s="1125"/>
      <c r="D46" s="1185" t="str">
        <f t="shared" si="17"/>
        <v/>
      </c>
      <c r="E46" s="1244"/>
      <c r="F46" s="1186" t="str">
        <f>IFERROR(__xludf.DUMMYFUNCTION("IF(SUM(BG45:BM45), ARRAYFORMULA(FILTER(BG$4:BM$4, BG45:BM45=1)), )"),"")</f>
        <v/>
      </c>
      <c r="G46" s="1187" t="str">
        <f>IFERROR(__xludf.DUMMYFUNCTION("IF(SUM(BG45:BM45),ARRAYFORMULA(FILTER(AE46:AJ46, BG45:BL45)), """")"),"")</f>
        <v/>
      </c>
      <c r="H46" s="1188" t="str">
        <f t="shared" si="18"/>
        <v/>
      </c>
      <c r="I46" s="1187"/>
      <c r="J46" s="1189" t="str">
        <f>IFERROR(__xludf.DUMMYFUNCTION("IF(SUM(BG45:BM45), ARRAYFORMULA(FILTER(AZ45:BE45, BG45:BL45=1))*D$5,"""")"),"")</f>
        <v/>
      </c>
      <c r="K46" s="1190" t="s">
        <v>549</v>
      </c>
      <c r="L46" s="1203" t="s">
        <v>549</v>
      </c>
      <c r="M46" s="1125"/>
      <c r="N46" s="1125"/>
      <c r="O46" s="1125"/>
      <c r="P46" s="1125"/>
      <c r="Q46" s="1125"/>
      <c r="R46" s="1125"/>
      <c r="S46" s="1125"/>
      <c r="T46" s="1125"/>
      <c r="U46" s="1125"/>
      <c r="V46" s="1130"/>
      <c r="W46" s="1125"/>
      <c r="X46" s="1125"/>
      <c r="Y46" s="1125"/>
      <c r="Z46" s="1125"/>
      <c r="AA46" s="1125"/>
      <c r="AB46" s="1125"/>
      <c r="AC46" s="1125"/>
      <c r="AD46" s="1125"/>
      <c r="AE46" s="1173">
        <f t="shared" ref="AE46:AJ46" si="98">AE45+BG45</f>
        <v>10</v>
      </c>
      <c r="AF46" s="1173">
        <f t="shared" si="98"/>
        <v>50</v>
      </c>
      <c r="AG46" s="1173">
        <f t="shared" si="98"/>
        <v>10</v>
      </c>
      <c r="AH46" s="1173">
        <f t="shared" si="98"/>
        <v>5</v>
      </c>
      <c r="AI46" s="1174">
        <f t="shared" si="98"/>
        <v>20</v>
      </c>
      <c r="AJ46" s="1175">
        <f t="shared" si="98"/>
        <v>9</v>
      </c>
      <c r="AK46" s="1125"/>
      <c r="AL46" s="1173">
        <f t="shared" si="3"/>
        <v>300</v>
      </c>
      <c r="AM46" s="1173">
        <f t="shared" si="4"/>
        <v>300</v>
      </c>
      <c r="AN46" s="1173">
        <f t="shared" si="5"/>
        <v>300</v>
      </c>
      <c r="AO46" s="1176">
        <f t="shared" si="6"/>
        <v>1</v>
      </c>
      <c r="AP46" s="1175">
        <f t="shared" si="7"/>
        <v>3226</v>
      </c>
      <c r="AQ46" s="1177">
        <f t="shared" si="8"/>
        <v>4126</v>
      </c>
      <c r="AR46" s="1125"/>
      <c r="AS46" s="1173" t="str">
        <f t="shared" si="9"/>
        <v/>
      </c>
      <c r="AT46" s="1173" t="str">
        <f t="shared" si="10"/>
        <v/>
      </c>
      <c r="AU46" s="1173" t="str">
        <f t="shared" si="11"/>
        <v/>
      </c>
      <c r="AV46" s="1173" t="str">
        <f t="shared" si="12"/>
        <v/>
      </c>
      <c r="AW46" s="1178" t="str">
        <f t="shared" si="13"/>
        <v/>
      </c>
      <c r="AX46" s="1175" t="str">
        <f t="shared" si="14"/>
        <v/>
      </c>
      <c r="AY46" s="1125"/>
      <c r="AZ46" s="1179" t="str">
        <f t="shared" ref="AZ46:BD46" si="99">IF(AS46="", "", (AS46/$AQ46-1)/LABDURATION_SINGLE_ADJUSTED(AZ$4, AE46+1))</f>
        <v/>
      </c>
      <c r="BA46" s="1179" t="str">
        <f t="shared" si="99"/>
        <v/>
      </c>
      <c r="BB46" s="1179" t="str">
        <f t="shared" si="99"/>
        <v/>
      </c>
      <c r="BC46" s="1179" t="str">
        <f t="shared" si="99"/>
        <v/>
      </c>
      <c r="BD46" s="1180" t="str">
        <f t="shared" si="99"/>
        <v/>
      </c>
      <c r="BE46" s="1181" t="str">
        <f t="shared" si="16"/>
        <v/>
      </c>
      <c r="BF46" s="1125"/>
      <c r="BG46" s="1182" t="str">
        <f t="array" ref="BG46:BL46">IF(COLUMN(AZ46:BE46) = MIN(IF(AZ46:BE46=MAX(AZ46:BE46), COLUMN(AZ46:BE46))), 1, "")</f>
        <v/>
      </c>
      <c r="BH46" s="1182" t="s">
        <v>549</v>
      </c>
      <c r="BI46" s="1182" t="s">
        <v>549</v>
      </c>
      <c r="BJ46" s="1182" t="s">
        <v>549</v>
      </c>
      <c r="BK46" s="1174" t="s">
        <v>549</v>
      </c>
      <c r="BL46" s="1183" t="s">
        <v>549</v>
      </c>
      <c r="BM46" s="1125"/>
    </row>
    <row r="47">
      <c r="A47" s="1123"/>
      <c r="B47" s="1125"/>
      <c r="C47" s="1125"/>
      <c r="D47" s="1185" t="str">
        <f t="shared" si="17"/>
        <v/>
      </c>
      <c r="E47" s="1244"/>
      <c r="F47" s="1186" t="str">
        <f>IFERROR(__xludf.DUMMYFUNCTION("IF(SUM(BG46:BM46), ARRAYFORMULA(FILTER(BG$4:BM$4, BG46:BM46=1)), )"),"")</f>
        <v/>
      </c>
      <c r="G47" s="1187" t="str">
        <f>IFERROR(__xludf.DUMMYFUNCTION("IF(SUM(BG46:BM46),ARRAYFORMULA(FILTER(AE47:AJ47, BG46:BL46)), """")"),"")</f>
        <v/>
      </c>
      <c r="H47" s="1188" t="str">
        <f t="shared" si="18"/>
        <v/>
      </c>
      <c r="I47" s="1187"/>
      <c r="J47" s="1189" t="str">
        <f>IFERROR(__xludf.DUMMYFUNCTION("IF(SUM(BG46:BM46), ARRAYFORMULA(FILTER(AZ46:BE46, BG46:BL46=1))*D$5,"""")"),"")</f>
        <v/>
      </c>
      <c r="K47" s="1190" t="s">
        <v>549</v>
      </c>
      <c r="L47" s="1203" t="s">
        <v>549</v>
      </c>
      <c r="M47" s="1125"/>
      <c r="N47" s="1125"/>
      <c r="O47" s="1125"/>
      <c r="P47" s="1125"/>
      <c r="Q47" s="1125"/>
      <c r="R47" s="1125"/>
      <c r="S47" s="1125"/>
      <c r="T47" s="1125"/>
      <c r="U47" s="1125"/>
      <c r="V47" s="1130"/>
      <c r="W47" s="1125"/>
      <c r="X47" s="1125"/>
      <c r="Y47" s="1125"/>
      <c r="Z47" s="1125"/>
      <c r="AA47" s="1125"/>
      <c r="AB47" s="1125"/>
      <c r="AC47" s="1125"/>
      <c r="AD47" s="1125"/>
      <c r="AE47" s="1173">
        <f t="shared" ref="AE47:AJ47" si="100">AE46+BG46</f>
        <v>10</v>
      </c>
      <c r="AF47" s="1173">
        <f t="shared" si="100"/>
        <v>50</v>
      </c>
      <c r="AG47" s="1173">
        <f t="shared" si="100"/>
        <v>10</v>
      </c>
      <c r="AH47" s="1173">
        <f t="shared" si="100"/>
        <v>5</v>
      </c>
      <c r="AI47" s="1174">
        <f t="shared" si="100"/>
        <v>20</v>
      </c>
      <c r="AJ47" s="1175">
        <f t="shared" si="100"/>
        <v>9</v>
      </c>
      <c r="AK47" s="1125"/>
      <c r="AL47" s="1173">
        <f t="shared" si="3"/>
        <v>300</v>
      </c>
      <c r="AM47" s="1173">
        <f t="shared" si="4"/>
        <v>300</v>
      </c>
      <c r="AN47" s="1173">
        <f t="shared" si="5"/>
        <v>300</v>
      </c>
      <c r="AO47" s="1176">
        <f t="shared" si="6"/>
        <v>1</v>
      </c>
      <c r="AP47" s="1175">
        <f t="shared" si="7"/>
        <v>3226</v>
      </c>
      <c r="AQ47" s="1177">
        <f t="shared" si="8"/>
        <v>4126</v>
      </c>
      <c r="AR47" s="1125"/>
      <c r="AS47" s="1173" t="str">
        <f t="shared" si="9"/>
        <v/>
      </c>
      <c r="AT47" s="1173" t="str">
        <f t="shared" si="10"/>
        <v/>
      </c>
      <c r="AU47" s="1173" t="str">
        <f t="shared" si="11"/>
        <v/>
      </c>
      <c r="AV47" s="1173" t="str">
        <f t="shared" si="12"/>
        <v/>
      </c>
      <c r="AW47" s="1178" t="str">
        <f t="shared" si="13"/>
        <v/>
      </c>
      <c r="AX47" s="1175" t="str">
        <f t="shared" si="14"/>
        <v/>
      </c>
      <c r="AY47" s="1125"/>
      <c r="AZ47" s="1179" t="str">
        <f t="shared" ref="AZ47:BD47" si="101">IF(AS47="", "", (AS47/$AQ47-1)/LABDURATION_SINGLE_ADJUSTED(AZ$4, AE47+1))</f>
        <v/>
      </c>
      <c r="BA47" s="1179" t="str">
        <f t="shared" si="101"/>
        <v/>
      </c>
      <c r="BB47" s="1179" t="str">
        <f t="shared" si="101"/>
        <v/>
      </c>
      <c r="BC47" s="1179" t="str">
        <f t="shared" si="101"/>
        <v/>
      </c>
      <c r="BD47" s="1180" t="str">
        <f t="shared" si="101"/>
        <v/>
      </c>
      <c r="BE47" s="1181" t="str">
        <f t="shared" si="16"/>
        <v/>
      </c>
      <c r="BF47" s="1125"/>
      <c r="BG47" s="1182" t="str">
        <f t="array" ref="BG47:BL47">IF(COLUMN(AZ47:BE47) = MIN(IF(AZ47:BE47=MAX(AZ47:BE47), COLUMN(AZ47:BE47))), 1, "")</f>
        <v/>
      </c>
      <c r="BH47" s="1182" t="s">
        <v>549</v>
      </c>
      <c r="BI47" s="1182" t="s">
        <v>549</v>
      </c>
      <c r="BJ47" s="1182" t="s">
        <v>549</v>
      </c>
      <c r="BK47" s="1174" t="s">
        <v>549</v>
      </c>
      <c r="BL47" s="1183" t="s">
        <v>549</v>
      </c>
      <c r="BM47" s="1125"/>
    </row>
    <row r="48">
      <c r="A48" s="1123"/>
      <c r="B48" s="1125"/>
      <c r="C48" s="1125"/>
      <c r="D48" s="1185" t="str">
        <f t="shared" si="17"/>
        <v/>
      </c>
      <c r="E48" s="1244"/>
      <c r="F48" s="1186" t="str">
        <f>IFERROR(__xludf.DUMMYFUNCTION("IF(SUM(BG47:BM47), ARRAYFORMULA(FILTER(BG$4:BM$4, BG47:BM47=1)), )"),"")</f>
        <v/>
      </c>
      <c r="G48" s="1187" t="str">
        <f>IFERROR(__xludf.DUMMYFUNCTION("IF(SUM(BG47:BM47),ARRAYFORMULA(FILTER(AE48:AJ48, BG47:BL47)), """")"),"")</f>
        <v/>
      </c>
      <c r="H48" s="1188" t="str">
        <f t="shared" si="18"/>
        <v/>
      </c>
      <c r="I48" s="1187"/>
      <c r="J48" s="1189" t="str">
        <f>IFERROR(__xludf.DUMMYFUNCTION("IF(SUM(BG47:BM47), ARRAYFORMULA(FILTER(AZ47:BE47, BG47:BL47=1))*D$5,"""")"),"")</f>
        <v/>
      </c>
      <c r="K48" s="1190" t="s">
        <v>549</v>
      </c>
      <c r="L48" s="1203" t="s">
        <v>549</v>
      </c>
      <c r="M48" s="1125"/>
      <c r="N48" s="1125"/>
      <c r="O48" s="1125"/>
      <c r="P48" s="1125"/>
      <c r="Q48" s="1125"/>
      <c r="R48" s="1125"/>
      <c r="S48" s="1125"/>
      <c r="T48" s="1125"/>
      <c r="U48" s="1125"/>
      <c r="V48" s="1130"/>
      <c r="W48" s="1125"/>
      <c r="X48" s="1125"/>
      <c r="Y48" s="1125"/>
      <c r="Z48" s="1125"/>
      <c r="AA48" s="1125"/>
      <c r="AB48" s="1125"/>
      <c r="AC48" s="1125"/>
      <c r="AD48" s="1125"/>
      <c r="AE48" s="1173">
        <f t="shared" ref="AE48:AJ48" si="102">AE47+BG47</f>
        <v>10</v>
      </c>
      <c r="AF48" s="1173">
        <f t="shared" si="102"/>
        <v>50</v>
      </c>
      <c r="AG48" s="1173">
        <f t="shared" si="102"/>
        <v>10</v>
      </c>
      <c r="AH48" s="1173">
        <f t="shared" si="102"/>
        <v>5</v>
      </c>
      <c r="AI48" s="1174">
        <f t="shared" si="102"/>
        <v>20</v>
      </c>
      <c r="AJ48" s="1175">
        <f t="shared" si="102"/>
        <v>9</v>
      </c>
      <c r="AK48" s="1125"/>
      <c r="AL48" s="1173">
        <f t="shared" si="3"/>
        <v>300</v>
      </c>
      <c r="AM48" s="1173">
        <f t="shared" si="4"/>
        <v>300</v>
      </c>
      <c r="AN48" s="1173">
        <f t="shared" si="5"/>
        <v>300</v>
      </c>
      <c r="AO48" s="1176">
        <f t="shared" si="6"/>
        <v>1</v>
      </c>
      <c r="AP48" s="1175">
        <f t="shared" si="7"/>
        <v>3226</v>
      </c>
      <c r="AQ48" s="1177">
        <f t="shared" si="8"/>
        <v>4126</v>
      </c>
      <c r="AR48" s="1125"/>
      <c r="AS48" s="1173" t="str">
        <f t="shared" si="9"/>
        <v/>
      </c>
      <c r="AT48" s="1173" t="str">
        <f t="shared" si="10"/>
        <v/>
      </c>
      <c r="AU48" s="1173" t="str">
        <f t="shared" si="11"/>
        <v/>
      </c>
      <c r="AV48" s="1173" t="str">
        <f t="shared" si="12"/>
        <v/>
      </c>
      <c r="AW48" s="1178" t="str">
        <f t="shared" si="13"/>
        <v/>
      </c>
      <c r="AX48" s="1175" t="str">
        <f t="shared" si="14"/>
        <v/>
      </c>
      <c r="AY48" s="1125"/>
      <c r="AZ48" s="1179" t="str">
        <f t="shared" ref="AZ48:BD48" si="103">IF(AS48="", "", (AS48/$AQ48-1)/LABDURATION_SINGLE_ADJUSTED(AZ$4, AE48+1))</f>
        <v/>
      </c>
      <c r="BA48" s="1179" t="str">
        <f t="shared" si="103"/>
        <v/>
      </c>
      <c r="BB48" s="1179" t="str">
        <f t="shared" si="103"/>
        <v/>
      </c>
      <c r="BC48" s="1179" t="str">
        <f t="shared" si="103"/>
        <v/>
      </c>
      <c r="BD48" s="1180" t="str">
        <f t="shared" si="103"/>
        <v/>
      </c>
      <c r="BE48" s="1181" t="str">
        <f t="shared" si="16"/>
        <v/>
      </c>
      <c r="BF48" s="1125"/>
      <c r="BG48" s="1182" t="str">
        <f t="array" ref="BG48:BL48">IF(COLUMN(AZ48:BE48) = MIN(IF(AZ48:BE48=MAX(AZ48:BE48), COLUMN(AZ48:BE48))), 1, "")</f>
        <v/>
      </c>
      <c r="BH48" s="1182" t="s">
        <v>549</v>
      </c>
      <c r="BI48" s="1182" t="s">
        <v>549</v>
      </c>
      <c r="BJ48" s="1182" t="s">
        <v>549</v>
      </c>
      <c r="BK48" s="1174" t="s">
        <v>549</v>
      </c>
      <c r="BL48" s="1183" t="s">
        <v>549</v>
      </c>
      <c r="BM48" s="1125"/>
    </row>
    <row r="49">
      <c r="A49" s="1123"/>
      <c r="B49" s="1125"/>
      <c r="C49" s="1125"/>
      <c r="D49" s="1185" t="str">
        <f t="shared" si="17"/>
        <v/>
      </c>
      <c r="E49" s="1244"/>
      <c r="F49" s="1186" t="str">
        <f>IFERROR(__xludf.DUMMYFUNCTION("IF(SUM(BG48:BM48), ARRAYFORMULA(FILTER(BG$4:BM$4, BG48:BM48=1)), )"),"")</f>
        <v/>
      </c>
      <c r="G49" s="1187" t="str">
        <f>IFERROR(__xludf.DUMMYFUNCTION("IF(SUM(BG48:BM48),ARRAYFORMULA(FILTER(AE49:AJ49, BG48:BL48)), """")"),"")</f>
        <v/>
      </c>
      <c r="H49" s="1188" t="str">
        <f t="shared" si="18"/>
        <v/>
      </c>
      <c r="I49" s="1187"/>
      <c r="J49" s="1189" t="str">
        <f>IFERROR(__xludf.DUMMYFUNCTION("IF(SUM(BG48:BM48), ARRAYFORMULA(FILTER(AZ48:BE48, BG48:BL48=1))*D$5,"""")"),"")</f>
        <v/>
      </c>
      <c r="K49" s="1190" t="s">
        <v>549</v>
      </c>
      <c r="L49" s="1203" t="s">
        <v>549</v>
      </c>
      <c r="M49" s="1125"/>
      <c r="N49" s="1125"/>
      <c r="O49" s="1125"/>
      <c r="P49" s="1125"/>
      <c r="Q49" s="1125"/>
      <c r="R49" s="1125"/>
      <c r="S49" s="1125"/>
      <c r="T49" s="1125"/>
      <c r="U49" s="1125"/>
      <c r="V49" s="1130"/>
      <c r="W49" s="1125"/>
      <c r="X49" s="1125"/>
      <c r="Y49" s="1125"/>
      <c r="Z49" s="1125"/>
      <c r="AA49" s="1125"/>
      <c r="AB49" s="1125"/>
      <c r="AC49" s="1125"/>
      <c r="AD49" s="1125"/>
      <c r="AE49" s="1173">
        <f t="shared" ref="AE49:AJ49" si="104">AE48+BG48</f>
        <v>10</v>
      </c>
      <c r="AF49" s="1173">
        <f t="shared" si="104"/>
        <v>50</v>
      </c>
      <c r="AG49" s="1173">
        <f t="shared" si="104"/>
        <v>10</v>
      </c>
      <c r="AH49" s="1173">
        <f t="shared" si="104"/>
        <v>5</v>
      </c>
      <c r="AI49" s="1174">
        <f t="shared" si="104"/>
        <v>20</v>
      </c>
      <c r="AJ49" s="1175">
        <f t="shared" si="104"/>
        <v>9</v>
      </c>
      <c r="AK49" s="1125"/>
      <c r="AL49" s="1173">
        <f t="shared" si="3"/>
        <v>300</v>
      </c>
      <c r="AM49" s="1173">
        <f t="shared" si="4"/>
        <v>300</v>
      </c>
      <c r="AN49" s="1173">
        <f t="shared" si="5"/>
        <v>300</v>
      </c>
      <c r="AO49" s="1176">
        <f t="shared" si="6"/>
        <v>1</v>
      </c>
      <c r="AP49" s="1175">
        <f t="shared" si="7"/>
        <v>3226</v>
      </c>
      <c r="AQ49" s="1177">
        <f t="shared" si="8"/>
        <v>4126</v>
      </c>
      <c r="AR49" s="1125"/>
      <c r="AS49" s="1173" t="str">
        <f t="shared" si="9"/>
        <v/>
      </c>
      <c r="AT49" s="1173" t="str">
        <f t="shared" si="10"/>
        <v/>
      </c>
      <c r="AU49" s="1173" t="str">
        <f t="shared" si="11"/>
        <v/>
      </c>
      <c r="AV49" s="1173" t="str">
        <f t="shared" si="12"/>
        <v/>
      </c>
      <c r="AW49" s="1178" t="str">
        <f t="shared" si="13"/>
        <v/>
      </c>
      <c r="AX49" s="1175" t="str">
        <f t="shared" si="14"/>
        <v/>
      </c>
      <c r="AY49" s="1125"/>
      <c r="AZ49" s="1179" t="str">
        <f t="shared" ref="AZ49:BD49" si="105">IF(AS49="", "", (AS49/$AQ49-1)/LABDURATION_SINGLE_ADJUSTED(AZ$4, AE49+1))</f>
        <v/>
      </c>
      <c r="BA49" s="1179" t="str">
        <f t="shared" si="105"/>
        <v/>
      </c>
      <c r="BB49" s="1179" t="str">
        <f t="shared" si="105"/>
        <v/>
      </c>
      <c r="BC49" s="1179" t="str">
        <f t="shared" si="105"/>
        <v/>
      </c>
      <c r="BD49" s="1180" t="str">
        <f t="shared" si="105"/>
        <v/>
      </c>
      <c r="BE49" s="1181" t="str">
        <f t="shared" si="16"/>
        <v/>
      </c>
      <c r="BF49" s="1125"/>
      <c r="BG49" s="1182" t="str">
        <f t="array" ref="BG49:BL49">IF(COLUMN(AZ49:BE49) = MIN(IF(AZ49:BE49=MAX(AZ49:BE49), COLUMN(AZ49:BE49))), 1, "")</f>
        <v/>
      </c>
      <c r="BH49" s="1182" t="s">
        <v>549</v>
      </c>
      <c r="BI49" s="1182" t="s">
        <v>549</v>
      </c>
      <c r="BJ49" s="1182" t="s">
        <v>549</v>
      </c>
      <c r="BK49" s="1174" t="s">
        <v>549</v>
      </c>
      <c r="BL49" s="1183" t="s">
        <v>549</v>
      </c>
      <c r="BM49" s="1125"/>
    </row>
    <row r="50">
      <c r="A50" s="1123"/>
      <c r="B50" s="1125"/>
      <c r="C50" s="1125"/>
      <c r="D50" s="1185" t="str">
        <f t="shared" si="17"/>
        <v/>
      </c>
      <c r="E50" s="1244"/>
      <c r="F50" s="1186" t="str">
        <f>IFERROR(__xludf.DUMMYFUNCTION("IF(SUM(BG49:BM49), ARRAYFORMULA(FILTER(BG$4:BM$4, BG49:BM49=1)), )"),"")</f>
        <v/>
      </c>
      <c r="G50" s="1187" t="str">
        <f>IFERROR(__xludf.DUMMYFUNCTION("IF(SUM(BG49:BM49),ARRAYFORMULA(FILTER(AE50:AJ50, BG49:BL49)), """")"),"")</f>
        <v/>
      </c>
      <c r="H50" s="1188" t="str">
        <f t="shared" si="18"/>
        <v/>
      </c>
      <c r="I50" s="1187"/>
      <c r="J50" s="1189" t="str">
        <f>IFERROR(__xludf.DUMMYFUNCTION("IF(SUM(BG49:BM49), ARRAYFORMULA(FILTER(AZ49:BE49, BG49:BL49=1))*D$5,"""")"),"")</f>
        <v/>
      </c>
      <c r="K50" s="1190" t="s">
        <v>549</v>
      </c>
      <c r="L50" s="1203" t="s">
        <v>549</v>
      </c>
      <c r="M50" s="1125"/>
      <c r="N50" s="1125"/>
      <c r="O50" s="1125"/>
      <c r="P50" s="1125"/>
      <c r="Q50" s="1125"/>
      <c r="R50" s="1125"/>
      <c r="S50" s="1125"/>
      <c r="T50" s="1125"/>
      <c r="U50" s="1125"/>
      <c r="V50" s="1130"/>
      <c r="W50" s="1125"/>
      <c r="X50" s="1125"/>
      <c r="Y50" s="1125"/>
      <c r="Z50" s="1125"/>
      <c r="AA50" s="1125"/>
      <c r="AB50" s="1125"/>
      <c r="AC50" s="1125"/>
      <c r="AD50" s="1125"/>
      <c r="AE50" s="1173">
        <f t="shared" ref="AE50:AJ50" si="106">AE49+BG49</f>
        <v>10</v>
      </c>
      <c r="AF50" s="1173">
        <f t="shared" si="106"/>
        <v>50</v>
      </c>
      <c r="AG50" s="1173">
        <f t="shared" si="106"/>
        <v>10</v>
      </c>
      <c r="AH50" s="1173">
        <f t="shared" si="106"/>
        <v>5</v>
      </c>
      <c r="AI50" s="1174">
        <f t="shared" si="106"/>
        <v>20</v>
      </c>
      <c r="AJ50" s="1175">
        <f t="shared" si="106"/>
        <v>9</v>
      </c>
      <c r="AK50" s="1125"/>
      <c r="AL50" s="1173">
        <f t="shared" si="3"/>
        <v>300</v>
      </c>
      <c r="AM50" s="1173">
        <f t="shared" si="4"/>
        <v>300</v>
      </c>
      <c r="AN50" s="1173">
        <f t="shared" si="5"/>
        <v>300</v>
      </c>
      <c r="AO50" s="1176">
        <f t="shared" si="6"/>
        <v>1</v>
      </c>
      <c r="AP50" s="1175">
        <f t="shared" si="7"/>
        <v>3226</v>
      </c>
      <c r="AQ50" s="1177">
        <f t="shared" si="8"/>
        <v>4126</v>
      </c>
      <c r="AR50" s="1125"/>
      <c r="AS50" s="1173" t="str">
        <f t="shared" si="9"/>
        <v/>
      </c>
      <c r="AT50" s="1173" t="str">
        <f t="shared" si="10"/>
        <v/>
      </c>
      <c r="AU50" s="1173" t="str">
        <f t="shared" si="11"/>
        <v/>
      </c>
      <c r="AV50" s="1173" t="str">
        <f t="shared" si="12"/>
        <v/>
      </c>
      <c r="AW50" s="1178" t="str">
        <f t="shared" si="13"/>
        <v/>
      </c>
      <c r="AX50" s="1175" t="str">
        <f t="shared" si="14"/>
        <v/>
      </c>
      <c r="AY50" s="1125"/>
      <c r="AZ50" s="1179" t="str">
        <f t="shared" ref="AZ50:BD50" si="107">IF(AS50="", "", (AS50/$AQ50-1)/LABDURATION_SINGLE_ADJUSTED(AZ$4, AE50+1))</f>
        <v/>
      </c>
      <c r="BA50" s="1179" t="str">
        <f t="shared" si="107"/>
        <v/>
      </c>
      <c r="BB50" s="1179" t="str">
        <f t="shared" si="107"/>
        <v/>
      </c>
      <c r="BC50" s="1179" t="str">
        <f t="shared" si="107"/>
        <v/>
      </c>
      <c r="BD50" s="1180" t="str">
        <f t="shared" si="107"/>
        <v/>
      </c>
      <c r="BE50" s="1181" t="str">
        <f t="shared" si="16"/>
        <v/>
      </c>
      <c r="BF50" s="1125"/>
      <c r="BG50" s="1182" t="str">
        <f t="array" ref="BG50:BL50">IF(COLUMN(AZ50:BE50) = MIN(IF(AZ50:BE50=MAX(AZ50:BE50), COLUMN(AZ50:BE50))), 1, "")</f>
        <v/>
      </c>
      <c r="BH50" s="1182" t="s">
        <v>549</v>
      </c>
      <c r="BI50" s="1182" t="s">
        <v>549</v>
      </c>
      <c r="BJ50" s="1182" t="s">
        <v>549</v>
      </c>
      <c r="BK50" s="1174" t="s">
        <v>549</v>
      </c>
      <c r="BL50" s="1183" t="s">
        <v>549</v>
      </c>
      <c r="BM50" s="1125"/>
    </row>
    <row r="51">
      <c r="A51" s="1123"/>
      <c r="B51" s="1125"/>
      <c r="C51" s="1125"/>
      <c r="D51" s="1185" t="str">
        <f t="shared" si="17"/>
        <v/>
      </c>
      <c r="E51" s="1244"/>
      <c r="F51" s="1186" t="str">
        <f>IFERROR(__xludf.DUMMYFUNCTION("IF(SUM(BG50:BM50), ARRAYFORMULA(FILTER(BG$4:BM$4, BG50:BM50=1)), )"),"")</f>
        <v/>
      </c>
      <c r="G51" s="1187" t="str">
        <f>IFERROR(__xludf.DUMMYFUNCTION("IF(SUM(BG50:BM50),ARRAYFORMULA(FILTER(AE51:AJ51, BG50:BL50)), """")"),"")</f>
        <v/>
      </c>
      <c r="H51" s="1188" t="str">
        <f t="shared" si="18"/>
        <v/>
      </c>
      <c r="I51" s="1187"/>
      <c r="J51" s="1189" t="str">
        <f>IFERROR(__xludf.DUMMYFUNCTION("IF(SUM(BG50:BM50), ARRAYFORMULA(FILTER(AZ50:BE50, BG50:BL50=1))*D$5,"""")"),"")</f>
        <v/>
      </c>
      <c r="K51" s="1190" t="s">
        <v>549</v>
      </c>
      <c r="L51" s="1203" t="s">
        <v>549</v>
      </c>
      <c r="M51" s="1125"/>
      <c r="N51" s="1125"/>
      <c r="O51" s="1125"/>
      <c r="P51" s="1125"/>
      <c r="Q51" s="1125"/>
      <c r="R51" s="1125"/>
      <c r="S51" s="1125"/>
      <c r="T51" s="1125"/>
      <c r="U51" s="1125"/>
      <c r="V51" s="1130"/>
      <c r="W51" s="1125"/>
      <c r="X51" s="1125"/>
      <c r="Y51" s="1125"/>
      <c r="Z51" s="1125"/>
      <c r="AA51" s="1125"/>
      <c r="AB51" s="1125"/>
      <c r="AC51" s="1125"/>
      <c r="AD51" s="1125"/>
      <c r="AE51" s="1173">
        <f t="shared" ref="AE51:AJ51" si="108">AE50+BG50</f>
        <v>10</v>
      </c>
      <c r="AF51" s="1173">
        <f t="shared" si="108"/>
        <v>50</v>
      </c>
      <c r="AG51" s="1173">
        <f t="shared" si="108"/>
        <v>10</v>
      </c>
      <c r="AH51" s="1173">
        <f t="shared" si="108"/>
        <v>5</v>
      </c>
      <c r="AI51" s="1174">
        <f t="shared" si="108"/>
        <v>20</v>
      </c>
      <c r="AJ51" s="1175">
        <f t="shared" si="108"/>
        <v>9</v>
      </c>
      <c r="AK51" s="1125"/>
      <c r="AL51" s="1173">
        <f t="shared" si="3"/>
        <v>300</v>
      </c>
      <c r="AM51" s="1173">
        <f t="shared" si="4"/>
        <v>300</v>
      </c>
      <c r="AN51" s="1173">
        <f t="shared" si="5"/>
        <v>300</v>
      </c>
      <c r="AO51" s="1176">
        <f t="shared" si="6"/>
        <v>1</v>
      </c>
      <c r="AP51" s="1175">
        <f t="shared" si="7"/>
        <v>3226</v>
      </c>
      <c r="AQ51" s="1177">
        <f t="shared" si="8"/>
        <v>4126</v>
      </c>
      <c r="AR51" s="1125"/>
      <c r="AS51" s="1173" t="str">
        <f t="shared" si="9"/>
        <v/>
      </c>
      <c r="AT51" s="1173" t="str">
        <f t="shared" si="10"/>
        <v/>
      </c>
      <c r="AU51" s="1173" t="str">
        <f t="shared" si="11"/>
        <v/>
      </c>
      <c r="AV51" s="1173" t="str">
        <f t="shared" si="12"/>
        <v/>
      </c>
      <c r="AW51" s="1178" t="str">
        <f t="shared" si="13"/>
        <v/>
      </c>
      <c r="AX51" s="1175" t="str">
        <f t="shared" si="14"/>
        <v/>
      </c>
      <c r="AY51" s="1125"/>
      <c r="AZ51" s="1179" t="str">
        <f t="shared" ref="AZ51:BD51" si="109">IF(AS51="", "", (AS51/$AQ51-1)/LABDURATION_SINGLE_ADJUSTED(AZ$4, AE51+1))</f>
        <v/>
      </c>
      <c r="BA51" s="1179" t="str">
        <f t="shared" si="109"/>
        <v/>
      </c>
      <c r="BB51" s="1179" t="str">
        <f t="shared" si="109"/>
        <v/>
      </c>
      <c r="BC51" s="1179" t="str">
        <f t="shared" si="109"/>
        <v/>
      </c>
      <c r="BD51" s="1180" t="str">
        <f t="shared" si="109"/>
        <v/>
      </c>
      <c r="BE51" s="1181" t="str">
        <f t="shared" si="16"/>
        <v/>
      </c>
      <c r="BF51" s="1125"/>
      <c r="BG51" s="1182" t="str">
        <f t="array" ref="BG51:BL51">IF(COLUMN(AZ51:BE51) = MIN(IF(AZ51:BE51=MAX(AZ51:BE51), COLUMN(AZ51:BE51))), 1, "")</f>
        <v/>
      </c>
      <c r="BH51" s="1182" t="s">
        <v>549</v>
      </c>
      <c r="BI51" s="1182" t="s">
        <v>549</v>
      </c>
      <c r="BJ51" s="1182" t="s">
        <v>549</v>
      </c>
      <c r="BK51" s="1174" t="s">
        <v>549</v>
      </c>
      <c r="BL51" s="1183" t="s">
        <v>549</v>
      </c>
      <c r="BM51" s="1125"/>
    </row>
    <row r="52">
      <c r="A52" s="1123"/>
      <c r="B52" s="1125"/>
      <c r="C52" s="1125"/>
      <c r="D52" s="1185" t="str">
        <f t="shared" si="17"/>
        <v/>
      </c>
      <c r="E52" s="1244"/>
      <c r="F52" s="1186" t="str">
        <f>IFERROR(__xludf.DUMMYFUNCTION("IF(SUM(BG51:BM51), ARRAYFORMULA(FILTER(BG$4:BM$4, BG51:BM51=1)), )"),"")</f>
        <v/>
      </c>
      <c r="G52" s="1187" t="str">
        <f>IFERROR(__xludf.DUMMYFUNCTION("IF(SUM(BG51:BM51),ARRAYFORMULA(FILTER(AE52:AJ52, BG51:BL51)), """")"),"")</f>
        <v/>
      </c>
      <c r="H52" s="1188" t="str">
        <f t="shared" si="18"/>
        <v/>
      </c>
      <c r="I52" s="1187"/>
      <c r="J52" s="1189" t="str">
        <f>IFERROR(__xludf.DUMMYFUNCTION("IF(SUM(BG51:BM51), ARRAYFORMULA(FILTER(AZ51:BE51, BG51:BL51=1))*D$5,"""")"),"")</f>
        <v/>
      </c>
      <c r="K52" s="1190" t="s">
        <v>549</v>
      </c>
      <c r="L52" s="1203" t="s">
        <v>549</v>
      </c>
      <c r="M52" s="1125"/>
      <c r="N52" s="1125"/>
      <c r="O52" s="1125"/>
      <c r="P52" s="1125"/>
      <c r="Q52" s="1125"/>
      <c r="R52" s="1125"/>
      <c r="S52" s="1125"/>
      <c r="T52" s="1125"/>
      <c r="U52" s="1125"/>
      <c r="V52" s="1130"/>
      <c r="W52" s="1125"/>
      <c r="X52" s="1125"/>
      <c r="Y52" s="1125"/>
      <c r="Z52" s="1125"/>
      <c r="AA52" s="1125"/>
      <c r="AB52" s="1125"/>
      <c r="AC52" s="1125"/>
      <c r="AD52" s="1125"/>
      <c r="AE52" s="1173">
        <f t="shared" ref="AE52:AJ52" si="110">AE51+BG51</f>
        <v>10</v>
      </c>
      <c r="AF52" s="1173">
        <f t="shared" si="110"/>
        <v>50</v>
      </c>
      <c r="AG52" s="1173">
        <f t="shared" si="110"/>
        <v>10</v>
      </c>
      <c r="AH52" s="1173">
        <f t="shared" si="110"/>
        <v>5</v>
      </c>
      <c r="AI52" s="1174">
        <f t="shared" si="110"/>
        <v>20</v>
      </c>
      <c r="AJ52" s="1175">
        <f t="shared" si="110"/>
        <v>9</v>
      </c>
      <c r="AK52" s="1125"/>
      <c r="AL52" s="1173">
        <f t="shared" si="3"/>
        <v>300</v>
      </c>
      <c r="AM52" s="1173">
        <f t="shared" si="4"/>
        <v>300</v>
      </c>
      <c r="AN52" s="1173">
        <f t="shared" si="5"/>
        <v>300</v>
      </c>
      <c r="AO52" s="1176">
        <f t="shared" si="6"/>
        <v>1</v>
      </c>
      <c r="AP52" s="1175">
        <f t="shared" si="7"/>
        <v>3226</v>
      </c>
      <c r="AQ52" s="1177">
        <f t="shared" si="8"/>
        <v>4126</v>
      </c>
      <c r="AR52" s="1125"/>
      <c r="AS52" s="1173" t="str">
        <f t="shared" si="9"/>
        <v/>
      </c>
      <c r="AT52" s="1173" t="str">
        <f t="shared" si="10"/>
        <v/>
      </c>
      <c r="AU52" s="1173" t="str">
        <f t="shared" si="11"/>
        <v/>
      </c>
      <c r="AV52" s="1173" t="str">
        <f t="shared" si="12"/>
        <v/>
      </c>
      <c r="AW52" s="1178" t="str">
        <f t="shared" si="13"/>
        <v/>
      </c>
      <c r="AX52" s="1175" t="str">
        <f t="shared" si="14"/>
        <v/>
      </c>
      <c r="AY52" s="1125"/>
      <c r="AZ52" s="1179" t="str">
        <f t="shared" ref="AZ52:BD52" si="111">IF(AS52="", "", (AS52/$AQ52-1)/LABDURATION_SINGLE_ADJUSTED(AZ$4, AE52+1))</f>
        <v/>
      </c>
      <c r="BA52" s="1179" t="str">
        <f t="shared" si="111"/>
        <v/>
      </c>
      <c r="BB52" s="1179" t="str">
        <f t="shared" si="111"/>
        <v/>
      </c>
      <c r="BC52" s="1179" t="str">
        <f t="shared" si="111"/>
        <v/>
      </c>
      <c r="BD52" s="1180" t="str">
        <f t="shared" si="111"/>
        <v/>
      </c>
      <c r="BE52" s="1181" t="str">
        <f t="shared" si="16"/>
        <v/>
      </c>
      <c r="BF52" s="1125"/>
      <c r="BG52" s="1182" t="str">
        <f t="array" ref="BG52:BL52">IF(COLUMN(AZ52:BE52) = MIN(IF(AZ52:BE52=MAX(AZ52:BE52), COLUMN(AZ52:BE52))), 1, "")</f>
        <v/>
      </c>
      <c r="BH52" s="1182" t="s">
        <v>549</v>
      </c>
      <c r="BI52" s="1182" t="s">
        <v>549</v>
      </c>
      <c r="BJ52" s="1182" t="s">
        <v>549</v>
      </c>
      <c r="BK52" s="1174" t="s">
        <v>549</v>
      </c>
      <c r="BL52" s="1183" t="s">
        <v>549</v>
      </c>
      <c r="BM52" s="1125"/>
    </row>
    <row r="53">
      <c r="A53" s="1123"/>
      <c r="B53" s="1125"/>
      <c r="C53" s="1125"/>
      <c r="D53" s="1185" t="str">
        <f t="shared" si="17"/>
        <v/>
      </c>
      <c r="E53" s="1244"/>
      <c r="F53" s="1186" t="str">
        <f>IFERROR(__xludf.DUMMYFUNCTION("IF(SUM(BG52:BM52), ARRAYFORMULA(FILTER(BG$4:BM$4, BG52:BM52=1)), )"),"")</f>
        <v/>
      </c>
      <c r="G53" s="1187" t="str">
        <f>IFERROR(__xludf.DUMMYFUNCTION("IF(SUM(BG52:BM52),ARRAYFORMULA(FILTER(AE53:AJ53, BG52:BL52)), """")"),"")</f>
        <v/>
      </c>
      <c r="H53" s="1188" t="str">
        <f t="shared" si="18"/>
        <v/>
      </c>
      <c r="I53" s="1187"/>
      <c r="J53" s="1189" t="str">
        <f>IFERROR(__xludf.DUMMYFUNCTION("IF(SUM(BG52:BM52), ARRAYFORMULA(FILTER(AZ52:BE52, BG52:BL52=1))*D$5,"""")"),"")</f>
        <v/>
      </c>
      <c r="K53" s="1190" t="s">
        <v>549</v>
      </c>
      <c r="L53" s="1203" t="s">
        <v>549</v>
      </c>
      <c r="M53" s="1125"/>
      <c r="N53" s="1125"/>
      <c r="O53" s="1125"/>
      <c r="P53" s="1125"/>
      <c r="Q53" s="1125"/>
      <c r="R53" s="1125"/>
      <c r="S53" s="1125"/>
      <c r="T53" s="1125"/>
      <c r="U53" s="1125"/>
      <c r="V53" s="1130"/>
      <c r="W53" s="1125"/>
      <c r="X53" s="1125"/>
      <c r="Y53" s="1125"/>
      <c r="Z53" s="1125"/>
      <c r="AA53" s="1125"/>
      <c r="AB53" s="1125"/>
      <c r="AC53" s="1125"/>
      <c r="AD53" s="1125"/>
      <c r="AE53" s="1173">
        <f t="shared" ref="AE53:AJ53" si="112">AE52+BG52</f>
        <v>10</v>
      </c>
      <c r="AF53" s="1173">
        <f t="shared" si="112"/>
        <v>50</v>
      </c>
      <c r="AG53" s="1173">
        <f t="shared" si="112"/>
        <v>10</v>
      </c>
      <c r="AH53" s="1173">
        <f t="shared" si="112"/>
        <v>5</v>
      </c>
      <c r="AI53" s="1174">
        <f t="shared" si="112"/>
        <v>20</v>
      </c>
      <c r="AJ53" s="1175">
        <f t="shared" si="112"/>
        <v>9</v>
      </c>
      <c r="AK53" s="1125"/>
      <c r="AL53" s="1173">
        <f t="shared" si="3"/>
        <v>300</v>
      </c>
      <c r="AM53" s="1173">
        <f t="shared" si="4"/>
        <v>300</v>
      </c>
      <c r="AN53" s="1173">
        <f t="shared" si="5"/>
        <v>300</v>
      </c>
      <c r="AO53" s="1176">
        <f t="shared" si="6"/>
        <v>1</v>
      </c>
      <c r="AP53" s="1175">
        <f t="shared" si="7"/>
        <v>3226</v>
      </c>
      <c r="AQ53" s="1177">
        <f t="shared" si="8"/>
        <v>4126</v>
      </c>
      <c r="AR53" s="1125"/>
      <c r="AS53" s="1173" t="str">
        <f t="shared" si="9"/>
        <v/>
      </c>
      <c r="AT53" s="1173" t="str">
        <f t="shared" si="10"/>
        <v/>
      </c>
      <c r="AU53" s="1173" t="str">
        <f t="shared" si="11"/>
        <v/>
      </c>
      <c r="AV53" s="1173" t="str">
        <f t="shared" si="12"/>
        <v/>
      </c>
      <c r="AW53" s="1178" t="str">
        <f t="shared" si="13"/>
        <v/>
      </c>
      <c r="AX53" s="1175" t="str">
        <f t="shared" si="14"/>
        <v/>
      </c>
      <c r="AY53" s="1125"/>
      <c r="AZ53" s="1179" t="str">
        <f t="shared" ref="AZ53:BD53" si="113">IF(AS53="", "", (AS53/$AQ53-1)/LABDURATION_SINGLE_ADJUSTED(AZ$4, AE53+1))</f>
        <v/>
      </c>
      <c r="BA53" s="1179" t="str">
        <f t="shared" si="113"/>
        <v/>
      </c>
      <c r="BB53" s="1179" t="str">
        <f t="shared" si="113"/>
        <v/>
      </c>
      <c r="BC53" s="1179" t="str">
        <f t="shared" si="113"/>
        <v/>
      </c>
      <c r="BD53" s="1180" t="str">
        <f t="shared" si="113"/>
        <v/>
      </c>
      <c r="BE53" s="1181" t="str">
        <f t="shared" si="16"/>
        <v/>
      </c>
      <c r="BF53" s="1125"/>
      <c r="BG53" s="1182" t="str">
        <f t="array" ref="BG53:BL53">IF(COLUMN(AZ53:BE53) = MIN(IF(AZ53:BE53=MAX(AZ53:BE53), COLUMN(AZ53:BE53))), 1, "")</f>
        <v/>
      </c>
      <c r="BH53" s="1182" t="s">
        <v>549</v>
      </c>
      <c r="BI53" s="1182" t="s">
        <v>549</v>
      </c>
      <c r="BJ53" s="1182" t="s">
        <v>549</v>
      </c>
      <c r="BK53" s="1174" t="s">
        <v>549</v>
      </c>
      <c r="BL53" s="1183" t="s">
        <v>549</v>
      </c>
      <c r="BM53" s="1125"/>
    </row>
    <row r="54">
      <c r="A54" s="1123"/>
      <c r="B54" s="1125"/>
      <c r="C54" s="1125"/>
      <c r="D54" s="1185" t="str">
        <f t="shared" si="17"/>
        <v/>
      </c>
      <c r="E54" s="1244"/>
      <c r="F54" s="1186" t="str">
        <f>IFERROR(__xludf.DUMMYFUNCTION("IF(SUM(BG53:BM53), ARRAYFORMULA(FILTER(BG$4:BM$4, BG53:BM53=1)), )"),"")</f>
        <v/>
      </c>
      <c r="G54" s="1187" t="str">
        <f>IFERROR(__xludf.DUMMYFUNCTION("IF(SUM(BG53:BM53),ARRAYFORMULA(FILTER(AE54:AJ54, BG53:BL53)), """")"),"")</f>
        <v/>
      </c>
      <c r="H54" s="1188" t="str">
        <f t="shared" si="18"/>
        <v/>
      </c>
      <c r="I54" s="1187"/>
      <c r="J54" s="1189" t="str">
        <f>IFERROR(__xludf.DUMMYFUNCTION("IF(SUM(BG53:BM53), ARRAYFORMULA(FILTER(AZ53:BE53, BG53:BL53=1))*D$5,"""")"),"")</f>
        <v/>
      </c>
      <c r="K54" s="1190" t="s">
        <v>549</v>
      </c>
      <c r="L54" s="1203" t="s">
        <v>549</v>
      </c>
      <c r="M54" s="1125"/>
      <c r="N54" s="1125"/>
      <c r="O54" s="1125"/>
      <c r="P54" s="1125"/>
      <c r="Q54" s="1125"/>
      <c r="R54" s="1125"/>
      <c r="S54" s="1125"/>
      <c r="T54" s="1125"/>
      <c r="U54" s="1125"/>
      <c r="V54" s="1130"/>
      <c r="W54" s="1125"/>
      <c r="X54" s="1125"/>
      <c r="Y54" s="1125"/>
      <c r="Z54" s="1125"/>
      <c r="AA54" s="1125"/>
      <c r="AB54" s="1125"/>
      <c r="AC54" s="1125"/>
      <c r="AD54" s="1125"/>
      <c r="AE54" s="1173">
        <f t="shared" ref="AE54:AJ54" si="114">AE53+BG53</f>
        <v>10</v>
      </c>
      <c r="AF54" s="1173">
        <f t="shared" si="114"/>
        <v>50</v>
      </c>
      <c r="AG54" s="1173">
        <f t="shared" si="114"/>
        <v>10</v>
      </c>
      <c r="AH54" s="1173">
        <f t="shared" si="114"/>
        <v>5</v>
      </c>
      <c r="AI54" s="1174">
        <f t="shared" si="114"/>
        <v>20</v>
      </c>
      <c r="AJ54" s="1175">
        <f t="shared" si="114"/>
        <v>9</v>
      </c>
      <c r="AK54" s="1125"/>
      <c r="AL54" s="1173">
        <f t="shared" si="3"/>
        <v>300</v>
      </c>
      <c r="AM54" s="1173">
        <f t="shared" si="4"/>
        <v>300</v>
      </c>
      <c r="AN54" s="1173">
        <f t="shared" si="5"/>
        <v>300</v>
      </c>
      <c r="AO54" s="1176">
        <f t="shared" si="6"/>
        <v>1</v>
      </c>
      <c r="AP54" s="1175">
        <f t="shared" si="7"/>
        <v>3226</v>
      </c>
      <c r="AQ54" s="1177">
        <f t="shared" si="8"/>
        <v>4126</v>
      </c>
      <c r="AR54" s="1125"/>
      <c r="AS54" s="1173" t="str">
        <f t="shared" si="9"/>
        <v/>
      </c>
      <c r="AT54" s="1173" t="str">
        <f t="shared" si="10"/>
        <v/>
      </c>
      <c r="AU54" s="1173" t="str">
        <f t="shared" si="11"/>
        <v/>
      </c>
      <c r="AV54" s="1173" t="str">
        <f t="shared" si="12"/>
        <v/>
      </c>
      <c r="AW54" s="1178" t="str">
        <f t="shared" si="13"/>
        <v/>
      </c>
      <c r="AX54" s="1175" t="str">
        <f t="shared" si="14"/>
        <v/>
      </c>
      <c r="AY54" s="1125"/>
      <c r="AZ54" s="1179" t="str">
        <f t="shared" ref="AZ54:BD54" si="115">IF(AS54="", "", (AS54/$AQ54-1)/LABDURATION_SINGLE_ADJUSTED(AZ$4, AE54+1))</f>
        <v/>
      </c>
      <c r="BA54" s="1179" t="str">
        <f t="shared" si="115"/>
        <v/>
      </c>
      <c r="BB54" s="1179" t="str">
        <f t="shared" si="115"/>
        <v/>
      </c>
      <c r="BC54" s="1179" t="str">
        <f t="shared" si="115"/>
        <v/>
      </c>
      <c r="BD54" s="1180" t="str">
        <f t="shared" si="115"/>
        <v/>
      </c>
      <c r="BE54" s="1181" t="str">
        <f t="shared" si="16"/>
        <v/>
      </c>
      <c r="BF54" s="1125"/>
      <c r="BG54" s="1182" t="str">
        <f t="array" ref="BG54:BL54">IF(COLUMN(AZ54:BE54) = MIN(IF(AZ54:BE54=MAX(AZ54:BE54), COLUMN(AZ54:BE54))), 1, "")</f>
        <v/>
      </c>
      <c r="BH54" s="1182" t="s">
        <v>549</v>
      </c>
      <c r="BI54" s="1182" t="s">
        <v>549</v>
      </c>
      <c r="BJ54" s="1182" t="s">
        <v>549</v>
      </c>
      <c r="BK54" s="1174" t="s">
        <v>549</v>
      </c>
      <c r="BL54" s="1183" t="s">
        <v>549</v>
      </c>
      <c r="BM54" s="1125"/>
    </row>
    <row r="55">
      <c r="A55" s="1123"/>
      <c r="B55" s="1125"/>
      <c r="C55" s="1125"/>
      <c r="D55" s="1185" t="str">
        <f t="shared" si="17"/>
        <v/>
      </c>
      <c r="E55" s="1244"/>
      <c r="F55" s="1186" t="str">
        <f>IFERROR(__xludf.DUMMYFUNCTION("IF(SUM(BG54:BM54), ARRAYFORMULA(FILTER(BG$4:BM$4, BG54:BM54=1)), )"),"")</f>
        <v/>
      </c>
      <c r="G55" s="1187" t="str">
        <f>IFERROR(__xludf.DUMMYFUNCTION("IF(SUM(BG54:BM54),ARRAYFORMULA(FILTER(AE55:AJ55, BG54:BL54)), """")"),"")</f>
        <v/>
      </c>
      <c r="H55" s="1188" t="str">
        <f t="shared" si="18"/>
        <v/>
      </c>
      <c r="I55" s="1187"/>
      <c r="J55" s="1189" t="str">
        <f>IFERROR(__xludf.DUMMYFUNCTION("IF(SUM(BG54:BM54), ARRAYFORMULA(FILTER(AZ54:BE54, BG54:BL54=1))*D$5,"""")"),"")</f>
        <v/>
      </c>
      <c r="K55" s="1190" t="s">
        <v>549</v>
      </c>
      <c r="L55" s="1252" t="s">
        <v>549</v>
      </c>
      <c r="M55" s="1125"/>
      <c r="N55" s="1125"/>
      <c r="O55" s="1125"/>
      <c r="P55" s="1125"/>
      <c r="Q55" s="1125"/>
      <c r="R55" s="1125"/>
      <c r="S55" s="1125"/>
      <c r="T55" s="1125"/>
      <c r="U55" s="1125"/>
      <c r="V55" s="1130"/>
      <c r="W55" s="1125"/>
      <c r="X55" s="1125"/>
      <c r="Y55" s="1125"/>
      <c r="Z55" s="1125"/>
      <c r="AA55" s="1125"/>
      <c r="AB55" s="1125"/>
      <c r="AC55" s="1125"/>
      <c r="AD55" s="1125"/>
      <c r="AE55" s="1173">
        <f t="shared" ref="AE55:AJ55" si="116">AE54+BG54</f>
        <v>10</v>
      </c>
      <c r="AF55" s="1173">
        <f t="shared" si="116"/>
        <v>50</v>
      </c>
      <c r="AG55" s="1173">
        <f t="shared" si="116"/>
        <v>10</v>
      </c>
      <c r="AH55" s="1173">
        <f t="shared" si="116"/>
        <v>5</v>
      </c>
      <c r="AI55" s="1174">
        <f t="shared" si="116"/>
        <v>20</v>
      </c>
      <c r="AJ55" s="1175">
        <f t="shared" si="116"/>
        <v>9</v>
      </c>
      <c r="AK55" s="1125"/>
      <c r="AL55" s="1173">
        <f t="shared" si="3"/>
        <v>300</v>
      </c>
      <c r="AM55" s="1173">
        <f t="shared" si="4"/>
        <v>300</v>
      </c>
      <c r="AN55" s="1173">
        <f t="shared" si="5"/>
        <v>300</v>
      </c>
      <c r="AO55" s="1176">
        <f t="shared" si="6"/>
        <v>1</v>
      </c>
      <c r="AP55" s="1175">
        <f t="shared" si="7"/>
        <v>3226</v>
      </c>
      <c r="AQ55" s="1177">
        <f t="shared" si="8"/>
        <v>4126</v>
      </c>
      <c r="AR55" s="1125"/>
      <c r="AS55" s="1173" t="str">
        <f t="shared" si="9"/>
        <v/>
      </c>
      <c r="AT55" s="1173" t="str">
        <f t="shared" si="10"/>
        <v/>
      </c>
      <c r="AU55" s="1173" t="str">
        <f t="shared" si="11"/>
        <v/>
      </c>
      <c r="AV55" s="1173" t="str">
        <f t="shared" si="12"/>
        <v/>
      </c>
      <c r="AW55" s="1178" t="str">
        <f t="shared" si="13"/>
        <v/>
      </c>
      <c r="AX55" s="1175" t="str">
        <f t="shared" si="14"/>
        <v/>
      </c>
      <c r="AY55" s="1125"/>
      <c r="AZ55" s="1179" t="str">
        <f t="shared" ref="AZ55:BD55" si="117">IF(AS55="", "", (AS55/$AQ55-1)/LABDURATION_SINGLE_ADJUSTED(AZ$4, AE55+1))</f>
        <v/>
      </c>
      <c r="BA55" s="1179" t="str">
        <f t="shared" si="117"/>
        <v/>
      </c>
      <c r="BB55" s="1179" t="str">
        <f t="shared" si="117"/>
        <v/>
      </c>
      <c r="BC55" s="1179" t="str">
        <f t="shared" si="117"/>
        <v/>
      </c>
      <c r="BD55" s="1180" t="str">
        <f t="shared" si="117"/>
        <v/>
      </c>
      <c r="BE55" s="1181" t="str">
        <f t="shared" si="16"/>
        <v/>
      </c>
      <c r="BF55" s="1125"/>
      <c r="BG55" s="1182" t="str">
        <f t="array" ref="BG55:BL55">IF(COLUMN(AZ55:BE55) = MIN(IF(AZ55:BE55=MAX(AZ55:BE55), COLUMN(AZ55:BE55))), 1, "")</f>
        <v/>
      </c>
      <c r="BH55" s="1182" t="s">
        <v>549</v>
      </c>
      <c r="BI55" s="1182" t="s">
        <v>549</v>
      </c>
      <c r="BJ55" s="1182" t="s">
        <v>549</v>
      </c>
      <c r="BK55" s="1174" t="s">
        <v>549</v>
      </c>
      <c r="BL55" s="1183" t="s">
        <v>549</v>
      </c>
      <c r="BM55" s="1125"/>
    </row>
    <row r="56">
      <c r="A56" s="1123"/>
      <c r="B56" s="1125"/>
      <c r="C56" s="1125"/>
      <c r="D56" s="1185" t="str">
        <f t="shared" si="17"/>
        <v/>
      </c>
      <c r="E56" s="1244"/>
      <c r="F56" s="1186" t="str">
        <f>IFERROR(__xludf.DUMMYFUNCTION("IF(SUM(BG55:BM55), ARRAYFORMULA(FILTER(BG$4:BM$4, BG55:BM55=1)), )"),"")</f>
        <v/>
      </c>
      <c r="G56" s="1187" t="str">
        <f>IFERROR(__xludf.DUMMYFUNCTION("IF(SUM(BG55:BM55),ARRAYFORMULA(FILTER(AE56:AJ56, BG55:BL55)), """")"),"")</f>
        <v/>
      </c>
      <c r="H56" s="1188" t="str">
        <f t="shared" si="18"/>
        <v/>
      </c>
      <c r="I56" s="1187"/>
      <c r="J56" s="1189" t="str">
        <f>IFERROR(__xludf.DUMMYFUNCTION("IF(SUM(BG55:BM55), ARRAYFORMULA(FILTER(AZ55:BE55, BG55:BL55=1))*D$5,"""")"),"")</f>
        <v/>
      </c>
      <c r="K56" s="1190" t="s">
        <v>549</v>
      </c>
      <c r="L56" s="1203" t="s">
        <v>549</v>
      </c>
      <c r="M56" s="1125"/>
      <c r="N56" s="1125"/>
      <c r="O56" s="1125"/>
      <c r="P56" s="1125"/>
      <c r="Q56" s="1125"/>
      <c r="R56" s="1125"/>
      <c r="S56" s="1125"/>
      <c r="T56" s="1125"/>
      <c r="U56" s="1125"/>
      <c r="V56" s="1130"/>
      <c r="W56" s="1125"/>
      <c r="X56" s="1125"/>
      <c r="Y56" s="1125"/>
      <c r="Z56" s="1125"/>
      <c r="AA56" s="1125"/>
      <c r="AB56" s="1125"/>
      <c r="AC56" s="1125"/>
      <c r="AD56" s="1125"/>
      <c r="AE56" s="1173">
        <f t="shared" ref="AE56:AJ56" si="118">AE55+BG55</f>
        <v>10</v>
      </c>
      <c r="AF56" s="1173">
        <f t="shared" si="118"/>
        <v>50</v>
      </c>
      <c r="AG56" s="1173">
        <f t="shared" si="118"/>
        <v>10</v>
      </c>
      <c r="AH56" s="1173">
        <f t="shared" si="118"/>
        <v>5</v>
      </c>
      <c r="AI56" s="1174">
        <f t="shared" si="118"/>
        <v>20</v>
      </c>
      <c r="AJ56" s="1175">
        <f t="shared" si="118"/>
        <v>9</v>
      </c>
      <c r="AK56" s="1125"/>
      <c r="AL56" s="1173">
        <f t="shared" si="3"/>
        <v>300</v>
      </c>
      <c r="AM56" s="1173">
        <f t="shared" si="4"/>
        <v>300</v>
      </c>
      <c r="AN56" s="1173">
        <f t="shared" si="5"/>
        <v>300</v>
      </c>
      <c r="AO56" s="1176">
        <f t="shared" si="6"/>
        <v>1</v>
      </c>
      <c r="AP56" s="1175">
        <f t="shared" si="7"/>
        <v>3226</v>
      </c>
      <c r="AQ56" s="1177">
        <f t="shared" si="8"/>
        <v>4126</v>
      </c>
      <c r="AR56" s="1125"/>
      <c r="AS56" s="1173" t="str">
        <f t="shared" si="9"/>
        <v/>
      </c>
      <c r="AT56" s="1173" t="str">
        <f t="shared" si="10"/>
        <v/>
      </c>
      <c r="AU56" s="1173" t="str">
        <f t="shared" si="11"/>
        <v/>
      </c>
      <c r="AV56" s="1173" t="str">
        <f t="shared" si="12"/>
        <v/>
      </c>
      <c r="AW56" s="1178" t="str">
        <f t="shared" si="13"/>
        <v/>
      </c>
      <c r="AX56" s="1175" t="str">
        <f t="shared" si="14"/>
        <v/>
      </c>
      <c r="AY56" s="1125"/>
      <c r="AZ56" s="1179" t="str">
        <f t="shared" ref="AZ56:BD56" si="119">IF(AS56="", "", (AS56/$AQ56-1)/LABDURATION_SINGLE_ADJUSTED(AZ$4, AE56+1))</f>
        <v/>
      </c>
      <c r="BA56" s="1179" t="str">
        <f t="shared" si="119"/>
        <v/>
      </c>
      <c r="BB56" s="1179" t="str">
        <f t="shared" si="119"/>
        <v/>
      </c>
      <c r="BC56" s="1179" t="str">
        <f t="shared" si="119"/>
        <v/>
      </c>
      <c r="BD56" s="1180" t="str">
        <f t="shared" si="119"/>
        <v/>
      </c>
      <c r="BE56" s="1181" t="str">
        <f t="shared" si="16"/>
        <v/>
      </c>
      <c r="BF56" s="1125"/>
      <c r="BG56" s="1182" t="str">
        <f t="array" ref="BG56:BL56">IF(COLUMN(AZ56:BE56) = MIN(IF(AZ56:BE56=MAX(AZ56:BE56), COLUMN(AZ56:BE56))), 1, "")</f>
        <v/>
      </c>
      <c r="BH56" s="1182" t="s">
        <v>549</v>
      </c>
      <c r="BI56" s="1182" t="s">
        <v>549</v>
      </c>
      <c r="BJ56" s="1182" t="s">
        <v>549</v>
      </c>
      <c r="BK56" s="1174" t="s">
        <v>549</v>
      </c>
      <c r="BL56" s="1183" t="s">
        <v>549</v>
      </c>
      <c r="BM56" s="1125"/>
    </row>
    <row r="57">
      <c r="A57" s="1123"/>
      <c r="B57" s="1125"/>
      <c r="C57" s="1125"/>
      <c r="D57" s="1185" t="str">
        <f t="shared" si="17"/>
        <v/>
      </c>
      <c r="E57" s="1244"/>
      <c r="F57" s="1186" t="str">
        <f>IFERROR(__xludf.DUMMYFUNCTION("IF(SUM(BG56:BM56), ARRAYFORMULA(FILTER(BG$4:BM$4, BG56:BM56=1)), )"),"")</f>
        <v/>
      </c>
      <c r="G57" s="1187" t="str">
        <f>IFERROR(__xludf.DUMMYFUNCTION("IF(SUM(BG56:BM56),ARRAYFORMULA(FILTER(AE57:AJ57, BG56:BL56)), """")"),"")</f>
        <v/>
      </c>
      <c r="H57" s="1188" t="str">
        <f t="shared" si="18"/>
        <v/>
      </c>
      <c r="I57" s="1187"/>
      <c r="J57" s="1189" t="str">
        <f>IFERROR(__xludf.DUMMYFUNCTION("IF(SUM(BG56:BM56), ARRAYFORMULA(FILTER(AZ56:BE56, BG56:BL56=1))*D$5,"""")"),"")</f>
        <v/>
      </c>
      <c r="K57" s="1190" t="s">
        <v>549</v>
      </c>
      <c r="L57" s="1203" t="s">
        <v>549</v>
      </c>
      <c r="M57" s="1125"/>
      <c r="N57" s="1125"/>
      <c r="O57" s="1125"/>
      <c r="P57" s="1125"/>
      <c r="Q57" s="1125"/>
      <c r="R57" s="1125"/>
      <c r="S57" s="1125"/>
      <c r="T57" s="1125"/>
      <c r="U57" s="1125"/>
      <c r="V57" s="1130"/>
      <c r="W57" s="1125"/>
      <c r="X57" s="1125"/>
      <c r="Y57" s="1125"/>
      <c r="Z57" s="1125"/>
      <c r="AA57" s="1125"/>
      <c r="AB57" s="1125"/>
      <c r="AC57" s="1125"/>
      <c r="AD57" s="1125"/>
      <c r="AE57" s="1173">
        <f t="shared" ref="AE57:AJ57" si="120">AE56+BG56</f>
        <v>10</v>
      </c>
      <c r="AF57" s="1173">
        <f t="shared" si="120"/>
        <v>50</v>
      </c>
      <c r="AG57" s="1173">
        <f t="shared" si="120"/>
        <v>10</v>
      </c>
      <c r="AH57" s="1173">
        <f t="shared" si="120"/>
        <v>5</v>
      </c>
      <c r="AI57" s="1174">
        <f t="shared" si="120"/>
        <v>20</v>
      </c>
      <c r="AJ57" s="1175">
        <f t="shared" si="120"/>
        <v>9</v>
      </c>
      <c r="AK57" s="1125"/>
      <c r="AL57" s="1173">
        <f t="shared" si="3"/>
        <v>300</v>
      </c>
      <c r="AM57" s="1173">
        <f t="shared" si="4"/>
        <v>300</v>
      </c>
      <c r="AN57" s="1173">
        <f t="shared" si="5"/>
        <v>300</v>
      </c>
      <c r="AO57" s="1176">
        <f t="shared" si="6"/>
        <v>1</v>
      </c>
      <c r="AP57" s="1175">
        <f t="shared" si="7"/>
        <v>3226</v>
      </c>
      <c r="AQ57" s="1177">
        <f t="shared" si="8"/>
        <v>4126</v>
      </c>
      <c r="AR57" s="1125"/>
      <c r="AS57" s="1173" t="str">
        <f t="shared" si="9"/>
        <v/>
      </c>
      <c r="AT57" s="1173" t="str">
        <f t="shared" si="10"/>
        <v/>
      </c>
      <c r="AU57" s="1173" t="str">
        <f t="shared" si="11"/>
        <v/>
      </c>
      <c r="AV57" s="1173" t="str">
        <f t="shared" si="12"/>
        <v/>
      </c>
      <c r="AW57" s="1178" t="str">
        <f t="shared" si="13"/>
        <v/>
      </c>
      <c r="AX57" s="1175" t="str">
        <f t="shared" si="14"/>
        <v/>
      </c>
      <c r="AY57" s="1125"/>
      <c r="AZ57" s="1179" t="str">
        <f t="shared" ref="AZ57:BD57" si="121">IF(AS57="", "", (AS57/$AQ57-1)/LABDURATION_SINGLE_ADJUSTED(AZ$4, AE57+1))</f>
        <v/>
      </c>
      <c r="BA57" s="1179" t="str">
        <f t="shared" si="121"/>
        <v/>
      </c>
      <c r="BB57" s="1179" t="str">
        <f t="shared" si="121"/>
        <v/>
      </c>
      <c r="BC57" s="1179" t="str">
        <f t="shared" si="121"/>
        <v/>
      </c>
      <c r="BD57" s="1180" t="str">
        <f t="shared" si="121"/>
        <v/>
      </c>
      <c r="BE57" s="1181" t="str">
        <f t="shared" si="16"/>
        <v/>
      </c>
      <c r="BF57" s="1125"/>
      <c r="BG57" s="1182" t="str">
        <f t="array" ref="BG57:BL57">IF(COLUMN(AZ57:BE57) = MIN(IF(AZ57:BE57=MAX(AZ57:BE57), COLUMN(AZ57:BE57))), 1, "")</f>
        <v/>
      </c>
      <c r="BH57" s="1182" t="s">
        <v>549</v>
      </c>
      <c r="BI57" s="1182" t="s">
        <v>549</v>
      </c>
      <c r="BJ57" s="1182" t="s">
        <v>549</v>
      </c>
      <c r="BK57" s="1174" t="s">
        <v>549</v>
      </c>
      <c r="BL57" s="1183" t="s">
        <v>549</v>
      </c>
      <c r="BM57" s="1125"/>
    </row>
    <row r="58">
      <c r="A58" s="1123"/>
      <c r="B58" s="1125"/>
      <c r="C58" s="1125"/>
      <c r="D58" s="1185" t="str">
        <f t="shared" si="17"/>
        <v/>
      </c>
      <c r="E58" s="1244"/>
      <c r="F58" s="1186" t="str">
        <f>IFERROR(__xludf.DUMMYFUNCTION("IF(SUM(BG57:BM57), ARRAYFORMULA(FILTER(BG$4:BM$4, BG57:BM57=1)), )"),"")</f>
        <v/>
      </c>
      <c r="G58" s="1187" t="str">
        <f>IFERROR(__xludf.DUMMYFUNCTION("IF(SUM(BG57:BM57),ARRAYFORMULA(FILTER(AE58:AJ58, BG57:BL57)), """")"),"")</f>
        <v/>
      </c>
      <c r="H58" s="1188" t="str">
        <f t="shared" si="18"/>
        <v/>
      </c>
      <c r="I58" s="1187"/>
      <c r="J58" s="1189" t="str">
        <f>IFERROR(__xludf.DUMMYFUNCTION("IF(SUM(BG57:BM57), ARRAYFORMULA(FILTER(AZ57:BE57, BG57:BL57=1))*D$5,"""")"),"")</f>
        <v/>
      </c>
      <c r="K58" s="1190" t="s">
        <v>549</v>
      </c>
      <c r="L58" s="1203" t="s">
        <v>549</v>
      </c>
      <c r="M58" s="1125"/>
      <c r="N58" s="1125"/>
      <c r="O58" s="1125"/>
      <c r="P58" s="1125"/>
      <c r="Q58" s="1125"/>
      <c r="R58" s="1125"/>
      <c r="S58" s="1125"/>
      <c r="T58" s="1125"/>
      <c r="U58" s="1125"/>
      <c r="V58" s="1130"/>
      <c r="W58" s="1125"/>
      <c r="X58" s="1125"/>
      <c r="Y58" s="1125"/>
      <c r="Z58" s="1125"/>
      <c r="AA58" s="1125"/>
      <c r="AB58" s="1125"/>
      <c r="AC58" s="1125"/>
      <c r="AD58" s="1125"/>
      <c r="AE58" s="1173">
        <f t="shared" ref="AE58:AJ58" si="122">AE57+BG57</f>
        <v>10</v>
      </c>
      <c r="AF58" s="1173">
        <f t="shared" si="122"/>
        <v>50</v>
      </c>
      <c r="AG58" s="1173">
        <f t="shared" si="122"/>
        <v>10</v>
      </c>
      <c r="AH58" s="1173">
        <f t="shared" si="122"/>
        <v>5</v>
      </c>
      <c r="AI58" s="1174">
        <f t="shared" si="122"/>
        <v>20</v>
      </c>
      <c r="AJ58" s="1175">
        <f t="shared" si="122"/>
        <v>9</v>
      </c>
      <c r="AK58" s="1125"/>
      <c r="AL58" s="1173">
        <f t="shared" si="3"/>
        <v>300</v>
      </c>
      <c r="AM58" s="1173">
        <f t="shared" si="4"/>
        <v>300</v>
      </c>
      <c r="AN58" s="1173">
        <f t="shared" si="5"/>
        <v>300</v>
      </c>
      <c r="AO58" s="1176">
        <f t="shared" si="6"/>
        <v>1</v>
      </c>
      <c r="AP58" s="1175">
        <f t="shared" si="7"/>
        <v>3226</v>
      </c>
      <c r="AQ58" s="1177">
        <f t="shared" si="8"/>
        <v>4126</v>
      </c>
      <c r="AR58" s="1125"/>
      <c r="AS58" s="1173" t="str">
        <f t="shared" si="9"/>
        <v/>
      </c>
      <c r="AT58" s="1173" t="str">
        <f t="shared" si="10"/>
        <v/>
      </c>
      <c r="AU58" s="1173" t="str">
        <f t="shared" si="11"/>
        <v/>
      </c>
      <c r="AV58" s="1173" t="str">
        <f t="shared" si="12"/>
        <v/>
      </c>
      <c r="AW58" s="1178" t="str">
        <f t="shared" si="13"/>
        <v/>
      </c>
      <c r="AX58" s="1175" t="str">
        <f t="shared" si="14"/>
        <v/>
      </c>
      <c r="AY58" s="1125"/>
      <c r="AZ58" s="1179" t="str">
        <f t="shared" ref="AZ58:BD58" si="123">IF(AS58="", "", (AS58/$AQ58-1)/LABDURATION_SINGLE_ADJUSTED(AZ$4, AE58+1))</f>
        <v/>
      </c>
      <c r="BA58" s="1179" t="str">
        <f t="shared" si="123"/>
        <v/>
      </c>
      <c r="BB58" s="1179" t="str">
        <f t="shared" si="123"/>
        <v/>
      </c>
      <c r="BC58" s="1179" t="str">
        <f t="shared" si="123"/>
        <v/>
      </c>
      <c r="BD58" s="1180" t="str">
        <f t="shared" si="123"/>
        <v/>
      </c>
      <c r="BE58" s="1181" t="str">
        <f t="shared" si="16"/>
        <v/>
      </c>
      <c r="BF58" s="1125"/>
      <c r="BG58" s="1182" t="str">
        <f t="array" ref="BG58:BL58">IF(COLUMN(AZ58:BE58) = MIN(IF(AZ58:BE58=MAX(AZ58:BE58), COLUMN(AZ58:BE58))), 1, "")</f>
        <v/>
      </c>
      <c r="BH58" s="1182" t="s">
        <v>549</v>
      </c>
      <c r="BI58" s="1182" t="s">
        <v>549</v>
      </c>
      <c r="BJ58" s="1182" t="s">
        <v>549</v>
      </c>
      <c r="BK58" s="1174" t="s">
        <v>549</v>
      </c>
      <c r="BL58" s="1183" t="s">
        <v>549</v>
      </c>
      <c r="BM58" s="1125"/>
    </row>
    <row r="59">
      <c r="A59" s="1123"/>
      <c r="B59" s="1125"/>
      <c r="C59" s="1125"/>
      <c r="D59" s="1185" t="str">
        <f t="shared" si="17"/>
        <v/>
      </c>
      <c r="E59" s="1244"/>
      <c r="F59" s="1186" t="str">
        <f>IFERROR(__xludf.DUMMYFUNCTION("IF(SUM(BG58:BM58), ARRAYFORMULA(FILTER(BG$4:BM$4, BG58:BM58=1)), )"),"")</f>
        <v/>
      </c>
      <c r="G59" s="1187" t="str">
        <f>IFERROR(__xludf.DUMMYFUNCTION("IF(SUM(BG58:BM58),ARRAYFORMULA(FILTER(AE59:AJ59, BG58:BL58)), """")"),"")</f>
        <v/>
      </c>
      <c r="H59" s="1188" t="str">
        <f t="shared" si="18"/>
        <v/>
      </c>
      <c r="I59" s="1187"/>
      <c r="J59" s="1189" t="str">
        <f>IFERROR(__xludf.DUMMYFUNCTION("IF(SUM(BG58:BM58), ARRAYFORMULA(FILTER(AZ58:BE58, BG58:BL58=1))*D$5,"""")"),"")</f>
        <v/>
      </c>
      <c r="K59" s="1190" t="s">
        <v>549</v>
      </c>
      <c r="L59" s="1203" t="s">
        <v>549</v>
      </c>
      <c r="M59" s="1125"/>
      <c r="N59" s="1125"/>
      <c r="O59" s="1125"/>
      <c r="P59" s="1125"/>
      <c r="Q59" s="1125"/>
      <c r="R59" s="1125"/>
      <c r="S59" s="1125"/>
      <c r="T59" s="1125"/>
      <c r="U59" s="1125"/>
      <c r="V59" s="1130"/>
      <c r="W59" s="1125"/>
      <c r="X59" s="1125"/>
      <c r="Y59" s="1125"/>
      <c r="Z59" s="1125"/>
      <c r="AA59" s="1125"/>
      <c r="AB59" s="1125"/>
      <c r="AC59" s="1125"/>
      <c r="AD59" s="1125"/>
      <c r="AE59" s="1173">
        <f t="shared" ref="AE59:AJ59" si="124">AE58+BG58</f>
        <v>10</v>
      </c>
      <c r="AF59" s="1173">
        <f t="shared" si="124"/>
        <v>50</v>
      </c>
      <c r="AG59" s="1173">
        <f t="shared" si="124"/>
        <v>10</v>
      </c>
      <c r="AH59" s="1173">
        <f t="shared" si="124"/>
        <v>5</v>
      </c>
      <c r="AI59" s="1174">
        <f t="shared" si="124"/>
        <v>20</v>
      </c>
      <c r="AJ59" s="1175">
        <f t="shared" si="124"/>
        <v>9</v>
      </c>
      <c r="AK59" s="1125"/>
      <c r="AL59" s="1173">
        <f t="shared" si="3"/>
        <v>300</v>
      </c>
      <c r="AM59" s="1173">
        <f t="shared" si="4"/>
        <v>300</v>
      </c>
      <c r="AN59" s="1173">
        <f t="shared" si="5"/>
        <v>300</v>
      </c>
      <c r="AO59" s="1176">
        <f t="shared" si="6"/>
        <v>1</v>
      </c>
      <c r="AP59" s="1175">
        <f t="shared" si="7"/>
        <v>3226</v>
      </c>
      <c r="AQ59" s="1177">
        <f t="shared" si="8"/>
        <v>4126</v>
      </c>
      <c r="AR59" s="1125"/>
      <c r="AS59" s="1173" t="str">
        <f t="shared" si="9"/>
        <v/>
      </c>
      <c r="AT59" s="1173" t="str">
        <f t="shared" si="10"/>
        <v/>
      </c>
      <c r="AU59" s="1173" t="str">
        <f t="shared" si="11"/>
        <v/>
      </c>
      <c r="AV59" s="1173" t="str">
        <f t="shared" si="12"/>
        <v/>
      </c>
      <c r="AW59" s="1178" t="str">
        <f t="shared" si="13"/>
        <v/>
      </c>
      <c r="AX59" s="1175" t="str">
        <f t="shared" si="14"/>
        <v/>
      </c>
      <c r="AY59" s="1125"/>
      <c r="AZ59" s="1179" t="str">
        <f t="shared" ref="AZ59:BD59" si="125">IF(AS59="", "", (AS59/$AQ59-1)/LABDURATION_SINGLE_ADJUSTED(AZ$4, AE59+1))</f>
        <v/>
      </c>
      <c r="BA59" s="1179" t="str">
        <f t="shared" si="125"/>
        <v/>
      </c>
      <c r="BB59" s="1179" t="str">
        <f t="shared" si="125"/>
        <v/>
      </c>
      <c r="BC59" s="1179" t="str">
        <f t="shared" si="125"/>
        <v/>
      </c>
      <c r="BD59" s="1180" t="str">
        <f t="shared" si="125"/>
        <v/>
      </c>
      <c r="BE59" s="1181" t="str">
        <f t="shared" si="16"/>
        <v/>
      </c>
      <c r="BF59" s="1125"/>
      <c r="BG59" s="1182" t="str">
        <f t="array" ref="BG59:BL59">IF(COLUMN(AZ59:BE59) = MIN(IF(AZ59:BE59=MAX(AZ59:BE59), COLUMN(AZ59:BE59))), 1, "")</f>
        <v/>
      </c>
      <c r="BH59" s="1182" t="s">
        <v>549</v>
      </c>
      <c r="BI59" s="1182" t="s">
        <v>549</v>
      </c>
      <c r="BJ59" s="1182" t="s">
        <v>549</v>
      </c>
      <c r="BK59" s="1174" t="s">
        <v>549</v>
      </c>
      <c r="BL59" s="1183" t="s">
        <v>549</v>
      </c>
      <c r="BM59" s="1125"/>
    </row>
    <row r="60">
      <c r="A60" s="1123"/>
      <c r="B60" s="1125"/>
      <c r="C60" s="1125"/>
      <c r="D60" s="1185" t="str">
        <f t="shared" si="17"/>
        <v/>
      </c>
      <c r="E60" s="1244"/>
      <c r="F60" s="1186" t="str">
        <f>IFERROR(__xludf.DUMMYFUNCTION("IF(SUM(BG59:BM59), ARRAYFORMULA(FILTER(BG$4:BM$4, BG59:BM59=1)), )"),"")</f>
        <v/>
      </c>
      <c r="G60" s="1187" t="str">
        <f>IFERROR(__xludf.DUMMYFUNCTION("IF(SUM(BG59:BM59),ARRAYFORMULA(FILTER(AE60:AJ60, BG59:BL59)), """")"),"")</f>
        <v/>
      </c>
      <c r="H60" s="1188" t="str">
        <f t="shared" si="18"/>
        <v/>
      </c>
      <c r="I60" s="1187"/>
      <c r="J60" s="1189" t="str">
        <f>IFERROR(__xludf.DUMMYFUNCTION("IF(SUM(BG59:BM59), ARRAYFORMULA(FILTER(AZ59:BE59, BG59:BL59=1))*D$5,"""")"),"")</f>
        <v/>
      </c>
      <c r="K60" s="1190" t="s">
        <v>549</v>
      </c>
      <c r="L60" s="1203" t="s">
        <v>549</v>
      </c>
      <c r="M60" s="1125"/>
      <c r="N60" s="1125"/>
      <c r="O60" s="1125"/>
      <c r="P60" s="1125"/>
      <c r="Q60" s="1125"/>
      <c r="R60" s="1125"/>
      <c r="S60" s="1125"/>
      <c r="T60" s="1125"/>
      <c r="U60" s="1125"/>
      <c r="V60" s="1130"/>
      <c r="W60" s="1125"/>
      <c r="X60" s="1125"/>
      <c r="Y60" s="1125"/>
      <c r="Z60" s="1125"/>
      <c r="AA60" s="1125"/>
      <c r="AB60" s="1125"/>
      <c r="AC60" s="1125"/>
      <c r="AD60" s="1125"/>
      <c r="AE60" s="1173">
        <f t="shared" ref="AE60:AJ60" si="126">AE59+BG59</f>
        <v>10</v>
      </c>
      <c r="AF60" s="1173">
        <f t="shared" si="126"/>
        <v>50</v>
      </c>
      <c r="AG60" s="1173">
        <f t="shared" si="126"/>
        <v>10</v>
      </c>
      <c r="AH60" s="1173">
        <f t="shared" si="126"/>
        <v>5</v>
      </c>
      <c r="AI60" s="1174">
        <f t="shared" si="126"/>
        <v>20</v>
      </c>
      <c r="AJ60" s="1175">
        <f t="shared" si="126"/>
        <v>9</v>
      </c>
      <c r="AK60" s="1125"/>
      <c r="AL60" s="1173">
        <f t="shared" si="3"/>
        <v>300</v>
      </c>
      <c r="AM60" s="1173">
        <f t="shared" si="4"/>
        <v>300</v>
      </c>
      <c r="AN60" s="1173">
        <f t="shared" si="5"/>
        <v>300</v>
      </c>
      <c r="AO60" s="1176">
        <f t="shared" si="6"/>
        <v>1</v>
      </c>
      <c r="AP60" s="1175">
        <f t="shared" si="7"/>
        <v>3226</v>
      </c>
      <c r="AQ60" s="1177">
        <f t="shared" si="8"/>
        <v>4126</v>
      </c>
      <c r="AR60" s="1125"/>
      <c r="AS60" s="1173" t="str">
        <f t="shared" si="9"/>
        <v/>
      </c>
      <c r="AT60" s="1173" t="str">
        <f t="shared" si="10"/>
        <v/>
      </c>
      <c r="AU60" s="1173" t="str">
        <f t="shared" si="11"/>
        <v/>
      </c>
      <c r="AV60" s="1173" t="str">
        <f t="shared" si="12"/>
        <v/>
      </c>
      <c r="AW60" s="1178" t="str">
        <f t="shared" si="13"/>
        <v/>
      </c>
      <c r="AX60" s="1175" t="str">
        <f t="shared" si="14"/>
        <v/>
      </c>
      <c r="AY60" s="1125"/>
      <c r="AZ60" s="1179" t="str">
        <f t="shared" ref="AZ60:BD60" si="127">IF(AS60="", "", (AS60/$AQ60-1)/LABDURATION_SINGLE_ADJUSTED(AZ$4, AE60+1))</f>
        <v/>
      </c>
      <c r="BA60" s="1179" t="str">
        <f t="shared" si="127"/>
        <v/>
      </c>
      <c r="BB60" s="1179" t="str">
        <f t="shared" si="127"/>
        <v/>
      </c>
      <c r="BC60" s="1179" t="str">
        <f t="shared" si="127"/>
        <v/>
      </c>
      <c r="BD60" s="1180" t="str">
        <f t="shared" si="127"/>
        <v/>
      </c>
      <c r="BE60" s="1181" t="str">
        <f t="shared" si="16"/>
        <v/>
      </c>
      <c r="BF60" s="1125"/>
      <c r="BG60" s="1182" t="str">
        <f t="array" ref="BG60:BL60">IF(COLUMN(AZ60:BE60) = MIN(IF(AZ60:BE60=MAX(AZ60:BE60), COLUMN(AZ60:BE60))), 1, "")</f>
        <v/>
      </c>
      <c r="BH60" s="1182" t="s">
        <v>549</v>
      </c>
      <c r="BI60" s="1182" t="s">
        <v>549</v>
      </c>
      <c r="BJ60" s="1182" t="s">
        <v>549</v>
      </c>
      <c r="BK60" s="1174" t="s">
        <v>549</v>
      </c>
      <c r="BL60" s="1183" t="s">
        <v>549</v>
      </c>
      <c r="BM60" s="1125"/>
    </row>
    <row r="61">
      <c r="A61" s="1123"/>
      <c r="B61" s="1125"/>
      <c r="C61" s="1125"/>
      <c r="D61" s="1185" t="str">
        <f t="shared" si="17"/>
        <v/>
      </c>
      <c r="E61" s="1244"/>
      <c r="F61" s="1186" t="str">
        <f>IFERROR(__xludf.DUMMYFUNCTION("IF(SUM(BG60:BM60), ARRAYFORMULA(FILTER(BG$4:BM$4, BG60:BM60=1)), )"),"")</f>
        <v/>
      </c>
      <c r="G61" s="1187" t="str">
        <f>IFERROR(__xludf.DUMMYFUNCTION("IF(SUM(BG60:BM60),ARRAYFORMULA(FILTER(AE61:AJ61, BG60:BL60)), """")"),"")</f>
        <v/>
      </c>
      <c r="H61" s="1188" t="str">
        <f t="shared" si="18"/>
        <v/>
      </c>
      <c r="I61" s="1187"/>
      <c r="J61" s="1189" t="str">
        <f>IFERROR(__xludf.DUMMYFUNCTION("IF(SUM(BG60:BM60), ARRAYFORMULA(FILTER(AZ60:BE60, BG60:BL60=1))*D$5,"""")"),"")</f>
        <v/>
      </c>
      <c r="K61" s="1190" t="s">
        <v>549</v>
      </c>
      <c r="L61" s="1203" t="s">
        <v>549</v>
      </c>
      <c r="M61" s="1125"/>
      <c r="N61" s="1125"/>
      <c r="O61" s="1125"/>
      <c r="P61" s="1125"/>
      <c r="Q61" s="1125"/>
      <c r="R61" s="1125"/>
      <c r="S61" s="1125"/>
      <c r="T61" s="1125"/>
      <c r="U61" s="1125"/>
      <c r="V61" s="1130"/>
      <c r="W61" s="1125"/>
      <c r="X61" s="1125"/>
      <c r="Y61" s="1125"/>
      <c r="Z61" s="1125"/>
      <c r="AA61" s="1125"/>
      <c r="AB61" s="1125"/>
      <c r="AC61" s="1125"/>
      <c r="AD61" s="1125"/>
      <c r="AE61" s="1173">
        <f t="shared" ref="AE61:AJ61" si="128">AE60+BG60</f>
        <v>10</v>
      </c>
      <c r="AF61" s="1173">
        <f t="shared" si="128"/>
        <v>50</v>
      </c>
      <c r="AG61" s="1173">
        <f t="shared" si="128"/>
        <v>10</v>
      </c>
      <c r="AH61" s="1173">
        <f t="shared" si="128"/>
        <v>5</v>
      </c>
      <c r="AI61" s="1174">
        <f t="shared" si="128"/>
        <v>20</v>
      </c>
      <c r="AJ61" s="1175">
        <f t="shared" si="128"/>
        <v>9</v>
      </c>
      <c r="AK61" s="1125"/>
      <c r="AL61" s="1173">
        <f t="shared" si="3"/>
        <v>300</v>
      </c>
      <c r="AM61" s="1173">
        <f t="shared" si="4"/>
        <v>300</v>
      </c>
      <c r="AN61" s="1173">
        <f t="shared" si="5"/>
        <v>300</v>
      </c>
      <c r="AO61" s="1176">
        <f t="shared" si="6"/>
        <v>1</v>
      </c>
      <c r="AP61" s="1175">
        <f t="shared" si="7"/>
        <v>3226</v>
      </c>
      <c r="AQ61" s="1177">
        <f t="shared" si="8"/>
        <v>4126</v>
      </c>
      <c r="AR61" s="1125"/>
      <c r="AS61" s="1173" t="str">
        <f t="shared" si="9"/>
        <v/>
      </c>
      <c r="AT61" s="1173" t="str">
        <f t="shared" si="10"/>
        <v/>
      </c>
      <c r="AU61" s="1173" t="str">
        <f t="shared" si="11"/>
        <v/>
      </c>
      <c r="AV61" s="1173" t="str">
        <f t="shared" si="12"/>
        <v/>
      </c>
      <c r="AW61" s="1178" t="str">
        <f t="shared" si="13"/>
        <v/>
      </c>
      <c r="AX61" s="1175" t="str">
        <f t="shared" si="14"/>
        <v/>
      </c>
      <c r="AY61" s="1125"/>
      <c r="AZ61" s="1179" t="str">
        <f t="shared" ref="AZ61:BD61" si="129">IF(AS61="", "", (AS61/$AQ61-1)/LABDURATION_SINGLE_ADJUSTED(AZ$4, AE61+1))</f>
        <v/>
      </c>
      <c r="BA61" s="1179" t="str">
        <f t="shared" si="129"/>
        <v/>
      </c>
      <c r="BB61" s="1179" t="str">
        <f t="shared" si="129"/>
        <v/>
      </c>
      <c r="BC61" s="1179" t="str">
        <f t="shared" si="129"/>
        <v/>
      </c>
      <c r="BD61" s="1180" t="str">
        <f t="shared" si="129"/>
        <v/>
      </c>
      <c r="BE61" s="1181" t="str">
        <f t="shared" si="16"/>
        <v/>
      </c>
      <c r="BF61" s="1125"/>
      <c r="BG61" s="1182" t="str">
        <f t="array" ref="BG61:BL61">IF(COLUMN(AZ61:BE61) = MIN(IF(AZ61:BE61=MAX(AZ61:BE61), COLUMN(AZ61:BE61))), 1, "")</f>
        <v/>
      </c>
      <c r="BH61" s="1182" t="s">
        <v>549</v>
      </c>
      <c r="BI61" s="1182" t="s">
        <v>549</v>
      </c>
      <c r="BJ61" s="1182" t="s">
        <v>549</v>
      </c>
      <c r="BK61" s="1174" t="s">
        <v>549</v>
      </c>
      <c r="BL61" s="1183" t="s">
        <v>549</v>
      </c>
      <c r="BM61" s="1125"/>
    </row>
    <row r="62">
      <c r="A62" s="1123"/>
      <c r="B62" s="1125"/>
      <c r="C62" s="1125"/>
      <c r="D62" s="1185" t="str">
        <f t="shared" si="17"/>
        <v/>
      </c>
      <c r="E62" s="1244"/>
      <c r="F62" s="1186" t="str">
        <f>IFERROR(__xludf.DUMMYFUNCTION("IF(SUM(BG61:BM61), ARRAYFORMULA(FILTER(BG$4:BM$4, BG61:BM61=1)), )"),"")</f>
        <v/>
      </c>
      <c r="G62" s="1187" t="str">
        <f>IFERROR(__xludf.DUMMYFUNCTION("IF(SUM(BG61:BM61),ARRAYFORMULA(FILTER(AE62:AJ62, BG61:BL61)), """")"),"")</f>
        <v/>
      </c>
      <c r="H62" s="1188" t="str">
        <f t="shared" si="18"/>
        <v/>
      </c>
      <c r="I62" s="1187"/>
      <c r="J62" s="1189" t="str">
        <f>IFERROR(__xludf.DUMMYFUNCTION("IF(SUM(BG61:BM61), ARRAYFORMULA(FILTER(AZ61:BE61, BG61:BL61=1))*D$5,"""")"),"")</f>
        <v/>
      </c>
      <c r="K62" s="1190" t="s">
        <v>549</v>
      </c>
      <c r="L62" s="1203" t="s">
        <v>549</v>
      </c>
      <c r="M62" s="1125"/>
      <c r="N62" s="1125"/>
      <c r="O62" s="1125"/>
      <c r="P62" s="1125"/>
      <c r="Q62" s="1125"/>
      <c r="R62" s="1125"/>
      <c r="S62" s="1125"/>
      <c r="T62" s="1125"/>
      <c r="U62" s="1125"/>
      <c r="V62" s="1130"/>
      <c r="W62" s="1125"/>
      <c r="X62" s="1125"/>
      <c r="Y62" s="1125"/>
      <c r="Z62" s="1125"/>
      <c r="AA62" s="1125"/>
      <c r="AB62" s="1125"/>
      <c r="AC62" s="1125"/>
      <c r="AD62" s="1125"/>
      <c r="AE62" s="1173">
        <f t="shared" ref="AE62:AJ62" si="130">AE61+BG61</f>
        <v>10</v>
      </c>
      <c r="AF62" s="1173">
        <f t="shared" si="130"/>
        <v>50</v>
      </c>
      <c r="AG62" s="1173">
        <f t="shared" si="130"/>
        <v>10</v>
      </c>
      <c r="AH62" s="1173">
        <f t="shared" si="130"/>
        <v>5</v>
      </c>
      <c r="AI62" s="1174">
        <f t="shared" si="130"/>
        <v>20</v>
      </c>
      <c r="AJ62" s="1175">
        <f t="shared" si="130"/>
        <v>9</v>
      </c>
      <c r="AK62" s="1125"/>
      <c r="AL62" s="1173">
        <f t="shared" si="3"/>
        <v>300</v>
      </c>
      <c r="AM62" s="1173">
        <f t="shared" si="4"/>
        <v>300</v>
      </c>
      <c r="AN62" s="1173">
        <f t="shared" si="5"/>
        <v>300</v>
      </c>
      <c r="AO62" s="1176">
        <f t="shared" si="6"/>
        <v>1</v>
      </c>
      <c r="AP62" s="1175">
        <f t="shared" si="7"/>
        <v>3226</v>
      </c>
      <c r="AQ62" s="1177">
        <f t="shared" si="8"/>
        <v>4126</v>
      </c>
      <c r="AR62" s="1125"/>
      <c r="AS62" s="1173" t="str">
        <f t="shared" si="9"/>
        <v/>
      </c>
      <c r="AT62" s="1173" t="str">
        <f t="shared" si="10"/>
        <v/>
      </c>
      <c r="AU62" s="1173" t="str">
        <f t="shared" si="11"/>
        <v/>
      </c>
      <c r="AV62" s="1173" t="str">
        <f t="shared" si="12"/>
        <v/>
      </c>
      <c r="AW62" s="1178" t="str">
        <f t="shared" si="13"/>
        <v/>
      </c>
      <c r="AX62" s="1175" t="str">
        <f t="shared" si="14"/>
        <v/>
      </c>
      <c r="AY62" s="1125"/>
      <c r="AZ62" s="1179" t="str">
        <f t="shared" ref="AZ62:BD62" si="131">IF(AS62="", "", (AS62/$AQ62-1)/LABDURATION_SINGLE_ADJUSTED(AZ$4, AE62+1))</f>
        <v/>
      </c>
      <c r="BA62" s="1179" t="str">
        <f t="shared" si="131"/>
        <v/>
      </c>
      <c r="BB62" s="1179" t="str">
        <f t="shared" si="131"/>
        <v/>
      </c>
      <c r="BC62" s="1179" t="str">
        <f t="shared" si="131"/>
        <v/>
      </c>
      <c r="BD62" s="1180" t="str">
        <f t="shared" si="131"/>
        <v/>
      </c>
      <c r="BE62" s="1181" t="str">
        <f t="shared" si="16"/>
        <v/>
      </c>
      <c r="BF62" s="1125"/>
      <c r="BG62" s="1182" t="str">
        <f t="array" ref="BG62:BL62">IF(COLUMN(AZ62:BE62) = MIN(IF(AZ62:BE62=MAX(AZ62:BE62), COLUMN(AZ62:BE62))), 1, "")</f>
        <v/>
      </c>
      <c r="BH62" s="1182" t="s">
        <v>549</v>
      </c>
      <c r="BI62" s="1182" t="s">
        <v>549</v>
      </c>
      <c r="BJ62" s="1182" t="s">
        <v>549</v>
      </c>
      <c r="BK62" s="1174" t="s">
        <v>549</v>
      </c>
      <c r="BL62" s="1183" t="s">
        <v>549</v>
      </c>
      <c r="BM62" s="1125"/>
    </row>
    <row r="63">
      <c r="A63" s="1123"/>
      <c r="B63" s="1125"/>
      <c r="C63" s="1125"/>
      <c r="D63" s="1185" t="str">
        <f t="shared" si="17"/>
        <v/>
      </c>
      <c r="E63" s="1244"/>
      <c r="F63" s="1186" t="str">
        <f>IFERROR(__xludf.DUMMYFUNCTION("IF(SUM(BG62:BM62), ARRAYFORMULA(FILTER(BG$4:BM$4, BG62:BM62=1)), )"),"")</f>
        <v/>
      </c>
      <c r="G63" s="1187" t="str">
        <f>IFERROR(__xludf.DUMMYFUNCTION("IF(SUM(BG62:BM62),ARRAYFORMULA(FILTER(AE63:AJ63, BG62:BL62)), """")"),"")</f>
        <v/>
      </c>
      <c r="H63" s="1188" t="str">
        <f t="shared" si="18"/>
        <v/>
      </c>
      <c r="I63" s="1187"/>
      <c r="J63" s="1189" t="str">
        <f>IFERROR(__xludf.DUMMYFUNCTION("IF(SUM(BG62:BM62), ARRAYFORMULA(FILTER(AZ62:BE62, BG62:BL62=1))*D$5,"""")"),"")</f>
        <v/>
      </c>
      <c r="K63" s="1190" t="s">
        <v>549</v>
      </c>
      <c r="L63" s="1203" t="s">
        <v>549</v>
      </c>
      <c r="M63" s="1125"/>
      <c r="N63" s="1125"/>
      <c r="O63" s="1125"/>
      <c r="P63" s="1125"/>
      <c r="Q63" s="1125"/>
      <c r="R63" s="1125"/>
      <c r="S63" s="1125"/>
      <c r="T63" s="1125"/>
      <c r="U63" s="1125"/>
      <c r="V63" s="1130"/>
      <c r="W63" s="1125"/>
      <c r="X63" s="1125"/>
      <c r="Y63" s="1125"/>
      <c r="Z63" s="1125"/>
      <c r="AA63" s="1125"/>
      <c r="AB63" s="1125"/>
      <c r="AC63" s="1125"/>
      <c r="AD63" s="1125"/>
      <c r="AE63" s="1173">
        <f t="shared" ref="AE63:AJ63" si="132">AE62+BG62</f>
        <v>10</v>
      </c>
      <c r="AF63" s="1173">
        <f t="shared" si="132"/>
        <v>50</v>
      </c>
      <c r="AG63" s="1173">
        <f t="shared" si="132"/>
        <v>10</v>
      </c>
      <c r="AH63" s="1173">
        <f t="shared" si="132"/>
        <v>5</v>
      </c>
      <c r="AI63" s="1174">
        <f t="shared" si="132"/>
        <v>20</v>
      </c>
      <c r="AJ63" s="1175">
        <f t="shared" si="132"/>
        <v>9</v>
      </c>
      <c r="AK63" s="1125"/>
      <c r="AL63" s="1173">
        <f t="shared" si="3"/>
        <v>300</v>
      </c>
      <c r="AM63" s="1173">
        <f t="shared" si="4"/>
        <v>300</v>
      </c>
      <c r="AN63" s="1173">
        <f t="shared" si="5"/>
        <v>300</v>
      </c>
      <c r="AO63" s="1176">
        <f t="shared" si="6"/>
        <v>1</v>
      </c>
      <c r="AP63" s="1175">
        <f t="shared" si="7"/>
        <v>3226</v>
      </c>
      <c r="AQ63" s="1177">
        <f t="shared" si="8"/>
        <v>4126</v>
      </c>
      <c r="AR63" s="1125"/>
      <c r="AS63" s="1173" t="str">
        <f t="shared" si="9"/>
        <v/>
      </c>
      <c r="AT63" s="1173" t="str">
        <f t="shared" si="10"/>
        <v/>
      </c>
      <c r="AU63" s="1173" t="str">
        <f t="shared" si="11"/>
        <v/>
      </c>
      <c r="AV63" s="1173" t="str">
        <f t="shared" si="12"/>
        <v/>
      </c>
      <c r="AW63" s="1178" t="str">
        <f t="shared" si="13"/>
        <v/>
      </c>
      <c r="AX63" s="1175" t="str">
        <f t="shared" si="14"/>
        <v/>
      </c>
      <c r="AY63" s="1125"/>
      <c r="AZ63" s="1179" t="str">
        <f t="shared" ref="AZ63:BD63" si="133">IF(AS63="", "", (AS63/$AQ63-1)/LABDURATION_SINGLE_ADJUSTED(AZ$4, AE63+1))</f>
        <v/>
      </c>
      <c r="BA63" s="1179" t="str">
        <f t="shared" si="133"/>
        <v/>
      </c>
      <c r="BB63" s="1179" t="str">
        <f t="shared" si="133"/>
        <v/>
      </c>
      <c r="BC63" s="1179" t="str">
        <f t="shared" si="133"/>
        <v/>
      </c>
      <c r="BD63" s="1180" t="str">
        <f t="shared" si="133"/>
        <v/>
      </c>
      <c r="BE63" s="1181" t="str">
        <f t="shared" si="16"/>
        <v/>
      </c>
      <c r="BF63" s="1125"/>
      <c r="BG63" s="1182" t="str">
        <f t="array" ref="BG63:BL63">IF(COLUMN(AZ63:BE63) = MIN(IF(AZ63:BE63=MAX(AZ63:BE63), COLUMN(AZ63:BE63))), 1, "")</f>
        <v/>
      </c>
      <c r="BH63" s="1182" t="s">
        <v>549</v>
      </c>
      <c r="BI63" s="1182" t="s">
        <v>549</v>
      </c>
      <c r="BJ63" s="1182" t="s">
        <v>549</v>
      </c>
      <c r="BK63" s="1174" t="s">
        <v>549</v>
      </c>
      <c r="BL63" s="1183" t="s">
        <v>549</v>
      </c>
      <c r="BM63" s="1125"/>
    </row>
    <row r="64">
      <c r="A64" s="1123"/>
      <c r="B64" s="1125"/>
      <c r="C64" s="1125"/>
      <c r="D64" s="1185" t="str">
        <f t="shared" si="17"/>
        <v/>
      </c>
      <c r="E64" s="1244"/>
      <c r="F64" s="1186" t="str">
        <f>IFERROR(__xludf.DUMMYFUNCTION("IF(SUM(BG63:BM63), ARRAYFORMULA(FILTER(BG$4:BM$4, BG63:BM63=1)), )"),"")</f>
        <v/>
      </c>
      <c r="G64" s="1187" t="str">
        <f>IFERROR(__xludf.DUMMYFUNCTION("IF(SUM(BG63:BM63),ARRAYFORMULA(FILTER(AE64:AJ64, BG63:BL63)), """")"),"")</f>
        <v/>
      </c>
      <c r="H64" s="1188" t="str">
        <f t="shared" si="18"/>
        <v/>
      </c>
      <c r="I64" s="1187"/>
      <c r="J64" s="1189" t="str">
        <f>IFERROR(__xludf.DUMMYFUNCTION("IF(SUM(BG63:BM63), ARRAYFORMULA(FILTER(AZ63:BE63, BG63:BL63=1))*D$5,"""")"),"")</f>
        <v/>
      </c>
      <c r="K64" s="1190" t="s">
        <v>549</v>
      </c>
      <c r="L64" s="1203" t="s">
        <v>549</v>
      </c>
      <c r="M64" s="1125"/>
      <c r="N64" s="1125"/>
      <c r="O64" s="1125"/>
      <c r="P64" s="1125"/>
      <c r="Q64" s="1125"/>
      <c r="R64" s="1125"/>
      <c r="S64" s="1125"/>
      <c r="T64" s="1125"/>
      <c r="U64" s="1125"/>
      <c r="V64" s="1130"/>
      <c r="W64" s="1125"/>
      <c r="X64" s="1125"/>
      <c r="Y64" s="1125"/>
      <c r="Z64" s="1125"/>
      <c r="AA64" s="1125"/>
      <c r="AB64" s="1125"/>
      <c r="AC64" s="1125"/>
      <c r="AD64" s="1125"/>
      <c r="AE64" s="1173">
        <f t="shared" ref="AE64:AJ64" si="134">AE63+BG63</f>
        <v>10</v>
      </c>
      <c r="AF64" s="1173">
        <f t="shared" si="134"/>
        <v>50</v>
      </c>
      <c r="AG64" s="1173">
        <f t="shared" si="134"/>
        <v>10</v>
      </c>
      <c r="AH64" s="1173">
        <f t="shared" si="134"/>
        <v>5</v>
      </c>
      <c r="AI64" s="1174">
        <f t="shared" si="134"/>
        <v>20</v>
      </c>
      <c r="AJ64" s="1175">
        <f t="shared" si="134"/>
        <v>9</v>
      </c>
      <c r="AK64" s="1125"/>
      <c r="AL64" s="1173">
        <f t="shared" si="3"/>
        <v>300</v>
      </c>
      <c r="AM64" s="1173">
        <f t="shared" si="4"/>
        <v>300</v>
      </c>
      <c r="AN64" s="1173">
        <f t="shared" si="5"/>
        <v>300</v>
      </c>
      <c r="AO64" s="1176">
        <f t="shared" si="6"/>
        <v>1</v>
      </c>
      <c r="AP64" s="1175">
        <f t="shared" si="7"/>
        <v>3226</v>
      </c>
      <c r="AQ64" s="1177">
        <f t="shared" si="8"/>
        <v>4126</v>
      </c>
      <c r="AR64" s="1125"/>
      <c r="AS64" s="1173" t="str">
        <f t="shared" si="9"/>
        <v/>
      </c>
      <c r="AT64" s="1173" t="str">
        <f t="shared" si="10"/>
        <v/>
      </c>
      <c r="AU64" s="1173" t="str">
        <f t="shared" si="11"/>
        <v/>
      </c>
      <c r="AV64" s="1173" t="str">
        <f t="shared" si="12"/>
        <v/>
      </c>
      <c r="AW64" s="1178" t="str">
        <f t="shared" si="13"/>
        <v/>
      </c>
      <c r="AX64" s="1175" t="str">
        <f t="shared" si="14"/>
        <v/>
      </c>
      <c r="AY64" s="1125"/>
      <c r="AZ64" s="1179" t="str">
        <f t="shared" ref="AZ64:BD64" si="135">IF(AS64="", "", (AS64/$AQ64-1)/LABDURATION_SINGLE_ADJUSTED(AZ$4, AE64+1))</f>
        <v/>
      </c>
      <c r="BA64" s="1179" t="str">
        <f t="shared" si="135"/>
        <v/>
      </c>
      <c r="BB64" s="1179" t="str">
        <f t="shared" si="135"/>
        <v/>
      </c>
      <c r="BC64" s="1179" t="str">
        <f t="shared" si="135"/>
        <v/>
      </c>
      <c r="BD64" s="1180" t="str">
        <f t="shared" si="135"/>
        <v/>
      </c>
      <c r="BE64" s="1181" t="str">
        <f t="shared" si="16"/>
        <v/>
      </c>
      <c r="BF64" s="1125"/>
      <c r="BG64" s="1182" t="str">
        <f t="array" ref="BG64:BL64">IF(COLUMN(AZ64:BE64) = MIN(IF(AZ64:BE64=MAX(AZ64:BE64), COLUMN(AZ64:BE64))), 1, "")</f>
        <v/>
      </c>
      <c r="BH64" s="1182" t="s">
        <v>549</v>
      </c>
      <c r="BI64" s="1182" t="s">
        <v>549</v>
      </c>
      <c r="BJ64" s="1182" t="s">
        <v>549</v>
      </c>
      <c r="BK64" s="1174" t="s">
        <v>549</v>
      </c>
      <c r="BL64" s="1183" t="s">
        <v>549</v>
      </c>
      <c r="BM64" s="1125"/>
    </row>
    <row r="65">
      <c r="A65" s="1123"/>
      <c r="B65" s="1125"/>
      <c r="C65" s="1125"/>
      <c r="D65" s="1185" t="str">
        <f t="shared" si="17"/>
        <v/>
      </c>
      <c r="E65" s="1244"/>
      <c r="F65" s="1186" t="str">
        <f>IFERROR(__xludf.DUMMYFUNCTION("IF(SUM(BG64:BM64), ARRAYFORMULA(FILTER(BG$4:BM$4, BG64:BM64=1)), )"),"")</f>
        <v/>
      </c>
      <c r="G65" s="1187" t="str">
        <f>IFERROR(__xludf.DUMMYFUNCTION("IF(SUM(BG64:BM64),ARRAYFORMULA(FILTER(AE65:AJ65, BG64:BL64)), """")"),"")</f>
        <v/>
      </c>
      <c r="H65" s="1188" t="str">
        <f t="shared" si="18"/>
        <v/>
      </c>
      <c r="I65" s="1187"/>
      <c r="J65" s="1189" t="str">
        <f>IFERROR(__xludf.DUMMYFUNCTION("IF(SUM(BG64:BM64), ARRAYFORMULA(FILTER(AZ64:BE64, BG64:BL64=1))*D$5,"""")"),"")</f>
        <v/>
      </c>
      <c r="K65" s="1190" t="s">
        <v>549</v>
      </c>
      <c r="L65" s="1252" t="s">
        <v>549</v>
      </c>
      <c r="M65" s="1125"/>
      <c r="N65" s="1125"/>
      <c r="O65" s="1125"/>
      <c r="P65" s="1125"/>
      <c r="Q65" s="1125"/>
      <c r="R65" s="1125"/>
      <c r="S65" s="1125"/>
      <c r="T65" s="1125"/>
      <c r="U65" s="1125"/>
      <c r="V65" s="1130"/>
      <c r="W65" s="1125"/>
      <c r="X65" s="1125"/>
      <c r="Y65" s="1125"/>
      <c r="Z65" s="1125"/>
      <c r="AA65" s="1125"/>
      <c r="AB65" s="1125"/>
      <c r="AC65" s="1125"/>
      <c r="AD65" s="1125"/>
      <c r="AE65" s="1173">
        <f t="shared" ref="AE65:AJ65" si="136">AE64+BG64</f>
        <v>10</v>
      </c>
      <c r="AF65" s="1173">
        <f t="shared" si="136"/>
        <v>50</v>
      </c>
      <c r="AG65" s="1173">
        <f t="shared" si="136"/>
        <v>10</v>
      </c>
      <c r="AH65" s="1173">
        <f t="shared" si="136"/>
        <v>5</v>
      </c>
      <c r="AI65" s="1174">
        <f t="shared" si="136"/>
        <v>20</v>
      </c>
      <c r="AJ65" s="1175">
        <f t="shared" si="136"/>
        <v>9</v>
      </c>
      <c r="AK65" s="1125"/>
      <c r="AL65" s="1173">
        <f t="shared" si="3"/>
        <v>300</v>
      </c>
      <c r="AM65" s="1173">
        <f t="shared" si="4"/>
        <v>300</v>
      </c>
      <c r="AN65" s="1173">
        <f t="shared" si="5"/>
        <v>300</v>
      </c>
      <c r="AO65" s="1176">
        <f t="shared" si="6"/>
        <v>1</v>
      </c>
      <c r="AP65" s="1175">
        <f t="shared" si="7"/>
        <v>3226</v>
      </c>
      <c r="AQ65" s="1177">
        <f t="shared" si="8"/>
        <v>4126</v>
      </c>
      <c r="AR65" s="1125"/>
      <c r="AS65" s="1173" t="str">
        <f t="shared" si="9"/>
        <v/>
      </c>
      <c r="AT65" s="1173" t="str">
        <f t="shared" si="10"/>
        <v/>
      </c>
      <c r="AU65" s="1173" t="str">
        <f t="shared" si="11"/>
        <v/>
      </c>
      <c r="AV65" s="1173" t="str">
        <f t="shared" si="12"/>
        <v/>
      </c>
      <c r="AW65" s="1178" t="str">
        <f t="shared" si="13"/>
        <v/>
      </c>
      <c r="AX65" s="1175" t="str">
        <f t="shared" si="14"/>
        <v/>
      </c>
      <c r="AY65" s="1125"/>
      <c r="AZ65" s="1179" t="str">
        <f t="shared" ref="AZ65:BD65" si="137">IF(AS65="", "", (AS65/$AQ65-1)/LABDURATION_SINGLE_ADJUSTED(AZ$4, AE65+1))</f>
        <v/>
      </c>
      <c r="BA65" s="1179" t="str">
        <f t="shared" si="137"/>
        <v/>
      </c>
      <c r="BB65" s="1179" t="str">
        <f t="shared" si="137"/>
        <v/>
      </c>
      <c r="BC65" s="1179" t="str">
        <f t="shared" si="137"/>
        <v/>
      </c>
      <c r="BD65" s="1180" t="str">
        <f t="shared" si="137"/>
        <v/>
      </c>
      <c r="BE65" s="1181" t="str">
        <f t="shared" si="16"/>
        <v/>
      </c>
      <c r="BF65" s="1125"/>
      <c r="BG65" s="1182" t="str">
        <f t="array" ref="BG65:BL65">IF(COLUMN(AZ65:BE65) = MIN(IF(AZ65:BE65=MAX(AZ65:BE65), COLUMN(AZ65:BE65))), 1, "")</f>
        <v/>
      </c>
      <c r="BH65" s="1182" t="s">
        <v>549</v>
      </c>
      <c r="BI65" s="1182" t="s">
        <v>549</v>
      </c>
      <c r="BJ65" s="1182" t="s">
        <v>549</v>
      </c>
      <c r="BK65" s="1174" t="s">
        <v>549</v>
      </c>
      <c r="BL65" s="1183" t="s">
        <v>549</v>
      </c>
      <c r="BM65" s="1125"/>
    </row>
    <row r="66">
      <c r="A66" s="1123"/>
      <c r="B66" s="1125"/>
      <c r="C66" s="1125"/>
      <c r="D66" s="1185" t="str">
        <f t="shared" si="17"/>
        <v/>
      </c>
      <c r="E66" s="1244"/>
      <c r="F66" s="1186" t="str">
        <f>IFERROR(__xludf.DUMMYFUNCTION("IF(SUM(BG65:BM65), ARRAYFORMULA(FILTER(BG$4:BM$4, BG65:BM65=1)), )"),"")</f>
        <v/>
      </c>
      <c r="G66" s="1187" t="str">
        <f>IFERROR(__xludf.DUMMYFUNCTION("IF(SUM(BG65:BM65),ARRAYFORMULA(FILTER(AE66:AJ66, BG65:BL65)), """")"),"")</f>
        <v/>
      </c>
      <c r="H66" s="1188" t="str">
        <f t="shared" si="18"/>
        <v/>
      </c>
      <c r="I66" s="1187"/>
      <c r="J66" s="1189" t="str">
        <f>IFERROR(__xludf.DUMMYFUNCTION("IF(SUM(BG65:BM65), ARRAYFORMULA(FILTER(AZ65:BE65, BG65:BL65=1))*D$5,"""")"),"")</f>
        <v/>
      </c>
      <c r="K66" s="1190" t="s">
        <v>549</v>
      </c>
      <c r="L66" s="1203" t="s">
        <v>549</v>
      </c>
      <c r="M66" s="1125"/>
      <c r="N66" s="1125"/>
      <c r="O66" s="1125"/>
      <c r="P66" s="1125"/>
      <c r="Q66" s="1125"/>
      <c r="R66" s="1125"/>
      <c r="S66" s="1125"/>
      <c r="T66" s="1125"/>
      <c r="U66" s="1125"/>
      <c r="V66" s="1130"/>
      <c r="W66" s="1125"/>
      <c r="X66" s="1125"/>
      <c r="Y66" s="1125"/>
      <c r="Z66" s="1125"/>
      <c r="AA66" s="1125"/>
      <c r="AB66" s="1125"/>
      <c r="AC66" s="1125"/>
      <c r="AD66" s="1125"/>
      <c r="AE66" s="1173">
        <f t="shared" ref="AE66:AJ66" si="138">AE65+BG65</f>
        <v>10</v>
      </c>
      <c r="AF66" s="1173">
        <f t="shared" si="138"/>
        <v>50</v>
      </c>
      <c r="AG66" s="1173">
        <f t="shared" si="138"/>
        <v>10</v>
      </c>
      <c r="AH66" s="1173">
        <f t="shared" si="138"/>
        <v>5</v>
      </c>
      <c r="AI66" s="1174">
        <f t="shared" si="138"/>
        <v>20</v>
      </c>
      <c r="AJ66" s="1175">
        <f t="shared" si="138"/>
        <v>9</v>
      </c>
      <c r="AK66" s="1125"/>
      <c r="AL66" s="1173">
        <f t="shared" si="3"/>
        <v>300</v>
      </c>
      <c r="AM66" s="1173">
        <f t="shared" si="4"/>
        <v>300</v>
      </c>
      <c r="AN66" s="1173">
        <f t="shared" si="5"/>
        <v>300</v>
      </c>
      <c r="AO66" s="1176">
        <f t="shared" si="6"/>
        <v>1</v>
      </c>
      <c r="AP66" s="1175">
        <f t="shared" si="7"/>
        <v>3226</v>
      </c>
      <c r="AQ66" s="1177">
        <f t="shared" si="8"/>
        <v>4126</v>
      </c>
      <c r="AR66" s="1125"/>
      <c r="AS66" s="1173" t="str">
        <f t="shared" si="9"/>
        <v/>
      </c>
      <c r="AT66" s="1173" t="str">
        <f t="shared" si="10"/>
        <v/>
      </c>
      <c r="AU66" s="1173" t="str">
        <f t="shared" si="11"/>
        <v/>
      </c>
      <c r="AV66" s="1173" t="str">
        <f t="shared" si="12"/>
        <v/>
      </c>
      <c r="AW66" s="1178" t="str">
        <f t="shared" si="13"/>
        <v/>
      </c>
      <c r="AX66" s="1175" t="str">
        <f t="shared" si="14"/>
        <v/>
      </c>
      <c r="AY66" s="1125"/>
      <c r="AZ66" s="1179" t="str">
        <f t="shared" ref="AZ66:BD66" si="139">IF(AS66="", "", (AS66/$AQ66-1)/LABDURATION_SINGLE_ADJUSTED(AZ$4, AE66+1))</f>
        <v/>
      </c>
      <c r="BA66" s="1179" t="str">
        <f t="shared" si="139"/>
        <v/>
      </c>
      <c r="BB66" s="1179" t="str">
        <f t="shared" si="139"/>
        <v/>
      </c>
      <c r="BC66" s="1179" t="str">
        <f t="shared" si="139"/>
        <v/>
      </c>
      <c r="BD66" s="1180" t="str">
        <f t="shared" si="139"/>
        <v/>
      </c>
      <c r="BE66" s="1181" t="str">
        <f t="shared" si="16"/>
        <v/>
      </c>
      <c r="BF66" s="1125"/>
      <c r="BG66" s="1182" t="str">
        <f t="array" ref="BG66:BL66">IF(COLUMN(AZ66:BE66) = MIN(IF(AZ66:BE66=MAX(AZ66:BE66), COLUMN(AZ66:BE66))), 1, "")</f>
        <v/>
      </c>
      <c r="BH66" s="1182" t="s">
        <v>549</v>
      </c>
      <c r="BI66" s="1182" t="s">
        <v>549</v>
      </c>
      <c r="BJ66" s="1182" t="s">
        <v>549</v>
      </c>
      <c r="BK66" s="1174" t="s">
        <v>549</v>
      </c>
      <c r="BL66" s="1183" t="s">
        <v>549</v>
      </c>
      <c r="BM66" s="1125"/>
    </row>
    <row r="67">
      <c r="A67" s="1123"/>
      <c r="B67" s="1125"/>
      <c r="C67" s="1125"/>
      <c r="D67" s="1185" t="str">
        <f t="shared" si="17"/>
        <v/>
      </c>
      <c r="E67" s="1244"/>
      <c r="F67" s="1186" t="str">
        <f>IFERROR(__xludf.DUMMYFUNCTION("IF(SUM(BG66:BM66), ARRAYFORMULA(FILTER(BG$4:BM$4, BG66:BM66=1)), )"),"")</f>
        <v/>
      </c>
      <c r="G67" s="1187" t="str">
        <f>IFERROR(__xludf.DUMMYFUNCTION("IF(SUM(BG66:BM66),ARRAYFORMULA(FILTER(AE67:AJ67, BG66:BL66)), """")"),"")</f>
        <v/>
      </c>
      <c r="H67" s="1188" t="str">
        <f t="shared" si="18"/>
        <v/>
      </c>
      <c r="I67" s="1187"/>
      <c r="J67" s="1189" t="str">
        <f>IFERROR(__xludf.DUMMYFUNCTION("IF(SUM(BG66:BM66), ARRAYFORMULA(FILTER(AZ66:BE66, BG66:BL66=1))*D$5,"""")"),"")</f>
        <v/>
      </c>
      <c r="K67" s="1190" t="s">
        <v>549</v>
      </c>
      <c r="L67" s="1203" t="s">
        <v>549</v>
      </c>
      <c r="M67" s="1125"/>
      <c r="N67" s="1125"/>
      <c r="O67" s="1125"/>
      <c r="P67" s="1125"/>
      <c r="Q67" s="1125"/>
      <c r="R67" s="1125"/>
      <c r="S67" s="1125"/>
      <c r="T67" s="1125"/>
      <c r="U67" s="1125"/>
      <c r="V67" s="1130"/>
      <c r="W67" s="1125"/>
      <c r="X67" s="1125"/>
      <c r="Y67" s="1125"/>
      <c r="Z67" s="1125"/>
      <c r="AA67" s="1125"/>
      <c r="AB67" s="1125"/>
      <c r="AC67" s="1125"/>
      <c r="AD67" s="1125"/>
      <c r="AE67" s="1173">
        <f t="shared" ref="AE67:AJ67" si="140">AE66+BG66</f>
        <v>10</v>
      </c>
      <c r="AF67" s="1173">
        <f t="shared" si="140"/>
        <v>50</v>
      </c>
      <c r="AG67" s="1173">
        <f t="shared" si="140"/>
        <v>10</v>
      </c>
      <c r="AH67" s="1173">
        <f t="shared" si="140"/>
        <v>5</v>
      </c>
      <c r="AI67" s="1174">
        <f t="shared" si="140"/>
        <v>20</v>
      </c>
      <c r="AJ67" s="1175">
        <f t="shared" si="140"/>
        <v>9</v>
      </c>
      <c r="AK67" s="1125"/>
      <c r="AL67" s="1173">
        <f t="shared" si="3"/>
        <v>300</v>
      </c>
      <c r="AM67" s="1173">
        <f t="shared" si="4"/>
        <v>300</v>
      </c>
      <c r="AN67" s="1173">
        <f t="shared" si="5"/>
        <v>300</v>
      </c>
      <c r="AO67" s="1176">
        <f t="shared" si="6"/>
        <v>1</v>
      </c>
      <c r="AP67" s="1175">
        <f t="shared" si="7"/>
        <v>3226</v>
      </c>
      <c r="AQ67" s="1177">
        <f t="shared" si="8"/>
        <v>4126</v>
      </c>
      <c r="AR67" s="1125"/>
      <c r="AS67" s="1173" t="str">
        <f t="shared" si="9"/>
        <v/>
      </c>
      <c r="AT67" s="1173" t="str">
        <f t="shared" si="10"/>
        <v/>
      </c>
      <c r="AU67" s="1173" t="str">
        <f t="shared" si="11"/>
        <v/>
      </c>
      <c r="AV67" s="1173" t="str">
        <f t="shared" si="12"/>
        <v/>
      </c>
      <c r="AW67" s="1178" t="str">
        <f t="shared" si="13"/>
        <v/>
      </c>
      <c r="AX67" s="1175" t="str">
        <f t="shared" si="14"/>
        <v/>
      </c>
      <c r="AY67" s="1125"/>
      <c r="AZ67" s="1179" t="str">
        <f t="shared" ref="AZ67:BD67" si="141">IF(AS67="", "", (AS67/$AQ67-1)/LABDURATION_SINGLE_ADJUSTED(AZ$4, AE67+1))</f>
        <v/>
      </c>
      <c r="BA67" s="1179" t="str">
        <f t="shared" si="141"/>
        <v/>
      </c>
      <c r="BB67" s="1179" t="str">
        <f t="shared" si="141"/>
        <v/>
      </c>
      <c r="BC67" s="1179" t="str">
        <f t="shared" si="141"/>
        <v/>
      </c>
      <c r="BD67" s="1180" t="str">
        <f t="shared" si="141"/>
        <v/>
      </c>
      <c r="BE67" s="1181" t="str">
        <f t="shared" si="16"/>
        <v/>
      </c>
      <c r="BF67" s="1125"/>
      <c r="BG67" s="1182" t="str">
        <f t="array" ref="BG67:BL67">IF(COLUMN(AZ67:BE67) = MIN(IF(AZ67:BE67=MAX(AZ67:BE67), COLUMN(AZ67:BE67))), 1, "")</f>
        <v/>
      </c>
      <c r="BH67" s="1182" t="s">
        <v>549</v>
      </c>
      <c r="BI67" s="1182" t="s">
        <v>549</v>
      </c>
      <c r="BJ67" s="1182" t="s">
        <v>549</v>
      </c>
      <c r="BK67" s="1174" t="s">
        <v>549</v>
      </c>
      <c r="BL67" s="1183" t="s">
        <v>549</v>
      </c>
      <c r="BM67" s="1125"/>
    </row>
    <row r="68">
      <c r="A68" s="1123"/>
      <c r="B68" s="1125"/>
      <c r="C68" s="1125"/>
      <c r="D68" s="1185" t="str">
        <f t="shared" si="17"/>
        <v/>
      </c>
      <c r="E68" s="1244"/>
      <c r="F68" s="1186" t="str">
        <f>IFERROR(__xludf.DUMMYFUNCTION("IF(SUM(BG67:BM67), ARRAYFORMULA(FILTER(BG$4:BM$4, BG67:BM67=1)), )"),"")</f>
        <v/>
      </c>
      <c r="G68" s="1187" t="str">
        <f>IFERROR(__xludf.DUMMYFUNCTION("IF(SUM(BG67:BM67),ARRAYFORMULA(FILTER(AE68:AJ68, BG67:BL67)), """")"),"")</f>
        <v/>
      </c>
      <c r="H68" s="1188" t="str">
        <f t="shared" si="18"/>
        <v/>
      </c>
      <c r="I68" s="1187"/>
      <c r="J68" s="1189" t="str">
        <f>IFERROR(__xludf.DUMMYFUNCTION("IF(SUM(BG67:BM67), ARRAYFORMULA(FILTER(AZ67:BE67, BG67:BL67=1))*D$5,"""")"),"")</f>
        <v/>
      </c>
      <c r="K68" s="1190" t="s">
        <v>549</v>
      </c>
      <c r="L68" s="1203" t="s">
        <v>549</v>
      </c>
      <c r="M68" s="1125"/>
      <c r="N68" s="1125"/>
      <c r="O68" s="1125"/>
      <c r="P68" s="1125"/>
      <c r="Q68" s="1125"/>
      <c r="R68" s="1125"/>
      <c r="S68" s="1125"/>
      <c r="T68" s="1125"/>
      <c r="U68" s="1125"/>
      <c r="V68" s="1130"/>
      <c r="W68" s="1125"/>
      <c r="X68" s="1125"/>
      <c r="Y68" s="1125"/>
      <c r="Z68" s="1125"/>
      <c r="AA68" s="1125"/>
      <c r="AB68" s="1125"/>
      <c r="AC68" s="1125"/>
      <c r="AD68" s="1125"/>
      <c r="AE68" s="1173">
        <f t="shared" ref="AE68:AJ68" si="142">AE67+BG67</f>
        <v>10</v>
      </c>
      <c r="AF68" s="1173">
        <f t="shared" si="142"/>
        <v>50</v>
      </c>
      <c r="AG68" s="1173">
        <f t="shared" si="142"/>
        <v>10</v>
      </c>
      <c r="AH68" s="1173">
        <f t="shared" si="142"/>
        <v>5</v>
      </c>
      <c r="AI68" s="1174">
        <f t="shared" si="142"/>
        <v>20</v>
      </c>
      <c r="AJ68" s="1175">
        <f t="shared" si="142"/>
        <v>9</v>
      </c>
      <c r="AK68" s="1125"/>
      <c r="AL68" s="1173">
        <f t="shared" si="3"/>
        <v>300</v>
      </c>
      <c r="AM68" s="1173">
        <f t="shared" si="4"/>
        <v>300</v>
      </c>
      <c r="AN68" s="1173">
        <f t="shared" si="5"/>
        <v>300</v>
      </c>
      <c r="AO68" s="1176">
        <f t="shared" si="6"/>
        <v>1</v>
      </c>
      <c r="AP68" s="1175">
        <f t="shared" si="7"/>
        <v>3226</v>
      </c>
      <c r="AQ68" s="1177">
        <f t="shared" si="8"/>
        <v>4126</v>
      </c>
      <c r="AR68" s="1125"/>
      <c r="AS68" s="1173" t="str">
        <f t="shared" si="9"/>
        <v/>
      </c>
      <c r="AT68" s="1173" t="str">
        <f t="shared" si="10"/>
        <v/>
      </c>
      <c r="AU68" s="1173" t="str">
        <f t="shared" si="11"/>
        <v/>
      </c>
      <c r="AV68" s="1173" t="str">
        <f t="shared" si="12"/>
        <v/>
      </c>
      <c r="AW68" s="1178" t="str">
        <f t="shared" si="13"/>
        <v/>
      </c>
      <c r="AX68" s="1175" t="str">
        <f t="shared" si="14"/>
        <v/>
      </c>
      <c r="AY68" s="1125"/>
      <c r="AZ68" s="1179" t="str">
        <f t="shared" ref="AZ68:BD68" si="143">IF(AS68="", "", (AS68/$AQ68-1)/LABDURATION_SINGLE_ADJUSTED(AZ$4, AE68+1))</f>
        <v/>
      </c>
      <c r="BA68" s="1179" t="str">
        <f t="shared" si="143"/>
        <v/>
      </c>
      <c r="BB68" s="1179" t="str">
        <f t="shared" si="143"/>
        <v/>
      </c>
      <c r="BC68" s="1179" t="str">
        <f t="shared" si="143"/>
        <v/>
      </c>
      <c r="BD68" s="1180" t="str">
        <f t="shared" si="143"/>
        <v/>
      </c>
      <c r="BE68" s="1181" t="str">
        <f t="shared" si="16"/>
        <v/>
      </c>
      <c r="BF68" s="1125"/>
      <c r="BG68" s="1182" t="str">
        <f t="array" ref="BG68:BL68">IF(COLUMN(AZ68:BE68) = MIN(IF(AZ68:BE68=MAX(AZ68:BE68), COLUMN(AZ68:BE68))), 1, "")</f>
        <v/>
      </c>
      <c r="BH68" s="1182" t="s">
        <v>549</v>
      </c>
      <c r="BI68" s="1182" t="s">
        <v>549</v>
      </c>
      <c r="BJ68" s="1182" t="s">
        <v>549</v>
      </c>
      <c r="BK68" s="1174" t="s">
        <v>549</v>
      </c>
      <c r="BL68" s="1183" t="s">
        <v>549</v>
      </c>
      <c r="BM68" s="1125"/>
    </row>
    <row r="69">
      <c r="A69" s="1123"/>
      <c r="B69" s="1125"/>
      <c r="C69" s="1125"/>
      <c r="D69" s="1185" t="str">
        <f t="shared" si="17"/>
        <v/>
      </c>
      <c r="E69" s="1244"/>
      <c r="F69" s="1186" t="str">
        <f>IFERROR(__xludf.DUMMYFUNCTION("IF(SUM(BG68:BM68), ARRAYFORMULA(FILTER(BG$4:BM$4, BG68:BM68=1)), )"),"")</f>
        <v/>
      </c>
      <c r="G69" s="1187" t="str">
        <f>IFERROR(__xludf.DUMMYFUNCTION("IF(SUM(BG68:BM68),ARRAYFORMULA(FILTER(AE69:AJ69, BG68:BL68)), """")"),"")</f>
        <v/>
      </c>
      <c r="H69" s="1188" t="str">
        <f t="shared" si="18"/>
        <v/>
      </c>
      <c r="I69" s="1187"/>
      <c r="J69" s="1189" t="str">
        <f>IFERROR(__xludf.DUMMYFUNCTION("IF(SUM(BG68:BM68), ARRAYFORMULA(FILTER(AZ68:BE68, BG68:BL68=1))*D$5,"""")"),"")</f>
        <v/>
      </c>
      <c r="K69" s="1190" t="s">
        <v>549</v>
      </c>
      <c r="L69" s="1203" t="s">
        <v>549</v>
      </c>
      <c r="M69" s="1125"/>
      <c r="N69" s="1125"/>
      <c r="O69" s="1125"/>
      <c r="P69" s="1125"/>
      <c r="Q69" s="1125"/>
      <c r="R69" s="1125"/>
      <c r="S69" s="1125"/>
      <c r="T69" s="1125"/>
      <c r="U69" s="1125"/>
      <c r="V69" s="1130"/>
      <c r="W69" s="1125"/>
      <c r="X69" s="1125"/>
      <c r="Y69" s="1125"/>
      <c r="Z69" s="1125"/>
      <c r="AA69" s="1125"/>
      <c r="AB69" s="1125"/>
      <c r="AC69" s="1125"/>
      <c r="AD69" s="1125"/>
      <c r="AE69" s="1173">
        <f t="shared" ref="AE69:AJ69" si="144">AE68+BG68</f>
        <v>10</v>
      </c>
      <c r="AF69" s="1173">
        <f t="shared" si="144"/>
        <v>50</v>
      </c>
      <c r="AG69" s="1173">
        <f t="shared" si="144"/>
        <v>10</v>
      </c>
      <c r="AH69" s="1173">
        <f t="shared" si="144"/>
        <v>5</v>
      </c>
      <c r="AI69" s="1174">
        <f t="shared" si="144"/>
        <v>20</v>
      </c>
      <c r="AJ69" s="1175">
        <f t="shared" si="144"/>
        <v>9</v>
      </c>
      <c r="AK69" s="1125"/>
      <c r="AL69" s="1173">
        <f t="shared" si="3"/>
        <v>300</v>
      </c>
      <c r="AM69" s="1173">
        <f t="shared" si="4"/>
        <v>300</v>
      </c>
      <c r="AN69" s="1173">
        <f t="shared" si="5"/>
        <v>300</v>
      </c>
      <c r="AO69" s="1176">
        <f t="shared" si="6"/>
        <v>1</v>
      </c>
      <c r="AP69" s="1175">
        <f t="shared" si="7"/>
        <v>3226</v>
      </c>
      <c r="AQ69" s="1177">
        <f t="shared" si="8"/>
        <v>4126</v>
      </c>
      <c r="AR69" s="1125"/>
      <c r="AS69" s="1173" t="str">
        <f t="shared" si="9"/>
        <v/>
      </c>
      <c r="AT69" s="1173" t="str">
        <f t="shared" si="10"/>
        <v/>
      </c>
      <c r="AU69" s="1173" t="str">
        <f t="shared" si="11"/>
        <v/>
      </c>
      <c r="AV69" s="1173" t="str">
        <f t="shared" si="12"/>
        <v/>
      </c>
      <c r="AW69" s="1178" t="str">
        <f t="shared" si="13"/>
        <v/>
      </c>
      <c r="AX69" s="1175" t="str">
        <f t="shared" si="14"/>
        <v/>
      </c>
      <c r="AY69" s="1125"/>
      <c r="AZ69" s="1179" t="str">
        <f t="shared" ref="AZ69:BD69" si="145">IF(AS69="", "", (AS69/$AQ69-1)/LABDURATION_SINGLE_ADJUSTED(AZ$4, AE69+1))</f>
        <v/>
      </c>
      <c r="BA69" s="1179" t="str">
        <f t="shared" si="145"/>
        <v/>
      </c>
      <c r="BB69" s="1179" t="str">
        <f t="shared" si="145"/>
        <v/>
      </c>
      <c r="BC69" s="1179" t="str">
        <f t="shared" si="145"/>
        <v/>
      </c>
      <c r="BD69" s="1180" t="str">
        <f t="shared" si="145"/>
        <v/>
      </c>
      <c r="BE69" s="1181" t="str">
        <f t="shared" si="16"/>
        <v/>
      </c>
      <c r="BF69" s="1125"/>
      <c r="BG69" s="1182" t="str">
        <f t="array" ref="BG69:BL69">IF(COLUMN(AZ69:BE69) = MIN(IF(AZ69:BE69=MAX(AZ69:BE69), COLUMN(AZ69:BE69))), 1, "")</f>
        <v/>
      </c>
      <c r="BH69" s="1182" t="s">
        <v>549</v>
      </c>
      <c r="BI69" s="1182" t="s">
        <v>549</v>
      </c>
      <c r="BJ69" s="1182" t="s">
        <v>549</v>
      </c>
      <c r="BK69" s="1174" t="s">
        <v>549</v>
      </c>
      <c r="BL69" s="1183" t="s">
        <v>549</v>
      </c>
      <c r="BM69" s="1125"/>
    </row>
    <row r="70">
      <c r="A70" s="1123"/>
      <c r="B70" s="1125"/>
      <c r="C70" s="1125"/>
      <c r="D70" s="1185" t="str">
        <f t="shared" si="17"/>
        <v/>
      </c>
      <c r="E70" s="1244"/>
      <c r="F70" s="1186" t="str">
        <f>IFERROR(__xludf.DUMMYFUNCTION("IF(SUM(BG69:BM69), ARRAYFORMULA(FILTER(BG$4:BM$4, BG69:BM69=1)), )"),"")</f>
        <v/>
      </c>
      <c r="G70" s="1187" t="str">
        <f>IFERROR(__xludf.DUMMYFUNCTION("IF(SUM(BG69:BM69),ARRAYFORMULA(FILTER(AE70:AJ70, BG69:BL69)), """")"),"")</f>
        <v/>
      </c>
      <c r="H70" s="1188" t="str">
        <f t="shared" si="18"/>
        <v/>
      </c>
      <c r="I70" s="1187"/>
      <c r="J70" s="1189" t="str">
        <f>IFERROR(__xludf.DUMMYFUNCTION("IF(SUM(BG69:BM69), ARRAYFORMULA(FILTER(AZ69:BE69, BG69:BL69=1))*D$5,"""")"),"")</f>
        <v/>
      </c>
      <c r="K70" s="1190" t="s">
        <v>549</v>
      </c>
      <c r="L70" s="1203" t="s">
        <v>549</v>
      </c>
      <c r="M70" s="1125"/>
      <c r="N70" s="1125"/>
      <c r="O70" s="1125"/>
      <c r="P70" s="1125"/>
      <c r="Q70" s="1125"/>
      <c r="R70" s="1125"/>
      <c r="S70" s="1125"/>
      <c r="T70" s="1125"/>
      <c r="U70" s="1125"/>
      <c r="V70" s="1130"/>
      <c r="W70" s="1125"/>
      <c r="X70" s="1125"/>
      <c r="Y70" s="1125"/>
      <c r="Z70" s="1125"/>
      <c r="AA70" s="1125"/>
      <c r="AB70" s="1125"/>
      <c r="AC70" s="1125"/>
      <c r="AD70" s="1125"/>
      <c r="AE70" s="1173">
        <f t="shared" ref="AE70:AJ70" si="146">AE69+BG69</f>
        <v>10</v>
      </c>
      <c r="AF70" s="1173">
        <f t="shared" si="146"/>
        <v>50</v>
      </c>
      <c r="AG70" s="1173">
        <f t="shared" si="146"/>
        <v>10</v>
      </c>
      <c r="AH70" s="1173">
        <f t="shared" si="146"/>
        <v>5</v>
      </c>
      <c r="AI70" s="1174">
        <f t="shared" si="146"/>
        <v>20</v>
      </c>
      <c r="AJ70" s="1175">
        <f t="shared" si="146"/>
        <v>9</v>
      </c>
      <c r="AK70" s="1125"/>
      <c r="AL70" s="1173">
        <f t="shared" si="3"/>
        <v>300</v>
      </c>
      <c r="AM70" s="1173">
        <f t="shared" si="4"/>
        <v>300</v>
      </c>
      <c r="AN70" s="1173">
        <f t="shared" si="5"/>
        <v>300</v>
      </c>
      <c r="AO70" s="1176">
        <f t="shared" si="6"/>
        <v>1</v>
      </c>
      <c r="AP70" s="1175">
        <f t="shared" si="7"/>
        <v>3226</v>
      </c>
      <c r="AQ70" s="1177">
        <f t="shared" si="8"/>
        <v>4126</v>
      </c>
      <c r="AR70" s="1125"/>
      <c r="AS70" s="1173" t="str">
        <f t="shared" si="9"/>
        <v/>
      </c>
      <c r="AT70" s="1173" t="str">
        <f t="shared" si="10"/>
        <v/>
      </c>
      <c r="AU70" s="1173" t="str">
        <f t="shared" si="11"/>
        <v/>
      </c>
      <c r="AV70" s="1173" t="str">
        <f t="shared" si="12"/>
        <v/>
      </c>
      <c r="AW70" s="1178" t="str">
        <f t="shared" si="13"/>
        <v/>
      </c>
      <c r="AX70" s="1175" t="str">
        <f t="shared" si="14"/>
        <v/>
      </c>
      <c r="AY70" s="1125"/>
      <c r="AZ70" s="1179" t="str">
        <f t="shared" ref="AZ70:BD70" si="147">IF(AS70="", "", (AS70/$AQ70-1)/LABDURATION_SINGLE_ADJUSTED(AZ$4, AE70+1))</f>
        <v/>
      </c>
      <c r="BA70" s="1179" t="str">
        <f t="shared" si="147"/>
        <v/>
      </c>
      <c r="BB70" s="1179" t="str">
        <f t="shared" si="147"/>
        <v/>
      </c>
      <c r="BC70" s="1179" t="str">
        <f t="shared" si="147"/>
        <v/>
      </c>
      <c r="BD70" s="1180" t="str">
        <f t="shared" si="147"/>
        <v/>
      </c>
      <c r="BE70" s="1181" t="str">
        <f t="shared" si="16"/>
        <v/>
      </c>
      <c r="BF70" s="1125"/>
      <c r="BG70" s="1182" t="str">
        <f t="array" ref="BG70:BL70">IF(COLUMN(AZ70:BE70) = MIN(IF(AZ70:BE70=MAX(AZ70:BE70), COLUMN(AZ70:BE70))), 1, "")</f>
        <v/>
      </c>
      <c r="BH70" s="1182" t="s">
        <v>549</v>
      </c>
      <c r="BI70" s="1182" t="s">
        <v>549</v>
      </c>
      <c r="BJ70" s="1182" t="s">
        <v>549</v>
      </c>
      <c r="BK70" s="1174" t="s">
        <v>549</v>
      </c>
      <c r="BL70" s="1183" t="s">
        <v>549</v>
      </c>
      <c r="BM70" s="1125"/>
    </row>
    <row r="71">
      <c r="A71" s="1123"/>
      <c r="B71" s="1125"/>
      <c r="C71" s="1125"/>
      <c r="D71" s="1185" t="str">
        <f t="shared" si="17"/>
        <v/>
      </c>
      <c r="E71" s="1244"/>
      <c r="F71" s="1186" t="str">
        <f>IFERROR(__xludf.DUMMYFUNCTION("IF(SUM(BG70:BM70), ARRAYFORMULA(FILTER(BG$4:BM$4, BG70:BM70=1)), )"),"")</f>
        <v/>
      </c>
      <c r="G71" s="1187" t="str">
        <f>IFERROR(__xludf.DUMMYFUNCTION("IF(SUM(BG70:BM70),ARRAYFORMULA(FILTER(AE71:AJ71, BG70:BL70)), """")"),"")</f>
        <v/>
      </c>
      <c r="H71" s="1188" t="str">
        <f t="shared" si="18"/>
        <v/>
      </c>
      <c r="I71" s="1187"/>
      <c r="J71" s="1189" t="str">
        <f>IFERROR(__xludf.DUMMYFUNCTION("IF(SUM(BG70:BM70), ARRAYFORMULA(FILTER(AZ70:BE70, BG70:BL70=1))*D$5,"""")"),"")</f>
        <v/>
      </c>
      <c r="K71" s="1190" t="s">
        <v>549</v>
      </c>
      <c r="L71" s="1203" t="s">
        <v>549</v>
      </c>
      <c r="M71" s="1125"/>
      <c r="N71" s="1125"/>
      <c r="O71" s="1125"/>
      <c r="P71" s="1125"/>
      <c r="Q71" s="1125"/>
      <c r="R71" s="1125"/>
      <c r="S71" s="1125"/>
      <c r="T71" s="1125"/>
      <c r="U71" s="1125"/>
      <c r="V71" s="1130"/>
      <c r="W71" s="1125"/>
      <c r="X71" s="1125"/>
      <c r="Y71" s="1125"/>
      <c r="Z71" s="1125"/>
      <c r="AA71" s="1125"/>
      <c r="AB71" s="1125"/>
      <c r="AC71" s="1125"/>
      <c r="AD71" s="1125"/>
      <c r="AE71" s="1173">
        <f t="shared" ref="AE71:AJ71" si="148">AE70+BG70</f>
        <v>10</v>
      </c>
      <c r="AF71" s="1173">
        <f t="shared" si="148"/>
        <v>50</v>
      </c>
      <c r="AG71" s="1173">
        <f t="shared" si="148"/>
        <v>10</v>
      </c>
      <c r="AH71" s="1173">
        <f t="shared" si="148"/>
        <v>5</v>
      </c>
      <c r="AI71" s="1174">
        <f t="shared" si="148"/>
        <v>20</v>
      </c>
      <c r="AJ71" s="1175">
        <f t="shared" si="148"/>
        <v>9</v>
      </c>
      <c r="AK71" s="1125"/>
      <c r="AL71" s="1173">
        <f t="shared" si="3"/>
        <v>300</v>
      </c>
      <c r="AM71" s="1173">
        <f t="shared" si="4"/>
        <v>300</v>
      </c>
      <c r="AN71" s="1173">
        <f t="shared" si="5"/>
        <v>300</v>
      </c>
      <c r="AO71" s="1176">
        <f t="shared" si="6"/>
        <v>1</v>
      </c>
      <c r="AP71" s="1175">
        <f t="shared" si="7"/>
        <v>3226</v>
      </c>
      <c r="AQ71" s="1177">
        <f t="shared" si="8"/>
        <v>4126</v>
      </c>
      <c r="AR71" s="1125"/>
      <c r="AS71" s="1173" t="str">
        <f t="shared" si="9"/>
        <v/>
      </c>
      <c r="AT71" s="1173" t="str">
        <f t="shared" si="10"/>
        <v/>
      </c>
      <c r="AU71" s="1173" t="str">
        <f t="shared" si="11"/>
        <v/>
      </c>
      <c r="AV71" s="1173" t="str">
        <f t="shared" si="12"/>
        <v/>
      </c>
      <c r="AW71" s="1178" t="str">
        <f t="shared" si="13"/>
        <v/>
      </c>
      <c r="AX71" s="1175" t="str">
        <f t="shared" si="14"/>
        <v/>
      </c>
      <c r="AY71" s="1125"/>
      <c r="AZ71" s="1179" t="str">
        <f t="shared" ref="AZ71:BD71" si="149">IF(AS71="", "", (AS71/$AQ71-1)/LABDURATION_SINGLE_ADJUSTED(AZ$4, AE71+1))</f>
        <v/>
      </c>
      <c r="BA71" s="1179" t="str">
        <f t="shared" si="149"/>
        <v/>
      </c>
      <c r="BB71" s="1179" t="str">
        <f t="shared" si="149"/>
        <v/>
      </c>
      <c r="BC71" s="1179" t="str">
        <f t="shared" si="149"/>
        <v/>
      </c>
      <c r="BD71" s="1180" t="str">
        <f t="shared" si="149"/>
        <v/>
      </c>
      <c r="BE71" s="1181" t="str">
        <f t="shared" si="16"/>
        <v/>
      </c>
      <c r="BF71" s="1125"/>
      <c r="BG71" s="1182" t="str">
        <f t="array" ref="BG71:BL71">IF(COLUMN(AZ71:BE71) = MIN(IF(AZ71:BE71=MAX(AZ71:BE71), COLUMN(AZ71:BE71))), 1, "")</f>
        <v/>
      </c>
      <c r="BH71" s="1182" t="s">
        <v>549</v>
      </c>
      <c r="BI71" s="1182" t="s">
        <v>549</v>
      </c>
      <c r="BJ71" s="1182" t="s">
        <v>549</v>
      </c>
      <c r="BK71" s="1174" t="s">
        <v>549</v>
      </c>
      <c r="BL71" s="1183" t="s">
        <v>549</v>
      </c>
      <c r="BM71" s="1125"/>
    </row>
    <row r="72">
      <c r="A72" s="1123"/>
      <c r="B72" s="1125"/>
      <c r="C72" s="1125"/>
      <c r="D72" s="1185" t="str">
        <f t="shared" si="17"/>
        <v/>
      </c>
      <c r="E72" s="1244"/>
      <c r="F72" s="1186" t="str">
        <f>IFERROR(__xludf.DUMMYFUNCTION("IF(SUM(BG71:BM71), ARRAYFORMULA(FILTER(BG$4:BM$4, BG71:BM71=1)), )"),"")</f>
        <v/>
      </c>
      <c r="G72" s="1187" t="str">
        <f>IFERROR(__xludf.DUMMYFUNCTION("IF(SUM(BG71:BM71),ARRAYFORMULA(FILTER(AE72:AJ72, BG71:BL71)), """")"),"")</f>
        <v/>
      </c>
      <c r="H72" s="1188" t="str">
        <f t="shared" si="18"/>
        <v/>
      </c>
      <c r="I72" s="1187"/>
      <c r="J72" s="1189" t="str">
        <f>IFERROR(__xludf.DUMMYFUNCTION("IF(SUM(BG71:BM71), ARRAYFORMULA(FILTER(AZ71:BE71, BG71:BL71=1))*D$5,"""")"),"")</f>
        <v/>
      </c>
      <c r="K72" s="1190" t="s">
        <v>549</v>
      </c>
      <c r="L72" s="1203" t="s">
        <v>549</v>
      </c>
      <c r="M72" s="1125"/>
      <c r="N72" s="1125"/>
      <c r="O72" s="1125"/>
      <c r="P72" s="1125"/>
      <c r="Q72" s="1125"/>
      <c r="R72" s="1125"/>
      <c r="S72" s="1125"/>
      <c r="T72" s="1125"/>
      <c r="U72" s="1125"/>
      <c r="V72" s="1130"/>
      <c r="W72" s="1125"/>
      <c r="X72" s="1125"/>
      <c r="Y72" s="1125"/>
      <c r="Z72" s="1125"/>
      <c r="AA72" s="1125"/>
      <c r="AB72" s="1125"/>
      <c r="AC72" s="1125"/>
      <c r="AD72" s="1125"/>
      <c r="AE72" s="1173">
        <f t="shared" ref="AE72:AJ72" si="150">AE71+BG71</f>
        <v>10</v>
      </c>
      <c r="AF72" s="1173">
        <f t="shared" si="150"/>
        <v>50</v>
      </c>
      <c r="AG72" s="1173">
        <f t="shared" si="150"/>
        <v>10</v>
      </c>
      <c r="AH72" s="1173">
        <f t="shared" si="150"/>
        <v>5</v>
      </c>
      <c r="AI72" s="1174">
        <f t="shared" si="150"/>
        <v>20</v>
      </c>
      <c r="AJ72" s="1175">
        <f t="shared" si="150"/>
        <v>9</v>
      </c>
      <c r="AK72" s="1125"/>
      <c r="AL72" s="1173">
        <f t="shared" si="3"/>
        <v>300</v>
      </c>
      <c r="AM72" s="1173">
        <f t="shared" si="4"/>
        <v>300</v>
      </c>
      <c r="AN72" s="1173">
        <f t="shared" si="5"/>
        <v>300</v>
      </c>
      <c r="AO72" s="1176">
        <f t="shared" si="6"/>
        <v>1</v>
      </c>
      <c r="AP72" s="1175">
        <f t="shared" si="7"/>
        <v>3226</v>
      </c>
      <c r="AQ72" s="1177">
        <f t="shared" si="8"/>
        <v>4126</v>
      </c>
      <c r="AR72" s="1125"/>
      <c r="AS72" s="1173" t="str">
        <f t="shared" si="9"/>
        <v/>
      </c>
      <c r="AT72" s="1173" t="str">
        <f t="shared" si="10"/>
        <v/>
      </c>
      <c r="AU72" s="1173" t="str">
        <f t="shared" si="11"/>
        <v/>
      </c>
      <c r="AV72" s="1173" t="str">
        <f t="shared" si="12"/>
        <v/>
      </c>
      <c r="AW72" s="1178" t="str">
        <f t="shared" si="13"/>
        <v/>
      </c>
      <c r="AX72" s="1175" t="str">
        <f t="shared" si="14"/>
        <v/>
      </c>
      <c r="AY72" s="1125"/>
      <c r="AZ72" s="1179" t="str">
        <f t="shared" ref="AZ72:BD72" si="151">IF(AS72="", "", (AS72/$AQ72-1)/LABDURATION_SINGLE_ADJUSTED(AZ$4, AE72+1))</f>
        <v/>
      </c>
      <c r="BA72" s="1179" t="str">
        <f t="shared" si="151"/>
        <v/>
      </c>
      <c r="BB72" s="1179" t="str">
        <f t="shared" si="151"/>
        <v/>
      </c>
      <c r="BC72" s="1179" t="str">
        <f t="shared" si="151"/>
        <v/>
      </c>
      <c r="BD72" s="1180" t="str">
        <f t="shared" si="151"/>
        <v/>
      </c>
      <c r="BE72" s="1181" t="str">
        <f t="shared" si="16"/>
        <v/>
      </c>
      <c r="BF72" s="1125"/>
      <c r="BG72" s="1182" t="str">
        <f t="array" ref="BG72:BL72">IF(COLUMN(AZ72:BE72) = MIN(IF(AZ72:BE72=MAX(AZ72:BE72), COLUMN(AZ72:BE72))), 1, "")</f>
        <v/>
      </c>
      <c r="BH72" s="1182" t="s">
        <v>549</v>
      </c>
      <c r="BI72" s="1182" t="s">
        <v>549</v>
      </c>
      <c r="BJ72" s="1182" t="s">
        <v>549</v>
      </c>
      <c r="BK72" s="1174" t="s">
        <v>549</v>
      </c>
      <c r="BL72" s="1183" t="s">
        <v>549</v>
      </c>
      <c r="BM72" s="1125"/>
    </row>
    <row r="73">
      <c r="A73" s="1123"/>
      <c r="B73" s="1125"/>
      <c r="C73" s="1125"/>
      <c r="D73" s="1185" t="str">
        <f t="shared" si="17"/>
        <v/>
      </c>
      <c r="E73" s="1244"/>
      <c r="F73" s="1186" t="str">
        <f>IFERROR(__xludf.DUMMYFUNCTION("IF(SUM(BG72:BM72), ARRAYFORMULA(FILTER(BG$4:BM$4, BG72:BM72=1)), )"),"")</f>
        <v/>
      </c>
      <c r="G73" s="1187" t="str">
        <f>IFERROR(__xludf.DUMMYFUNCTION("IF(SUM(BG72:BM72),ARRAYFORMULA(FILTER(AE73:AJ73, BG72:BL72)), """")"),"")</f>
        <v/>
      </c>
      <c r="H73" s="1188" t="str">
        <f t="shared" si="18"/>
        <v/>
      </c>
      <c r="I73" s="1187"/>
      <c r="J73" s="1189" t="str">
        <f>IFERROR(__xludf.DUMMYFUNCTION("IF(SUM(BG72:BM72), ARRAYFORMULA(FILTER(AZ72:BE72, BG72:BL72=1))*D$5,"""")"),"")</f>
        <v/>
      </c>
      <c r="K73" s="1190" t="s">
        <v>549</v>
      </c>
      <c r="L73" s="1203" t="s">
        <v>549</v>
      </c>
      <c r="M73" s="1125"/>
      <c r="N73" s="1125"/>
      <c r="O73" s="1125"/>
      <c r="P73" s="1125"/>
      <c r="Q73" s="1125"/>
      <c r="R73" s="1125"/>
      <c r="S73" s="1125"/>
      <c r="T73" s="1125"/>
      <c r="U73" s="1125"/>
      <c r="V73" s="1130"/>
      <c r="W73" s="1125"/>
      <c r="X73" s="1125"/>
      <c r="Y73" s="1125"/>
      <c r="Z73" s="1125"/>
      <c r="AA73" s="1125"/>
      <c r="AB73" s="1125"/>
      <c r="AC73" s="1125"/>
      <c r="AD73" s="1125"/>
      <c r="AE73" s="1173">
        <f t="shared" ref="AE73:AJ73" si="152">AE72+BG72</f>
        <v>10</v>
      </c>
      <c r="AF73" s="1173">
        <f t="shared" si="152"/>
        <v>50</v>
      </c>
      <c r="AG73" s="1173">
        <f t="shared" si="152"/>
        <v>10</v>
      </c>
      <c r="AH73" s="1173">
        <f t="shared" si="152"/>
        <v>5</v>
      </c>
      <c r="AI73" s="1174">
        <f t="shared" si="152"/>
        <v>20</v>
      </c>
      <c r="AJ73" s="1175">
        <f t="shared" si="152"/>
        <v>9</v>
      </c>
      <c r="AK73" s="1125"/>
      <c r="AL73" s="1173">
        <f t="shared" si="3"/>
        <v>300</v>
      </c>
      <c r="AM73" s="1173">
        <f t="shared" si="4"/>
        <v>300</v>
      </c>
      <c r="AN73" s="1173">
        <f t="shared" si="5"/>
        <v>300</v>
      </c>
      <c r="AO73" s="1176">
        <f t="shared" si="6"/>
        <v>1</v>
      </c>
      <c r="AP73" s="1175">
        <f t="shared" si="7"/>
        <v>3226</v>
      </c>
      <c r="AQ73" s="1177">
        <f t="shared" si="8"/>
        <v>4126</v>
      </c>
      <c r="AR73" s="1125"/>
      <c r="AS73" s="1173" t="str">
        <f t="shared" si="9"/>
        <v/>
      </c>
      <c r="AT73" s="1173" t="str">
        <f t="shared" si="10"/>
        <v/>
      </c>
      <c r="AU73" s="1173" t="str">
        <f t="shared" si="11"/>
        <v/>
      </c>
      <c r="AV73" s="1173" t="str">
        <f t="shared" si="12"/>
        <v/>
      </c>
      <c r="AW73" s="1178" t="str">
        <f t="shared" si="13"/>
        <v/>
      </c>
      <c r="AX73" s="1175" t="str">
        <f t="shared" si="14"/>
        <v/>
      </c>
      <c r="AY73" s="1125"/>
      <c r="AZ73" s="1179" t="str">
        <f t="shared" ref="AZ73:BD73" si="153">IF(AS73="", "", (AS73/$AQ73-1)/LABDURATION_SINGLE_ADJUSTED(AZ$4, AE73+1))</f>
        <v/>
      </c>
      <c r="BA73" s="1179" t="str">
        <f t="shared" si="153"/>
        <v/>
      </c>
      <c r="BB73" s="1179" t="str">
        <f t="shared" si="153"/>
        <v/>
      </c>
      <c r="BC73" s="1179" t="str">
        <f t="shared" si="153"/>
        <v/>
      </c>
      <c r="BD73" s="1180" t="str">
        <f t="shared" si="153"/>
        <v/>
      </c>
      <c r="BE73" s="1181" t="str">
        <f t="shared" si="16"/>
        <v/>
      </c>
      <c r="BF73" s="1125"/>
      <c r="BG73" s="1182" t="str">
        <f t="array" ref="BG73:BL73">IF(COLUMN(AZ73:BE73) = MIN(IF(AZ73:BE73=MAX(AZ73:BE73), COLUMN(AZ73:BE73))), 1, "")</f>
        <v/>
      </c>
      <c r="BH73" s="1182" t="s">
        <v>549</v>
      </c>
      <c r="BI73" s="1182" t="s">
        <v>549</v>
      </c>
      <c r="BJ73" s="1182" t="s">
        <v>549</v>
      </c>
      <c r="BK73" s="1174" t="s">
        <v>549</v>
      </c>
      <c r="BL73" s="1183" t="s">
        <v>549</v>
      </c>
      <c r="BM73" s="1125"/>
    </row>
    <row r="74">
      <c r="A74" s="1123"/>
      <c r="B74" s="1125"/>
      <c r="C74" s="1125"/>
      <c r="D74" s="1185" t="str">
        <f t="shared" si="17"/>
        <v/>
      </c>
      <c r="E74" s="1244"/>
      <c r="F74" s="1186" t="str">
        <f>IFERROR(__xludf.DUMMYFUNCTION("IF(SUM(BG73:BM73), ARRAYFORMULA(FILTER(BG$4:BM$4, BG73:BM73=1)), )"),"")</f>
        <v/>
      </c>
      <c r="G74" s="1187" t="str">
        <f>IFERROR(__xludf.DUMMYFUNCTION("IF(SUM(BG73:BM73),ARRAYFORMULA(FILTER(AE74:AJ74, BG73:BL73)), """")"),"")</f>
        <v/>
      </c>
      <c r="H74" s="1188" t="str">
        <f t="shared" si="18"/>
        <v/>
      </c>
      <c r="I74" s="1187"/>
      <c r="J74" s="1189" t="str">
        <f>IFERROR(__xludf.DUMMYFUNCTION("IF(SUM(BG73:BM73), ARRAYFORMULA(FILTER(AZ73:BE73, BG73:BL73=1))*D$5,"""")"),"")</f>
        <v/>
      </c>
      <c r="K74" s="1190" t="s">
        <v>549</v>
      </c>
      <c r="L74" s="1203" t="s">
        <v>549</v>
      </c>
      <c r="M74" s="1125"/>
      <c r="N74" s="1125"/>
      <c r="O74" s="1125"/>
      <c r="P74" s="1125"/>
      <c r="Q74" s="1125"/>
      <c r="R74" s="1125"/>
      <c r="S74" s="1125"/>
      <c r="T74" s="1125"/>
      <c r="U74" s="1125"/>
      <c r="V74" s="1130"/>
      <c r="W74" s="1125"/>
      <c r="X74" s="1125"/>
      <c r="Y74" s="1125"/>
      <c r="Z74" s="1125"/>
      <c r="AA74" s="1125"/>
      <c r="AB74" s="1125"/>
      <c r="AC74" s="1125"/>
      <c r="AD74" s="1125"/>
      <c r="AE74" s="1173">
        <f t="shared" ref="AE74:AJ74" si="154">AE73+BG73</f>
        <v>10</v>
      </c>
      <c r="AF74" s="1173">
        <f t="shared" si="154"/>
        <v>50</v>
      </c>
      <c r="AG74" s="1173">
        <f t="shared" si="154"/>
        <v>10</v>
      </c>
      <c r="AH74" s="1173">
        <f t="shared" si="154"/>
        <v>5</v>
      </c>
      <c r="AI74" s="1174">
        <f t="shared" si="154"/>
        <v>20</v>
      </c>
      <c r="AJ74" s="1175">
        <f t="shared" si="154"/>
        <v>9</v>
      </c>
      <c r="AK74" s="1125"/>
      <c r="AL74" s="1173">
        <f t="shared" si="3"/>
        <v>300</v>
      </c>
      <c r="AM74" s="1173">
        <f t="shared" si="4"/>
        <v>300</v>
      </c>
      <c r="AN74" s="1173">
        <f t="shared" si="5"/>
        <v>300</v>
      </c>
      <c r="AO74" s="1176">
        <f t="shared" si="6"/>
        <v>1</v>
      </c>
      <c r="AP74" s="1175">
        <f t="shared" si="7"/>
        <v>3226</v>
      </c>
      <c r="AQ74" s="1177">
        <f t="shared" si="8"/>
        <v>4126</v>
      </c>
      <c r="AR74" s="1125"/>
      <c r="AS74" s="1173" t="str">
        <f t="shared" si="9"/>
        <v/>
      </c>
      <c r="AT74" s="1173" t="str">
        <f t="shared" si="10"/>
        <v/>
      </c>
      <c r="AU74" s="1173" t="str">
        <f t="shared" si="11"/>
        <v/>
      </c>
      <c r="AV74" s="1173" t="str">
        <f t="shared" si="12"/>
        <v/>
      </c>
      <c r="AW74" s="1178" t="str">
        <f t="shared" si="13"/>
        <v/>
      </c>
      <c r="AX74" s="1175" t="str">
        <f t="shared" si="14"/>
        <v/>
      </c>
      <c r="AY74" s="1125"/>
      <c r="AZ74" s="1179" t="str">
        <f t="shared" ref="AZ74:BD74" si="155">IF(AS74="", "", (AS74/$AQ74-1)/LABDURATION_SINGLE_ADJUSTED(AZ$4, AE74+1))</f>
        <v/>
      </c>
      <c r="BA74" s="1179" t="str">
        <f t="shared" si="155"/>
        <v/>
      </c>
      <c r="BB74" s="1179" t="str">
        <f t="shared" si="155"/>
        <v/>
      </c>
      <c r="BC74" s="1179" t="str">
        <f t="shared" si="155"/>
        <v/>
      </c>
      <c r="BD74" s="1180" t="str">
        <f t="shared" si="155"/>
        <v/>
      </c>
      <c r="BE74" s="1181" t="str">
        <f t="shared" si="16"/>
        <v/>
      </c>
      <c r="BF74" s="1125"/>
      <c r="BG74" s="1182" t="str">
        <f t="array" ref="BG74:BL74">IF(COLUMN(AZ74:BE74) = MIN(IF(AZ74:BE74=MAX(AZ74:BE74), COLUMN(AZ74:BE74))), 1, "")</f>
        <v/>
      </c>
      <c r="BH74" s="1182" t="s">
        <v>549</v>
      </c>
      <c r="BI74" s="1182" t="s">
        <v>549</v>
      </c>
      <c r="BJ74" s="1182" t="s">
        <v>549</v>
      </c>
      <c r="BK74" s="1174" t="s">
        <v>549</v>
      </c>
      <c r="BL74" s="1183" t="s">
        <v>549</v>
      </c>
      <c r="BM74" s="1125"/>
    </row>
    <row r="75">
      <c r="A75" s="1123"/>
      <c r="B75" s="1125"/>
      <c r="C75" s="1125"/>
      <c r="D75" s="1185" t="str">
        <f t="shared" si="17"/>
        <v/>
      </c>
      <c r="E75" s="1244"/>
      <c r="F75" s="1186" t="str">
        <f>IFERROR(__xludf.DUMMYFUNCTION("IF(SUM(BG74:BM74), ARRAYFORMULA(FILTER(BG$4:BM$4, BG74:BM74=1)), )"),"")</f>
        <v/>
      </c>
      <c r="G75" s="1187" t="str">
        <f>IFERROR(__xludf.DUMMYFUNCTION("IF(SUM(BG74:BM74),ARRAYFORMULA(FILTER(AE75:AJ75, BG74:BL74)), """")"),"")</f>
        <v/>
      </c>
      <c r="H75" s="1188" t="str">
        <f t="shared" si="18"/>
        <v/>
      </c>
      <c r="I75" s="1187"/>
      <c r="J75" s="1189" t="str">
        <f>IFERROR(__xludf.DUMMYFUNCTION("IF(SUM(BG74:BM74), ARRAYFORMULA(FILTER(AZ74:BE74, BG74:BL74=1))*D$5,"""")"),"")</f>
        <v/>
      </c>
      <c r="K75" s="1190" t="s">
        <v>549</v>
      </c>
      <c r="L75" s="1252" t="s">
        <v>549</v>
      </c>
      <c r="M75" s="1125"/>
      <c r="N75" s="1125"/>
      <c r="O75" s="1125"/>
      <c r="P75" s="1125"/>
      <c r="Q75" s="1125"/>
      <c r="R75" s="1125"/>
      <c r="S75" s="1125"/>
      <c r="T75" s="1125"/>
      <c r="U75" s="1125"/>
      <c r="V75" s="1130"/>
      <c r="W75" s="1125"/>
      <c r="X75" s="1125"/>
      <c r="Y75" s="1125"/>
      <c r="Z75" s="1125"/>
      <c r="AA75" s="1125"/>
      <c r="AB75" s="1125"/>
      <c r="AC75" s="1125"/>
      <c r="AD75" s="1125"/>
      <c r="AE75" s="1173">
        <f t="shared" ref="AE75:AJ75" si="156">AE74+BG74</f>
        <v>10</v>
      </c>
      <c r="AF75" s="1173">
        <f t="shared" si="156"/>
        <v>50</v>
      </c>
      <c r="AG75" s="1173">
        <f t="shared" si="156"/>
        <v>10</v>
      </c>
      <c r="AH75" s="1173">
        <f t="shared" si="156"/>
        <v>5</v>
      </c>
      <c r="AI75" s="1174">
        <f t="shared" si="156"/>
        <v>20</v>
      </c>
      <c r="AJ75" s="1175">
        <f t="shared" si="156"/>
        <v>9</v>
      </c>
      <c r="AK75" s="1125"/>
      <c r="AL75" s="1173">
        <f t="shared" si="3"/>
        <v>300</v>
      </c>
      <c r="AM75" s="1173">
        <f t="shared" si="4"/>
        <v>300</v>
      </c>
      <c r="AN75" s="1173">
        <f t="shared" si="5"/>
        <v>300</v>
      </c>
      <c r="AO75" s="1176">
        <f t="shared" si="6"/>
        <v>1</v>
      </c>
      <c r="AP75" s="1175">
        <f t="shared" si="7"/>
        <v>3226</v>
      </c>
      <c r="AQ75" s="1177">
        <f t="shared" si="8"/>
        <v>4126</v>
      </c>
      <c r="AR75" s="1125"/>
      <c r="AS75" s="1173" t="str">
        <f t="shared" si="9"/>
        <v/>
      </c>
      <c r="AT75" s="1173" t="str">
        <f t="shared" si="10"/>
        <v/>
      </c>
      <c r="AU75" s="1173" t="str">
        <f t="shared" si="11"/>
        <v/>
      </c>
      <c r="AV75" s="1173" t="str">
        <f t="shared" si="12"/>
        <v/>
      </c>
      <c r="AW75" s="1178" t="str">
        <f t="shared" si="13"/>
        <v/>
      </c>
      <c r="AX75" s="1175" t="str">
        <f t="shared" si="14"/>
        <v/>
      </c>
      <c r="AY75" s="1125"/>
      <c r="AZ75" s="1179" t="str">
        <f t="shared" ref="AZ75:BD75" si="157">IF(AS75="", "", (AS75/$AQ75-1)/LABDURATION_SINGLE_ADJUSTED(AZ$4, AE75+1))</f>
        <v/>
      </c>
      <c r="BA75" s="1179" t="str">
        <f t="shared" si="157"/>
        <v/>
      </c>
      <c r="BB75" s="1179" t="str">
        <f t="shared" si="157"/>
        <v/>
      </c>
      <c r="BC75" s="1179" t="str">
        <f t="shared" si="157"/>
        <v/>
      </c>
      <c r="BD75" s="1180" t="str">
        <f t="shared" si="157"/>
        <v/>
      </c>
      <c r="BE75" s="1181" t="str">
        <f t="shared" si="16"/>
        <v/>
      </c>
      <c r="BF75" s="1125"/>
      <c r="BG75" s="1182" t="str">
        <f t="array" ref="BG75:BL75">IF(COLUMN(AZ75:BE75) = MIN(IF(AZ75:BE75=MAX(AZ75:BE75), COLUMN(AZ75:BE75))), 1, "")</f>
        <v/>
      </c>
      <c r="BH75" s="1182" t="s">
        <v>549</v>
      </c>
      <c r="BI75" s="1182" t="s">
        <v>549</v>
      </c>
      <c r="BJ75" s="1182" t="s">
        <v>549</v>
      </c>
      <c r="BK75" s="1174" t="s">
        <v>549</v>
      </c>
      <c r="BL75" s="1183" t="s">
        <v>549</v>
      </c>
      <c r="BM75" s="1125"/>
    </row>
    <row r="76">
      <c r="A76" s="1123"/>
      <c r="B76" s="1125"/>
      <c r="C76" s="1125"/>
      <c r="D76" s="1185" t="str">
        <f t="shared" si="17"/>
        <v/>
      </c>
      <c r="E76" s="1244"/>
      <c r="F76" s="1186" t="str">
        <f>IFERROR(__xludf.DUMMYFUNCTION("IF(SUM(BG75:BM75), ARRAYFORMULA(FILTER(BG$4:BM$4, BG75:BM75=1)), )"),"")</f>
        <v/>
      </c>
      <c r="G76" s="1187" t="str">
        <f>IFERROR(__xludf.DUMMYFUNCTION("IF(SUM(BG75:BM75),ARRAYFORMULA(FILTER(AE76:AJ76, BG75:BL75)), """")"),"")</f>
        <v/>
      </c>
      <c r="H76" s="1188" t="str">
        <f t="shared" si="18"/>
        <v/>
      </c>
      <c r="I76" s="1187"/>
      <c r="J76" s="1189" t="str">
        <f>IFERROR(__xludf.DUMMYFUNCTION("IF(SUM(BG75:BM75), ARRAYFORMULA(FILTER(AZ75:BE75, BG75:BL75=1))*D$5,"""")"),"")</f>
        <v/>
      </c>
      <c r="K76" s="1190" t="s">
        <v>549</v>
      </c>
      <c r="L76" s="1203" t="s">
        <v>549</v>
      </c>
      <c r="M76" s="1125"/>
      <c r="N76" s="1125"/>
      <c r="O76" s="1125"/>
      <c r="P76" s="1125"/>
      <c r="Q76" s="1125"/>
      <c r="R76" s="1125"/>
      <c r="S76" s="1125"/>
      <c r="T76" s="1125"/>
      <c r="U76" s="1125"/>
      <c r="V76" s="1130"/>
      <c r="W76" s="1125"/>
      <c r="X76" s="1125"/>
      <c r="Y76" s="1125"/>
      <c r="Z76" s="1125"/>
      <c r="AA76" s="1125"/>
      <c r="AB76" s="1125"/>
      <c r="AC76" s="1125"/>
      <c r="AD76" s="1125"/>
      <c r="AE76" s="1173">
        <f t="shared" ref="AE76:AJ76" si="158">AE75+BG75</f>
        <v>10</v>
      </c>
      <c r="AF76" s="1173">
        <f t="shared" si="158"/>
        <v>50</v>
      </c>
      <c r="AG76" s="1173">
        <f t="shared" si="158"/>
        <v>10</v>
      </c>
      <c r="AH76" s="1173">
        <f t="shared" si="158"/>
        <v>5</v>
      </c>
      <c r="AI76" s="1174">
        <f t="shared" si="158"/>
        <v>20</v>
      </c>
      <c r="AJ76" s="1175">
        <f t="shared" si="158"/>
        <v>9</v>
      </c>
      <c r="AK76" s="1125"/>
      <c r="AL76" s="1173">
        <f t="shared" si="3"/>
        <v>300</v>
      </c>
      <c r="AM76" s="1173">
        <f t="shared" si="4"/>
        <v>300</v>
      </c>
      <c r="AN76" s="1173">
        <f t="shared" si="5"/>
        <v>300</v>
      </c>
      <c r="AO76" s="1176">
        <f t="shared" si="6"/>
        <v>1</v>
      </c>
      <c r="AP76" s="1175">
        <f t="shared" si="7"/>
        <v>3226</v>
      </c>
      <c r="AQ76" s="1177">
        <f t="shared" si="8"/>
        <v>4126</v>
      </c>
      <c r="AR76" s="1125"/>
      <c r="AS76" s="1173" t="str">
        <f t="shared" si="9"/>
        <v/>
      </c>
      <c r="AT76" s="1173" t="str">
        <f t="shared" si="10"/>
        <v/>
      </c>
      <c r="AU76" s="1173" t="str">
        <f t="shared" si="11"/>
        <v/>
      </c>
      <c r="AV76" s="1173" t="str">
        <f t="shared" si="12"/>
        <v/>
      </c>
      <c r="AW76" s="1178" t="str">
        <f t="shared" si="13"/>
        <v/>
      </c>
      <c r="AX76" s="1175" t="str">
        <f t="shared" si="14"/>
        <v/>
      </c>
      <c r="AY76" s="1125"/>
      <c r="AZ76" s="1179" t="str">
        <f t="shared" ref="AZ76:BD76" si="159">IF(AS76="", "", (AS76/$AQ76-1)/LABDURATION_SINGLE_ADJUSTED(AZ$4, AE76+1))</f>
        <v/>
      </c>
      <c r="BA76" s="1179" t="str">
        <f t="shared" si="159"/>
        <v/>
      </c>
      <c r="BB76" s="1179" t="str">
        <f t="shared" si="159"/>
        <v/>
      </c>
      <c r="BC76" s="1179" t="str">
        <f t="shared" si="159"/>
        <v/>
      </c>
      <c r="BD76" s="1180" t="str">
        <f t="shared" si="159"/>
        <v/>
      </c>
      <c r="BE76" s="1181" t="str">
        <f t="shared" si="16"/>
        <v/>
      </c>
      <c r="BF76" s="1125"/>
      <c r="BG76" s="1182" t="str">
        <f t="array" ref="BG76:BL76">IF(COLUMN(AZ76:BE76) = MIN(IF(AZ76:BE76=MAX(AZ76:BE76), COLUMN(AZ76:BE76))), 1, "")</f>
        <v/>
      </c>
      <c r="BH76" s="1182" t="s">
        <v>549</v>
      </c>
      <c r="BI76" s="1182" t="s">
        <v>549</v>
      </c>
      <c r="BJ76" s="1182" t="s">
        <v>549</v>
      </c>
      <c r="BK76" s="1174" t="s">
        <v>549</v>
      </c>
      <c r="BL76" s="1183" t="s">
        <v>549</v>
      </c>
      <c r="BM76" s="1125"/>
    </row>
    <row r="77">
      <c r="A77" s="1123"/>
      <c r="B77" s="1125"/>
      <c r="C77" s="1125"/>
      <c r="D77" s="1185" t="str">
        <f t="shared" si="17"/>
        <v/>
      </c>
      <c r="E77" s="1244"/>
      <c r="F77" s="1186" t="str">
        <f>IFERROR(__xludf.DUMMYFUNCTION("IF(SUM(BG76:BM76), ARRAYFORMULA(FILTER(BG$4:BM$4, BG76:BM76=1)), )"),"")</f>
        <v/>
      </c>
      <c r="G77" s="1187" t="str">
        <f>IFERROR(__xludf.DUMMYFUNCTION("IF(SUM(BG76:BM76),ARRAYFORMULA(FILTER(AE77:AJ77, BG76:BL76)), """")"),"")</f>
        <v/>
      </c>
      <c r="H77" s="1188" t="str">
        <f t="shared" si="18"/>
        <v/>
      </c>
      <c r="I77" s="1187"/>
      <c r="J77" s="1189" t="str">
        <f>IFERROR(__xludf.DUMMYFUNCTION("IF(SUM(BG76:BM76), ARRAYFORMULA(FILTER(AZ76:BE76, BG76:BL76=1))*D$5,"""")"),"")</f>
        <v/>
      </c>
      <c r="K77" s="1190" t="s">
        <v>549</v>
      </c>
      <c r="L77" s="1203" t="s">
        <v>549</v>
      </c>
      <c r="M77" s="1125"/>
      <c r="N77" s="1125"/>
      <c r="O77" s="1125"/>
      <c r="P77" s="1125"/>
      <c r="Q77" s="1125"/>
      <c r="R77" s="1125"/>
      <c r="S77" s="1125"/>
      <c r="T77" s="1125"/>
      <c r="U77" s="1125"/>
      <c r="V77" s="1130"/>
      <c r="W77" s="1125"/>
      <c r="X77" s="1125"/>
      <c r="Y77" s="1125"/>
      <c r="Z77" s="1125"/>
      <c r="AA77" s="1125"/>
      <c r="AB77" s="1125"/>
      <c r="AC77" s="1125"/>
      <c r="AD77" s="1125"/>
      <c r="AE77" s="1173">
        <f t="shared" ref="AE77:AJ77" si="160">AE76+BG76</f>
        <v>10</v>
      </c>
      <c r="AF77" s="1173">
        <f t="shared" si="160"/>
        <v>50</v>
      </c>
      <c r="AG77" s="1173">
        <f t="shared" si="160"/>
        <v>10</v>
      </c>
      <c r="AH77" s="1173">
        <f t="shared" si="160"/>
        <v>5</v>
      </c>
      <c r="AI77" s="1174">
        <f t="shared" si="160"/>
        <v>20</v>
      </c>
      <c r="AJ77" s="1175">
        <f t="shared" si="160"/>
        <v>9</v>
      </c>
      <c r="AK77" s="1125"/>
      <c r="AL77" s="1173">
        <f t="shared" si="3"/>
        <v>300</v>
      </c>
      <c r="AM77" s="1173">
        <f t="shared" si="4"/>
        <v>300</v>
      </c>
      <c r="AN77" s="1173">
        <f t="shared" si="5"/>
        <v>300</v>
      </c>
      <c r="AO77" s="1176">
        <f t="shared" si="6"/>
        <v>1</v>
      </c>
      <c r="AP77" s="1175">
        <f t="shared" si="7"/>
        <v>3226</v>
      </c>
      <c r="AQ77" s="1177">
        <f t="shared" si="8"/>
        <v>4126</v>
      </c>
      <c r="AR77" s="1125"/>
      <c r="AS77" s="1173" t="str">
        <f t="shared" si="9"/>
        <v/>
      </c>
      <c r="AT77" s="1173" t="str">
        <f t="shared" si="10"/>
        <v/>
      </c>
      <c r="AU77" s="1173" t="str">
        <f t="shared" si="11"/>
        <v/>
      </c>
      <c r="AV77" s="1173" t="str">
        <f t="shared" si="12"/>
        <v/>
      </c>
      <c r="AW77" s="1178" t="str">
        <f t="shared" si="13"/>
        <v/>
      </c>
      <c r="AX77" s="1175" t="str">
        <f t="shared" si="14"/>
        <v/>
      </c>
      <c r="AY77" s="1125"/>
      <c r="AZ77" s="1179" t="str">
        <f t="shared" ref="AZ77:BD77" si="161">IF(AS77="", "", (AS77/$AQ77-1)/LABDURATION_SINGLE_ADJUSTED(AZ$4, AE77+1))</f>
        <v/>
      </c>
      <c r="BA77" s="1179" t="str">
        <f t="shared" si="161"/>
        <v/>
      </c>
      <c r="BB77" s="1179" t="str">
        <f t="shared" si="161"/>
        <v/>
      </c>
      <c r="BC77" s="1179" t="str">
        <f t="shared" si="161"/>
        <v/>
      </c>
      <c r="BD77" s="1180" t="str">
        <f t="shared" si="161"/>
        <v/>
      </c>
      <c r="BE77" s="1181" t="str">
        <f t="shared" si="16"/>
        <v/>
      </c>
      <c r="BF77" s="1125"/>
      <c r="BG77" s="1182" t="str">
        <f t="array" ref="BG77:BL77">IF(COLUMN(AZ77:BE77) = MIN(IF(AZ77:BE77=MAX(AZ77:BE77), COLUMN(AZ77:BE77))), 1, "")</f>
        <v/>
      </c>
      <c r="BH77" s="1182" t="s">
        <v>549</v>
      </c>
      <c r="BI77" s="1182" t="s">
        <v>549</v>
      </c>
      <c r="BJ77" s="1182" t="s">
        <v>549</v>
      </c>
      <c r="BK77" s="1174" t="s">
        <v>549</v>
      </c>
      <c r="BL77" s="1183" t="s">
        <v>549</v>
      </c>
      <c r="BM77" s="1125"/>
    </row>
    <row r="78">
      <c r="A78" s="1123"/>
      <c r="B78" s="1125"/>
      <c r="C78" s="1125"/>
      <c r="D78" s="1185" t="str">
        <f t="shared" si="17"/>
        <v/>
      </c>
      <c r="E78" s="1244"/>
      <c r="F78" s="1186" t="str">
        <f>IFERROR(__xludf.DUMMYFUNCTION("IF(SUM(BG77:BM77), ARRAYFORMULA(FILTER(BG$4:BM$4, BG77:BM77=1)), )"),"")</f>
        <v/>
      </c>
      <c r="G78" s="1187" t="str">
        <f>IFERROR(__xludf.DUMMYFUNCTION("IF(SUM(BG77:BM77),ARRAYFORMULA(FILTER(AE78:AJ78, BG77:BL77)), """")"),"")</f>
        <v/>
      </c>
      <c r="H78" s="1188" t="str">
        <f t="shared" si="18"/>
        <v/>
      </c>
      <c r="I78" s="1187"/>
      <c r="J78" s="1189" t="str">
        <f>IFERROR(__xludf.DUMMYFUNCTION("IF(SUM(BG77:BM77), ARRAYFORMULA(FILTER(AZ77:BE77, BG77:BL77=1))*D$5,"""")"),"")</f>
        <v/>
      </c>
      <c r="K78" s="1190" t="s">
        <v>549</v>
      </c>
      <c r="L78" s="1203" t="s">
        <v>549</v>
      </c>
      <c r="M78" s="1125"/>
      <c r="N78" s="1125"/>
      <c r="O78" s="1125"/>
      <c r="P78" s="1125"/>
      <c r="Q78" s="1125"/>
      <c r="R78" s="1125"/>
      <c r="S78" s="1125"/>
      <c r="T78" s="1125"/>
      <c r="U78" s="1125"/>
      <c r="V78" s="1130"/>
      <c r="W78" s="1125"/>
      <c r="X78" s="1125"/>
      <c r="Y78" s="1125"/>
      <c r="Z78" s="1125"/>
      <c r="AA78" s="1125"/>
      <c r="AB78" s="1125"/>
      <c r="AC78" s="1125"/>
      <c r="AD78" s="1125"/>
      <c r="AE78" s="1173">
        <f t="shared" ref="AE78:AJ78" si="162">AE77+BG77</f>
        <v>10</v>
      </c>
      <c r="AF78" s="1173">
        <f t="shared" si="162"/>
        <v>50</v>
      </c>
      <c r="AG78" s="1173">
        <f t="shared" si="162"/>
        <v>10</v>
      </c>
      <c r="AH78" s="1173">
        <f t="shared" si="162"/>
        <v>5</v>
      </c>
      <c r="AI78" s="1174">
        <f t="shared" si="162"/>
        <v>20</v>
      </c>
      <c r="AJ78" s="1175">
        <f t="shared" si="162"/>
        <v>9</v>
      </c>
      <c r="AK78" s="1125"/>
      <c r="AL78" s="1173">
        <f t="shared" si="3"/>
        <v>300</v>
      </c>
      <c r="AM78" s="1173">
        <f t="shared" si="4"/>
        <v>300</v>
      </c>
      <c r="AN78" s="1173">
        <f t="shared" si="5"/>
        <v>300</v>
      </c>
      <c r="AO78" s="1176">
        <f t="shared" si="6"/>
        <v>1</v>
      </c>
      <c r="AP78" s="1175">
        <f t="shared" si="7"/>
        <v>3226</v>
      </c>
      <c r="AQ78" s="1177">
        <f t="shared" si="8"/>
        <v>4126</v>
      </c>
      <c r="AR78" s="1125"/>
      <c r="AS78" s="1173" t="str">
        <f t="shared" si="9"/>
        <v/>
      </c>
      <c r="AT78" s="1173" t="str">
        <f t="shared" si="10"/>
        <v/>
      </c>
      <c r="AU78" s="1173" t="str">
        <f t="shared" si="11"/>
        <v/>
      </c>
      <c r="AV78" s="1173" t="str">
        <f t="shared" si="12"/>
        <v/>
      </c>
      <c r="AW78" s="1178" t="str">
        <f t="shared" si="13"/>
        <v/>
      </c>
      <c r="AX78" s="1175" t="str">
        <f t="shared" si="14"/>
        <v/>
      </c>
      <c r="AY78" s="1125"/>
      <c r="AZ78" s="1179" t="str">
        <f t="shared" ref="AZ78:BD78" si="163">IF(AS78="", "", (AS78/$AQ78-1)/LABDURATION_SINGLE_ADJUSTED(AZ$4, AE78+1))</f>
        <v/>
      </c>
      <c r="BA78" s="1179" t="str">
        <f t="shared" si="163"/>
        <v/>
      </c>
      <c r="BB78" s="1179" t="str">
        <f t="shared" si="163"/>
        <v/>
      </c>
      <c r="BC78" s="1179" t="str">
        <f t="shared" si="163"/>
        <v/>
      </c>
      <c r="BD78" s="1180" t="str">
        <f t="shared" si="163"/>
        <v/>
      </c>
      <c r="BE78" s="1181" t="str">
        <f t="shared" si="16"/>
        <v/>
      </c>
      <c r="BF78" s="1125"/>
      <c r="BG78" s="1182" t="str">
        <f t="array" ref="BG78:BL78">IF(COLUMN(AZ78:BE78) = MIN(IF(AZ78:BE78=MAX(AZ78:BE78), COLUMN(AZ78:BE78))), 1, "")</f>
        <v/>
      </c>
      <c r="BH78" s="1182" t="s">
        <v>549</v>
      </c>
      <c r="BI78" s="1182" t="s">
        <v>549</v>
      </c>
      <c r="BJ78" s="1182" t="s">
        <v>549</v>
      </c>
      <c r="BK78" s="1174" t="s">
        <v>549</v>
      </c>
      <c r="BL78" s="1183" t="s">
        <v>549</v>
      </c>
      <c r="BM78" s="1125"/>
    </row>
    <row r="79">
      <c r="A79" s="1123"/>
      <c r="B79" s="1125"/>
      <c r="C79" s="1125"/>
      <c r="D79" s="1185" t="str">
        <f t="shared" si="17"/>
        <v/>
      </c>
      <c r="E79" s="1244"/>
      <c r="F79" s="1186" t="str">
        <f>IFERROR(__xludf.DUMMYFUNCTION("IF(SUM(BG78:BM78), ARRAYFORMULA(FILTER(BG$4:BM$4, BG78:BM78=1)), )"),"")</f>
        <v/>
      </c>
      <c r="G79" s="1187" t="str">
        <f>IFERROR(__xludf.DUMMYFUNCTION("IF(SUM(BG78:BM78),ARRAYFORMULA(FILTER(AE79:AJ79, BG78:BL78)), """")"),"")</f>
        <v/>
      </c>
      <c r="H79" s="1188" t="str">
        <f t="shared" si="18"/>
        <v/>
      </c>
      <c r="I79" s="1187"/>
      <c r="J79" s="1189" t="str">
        <f>IFERROR(__xludf.DUMMYFUNCTION("IF(SUM(BG78:BM78), ARRAYFORMULA(FILTER(AZ78:BE78, BG78:BL78=1))*D$5,"""")"),"")</f>
        <v/>
      </c>
      <c r="K79" s="1190" t="s">
        <v>549</v>
      </c>
      <c r="L79" s="1203" t="s">
        <v>549</v>
      </c>
      <c r="M79" s="1125"/>
      <c r="N79" s="1125"/>
      <c r="O79" s="1125"/>
      <c r="P79" s="1125"/>
      <c r="Q79" s="1125"/>
      <c r="R79" s="1125"/>
      <c r="S79" s="1125"/>
      <c r="T79" s="1125"/>
      <c r="U79" s="1125"/>
      <c r="V79" s="1130"/>
      <c r="W79" s="1125"/>
      <c r="X79" s="1125"/>
      <c r="Y79" s="1125"/>
      <c r="Z79" s="1125"/>
      <c r="AA79" s="1125"/>
      <c r="AB79" s="1125"/>
      <c r="AC79" s="1125"/>
      <c r="AD79" s="1125"/>
      <c r="AE79" s="1173">
        <f t="shared" ref="AE79:AJ79" si="164">AE78+BG78</f>
        <v>10</v>
      </c>
      <c r="AF79" s="1173">
        <f t="shared" si="164"/>
        <v>50</v>
      </c>
      <c r="AG79" s="1173">
        <f t="shared" si="164"/>
        <v>10</v>
      </c>
      <c r="AH79" s="1173">
        <f t="shared" si="164"/>
        <v>5</v>
      </c>
      <c r="AI79" s="1174">
        <f t="shared" si="164"/>
        <v>20</v>
      </c>
      <c r="AJ79" s="1175">
        <f t="shared" si="164"/>
        <v>9</v>
      </c>
      <c r="AK79" s="1125"/>
      <c r="AL79" s="1173">
        <f t="shared" si="3"/>
        <v>300</v>
      </c>
      <c r="AM79" s="1173">
        <f t="shared" si="4"/>
        <v>300</v>
      </c>
      <c r="AN79" s="1173">
        <f t="shared" si="5"/>
        <v>300</v>
      </c>
      <c r="AO79" s="1176">
        <f t="shared" si="6"/>
        <v>1</v>
      </c>
      <c r="AP79" s="1175">
        <f t="shared" si="7"/>
        <v>3226</v>
      </c>
      <c r="AQ79" s="1177">
        <f t="shared" si="8"/>
        <v>4126</v>
      </c>
      <c r="AR79" s="1125"/>
      <c r="AS79" s="1173" t="str">
        <f t="shared" si="9"/>
        <v/>
      </c>
      <c r="AT79" s="1173" t="str">
        <f t="shared" si="10"/>
        <v/>
      </c>
      <c r="AU79" s="1173" t="str">
        <f t="shared" si="11"/>
        <v/>
      </c>
      <c r="AV79" s="1173" t="str">
        <f t="shared" si="12"/>
        <v/>
      </c>
      <c r="AW79" s="1178" t="str">
        <f t="shared" si="13"/>
        <v/>
      </c>
      <c r="AX79" s="1175" t="str">
        <f t="shared" si="14"/>
        <v/>
      </c>
      <c r="AY79" s="1125"/>
      <c r="AZ79" s="1179" t="str">
        <f t="shared" ref="AZ79:BD79" si="165">IF(AS79="", "", (AS79/$AQ79-1)/LABDURATION_SINGLE_ADJUSTED(AZ$4, AE79+1))</f>
        <v/>
      </c>
      <c r="BA79" s="1179" t="str">
        <f t="shared" si="165"/>
        <v/>
      </c>
      <c r="BB79" s="1179" t="str">
        <f t="shared" si="165"/>
        <v/>
      </c>
      <c r="BC79" s="1179" t="str">
        <f t="shared" si="165"/>
        <v/>
      </c>
      <c r="BD79" s="1180" t="str">
        <f t="shared" si="165"/>
        <v/>
      </c>
      <c r="BE79" s="1181" t="str">
        <f t="shared" si="16"/>
        <v/>
      </c>
      <c r="BF79" s="1125"/>
      <c r="BG79" s="1182" t="str">
        <f t="array" ref="BG79:BL79">IF(COLUMN(AZ79:BE79) = MIN(IF(AZ79:BE79=MAX(AZ79:BE79), COLUMN(AZ79:BE79))), 1, "")</f>
        <v/>
      </c>
      <c r="BH79" s="1182" t="s">
        <v>549</v>
      </c>
      <c r="BI79" s="1182" t="s">
        <v>549</v>
      </c>
      <c r="BJ79" s="1182" t="s">
        <v>549</v>
      </c>
      <c r="BK79" s="1174" t="s">
        <v>549</v>
      </c>
      <c r="BL79" s="1183" t="s">
        <v>549</v>
      </c>
      <c r="BM79" s="1125"/>
    </row>
    <row r="80">
      <c r="A80" s="1123"/>
      <c r="B80" s="1125"/>
      <c r="C80" s="1125"/>
      <c r="D80" s="1185" t="str">
        <f t="shared" si="17"/>
        <v/>
      </c>
      <c r="E80" s="1244"/>
      <c r="F80" s="1186" t="str">
        <f>IFERROR(__xludf.DUMMYFUNCTION("IF(SUM(BG79:BM79), ARRAYFORMULA(FILTER(BG$4:BM$4, BG79:BM79=1)), )"),"")</f>
        <v/>
      </c>
      <c r="G80" s="1187" t="str">
        <f>IFERROR(__xludf.DUMMYFUNCTION("IF(SUM(BG79:BM79),ARRAYFORMULA(FILTER(AE80:AJ80, BG79:BL79)), """")"),"")</f>
        <v/>
      </c>
      <c r="H80" s="1188" t="str">
        <f t="shared" si="18"/>
        <v/>
      </c>
      <c r="I80" s="1187"/>
      <c r="J80" s="1189" t="str">
        <f>IFERROR(__xludf.DUMMYFUNCTION("IF(SUM(BG79:BM79), ARRAYFORMULA(FILTER(AZ79:BE79, BG79:BL79=1))*D$5,"""")"),"")</f>
        <v/>
      </c>
      <c r="K80" s="1190" t="s">
        <v>549</v>
      </c>
      <c r="L80" s="1203" t="s">
        <v>549</v>
      </c>
      <c r="M80" s="1125"/>
      <c r="N80" s="1125"/>
      <c r="O80" s="1125"/>
      <c r="P80" s="1125"/>
      <c r="Q80" s="1125"/>
      <c r="R80" s="1125"/>
      <c r="S80" s="1125"/>
      <c r="T80" s="1125"/>
      <c r="U80" s="1125"/>
      <c r="V80" s="1130"/>
      <c r="W80" s="1125"/>
      <c r="X80" s="1125"/>
      <c r="Y80" s="1125"/>
      <c r="Z80" s="1125"/>
      <c r="AA80" s="1125"/>
      <c r="AB80" s="1125"/>
      <c r="AC80" s="1125"/>
      <c r="AD80" s="1125"/>
      <c r="AE80" s="1173">
        <f t="shared" ref="AE80:AJ80" si="166">AE79+BG79</f>
        <v>10</v>
      </c>
      <c r="AF80" s="1173">
        <f t="shared" si="166"/>
        <v>50</v>
      </c>
      <c r="AG80" s="1173">
        <f t="shared" si="166"/>
        <v>10</v>
      </c>
      <c r="AH80" s="1173">
        <f t="shared" si="166"/>
        <v>5</v>
      </c>
      <c r="AI80" s="1174">
        <f t="shared" si="166"/>
        <v>20</v>
      </c>
      <c r="AJ80" s="1175">
        <f t="shared" si="166"/>
        <v>9</v>
      </c>
      <c r="AK80" s="1125"/>
      <c r="AL80" s="1173">
        <f t="shared" si="3"/>
        <v>300</v>
      </c>
      <c r="AM80" s="1173">
        <f t="shared" si="4"/>
        <v>300</v>
      </c>
      <c r="AN80" s="1173">
        <f t="shared" si="5"/>
        <v>300</v>
      </c>
      <c r="AO80" s="1176">
        <f t="shared" si="6"/>
        <v>1</v>
      </c>
      <c r="AP80" s="1175">
        <f t="shared" si="7"/>
        <v>3226</v>
      </c>
      <c r="AQ80" s="1177">
        <f t="shared" si="8"/>
        <v>4126</v>
      </c>
      <c r="AR80" s="1125"/>
      <c r="AS80" s="1173" t="str">
        <f t="shared" si="9"/>
        <v/>
      </c>
      <c r="AT80" s="1173" t="str">
        <f t="shared" si="10"/>
        <v/>
      </c>
      <c r="AU80" s="1173" t="str">
        <f t="shared" si="11"/>
        <v/>
      </c>
      <c r="AV80" s="1173" t="str">
        <f t="shared" si="12"/>
        <v/>
      </c>
      <c r="AW80" s="1178" t="str">
        <f t="shared" si="13"/>
        <v/>
      </c>
      <c r="AX80" s="1175" t="str">
        <f t="shared" si="14"/>
        <v/>
      </c>
      <c r="AY80" s="1125"/>
      <c r="AZ80" s="1179" t="str">
        <f t="shared" ref="AZ80:BD80" si="167">IF(AS80="", "", (AS80/$AQ80-1)/LABDURATION_SINGLE_ADJUSTED(AZ$4, AE80+1))</f>
        <v/>
      </c>
      <c r="BA80" s="1179" t="str">
        <f t="shared" si="167"/>
        <v/>
      </c>
      <c r="BB80" s="1179" t="str">
        <f t="shared" si="167"/>
        <v/>
      </c>
      <c r="BC80" s="1179" t="str">
        <f t="shared" si="167"/>
        <v/>
      </c>
      <c r="BD80" s="1180" t="str">
        <f t="shared" si="167"/>
        <v/>
      </c>
      <c r="BE80" s="1181" t="str">
        <f t="shared" si="16"/>
        <v/>
      </c>
      <c r="BF80" s="1125"/>
      <c r="BG80" s="1182" t="str">
        <f t="array" ref="BG80:BL80">IF(COLUMN(AZ80:BE80) = MIN(IF(AZ80:BE80=MAX(AZ80:BE80), COLUMN(AZ80:BE80))), 1, "")</f>
        <v/>
      </c>
      <c r="BH80" s="1182" t="s">
        <v>549</v>
      </c>
      <c r="BI80" s="1182" t="s">
        <v>549</v>
      </c>
      <c r="BJ80" s="1182" t="s">
        <v>549</v>
      </c>
      <c r="BK80" s="1174" t="s">
        <v>549</v>
      </c>
      <c r="BL80" s="1183" t="s">
        <v>549</v>
      </c>
      <c r="BM80" s="1125"/>
    </row>
    <row r="81">
      <c r="A81" s="1123"/>
      <c r="B81" s="1125"/>
      <c r="C81" s="1125"/>
      <c r="D81" s="1185" t="str">
        <f t="shared" si="17"/>
        <v/>
      </c>
      <c r="E81" s="1244"/>
      <c r="F81" s="1186" t="str">
        <f>IFERROR(__xludf.DUMMYFUNCTION("IF(SUM(BG80:BM80), ARRAYFORMULA(FILTER(BG$4:BM$4, BG80:BM80=1)), )"),"")</f>
        <v/>
      </c>
      <c r="G81" s="1187" t="str">
        <f>IFERROR(__xludf.DUMMYFUNCTION("IF(SUM(BG80:BM80),ARRAYFORMULA(FILTER(AE81:AJ81, BG80:BL80)), """")"),"")</f>
        <v/>
      </c>
      <c r="H81" s="1188" t="str">
        <f t="shared" si="18"/>
        <v/>
      </c>
      <c r="I81" s="1187"/>
      <c r="J81" s="1189" t="str">
        <f>IFERROR(__xludf.DUMMYFUNCTION("IF(SUM(BG80:BM80), ARRAYFORMULA(FILTER(AZ80:BE80, BG80:BL80=1))*D$5,"""")"),"")</f>
        <v/>
      </c>
      <c r="K81" s="1190" t="s">
        <v>549</v>
      </c>
      <c r="L81" s="1203" t="s">
        <v>549</v>
      </c>
      <c r="M81" s="1125"/>
      <c r="N81" s="1125"/>
      <c r="O81" s="1125"/>
      <c r="P81" s="1125"/>
      <c r="Q81" s="1125"/>
      <c r="R81" s="1125"/>
      <c r="S81" s="1125"/>
      <c r="T81" s="1125"/>
      <c r="U81" s="1125"/>
      <c r="V81" s="1130"/>
      <c r="W81" s="1125"/>
      <c r="X81" s="1125"/>
      <c r="Y81" s="1125"/>
      <c r="Z81" s="1125"/>
      <c r="AA81" s="1125"/>
      <c r="AB81" s="1125"/>
      <c r="AC81" s="1125"/>
      <c r="AD81" s="1125"/>
      <c r="AE81" s="1173">
        <f t="shared" ref="AE81:AJ81" si="168">AE80+BG80</f>
        <v>10</v>
      </c>
      <c r="AF81" s="1173">
        <f t="shared" si="168"/>
        <v>50</v>
      </c>
      <c r="AG81" s="1173">
        <f t="shared" si="168"/>
        <v>10</v>
      </c>
      <c r="AH81" s="1173">
        <f t="shared" si="168"/>
        <v>5</v>
      </c>
      <c r="AI81" s="1174">
        <f t="shared" si="168"/>
        <v>20</v>
      </c>
      <c r="AJ81" s="1175">
        <f t="shared" si="168"/>
        <v>9</v>
      </c>
      <c r="AK81" s="1125"/>
      <c r="AL81" s="1173">
        <f t="shared" si="3"/>
        <v>300</v>
      </c>
      <c r="AM81" s="1173">
        <f t="shared" si="4"/>
        <v>300</v>
      </c>
      <c r="AN81" s="1173">
        <f t="shared" si="5"/>
        <v>300</v>
      </c>
      <c r="AO81" s="1176">
        <f t="shared" si="6"/>
        <v>1</v>
      </c>
      <c r="AP81" s="1175">
        <f t="shared" si="7"/>
        <v>3226</v>
      </c>
      <c r="AQ81" s="1177">
        <f t="shared" si="8"/>
        <v>4126</v>
      </c>
      <c r="AR81" s="1125"/>
      <c r="AS81" s="1173" t="str">
        <f t="shared" si="9"/>
        <v/>
      </c>
      <c r="AT81" s="1173" t="str">
        <f t="shared" si="10"/>
        <v/>
      </c>
      <c r="AU81" s="1173" t="str">
        <f t="shared" si="11"/>
        <v/>
      </c>
      <c r="AV81" s="1173" t="str">
        <f t="shared" si="12"/>
        <v/>
      </c>
      <c r="AW81" s="1178" t="str">
        <f t="shared" si="13"/>
        <v/>
      </c>
      <c r="AX81" s="1175" t="str">
        <f t="shared" si="14"/>
        <v/>
      </c>
      <c r="AY81" s="1125"/>
      <c r="AZ81" s="1179" t="str">
        <f t="shared" ref="AZ81:BD81" si="169">IF(AS81="", "", (AS81/$AQ81-1)/LABDURATION_SINGLE_ADJUSTED(AZ$4, AE81+1))</f>
        <v/>
      </c>
      <c r="BA81" s="1179" t="str">
        <f t="shared" si="169"/>
        <v/>
      </c>
      <c r="BB81" s="1179" t="str">
        <f t="shared" si="169"/>
        <v/>
      </c>
      <c r="BC81" s="1179" t="str">
        <f t="shared" si="169"/>
        <v/>
      </c>
      <c r="BD81" s="1180" t="str">
        <f t="shared" si="169"/>
        <v/>
      </c>
      <c r="BE81" s="1181" t="str">
        <f t="shared" si="16"/>
        <v/>
      </c>
      <c r="BF81" s="1125"/>
      <c r="BG81" s="1182" t="str">
        <f t="array" ref="BG81:BL81">IF(COLUMN(AZ81:BE81) = MIN(IF(AZ81:BE81=MAX(AZ81:BE81), COLUMN(AZ81:BE81))), 1, "")</f>
        <v/>
      </c>
      <c r="BH81" s="1182" t="s">
        <v>549</v>
      </c>
      <c r="BI81" s="1182" t="s">
        <v>549</v>
      </c>
      <c r="BJ81" s="1182" t="s">
        <v>549</v>
      </c>
      <c r="BK81" s="1174" t="s">
        <v>549</v>
      </c>
      <c r="BL81" s="1183" t="s">
        <v>549</v>
      </c>
      <c r="BM81" s="1125"/>
    </row>
    <row r="82">
      <c r="A82" s="1123"/>
      <c r="B82" s="1125"/>
      <c r="C82" s="1125"/>
      <c r="D82" s="1185" t="str">
        <f t="shared" si="17"/>
        <v/>
      </c>
      <c r="E82" s="1244"/>
      <c r="F82" s="1186" t="str">
        <f>IFERROR(__xludf.DUMMYFUNCTION("IF(SUM(BG81:BM81), ARRAYFORMULA(FILTER(BG$4:BM$4, BG81:BM81=1)), )"),"")</f>
        <v/>
      </c>
      <c r="G82" s="1187" t="str">
        <f>IFERROR(__xludf.DUMMYFUNCTION("IF(SUM(BG81:BM81),ARRAYFORMULA(FILTER(AE82:AJ82, BG81:BL81)), """")"),"")</f>
        <v/>
      </c>
      <c r="H82" s="1188" t="str">
        <f t="shared" si="18"/>
        <v/>
      </c>
      <c r="I82" s="1187"/>
      <c r="J82" s="1189" t="str">
        <f>IFERROR(__xludf.DUMMYFUNCTION("IF(SUM(BG81:BM81), ARRAYFORMULA(FILTER(AZ81:BE81, BG81:BL81=1))*D$5,"""")"),"")</f>
        <v/>
      </c>
      <c r="K82" s="1190" t="s">
        <v>549</v>
      </c>
      <c r="L82" s="1203" t="s">
        <v>549</v>
      </c>
      <c r="M82" s="1125"/>
      <c r="N82" s="1125"/>
      <c r="O82" s="1125"/>
      <c r="P82" s="1125"/>
      <c r="Q82" s="1125"/>
      <c r="R82" s="1125"/>
      <c r="S82" s="1125"/>
      <c r="T82" s="1125"/>
      <c r="U82" s="1125"/>
      <c r="V82" s="1130"/>
      <c r="W82" s="1125"/>
      <c r="X82" s="1125"/>
      <c r="Y82" s="1125"/>
      <c r="Z82" s="1125"/>
      <c r="AA82" s="1125"/>
      <c r="AB82" s="1125"/>
      <c r="AC82" s="1125"/>
      <c r="AD82" s="1125"/>
      <c r="AE82" s="1173">
        <f t="shared" ref="AE82:AJ82" si="170">AE81+BG81</f>
        <v>10</v>
      </c>
      <c r="AF82" s="1173">
        <f t="shared" si="170"/>
        <v>50</v>
      </c>
      <c r="AG82" s="1173">
        <f t="shared" si="170"/>
        <v>10</v>
      </c>
      <c r="AH82" s="1173">
        <f t="shared" si="170"/>
        <v>5</v>
      </c>
      <c r="AI82" s="1174">
        <f t="shared" si="170"/>
        <v>20</v>
      </c>
      <c r="AJ82" s="1175">
        <f t="shared" si="170"/>
        <v>9</v>
      </c>
      <c r="AK82" s="1125"/>
      <c r="AL82" s="1173">
        <f t="shared" si="3"/>
        <v>300</v>
      </c>
      <c r="AM82" s="1173">
        <f t="shared" si="4"/>
        <v>300</v>
      </c>
      <c r="AN82" s="1173">
        <f t="shared" si="5"/>
        <v>300</v>
      </c>
      <c r="AO82" s="1176">
        <f t="shared" si="6"/>
        <v>1</v>
      </c>
      <c r="AP82" s="1175">
        <f t="shared" si="7"/>
        <v>3226</v>
      </c>
      <c r="AQ82" s="1177">
        <f t="shared" si="8"/>
        <v>4126</v>
      </c>
      <c r="AR82" s="1125"/>
      <c r="AS82" s="1173" t="str">
        <f t="shared" si="9"/>
        <v/>
      </c>
      <c r="AT82" s="1173" t="str">
        <f t="shared" si="10"/>
        <v/>
      </c>
      <c r="AU82" s="1173" t="str">
        <f t="shared" si="11"/>
        <v/>
      </c>
      <c r="AV82" s="1173" t="str">
        <f t="shared" si="12"/>
        <v/>
      </c>
      <c r="AW82" s="1178" t="str">
        <f t="shared" si="13"/>
        <v/>
      </c>
      <c r="AX82" s="1175" t="str">
        <f t="shared" si="14"/>
        <v/>
      </c>
      <c r="AY82" s="1125"/>
      <c r="AZ82" s="1179" t="str">
        <f t="shared" ref="AZ82:BD82" si="171">IF(AS82="", "", (AS82/$AQ82-1)/LABDURATION_SINGLE_ADJUSTED(AZ$4, AE82+1))</f>
        <v/>
      </c>
      <c r="BA82" s="1179" t="str">
        <f t="shared" si="171"/>
        <v/>
      </c>
      <c r="BB82" s="1179" t="str">
        <f t="shared" si="171"/>
        <v/>
      </c>
      <c r="BC82" s="1179" t="str">
        <f t="shared" si="171"/>
        <v/>
      </c>
      <c r="BD82" s="1180" t="str">
        <f t="shared" si="171"/>
        <v/>
      </c>
      <c r="BE82" s="1181" t="str">
        <f t="shared" si="16"/>
        <v/>
      </c>
      <c r="BF82" s="1125"/>
      <c r="BG82" s="1182" t="str">
        <f t="array" ref="BG82:BL82">IF(COLUMN(AZ82:BE82) = MIN(IF(AZ82:BE82=MAX(AZ82:BE82), COLUMN(AZ82:BE82))), 1, "")</f>
        <v/>
      </c>
      <c r="BH82" s="1182" t="s">
        <v>549</v>
      </c>
      <c r="BI82" s="1182" t="s">
        <v>549</v>
      </c>
      <c r="BJ82" s="1182" t="s">
        <v>549</v>
      </c>
      <c r="BK82" s="1174" t="s">
        <v>549</v>
      </c>
      <c r="BL82" s="1183" t="s">
        <v>549</v>
      </c>
      <c r="BM82" s="1125"/>
    </row>
    <row r="83">
      <c r="A83" s="1123"/>
      <c r="B83" s="1125"/>
      <c r="C83" s="1125"/>
      <c r="D83" s="1185" t="str">
        <f t="shared" si="17"/>
        <v/>
      </c>
      <c r="E83" s="1244"/>
      <c r="F83" s="1186" t="str">
        <f>IFERROR(__xludf.DUMMYFUNCTION("IF(SUM(BG82:BM82), ARRAYFORMULA(FILTER(BG$4:BM$4, BG82:BM82=1)), )"),"")</f>
        <v/>
      </c>
      <c r="G83" s="1187" t="str">
        <f>IFERROR(__xludf.DUMMYFUNCTION("IF(SUM(BG82:BM82),ARRAYFORMULA(FILTER(AE83:AJ83, BG82:BL82)), """")"),"")</f>
        <v/>
      </c>
      <c r="H83" s="1188" t="str">
        <f t="shared" si="18"/>
        <v/>
      </c>
      <c r="I83" s="1187"/>
      <c r="J83" s="1189" t="str">
        <f>IFERROR(__xludf.DUMMYFUNCTION("IF(SUM(BG82:BM82), ARRAYFORMULA(FILTER(AZ82:BE82, BG82:BL82=1))*D$5,"""")"),"")</f>
        <v/>
      </c>
      <c r="K83" s="1190" t="s">
        <v>549</v>
      </c>
      <c r="L83" s="1203" t="s">
        <v>549</v>
      </c>
      <c r="M83" s="1125"/>
      <c r="N83" s="1125"/>
      <c r="O83" s="1125"/>
      <c r="P83" s="1125"/>
      <c r="Q83" s="1125"/>
      <c r="R83" s="1125"/>
      <c r="S83" s="1125"/>
      <c r="T83" s="1125"/>
      <c r="U83" s="1125"/>
      <c r="V83" s="1130"/>
      <c r="W83" s="1125"/>
      <c r="X83" s="1125"/>
      <c r="Y83" s="1125"/>
      <c r="Z83" s="1125"/>
      <c r="AA83" s="1125"/>
      <c r="AB83" s="1125"/>
      <c r="AC83" s="1125"/>
      <c r="AD83" s="1125"/>
      <c r="AE83" s="1173">
        <f t="shared" ref="AE83:AJ83" si="172">AE82+BG82</f>
        <v>10</v>
      </c>
      <c r="AF83" s="1173">
        <f t="shared" si="172"/>
        <v>50</v>
      </c>
      <c r="AG83" s="1173">
        <f t="shared" si="172"/>
        <v>10</v>
      </c>
      <c r="AH83" s="1173">
        <f t="shared" si="172"/>
        <v>5</v>
      </c>
      <c r="AI83" s="1174">
        <f t="shared" si="172"/>
        <v>20</v>
      </c>
      <c r="AJ83" s="1175">
        <f t="shared" si="172"/>
        <v>9</v>
      </c>
      <c r="AK83" s="1125"/>
      <c r="AL83" s="1173">
        <f t="shared" si="3"/>
        <v>300</v>
      </c>
      <c r="AM83" s="1173">
        <f t="shared" si="4"/>
        <v>300</v>
      </c>
      <c r="AN83" s="1173">
        <f t="shared" si="5"/>
        <v>300</v>
      </c>
      <c r="AO83" s="1176">
        <f t="shared" si="6"/>
        <v>1</v>
      </c>
      <c r="AP83" s="1175">
        <f t="shared" si="7"/>
        <v>3226</v>
      </c>
      <c r="AQ83" s="1177">
        <f t="shared" si="8"/>
        <v>4126</v>
      </c>
      <c r="AR83" s="1125"/>
      <c r="AS83" s="1173" t="str">
        <f t="shared" si="9"/>
        <v/>
      </c>
      <c r="AT83" s="1173" t="str">
        <f t="shared" si="10"/>
        <v/>
      </c>
      <c r="AU83" s="1173" t="str">
        <f t="shared" si="11"/>
        <v/>
      </c>
      <c r="AV83" s="1173" t="str">
        <f t="shared" si="12"/>
        <v/>
      </c>
      <c r="AW83" s="1178" t="str">
        <f t="shared" si="13"/>
        <v/>
      </c>
      <c r="AX83" s="1175" t="str">
        <f t="shared" si="14"/>
        <v/>
      </c>
      <c r="AY83" s="1125"/>
      <c r="AZ83" s="1179" t="str">
        <f t="shared" ref="AZ83:BD83" si="173">IF(AS83="", "", (AS83/$AQ83-1)/LABDURATION_SINGLE_ADJUSTED(AZ$4, AE83+1))</f>
        <v/>
      </c>
      <c r="BA83" s="1179" t="str">
        <f t="shared" si="173"/>
        <v/>
      </c>
      <c r="BB83" s="1179" t="str">
        <f t="shared" si="173"/>
        <v/>
      </c>
      <c r="BC83" s="1179" t="str">
        <f t="shared" si="173"/>
        <v/>
      </c>
      <c r="BD83" s="1180" t="str">
        <f t="shared" si="173"/>
        <v/>
      </c>
      <c r="BE83" s="1181" t="str">
        <f t="shared" si="16"/>
        <v/>
      </c>
      <c r="BF83" s="1125"/>
      <c r="BG83" s="1182" t="str">
        <f t="array" ref="BG83:BL83">IF(COLUMN(AZ83:BE83) = MIN(IF(AZ83:BE83=MAX(AZ83:BE83), COLUMN(AZ83:BE83))), 1, "")</f>
        <v/>
      </c>
      <c r="BH83" s="1182" t="s">
        <v>549</v>
      </c>
      <c r="BI83" s="1182" t="s">
        <v>549</v>
      </c>
      <c r="BJ83" s="1182" t="s">
        <v>549</v>
      </c>
      <c r="BK83" s="1174" t="s">
        <v>549</v>
      </c>
      <c r="BL83" s="1183" t="s">
        <v>549</v>
      </c>
      <c r="BM83" s="1125"/>
    </row>
    <row r="84">
      <c r="A84" s="1123"/>
      <c r="B84" s="1125"/>
      <c r="C84" s="1125"/>
      <c r="D84" s="1185" t="str">
        <f t="shared" si="17"/>
        <v/>
      </c>
      <c r="E84" s="1244"/>
      <c r="F84" s="1186" t="str">
        <f>IFERROR(__xludf.DUMMYFUNCTION("IF(SUM(BG83:BM83), ARRAYFORMULA(FILTER(BG$4:BM$4, BG83:BM83=1)), )"),"")</f>
        <v/>
      </c>
      <c r="G84" s="1187" t="str">
        <f>IFERROR(__xludf.DUMMYFUNCTION("IF(SUM(BG83:BM83),ARRAYFORMULA(FILTER(AE84:AJ84, BG83:BL83)), """")"),"")</f>
        <v/>
      </c>
      <c r="H84" s="1188" t="str">
        <f t="shared" si="18"/>
        <v/>
      </c>
      <c r="I84" s="1187"/>
      <c r="J84" s="1189" t="str">
        <f>IFERROR(__xludf.DUMMYFUNCTION("IF(SUM(BG83:BM83), ARRAYFORMULA(FILTER(AZ83:BE83, BG83:BL83=1))*D$5,"""")"),"")</f>
        <v/>
      </c>
      <c r="K84" s="1190" t="s">
        <v>549</v>
      </c>
      <c r="L84" s="1203" t="s">
        <v>549</v>
      </c>
      <c r="M84" s="1125"/>
      <c r="N84" s="1125"/>
      <c r="O84" s="1125"/>
      <c r="P84" s="1125"/>
      <c r="Q84" s="1125"/>
      <c r="R84" s="1125"/>
      <c r="S84" s="1125"/>
      <c r="T84" s="1125"/>
      <c r="U84" s="1125"/>
      <c r="V84" s="1130"/>
      <c r="W84" s="1125"/>
      <c r="X84" s="1125"/>
      <c r="Y84" s="1125"/>
      <c r="Z84" s="1125"/>
      <c r="AA84" s="1125"/>
      <c r="AB84" s="1125"/>
      <c r="AC84" s="1125"/>
      <c r="AD84" s="1125"/>
      <c r="AE84" s="1173">
        <f t="shared" ref="AE84:AJ84" si="174">AE83+BG83</f>
        <v>10</v>
      </c>
      <c r="AF84" s="1173">
        <f t="shared" si="174"/>
        <v>50</v>
      </c>
      <c r="AG84" s="1173">
        <f t="shared" si="174"/>
        <v>10</v>
      </c>
      <c r="AH84" s="1173">
        <f t="shared" si="174"/>
        <v>5</v>
      </c>
      <c r="AI84" s="1174">
        <f t="shared" si="174"/>
        <v>20</v>
      </c>
      <c r="AJ84" s="1175">
        <f t="shared" si="174"/>
        <v>9</v>
      </c>
      <c r="AK84" s="1125"/>
      <c r="AL84" s="1173">
        <f t="shared" si="3"/>
        <v>300</v>
      </c>
      <c r="AM84" s="1173">
        <f t="shared" si="4"/>
        <v>300</v>
      </c>
      <c r="AN84" s="1173">
        <f t="shared" si="5"/>
        <v>300</v>
      </c>
      <c r="AO84" s="1176">
        <f t="shared" si="6"/>
        <v>1</v>
      </c>
      <c r="AP84" s="1175">
        <f t="shared" si="7"/>
        <v>3226</v>
      </c>
      <c r="AQ84" s="1177">
        <f t="shared" si="8"/>
        <v>4126</v>
      </c>
      <c r="AR84" s="1125"/>
      <c r="AS84" s="1173" t="str">
        <f t="shared" si="9"/>
        <v/>
      </c>
      <c r="AT84" s="1173" t="str">
        <f t="shared" si="10"/>
        <v/>
      </c>
      <c r="AU84" s="1173" t="str">
        <f t="shared" si="11"/>
        <v/>
      </c>
      <c r="AV84" s="1173" t="str">
        <f t="shared" si="12"/>
        <v/>
      </c>
      <c r="AW84" s="1178" t="str">
        <f t="shared" si="13"/>
        <v/>
      </c>
      <c r="AX84" s="1175" t="str">
        <f t="shared" si="14"/>
        <v/>
      </c>
      <c r="AY84" s="1125"/>
      <c r="AZ84" s="1179" t="str">
        <f t="shared" ref="AZ84:BD84" si="175">IF(AS84="", "", (AS84/$AQ84-1)/LABDURATION_SINGLE_ADJUSTED(AZ$4, AE84+1))</f>
        <v/>
      </c>
      <c r="BA84" s="1179" t="str">
        <f t="shared" si="175"/>
        <v/>
      </c>
      <c r="BB84" s="1179" t="str">
        <f t="shared" si="175"/>
        <v/>
      </c>
      <c r="BC84" s="1179" t="str">
        <f t="shared" si="175"/>
        <v/>
      </c>
      <c r="BD84" s="1180" t="str">
        <f t="shared" si="175"/>
        <v/>
      </c>
      <c r="BE84" s="1181" t="str">
        <f t="shared" si="16"/>
        <v/>
      </c>
      <c r="BF84" s="1125"/>
      <c r="BG84" s="1182" t="str">
        <f t="array" ref="BG84:BL84">IF(COLUMN(AZ84:BE84) = MIN(IF(AZ84:BE84=MAX(AZ84:BE84), COLUMN(AZ84:BE84))), 1, "")</f>
        <v/>
      </c>
      <c r="BH84" s="1182" t="s">
        <v>549</v>
      </c>
      <c r="BI84" s="1182" t="s">
        <v>549</v>
      </c>
      <c r="BJ84" s="1182" t="s">
        <v>549</v>
      </c>
      <c r="BK84" s="1174" t="s">
        <v>549</v>
      </c>
      <c r="BL84" s="1183" t="s">
        <v>549</v>
      </c>
      <c r="BM84" s="1125"/>
    </row>
    <row r="85">
      <c r="A85" s="1123"/>
      <c r="B85" s="1125"/>
      <c r="C85" s="1125"/>
      <c r="D85" s="1185" t="str">
        <f t="shared" si="17"/>
        <v/>
      </c>
      <c r="E85" s="1244"/>
      <c r="F85" s="1186" t="str">
        <f>IFERROR(__xludf.DUMMYFUNCTION("IF(SUM(BG84:BM84), ARRAYFORMULA(FILTER(BG$4:BM$4, BG84:BM84=1)), )"),"")</f>
        <v/>
      </c>
      <c r="G85" s="1187" t="str">
        <f>IFERROR(__xludf.DUMMYFUNCTION("IF(SUM(BG84:BM84),ARRAYFORMULA(FILTER(AE85:AJ85, BG84:BL84)), """")"),"")</f>
        <v/>
      </c>
      <c r="H85" s="1188" t="str">
        <f t="shared" si="18"/>
        <v/>
      </c>
      <c r="I85" s="1187"/>
      <c r="J85" s="1189" t="str">
        <f>IFERROR(__xludf.DUMMYFUNCTION("IF(SUM(BG84:BM84), ARRAYFORMULA(FILTER(AZ84:BE84, BG84:BL84=1))*D$5,"""")"),"")</f>
        <v/>
      </c>
      <c r="K85" s="1190" t="s">
        <v>549</v>
      </c>
      <c r="L85" s="1252" t="s">
        <v>549</v>
      </c>
      <c r="M85" s="1125"/>
      <c r="N85" s="1125"/>
      <c r="O85" s="1125"/>
      <c r="P85" s="1125"/>
      <c r="Q85" s="1125"/>
      <c r="R85" s="1125"/>
      <c r="S85" s="1125"/>
      <c r="T85" s="1125"/>
      <c r="U85" s="1125"/>
      <c r="V85" s="1130"/>
      <c r="W85" s="1125"/>
      <c r="X85" s="1125"/>
      <c r="Y85" s="1125"/>
      <c r="Z85" s="1125"/>
      <c r="AA85" s="1125"/>
      <c r="AB85" s="1125"/>
      <c r="AC85" s="1125"/>
      <c r="AD85" s="1125"/>
      <c r="AE85" s="1173">
        <f t="shared" ref="AE85:AJ85" si="176">AE84+BG84</f>
        <v>10</v>
      </c>
      <c r="AF85" s="1173">
        <f t="shared" si="176"/>
        <v>50</v>
      </c>
      <c r="AG85" s="1173">
        <f t="shared" si="176"/>
        <v>10</v>
      </c>
      <c r="AH85" s="1173">
        <f t="shared" si="176"/>
        <v>5</v>
      </c>
      <c r="AI85" s="1174">
        <f t="shared" si="176"/>
        <v>20</v>
      </c>
      <c r="AJ85" s="1175">
        <f t="shared" si="176"/>
        <v>9</v>
      </c>
      <c r="AK85" s="1125"/>
      <c r="AL85" s="1173">
        <f t="shared" si="3"/>
        <v>300</v>
      </c>
      <c r="AM85" s="1173">
        <f t="shared" si="4"/>
        <v>300</v>
      </c>
      <c r="AN85" s="1173">
        <f t="shared" si="5"/>
        <v>300</v>
      </c>
      <c r="AO85" s="1176">
        <f t="shared" si="6"/>
        <v>1</v>
      </c>
      <c r="AP85" s="1175">
        <f t="shared" si="7"/>
        <v>3226</v>
      </c>
      <c r="AQ85" s="1177">
        <f t="shared" si="8"/>
        <v>4126</v>
      </c>
      <c r="AR85" s="1125"/>
      <c r="AS85" s="1173" t="str">
        <f t="shared" si="9"/>
        <v/>
      </c>
      <c r="AT85" s="1173" t="str">
        <f t="shared" si="10"/>
        <v/>
      </c>
      <c r="AU85" s="1173" t="str">
        <f t="shared" si="11"/>
        <v/>
      </c>
      <c r="AV85" s="1173" t="str">
        <f t="shared" si="12"/>
        <v/>
      </c>
      <c r="AW85" s="1178" t="str">
        <f t="shared" si="13"/>
        <v/>
      </c>
      <c r="AX85" s="1175" t="str">
        <f t="shared" si="14"/>
        <v/>
      </c>
      <c r="AY85" s="1125"/>
      <c r="AZ85" s="1179" t="str">
        <f t="shared" ref="AZ85:BD85" si="177">IF(AS85="", "", (AS85/$AQ85-1)/LABDURATION_SINGLE_ADJUSTED(AZ$4, AE85+1))</f>
        <v/>
      </c>
      <c r="BA85" s="1179" t="str">
        <f t="shared" si="177"/>
        <v/>
      </c>
      <c r="BB85" s="1179" t="str">
        <f t="shared" si="177"/>
        <v/>
      </c>
      <c r="BC85" s="1179" t="str">
        <f t="shared" si="177"/>
        <v/>
      </c>
      <c r="BD85" s="1180" t="str">
        <f t="shared" si="177"/>
        <v/>
      </c>
      <c r="BE85" s="1181" t="str">
        <f t="shared" si="16"/>
        <v/>
      </c>
      <c r="BF85" s="1125"/>
      <c r="BG85" s="1182" t="str">
        <f t="array" ref="BG85:BL85">IF(COLUMN(AZ85:BE85) = MIN(IF(AZ85:BE85=MAX(AZ85:BE85), COLUMN(AZ85:BE85))), 1, "")</f>
        <v/>
      </c>
      <c r="BH85" s="1182" t="s">
        <v>549</v>
      </c>
      <c r="BI85" s="1182" t="s">
        <v>549</v>
      </c>
      <c r="BJ85" s="1182" t="s">
        <v>549</v>
      </c>
      <c r="BK85" s="1174" t="s">
        <v>549</v>
      </c>
      <c r="BL85" s="1183" t="s">
        <v>549</v>
      </c>
      <c r="BM85" s="1125"/>
    </row>
    <row r="86">
      <c r="A86" s="1123"/>
      <c r="B86" s="1125"/>
      <c r="C86" s="1125"/>
      <c r="D86" s="1185" t="str">
        <f t="shared" si="17"/>
        <v/>
      </c>
      <c r="E86" s="1244"/>
      <c r="F86" s="1186" t="str">
        <f>IFERROR(__xludf.DUMMYFUNCTION("IF(SUM(BG85:BM85), ARRAYFORMULA(FILTER(BG$4:BM$4, BG85:BM85=1)), )"),"")</f>
        <v/>
      </c>
      <c r="G86" s="1187" t="str">
        <f>IFERROR(__xludf.DUMMYFUNCTION("IF(SUM(BG85:BM85),ARRAYFORMULA(FILTER(AE86:AJ86, BG85:BL85)), """")"),"")</f>
        <v/>
      </c>
      <c r="H86" s="1188" t="str">
        <f t="shared" si="18"/>
        <v/>
      </c>
      <c r="I86" s="1187"/>
      <c r="J86" s="1189" t="str">
        <f>IFERROR(__xludf.DUMMYFUNCTION("IF(SUM(BG85:BM85), ARRAYFORMULA(FILTER(AZ85:BE85, BG85:BL85=1))*D$5,"""")"),"")</f>
        <v/>
      </c>
      <c r="K86" s="1190" t="s">
        <v>549</v>
      </c>
      <c r="L86" s="1203" t="s">
        <v>549</v>
      </c>
      <c r="M86" s="1125"/>
      <c r="N86" s="1125"/>
      <c r="O86" s="1125"/>
      <c r="P86" s="1125"/>
      <c r="Q86" s="1125"/>
      <c r="R86" s="1125"/>
      <c r="S86" s="1125"/>
      <c r="T86" s="1125"/>
      <c r="U86" s="1125"/>
      <c r="V86" s="1130"/>
      <c r="W86" s="1125"/>
      <c r="X86" s="1125"/>
      <c r="Y86" s="1125"/>
      <c r="Z86" s="1125"/>
      <c r="AA86" s="1125"/>
      <c r="AB86" s="1125"/>
      <c r="AC86" s="1125"/>
      <c r="AD86" s="1125"/>
      <c r="AE86" s="1173">
        <f t="shared" ref="AE86:AJ86" si="178">AE85+BG85</f>
        <v>10</v>
      </c>
      <c r="AF86" s="1173">
        <f t="shared" si="178"/>
        <v>50</v>
      </c>
      <c r="AG86" s="1173">
        <f t="shared" si="178"/>
        <v>10</v>
      </c>
      <c r="AH86" s="1173">
        <f t="shared" si="178"/>
        <v>5</v>
      </c>
      <c r="AI86" s="1174">
        <f t="shared" si="178"/>
        <v>20</v>
      </c>
      <c r="AJ86" s="1175">
        <f t="shared" si="178"/>
        <v>9</v>
      </c>
      <c r="AK86" s="1125"/>
      <c r="AL86" s="1173">
        <f t="shared" si="3"/>
        <v>300</v>
      </c>
      <c r="AM86" s="1173">
        <f t="shared" si="4"/>
        <v>300</v>
      </c>
      <c r="AN86" s="1173">
        <f t="shared" si="5"/>
        <v>300</v>
      </c>
      <c r="AO86" s="1176">
        <f t="shared" si="6"/>
        <v>1</v>
      </c>
      <c r="AP86" s="1175">
        <f t="shared" si="7"/>
        <v>3226</v>
      </c>
      <c r="AQ86" s="1177">
        <f t="shared" si="8"/>
        <v>4126</v>
      </c>
      <c r="AR86" s="1125"/>
      <c r="AS86" s="1173" t="str">
        <f t="shared" si="9"/>
        <v/>
      </c>
      <c r="AT86" s="1173" t="str">
        <f t="shared" si="10"/>
        <v/>
      </c>
      <c r="AU86" s="1173" t="str">
        <f t="shared" si="11"/>
        <v/>
      </c>
      <c r="AV86" s="1173" t="str">
        <f t="shared" si="12"/>
        <v/>
      </c>
      <c r="AW86" s="1178" t="str">
        <f t="shared" si="13"/>
        <v/>
      </c>
      <c r="AX86" s="1175" t="str">
        <f t="shared" si="14"/>
        <v/>
      </c>
      <c r="AY86" s="1125"/>
      <c r="AZ86" s="1179" t="str">
        <f t="shared" ref="AZ86:BD86" si="179">IF(AS86="", "", (AS86/$AQ86-1)/LABDURATION_SINGLE_ADJUSTED(AZ$4, AE86+1))</f>
        <v/>
      </c>
      <c r="BA86" s="1179" t="str">
        <f t="shared" si="179"/>
        <v/>
      </c>
      <c r="BB86" s="1179" t="str">
        <f t="shared" si="179"/>
        <v/>
      </c>
      <c r="BC86" s="1179" t="str">
        <f t="shared" si="179"/>
        <v/>
      </c>
      <c r="BD86" s="1180" t="str">
        <f t="shared" si="179"/>
        <v/>
      </c>
      <c r="BE86" s="1181" t="str">
        <f t="shared" si="16"/>
        <v/>
      </c>
      <c r="BF86" s="1125"/>
      <c r="BG86" s="1182" t="str">
        <f t="array" ref="BG86:BL86">IF(COLUMN(AZ86:BE86) = MIN(IF(AZ86:BE86=MAX(AZ86:BE86), COLUMN(AZ86:BE86))), 1, "")</f>
        <v/>
      </c>
      <c r="BH86" s="1182" t="s">
        <v>549</v>
      </c>
      <c r="BI86" s="1182" t="s">
        <v>549</v>
      </c>
      <c r="BJ86" s="1182" t="s">
        <v>549</v>
      </c>
      <c r="BK86" s="1174" t="s">
        <v>549</v>
      </c>
      <c r="BL86" s="1183" t="s">
        <v>549</v>
      </c>
      <c r="BM86" s="1125"/>
    </row>
    <row r="87">
      <c r="A87" s="1123"/>
      <c r="B87" s="1125"/>
      <c r="C87" s="1125"/>
      <c r="D87" s="1185" t="str">
        <f t="shared" si="17"/>
        <v/>
      </c>
      <c r="E87" s="1244"/>
      <c r="F87" s="1186" t="str">
        <f>IFERROR(__xludf.DUMMYFUNCTION("IF(SUM(BG86:BM86), ARRAYFORMULA(FILTER(BG$4:BM$4, BG86:BM86=1)), )"),"")</f>
        <v/>
      </c>
      <c r="G87" s="1187" t="str">
        <f>IFERROR(__xludf.DUMMYFUNCTION("IF(SUM(BG86:BM86),ARRAYFORMULA(FILTER(AE87:AJ87, BG86:BL86)), """")"),"")</f>
        <v/>
      </c>
      <c r="H87" s="1188" t="str">
        <f t="shared" si="18"/>
        <v/>
      </c>
      <c r="I87" s="1187"/>
      <c r="J87" s="1189" t="str">
        <f>IFERROR(__xludf.DUMMYFUNCTION("IF(SUM(BG86:BM86), ARRAYFORMULA(FILTER(AZ86:BE86, BG86:BL86=1))*D$5,"""")"),"")</f>
        <v/>
      </c>
      <c r="K87" s="1190" t="s">
        <v>549</v>
      </c>
      <c r="L87" s="1203" t="s">
        <v>549</v>
      </c>
      <c r="M87" s="1125"/>
      <c r="N87" s="1125"/>
      <c r="O87" s="1125"/>
      <c r="P87" s="1125"/>
      <c r="Q87" s="1125"/>
      <c r="R87" s="1125"/>
      <c r="S87" s="1125"/>
      <c r="T87" s="1125"/>
      <c r="U87" s="1125"/>
      <c r="V87" s="1130"/>
      <c r="W87" s="1125"/>
      <c r="X87" s="1125"/>
      <c r="Y87" s="1125"/>
      <c r="Z87" s="1125"/>
      <c r="AA87" s="1125"/>
      <c r="AB87" s="1125"/>
      <c r="AC87" s="1125"/>
      <c r="AD87" s="1125"/>
      <c r="AE87" s="1173">
        <f t="shared" ref="AE87:AJ87" si="180">AE86+BG86</f>
        <v>10</v>
      </c>
      <c r="AF87" s="1173">
        <f t="shared" si="180"/>
        <v>50</v>
      </c>
      <c r="AG87" s="1173">
        <f t="shared" si="180"/>
        <v>10</v>
      </c>
      <c r="AH87" s="1173">
        <f t="shared" si="180"/>
        <v>5</v>
      </c>
      <c r="AI87" s="1174">
        <f t="shared" si="180"/>
        <v>20</v>
      </c>
      <c r="AJ87" s="1175">
        <f t="shared" si="180"/>
        <v>9</v>
      </c>
      <c r="AK87" s="1125"/>
      <c r="AL87" s="1173">
        <f t="shared" si="3"/>
        <v>300</v>
      </c>
      <c r="AM87" s="1173">
        <f t="shared" si="4"/>
        <v>300</v>
      </c>
      <c r="AN87" s="1173">
        <f t="shared" si="5"/>
        <v>300</v>
      </c>
      <c r="AO87" s="1176">
        <f t="shared" si="6"/>
        <v>1</v>
      </c>
      <c r="AP87" s="1175">
        <f t="shared" si="7"/>
        <v>3226</v>
      </c>
      <c r="AQ87" s="1177">
        <f t="shared" si="8"/>
        <v>4126</v>
      </c>
      <c r="AR87" s="1125"/>
      <c r="AS87" s="1173" t="str">
        <f t="shared" si="9"/>
        <v/>
      </c>
      <c r="AT87" s="1173" t="str">
        <f t="shared" si="10"/>
        <v/>
      </c>
      <c r="AU87" s="1173" t="str">
        <f t="shared" si="11"/>
        <v/>
      </c>
      <c r="AV87" s="1173" t="str">
        <f t="shared" si="12"/>
        <v/>
      </c>
      <c r="AW87" s="1178" t="str">
        <f t="shared" si="13"/>
        <v/>
      </c>
      <c r="AX87" s="1175" t="str">
        <f t="shared" si="14"/>
        <v/>
      </c>
      <c r="AY87" s="1125"/>
      <c r="AZ87" s="1179" t="str">
        <f t="shared" ref="AZ87:BD87" si="181">IF(AS87="", "", (AS87/$AQ87-1)/LABDURATION_SINGLE_ADJUSTED(AZ$4, AE87+1))</f>
        <v/>
      </c>
      <c r="BA87" s="1179" t="str">
        <f t="shared" si="181"/>
        <v/>
      </c>
      <c r="BB87" s="1179" t="str">
        <f t="shared" si="181"/>
        <v/>
      </c>
      <c r="BC87" s="1179" t="str">
        <f t="shared" si="181"/>
        <v/>
      </c>
      <c r="BD87" s="1180" t="str">
        <f t="shared" si="181"/>
        <v/>
      </c>
      <c r="BE87" s="1181" t="str">
        <f t="shared" si="16"/>
        <v/>
      </c>
      <c r="BF87" s="1125"/>
      <c r="BG87" s="1182" t="str">
        <f t="array" ref="BG87:BL87">IF(COLUMN(AZ87:BE87) = MIN(IF(AZ87:BE87=MAX(AZ87:BE87), COLUMN(AZ87:BE87))), 1, "")</f>
        <v/>
      </c>
      <c r="BH87" s="1182" t="s">
        <v>549</v>
      </c>
      <c r="BI87" s="1182" t="s">
        <v>549</v>
      </c>
      <c r="BJ87" s="1182" t="s">
        <v>549</v>
      </c>
      <c r="BK87" s="1174" t="s">
        <v>549</v>
      </c>
      <c r="BL87" s="1183" t="s">
        <v>549</v>
      </c>
      <c r="BM87" s="1125"/>
    </row>
    <row r="88">
      <c r="A88" s="1123"/>
      <c r="B88" s="1125"/>
      <c r="C88" s="1125"/>
      <c r="D88" s="1185" t="str">
        <f t="shared" si="17"/>
        <v/>
      </c>
      <c r="E88" s="1244"/>
      <c r="F88" s="1186" t="str">
        <f>IFERROR(__xludf.DUMMYFUNCTION("IF(SUM(BG87:BM87), ARRAYFORMULA(FILTER(BG$4:BM$4, BG87:BM87=1)), )"),"")</f>
        <v/>
      </c>
      <c r="G88" s="1187" t="str">
        <f>IFERROR(__xludf.DUMMYFUNCTION("IF(SUM(BG87:BM87),ARRAYFORMULA(FILTER(AE88:AJ88, BG87:BL87)), """")"),"")</f>
        <v/>
      </c>
      <c r="H88" s="1188" t="str">
        <f t="shared" si="18"/>
        <v/>
      </c>
      <c r="I88" s="1187"/>
      <c r="J88" s="1189" t="str">
        <f>IFERROR(__xludf.DUMMYFUNCTION("IF(SUM(BG87:BM87), ARRAYFORMULA(FILTER(AZ87:BE87, BG87:BL87=1))*D$5,"""")"),"")</f>
        <v/>
      </c>
      <c r="K88" s="1190" t="s">
        <v>549</v>
      </c>
      <c r="L88" s="1203" t="s">
        <v>549</v>
      </c>
      <c r="M88" s="1125"/>
      <c r="N88" s="1125"/>
      <c r="O88" s="1125"/>
      <c r="P88" s="1125"/>
      <c r="Q88" s="1125"/>
      <c r="R88" s="1125"/>
      <c r="S88" s="1125"/>
      <c r="T88" s="1125"/>
      <c r="U88" s="1125"/>
      <c r="V88" s="1130"/>
      <c r="W88" s="1125"/>
      <c r="X88" s="1125"/>
      <c r="Y88" s="1125"/>
      <c r="Z88" s="1125"/>
      <c r="AA88" s="1125"/>
      <c r="AB88" s="1125"/>
      <c r="AC88" s="1125"/>
      <c r="AD88" s="1125"/>
      <c r="AE88" s="1173">
        <f t="shared" ref="AE88:AJ88" si="182">AE87+BG87</f>
        <v>10</v>
      </c>
      <c r="AF88" s="1173">
        <f t="shared" si="182"/>
        <v>50</v>
      </c>
      <c r="AG88" s="1173">
        <f t="shared" si="182"/>
        <v>10</v>
      </c>
      <c r="AH88" s="1173">
        <f t="shared" si="182"/>
        <v>5</v>
      </c>
      <c r="AI88" s="1174">
        <f t="shared" si="182"/>
        <v>20</v>
      </c>
      <c r="AJ88" s="1175">
        <f t="shared" si="182"/>
        <v>9</v>
      </c>
      <c r="AK88" s="1125"/>
      <c r="AL88" s="1173">
        <f t="shared" si="3"/>
        <v>300</v>
      </c>
      <c r="AM88" s="1173">
        <f t="shared" si="4"/>
        <v>300</v>
      </c>
      <c r="AN88" s="1173">
        <f t="shared" si="5"/>
        <v>300</v>
      </c>
      <c r="AO88" s="1176">
        <f t="shared" si="6"/>
        <v>1</v>
      </c>
      <c r="AP88" s="1175">
        <f t="shared" si="7"/>
        <v>3226</v>
      </c>
      <c r="AQ88" s="1177">
        <f t="shared" si="8"/>
        <v>4126</v>
      </c>
      <c r="AR88" s="1125"/>
      <c r="AS88" s="1173" t="str">
        <f t="shared" si="9"/>
        <v/>
      </c>
      <c r="AT88" s="1173" t="str">
        <f t="shared" si="10"/>
        <v/>
      </c>
      <c r="AU88" s="1173" t="str">
        <f t="shared" si="11"/>
        <v/>
      </c>
      <c r="AV88" s="1173" t="str">
        <f t="shared" si="12"/>
        <v/>
      </c>
      <c r="AW88" s="1178" t="str">
        <f t="shared" si="13"/>
        <v/>
      </c>
      <c r="AX88" s="1175" t="str">
        <f t="shared" si="14"/>
        <v/>
      </c>
      <c r="AY88" s="1125"/>
      <c r="AZ88" s="1179" t="str">
        <f t="shared" ref="AZ88:BD88" si="183">IF(AS88="", "", (AS88/$AQ88-1)/LABDURATION_SINGLE_ADJUSTED(AZ$4, AE88+1))</f>
        <v/>
      </c>
      <c r="BA88" s="1179" t="str">
        <f t="shared" si="183"/>
        <v/>
      </c>
      <c r="BB88" s="1179" t="str">
        <f t="shared" si="183"/>
        <v/>
      </c>
      <c r="BC88" s="1179" t="str">
        <f t="shared" si="183"/>
        <v/>
      </c>
      <c r="BD88" s="1180" t="str">
        <f t="shared" si="183"/>
        <v/>
      </c>
      <c r="BE88" s="1181" t="str">
        <f t="shared" si="16"/>
        <v/>
      </c>
      <c r="BF88" s="1125"/>
      <c r="BG88" s="1182" t="str">
        <f t="array" ref="BG88:BL88">IF(COLUMN(AZ88:BE88) = MIN(IF(AZ88:BE88=MAX(AZ88:BE88), COLUMN(AZ88:BE88))), 1, "")</f>
        <v/>
      </c>
      <c r="BH88" s="1182" t="s">
        <v>549</v>
      </c>
      <c r="BI88" s="1182" t="s">
        <v>549</v>
      </c>
      <c r="BJ88" s="1182" t="s">
        <v>549</v>
      </c>
      <c r="BK88" s="1174" t="s">
        <v>549</v>
      </c>
      <c r="BL88" s="1183" t="s">
        <v>549</v>
      </c>
      <c r="BM88" s="1125"/>
    </row>
    <row r="89">
      <c r="A89" s="1123"/>
      <c r="B89" s="1125"/>
      <c r="C89" s="1125"/>
      <c r="D89" s="1185" t="str">
        <f t="shared" si="17"/>
        <v/>
      </c>
      <c r="E89" s="1244"/>
      <c r="F89" s="1186" t="str">
        <f>IFERROR(__xludf.DUMMYFUNCTION("IF(SUM(BG88:BM88), ARRAYFORMULA(FILTER(BG$4:BM$4, BG88:BM88=1)), )"),"")</f>
        <v/>
      </c>
      <c r="G89" s="1187" t="str">
        <f>IFERROR(__xludf.DUMMYFUNCTION("IF(SUM(BG88:BM88),ARRAYFORMULA(FILTER(AE89:AJ89, BG88:BL88)), """")"),"")</f>
        <v/>
      </c>
      <c r="H89" s="1188" t="str">
        <f t="shared" si="18"/>
        <v/>
      </c>
      <c r="I89" s="1187"/>
      <c r="J89" s="1189" t="str">
        <f>IFERROR(__xludf.DUMMYFUNCTION("IF(SUM(BG88:BM88), ARRAYFORMULA(FILTER(AZ88:BE88, BG88:BL88=1))*D$5,"""")"),"")</f>
        <v/>
      </c>
      <c r="K89" s="1190" t="s">
        <v>549</v>
      </c>
      <c r="L89" s="1203" t="s">
        <v>549</v>
      </c>
      <c r="M89" s="1125"/>
      <c r="N89" s="1125"/>
      <c r="O89" s="1125"/>
      <c r="P89" s="1125"/>
      <c r="Q89" s="1125"/>
      <c r="R89" s="1125"/>
      <c r="S89" s="1125"/>
      <c r="T89" s="1125"/>
      <c r="U89" s="1125"/>
      <c r="V89" s="1130"/>
      <c r="W89" s="1125"/>
      <c r="X89" s="1125"/>
      <c r="Y89" s="1125"/>
      <c r="Z89" s="1125"/>
      <c r="AA89" s="1125"/>
      <c r="AB89" s="1125"/>
      <c r="AC89" s="1125"/>
      <c r="AD89" s="1125"/>
      <c r="AE89" s="1173">
        <f t="shared" ref="AE89:AJ89" si="184">AE88+BG88</f>
        <v>10</v>
      </c>
      <c r="AF89" s="1173">
        <f t="shared" si="184"/>
        <v>50</v>
      </c>
      <c r="AG89" s="1173">
        <f t="shared" si="184"/>
        <v>10</v>
      </c>
      <c r="AH89" s="1173">
        <f t="shared" si="184"/>
        <v>5</v>
      </c>
      <c r="AI89" s="1174">
        <f t="shared" si="184"/>
        <v>20</v>
      </c>
      <c r="AJ89" s="1175">
        <f t="shared" si="184"/>
        <v>9</v>
      </c>
      <c r="AK89" s="1125"/>
      <c r="AL89" s="1173">
        <f t="shared" si="3"/>
        <v>300</v>
      </c>
      <c r="AM89" s="1173">
        <f t="shared" si="4"/>
        <v>300</v>
      </c>
      <c r="AN89" s="1173">
        <f t="shared" si="5"/>
        <v>300</v>
      </c>
      <c r="AO89" s="1176">
        <f t="shared" si="6"/>
        <v>1</v>
      </c>
      <c r="AP89" s="1175">
        <f t="shared" si="7"/>
        <v>3226</v>
      </c>
      <c r="AQ89" s="1177">
        <f t="shared" si="8"/>
        <v>4126</v>
      </c>
      <c r="AR89" s="1125"/>
      <c r="AS89" s="1173" t="str">
        <f t="shared" si="9"/>
        <v/>
      </c>
      <c r="AT89" s="1173" t="str">
        <f t="shared" si="10"/>
        <v/>
      </c>
      <c r="AU89" s="1173" t="str">
        <f t="shared" si="11"/>
        <v/>
      </c>
      <c r="AV89" s="1173" t="str">
        <f t="shared" si="12"/>
        <v/>
      </c>
      <c r="AW89" s="1178" t="str">
        <f t="shared" si="13"/>
        <v/>
      </c>
      <c r="AX89" s="1175" t="str">
        <f t="shared" si="14"/>
        <v/>
      </c>
      <c r="AY89" s="1125"/>
      <c r="AZ89" s="1179" t="str">
        <f t="shared" ref="AZ89:BD89" si="185">IF(AS89="", "", (AS89/$AQ89-1)/LABDURATION_SINGLE_ADJUSTED(AZ$4, AE89+1))</f>
        <v/>
      </c>
      <c r="BA89" s="1179" t="str">
        <f t="shared" si="185"/>
        <v/>
      </c>
      <c r="BB89" s="1179" t="str">
        <f t="shared" si="185"/>
        <v/>
      </c>
      <c r="BC89" s="1179" t="str">
        <f t="shared" si="185"/>
        <v/>
      </c>
      <c r="BD89" s="1180" t="str">
        <f t="shared" si="185"/>
        <v/>
      </c>
      <c r="BE89" s="1181" t="str">
        <f t="shared" si="16"/>
        <v/>
      </c>
      <c r="BF89" s="1125"/>
      <c r="BG89" s="1182" t="str">
        <f t="array" ref="BG89:BL89">IF(COLUMN(AZ89:BE89) = MIN(IF(AZ89:BE89=MAX(AZ89:BE89), COLUMN(AZ89:BE89))), 1, "")</f>
        <v/>
      </c>
      <c r="BH89" s="1182" t="s">
        <v>549</v>
      </c>
      <c r="BI89" s="1182" t="s">
        <v>549</v>
      </c>
      <c r="BJ89" s="1182" t="s">
        <v>549</v>
      </c>
      <c r="BK89" s="1174" t="s">
        <v>549</v>
      </c>
      <c r="BL89" s="1183" t="s">
        <v>549</v>
      </c>
      <c r="BM89" s="1125"/>
    </row>
    <row r="90">
      <c r="A90" s="1123"/>
      <c r="B90" s="1125"/>
      <c r="C90" s="1125"/>
      <c r="D90" s="1185" t="str">
        <f t="shared" si="17"/>
        <v/>
      </c>
      <c r="E90" s="1244"/>
      <c r="F90" s="1186" t="str">
        <f>IFERROR(__xludf.DUMMYFUNCTION("IF(SUM(BG89:BM89), ARRAYFORMULA(FILTER(BG$4:BM$4, BG89:BM89=1)), )"),"")</f>
        <v/>
      </c>
      <c r="G90" s="1187" t="str">
        <f>IFERROR(__xludf.DUMMYFUNCTION("IF(SUM(BG89:BM89),ARRAYFORMULA(FILTER(AE90:AJ90, BG89:BL89)), """")"),"")</f>
        <v/>
      </c>
      <c r="H90" s="1188" t="str">
        <f t="shared" si="18"/>
        <v/>
      </c>
      <c r="I90" s="1187"/>
      <c r="J90" s="1189" t="str">
        <f>IFERROR(__xludf.DUMMYFUNCTION("IF(SUM(BG89:BM89), ARRAYFORMULA(FILTER(AZ89:BE89, BG89:BL89=1))*D$5,"""")"),"")</f>
        <v/>
      </c>
      <c r="K90" s="1190" t="s">
        <v>549</v>
      </c>
      <c r="L90" s="1203" t="s">
        <v>549</v>
      </c>
      <c r="M90" s="1125"/>
      <c r="N90" s="1125"/>
      <c r="O90" s="1125"/>
      <c r="P90" s="1125"/>
      <c r="Q90" s="1125"/>
      <c r="R90" s="1125"/>
      <c r="S90" s="1125"/>
      <c r="T90" s="1125"/>
      <c r="U90" s="1125"/>
      <c r="V90" s="1130"/>
      <c r="W90" s="1125"/>
      <c r="X90" s="1125"/>
      <c r="Y90" s="1125"/>
      <c r="Z90" s="1125"/>
      <c r="AA90" s="1125"/>
      <c r="AB90" s="1125"/>
      <c r="AC90" s="1125"/>
      <c r="AD90" s="1125"/>
      <c r="AE90" s="1173">
        <f t="shared" ref="AE90:AJ90" si="186">AE89+BG89</f>
        <v>10</v>
      </c>
      <c r="AF90" s="1173">
        <f t="shared" si="186"/>
        <v>50</v>
      </c>
      <c r="AG90" s="1173">
        <f t="shared" si="186"/>
        <v>10</v>
      </c>
      <c r="AH90" s="1173">
        <f t="shared" si="186"/>
        <v>5</v>
      </c>
      <c r="AI90" s="1174">
        <f t="shared" si="186"/>
        <v>20</v>
      </c>
      <c r="AJ90" s="1175">
        <f t="shared" si="186"/>
        <v>9</v>
      </c>
      <c r="AK90" s="1125"/>
      <c r="AL90" s="1173">
        <f t="shared" si="3"/>
        <v>300</v>
      </c>
      <c r="AM90" s="1173">
        <f t="shared" si="4"/>
        <v>300</v>
      </c>
      <c r="AN90" s="1173">
        <f t="shared" si="5"/>
        <v>300</v>
      </c>
      <c r="AO90" s="1176">
        <f t="shared" si="6"/>
        <v>1</v>
      </c>
      <c r="AP90" s="1175">
        <f t="shared" si="7"/>
        <v>3226</v>
      </c>
      <c r="AQ90" s="1177">
        <f t="shared" si="8"/>
        <v>4126</v>
      </c>
      <c r="AR90" s="1125"/>
      <c r="AS90" s="1173" t="str">
        <f t="shared" si="9"/>
        <v/>
      </c>
      <c r="AT90" s="1173" t="str">
        <f t="shared" si="10"/>
        <v/>
      </c>
      <c r="AU90" s="1173" t="str">
        <f t="shared" si="11"/>
        <v/>
      </c>
      <c r="AV90" s="1173" t="str">
        <f t="shared" si="12"/>
        <v/>
      </c>
      <c r="AW90" s="1178" t="str">
        <f t="shared" si="13"/>
        <v/>
      </c>
      <c r="AX90" s="1175" t="str">
        <f t="shared" si="14"/>
        <v/>
      </c>
      <c r="AY90" s="1125"/>
      <c r="AZ90" s="1179" t="str">
        <f t="shared" ref="AZ90:BD90" si="187">IF(AS90="", "", (AS90/$AQ90-1)/LABDURATION_SINGLE_ADJUSTED(AZ$4, AE90+1))</f>
        <v/>
      </c>
      <c r="BA90" s="1179" t="str">
        <f t="shared" si="187"/>
        <v/>
      </c>
      <c r="BB90" s="1179" t="str">
        <f t="shared" si="187"/>
        <v/>
      </c>
      <c r="BC90" s="1179" t="str">
        <f t="shared" si="187"/>
        <v/>
      </c>
      <c r="BD90" s="1180" t="str">
        <f t="shared" si="187"/>
        <v/>
      </c>
      <c r="BE90" s="1181" t="str">
        <f t="shared" si="16"/>
        <v/>
      </c>
      <c r="BF90" s="1125"/>
      <c r="BG90" s="1182" t="str">
        <f t="array" ref="BG90:BL90">IF(COLUMN(AZ90:BE90) = MIN(IF(AZ90:BE90=MAX(AZ90:BE90), COLUMN(AZ90:BE90))), 1, "")</f>
        <v/>
      </c>
      <c r="BH90" s="1182" t="s">
        <v>549</v>
      </c>
      <c r="BI90" s="1182" t="s">
        <v>549</v>
      </c>
      <c r="BJ90" s="1182" t="s">
        <v>549</v>
      </c>
      <c r="BK90" s="1174" t="s">
        <v>549</v>
      </c>
      <c r="BL90" s="1183" t="s">
        <v>549</v>
      </c>
      <c r="BM90" s="1125"/>
    </row>
    <row r="91">
      <c r="A91" s="1123"/>
      <c r="B91" s="1125"/>
      <c r="C91" s="1125"/>
      <c r="D91" s="1185" t="str">
        <f t="shared" si="17"/>
        <v/>
      </c>
      <c r="E91" s="1244"/>
      <c r="F91" s="1186" t="str">
        <f>IFERROR(__xludf.DUMMYFUNCTION("IF(SUM(BG90:BM90), ARRAYFORMULA(FILTER(BG$4:BM$4, BG90:BM90=1)), )"),"")</f>
        <v/>
      </c>
      <c r="G91" s="1187" t="str">
        <f>IFERROR(__xludf.DUMMYFUNCTION("IF(SUM(BG90:BM90),ARRAYFORMULA(FILTER(AE91:AJ91, BG90:BL90)), """")"),"")</f>
        <v/>
      </c>
      <c r="H91" s="1188" t="str">
        <f t="shared" si="18"/>
        <v/>
      </c>
      <c r="I91" s="1187"/>
      <c r="J91" s="1189" t="str">
        <f>IFERROR(__xludf.DUMMYFUNCTION("IF(SUM(BG90:BM90), ARRAYFORMULA(FILTER(AZ90:BE90, BG90:BL90=1))*D$5,"""")"),"")</f>
        <v/>
      </c>
      <c r="K91" s="1190" t="s">
        <v>549</v>
      </c>
      <c r="L91" s="1203" t="s">
        <v>549</v>
      </c>
      <c r="M91" s="1125"/>
      <c r="N91" s="1125"/>
      <c r="O91" s="1125"/>
      <c r="P91" s="1125"/>
      <c r="Q91" s="1125"/>
      <c r="R91" s="1125"/>
      <c r="S91" s="1125"/>
      <c r="T91" s="1125"/>
      <c r="U91" s="1125"/>
      <c r="V91" s="1130"/>
      <c r="W91" s="1125"/>
      <c r="X91" s="1125"/>
      <c r="Y91" s="1125"/>
      <c r="Z91" s="1125"/>
      <c r="AA91" s="1125"/>
      <c r="AB91" s="1125"/>
      <c r="AC91" s="1125"/>
      <c r="AD91" s="1125"/>
      <c r="AE91" s="1173">
        <f t="shared" ref="AE91:AJ91" si="188">AE90+BG90</f>
        <v>10</v>
      </c>
      <c r="AF91" s="1173">
        <f t="shared" si="188"/>
        <v>50</v>
      </c>
      <c r="AG91" s="1173">
        <f t="shared" si="188"/>
        <v>10</v>
      </c>
      <c r="AH91" s="1173">
        <f t="shared" si="188"/>
        <v>5</v>
      </c>
      <c r="AI91" s="1174">
        <f t="shared" si="188"/>
        <v>20</v>
      </c>
      <c r="AJ91" s="1175">
        <f t="shared" si="188"/>
        <v>9</v>
      </c>
      <c r="AK91" s="1125"/>
      <c r="AL91" s="1173">
        <f t="shared" si="3"/>
        <v>300</v>
      </c>
      <c r="AM91" s="1173">
        <f t="shared" si="4"/>
        <v>300</v>
      </c>
      <c r="AN91" s="1173">
        <f t="shared" si="5"/>
        <v>300</v>
      </c>
      <c r="AO91" s="1176">
        <f t="shared" si="6"/>
        <v>1</v>
      </c>
      <c r="AP91" s="1175">
        <f t="shared" si="7"/>
        <v>3226</v>
      </c>
      <c r="AQ91" s="1177">
        <f t="shared" si="8"/>
        <v>4126</v>
      </c>
      <c r="AR91" s="1125"/>
      <c r="AS91" s="1173" t="str">
        <f t="shared" si="9"/>
        <v/>
      </c>
      <c r="AT91" s="1173" t="str">
        <f t="shared" si="10"/>
        <v/>
      </c>
      <c r="AU91" s="1173" t="str">
        <f t="shared" si="11"/>
        <v/>
      </c>
      <c r="AV91" s="1173" t="str">
        <f t="shared" si="12"/>
        <v/>
      </c>
      <c r="AW91" s="1178" t="str">
        <f t="shared" si="13"/>
        <v/>
      </c>
      <c r="AX91" s="1175" t="str">
        <f t="shared" si="14"/>
        <v/>
      </c>
      <c r="AY91" s="1125"/>
      <c r="AZ91" s="1179" t="str">
        <f t="shared" ref="AZ91:BD91" si="189">IF(AS91="", "", (AS91/$AQ91-1)/LABDURATION_SINGLE_ADJUSTED(AZ$4, AE91+1))</f>
        <v/>
      </c>
      <c r="BA91" s="1179" t="str">
        <f t="shared" si="189"/>
        <v/>
      </c>
      <c r="BB91" s="1179" t="str">
        <f t="shared" si="189"/>
        <v/>
      </c>
      <c r="BC91" s="1179" t="str">
        <f t="shared" si="189"/>
        <v/>
      </c>
      <c r="BD91" s="1180" t="str">
        <f t="shared" si="189"/>
        <v/>
      </c>
      <c r="BE91" s="1181" t="str">
        <f t="shared" si="16"/>
        <v/>
      </c>
      <c r="BF91" s="1125"/>
      <c r="BG91" s="1182" t="str">
        <f t="array" ref="BG91:BL91">IF(COLUMN(AZ91:BE91) = MIN(IF(AZ91:BE91=MAX(AZ91:BE91), COLUMN(AZ91:BE91))), 1, "")</f>
        <v/>
      </c>
      <c r="BH91" s="1182" t="s">
        <v>549</v>
      </c>
      <c r="BI91" s="1182" t="s">
        <v>549</v>
      </c>
      <c r="BJ91" s="1182" t="s">
        <v>549</v>
      </c>
      <c r="BK91" s="1174" t="s">
        <v>549</v>
      </c>
      <c r="BL91" s="1183" t="s">
        <v>549</v>
      </c>
      <c r="BM91" s="1125"/>
    </row>
    <row r="92">
      <c r="A92" s="1123"/>
      <c r="B92" s="1125"/>
      <c r="C92" s="1125"/>
      <c r="D92" s="1185" t="str">
        <f t="shared" si="17"/>
        <v/>
      </c>
      <c r="E92" s="1244"/>
      <c r="F92" s="1186" t="str">
        <f>IFERROR(__xludf.DUMMYFUNCTION("IF(SUM(BG91:BM91), ARRAYFORMULA(FILTER(BG$4:BM$4, BG91:BM91=1)), )"),"")</f>
        <v/>
      </c>
      <c r="G92" s="1187" t="str">
        <f>IFERROR(__xludf.DUMMYFUNCTION("IF(SUM(BG91:BM91),ARRAYFORMULA(FILTER(AE92:AJ92, BG91:BL91)), """")"),"")</f>
        <v/>
      </c>
      <c r="H92" s="1188" t="str">
        <f t="shared" si="18"/>
        <v/>
      </c>
      <c r="I92" s="1187"/>
      <c r="J92" s="1189" t="str">
        <f>IFERROR(__xludf.DUMMYFUNCTION("IF(SUM(BG91:BM91), ARRAYFORMULA(FILTER(AZ91:BE91, BG91:BL91=1))*D$5,"""")"),"")</f>
        <v/>
      </c>
      <c r="K92" s="1190" t="s">
        <v>549</v>
      </c>
      <c r="L92" s="1203" t="s">
        <v>549</v>
      </c>
      <c r="M92" s="1125"/>
      <c r="N92" s="1125"/>
      <c r="O92" s="1125"/>
      <c r="P92" s="1125"/>
      <c r="Q92" s="1125"/>
      <c r="R92" s="1125"/>
      <c r="S92" s="1125"/>
      <c r="T92" s="1125"/>
      <c r="U92" s="1125"/>
      <c r="V92" s="1130"/>
      <c r="W92" s="1125"/>
      <c r="X92" s="1125"/>
      <c r="Y92" s="1125"/>
      <c r="Z92" s="1125"/>
      <c r="AA92" s="1125"/>
      <c r="AB92" s="1125"/>
      <c r="AC92" s="1125"/>
      <c r="AD92" s="1125"/>
      <c r="AE92" s="1173">
        <f t="shared" ref="AE92:AJ92" si="190">AE91+BG91</f>
        <v>10</v>
      </c>
      <c r="AF92" s="1173">
        <f t="shared" si="190"/>
        <v>50</v>
      </c>
      <c r="AG92" s="1173">
        <f t="shared" si="190"/>
        <v>10</v>
      </c>
      <c r="AH92" s="1173">
        <f t="shared" si="190"/>
        <v>5</v>
      </c>
      <c r="AI92" s="1174">
        <f t="shared" si="190"/>
        <v>20</v>
      </c>
      <c r="AJ92" s="1175">
        <f t="shared" si="190"/>
        <v>9</v>
      </c>
      <c r="AK92" s="1125"/>
      <c r="AL92" s="1173">
        <f t="shared" si="3"/>
        <v>300</v>
      </c>
      <c r="AM92" s="1173">
        <f t="shared" si="4"/>
        <v>300</v>
      </c>
      <c r="AN92" s="1173">
        <f t="shared" si="5"/>
        <v>300</v>
      </c>
      <c r="AO92" s="1176">
        <f t="shared" si="6"/>
        <v>1</v>
      </c>
      <c r="AP92" s="1175">
        <f t="shared" si="7"/>
        <v>3226</v>
      </c>
      <c r="AQ92" s="1177">
        <f t="shared" si="8"/>
        <v>4126</v>
      </c>
      <c r="AR92" s="1125"/>
      <c r="AS92" s="1173" t="str">
        <f t="shared" si="9"/>
        <v/>
      </c>
      <c r="AT92" s="1173" t="str">
        <f t="shared" si="10"/>
        <v/>
      </c>
      <c r="AU92" s="1173" t="str">
        <f t="shared" si="11"/>
        <v/>
      </c>
      <c r="AV92" s="1173" t="str">
        <f t="shared" si="12"/>
        <v/>
      </c>
      <c r="AW92" s="1178" t="str">
        <f t="shared" si="13"/>
        <v/>
      </c>
      <c r="AX92" s="1175" t="str">
        <f t="shared" si="14"/>
        <v/>
      </c>
      <c r="AY92" s="1125"/>
      <c r="AZ92" s="1179" t="str">
        <f t="shared" ref="AZ92:BD92" si="191">IF(AS92="", "", (AS92/$AQ92-1)/LABDURATION_SINGLE_ADJUSTED(AZ$4, AE92+1))</f>
        <v/>
      </c>
      <c r="BA92" s="1179" t="str">
        <f t="shared" si="191"/>
        <v/>
      </c>
      <c r="BB92" s="1179" t="str">
        <f t="shared" si="191"/>
        <v/>
      </c>
      <c r="BC92" s="1179" t="str">
        <f t="shared" si="191"/>
        <v/>
      </c>
      <c r="BD92" s="1180" t="str">
        <f t="shared" si="191"/>
        <v/>
      </c>
      <c r="BE92" s="1181" t="str">
        <f t="shared" si="16"/>
        <v/>
      </c>
      <c r="BF92" s="1125"/>
      <c r="BG92" s="1182" t="str">
        <f t="array" ref="BG92:BL92">IF(COLUMN(AZ92:BE92) = MIN(IF(AZ92:BE92=MAX(AZ92:BE92), COLUMN(AZ92:BE92))), 1, "")</f>
        <v/>
      </c>
      <c r="BH92" s="1182" t="s">
        <v>549</v>
      </c>
      <c r="BI92" s="1182" t="s">
        <v>549</v>
      </c>
      <c r="BJ92" s="1182" t="s">
        <v>549</v>
      </c>
      <c r="BK92" s="1174" t="s">
        <v>549</v>
      </c>
      <c r="BL92" s="1183" t="s">
        <v>549</v>
      </c>
      <c r="BM92" s="1125"/>
    </row>
    <row r="93">
      <c r="A93" s="1123"/>
      <c r="B93" s="1125"/>
      <c r="C93" s="1125"/>
      <c r="D93" s="1185" t="str">
        <f t="shared" si="17"/>
        <v/>
      </c>
      <c r="E93" s="1244"/>
      <c r="F93" s="1186" t="str">
        <f>IFERROR(__xludf.DUMMYFUNCTION("IF(SUM(BG92:BM92), ARRAYFORMULA(FILTER(BG$4:BM$4, BG92:BM92=1)), )"),"")</f>
        <v/>
      </c>
      <c r="G93" s="1187" t="str">
        <f>IFERROR(__xludf.DUMMYFUNCTION("IF(SUM(BG92:BM92),ARRAYFORMULA(FILTER(AE93:AJ93, BG92:BL92)), """")"),"")</f>
        <v/>
      </c>
      <c r="H93" s="1188" t="str">
        <f t="shared" si="18"/>
        <v/>
      </c>
      <c r="I93" s="1187"/>
      <c r="J93" s="1189" t="str">
        <f>IFERROR(__xludf.DUMMYFUNCTION("IF(SUM(BG92:BM92), ARRAYFORMULA(FILTER(AZ92:BE92, BG92:BL92=1))*D$5,"""")"),"")</f>
        <v/>
      </c>
      <c r="K93" s="1190" t="s">
        <v>549</v>
      </c>
      <c r="L93" s="1203" t="s">
        <v>549</v>
      </c>
      <c r="M93" s="1125"/>
      <c r="N93" s="1125"/>
      <c r="O93" s="1125"/>
      <c r="P93" s="1125"/>
      <c r="Q93" s="1125"/>
      <c r="R93" s="1125"/>
      <c r="S93" s="1125"/>
      <c r="T93" s="1125"/>
      <c r="U93" s="1125"/>
      <c r="V93" s="1130"/>
      <c r="W93" s="1125"/>
      <c r="X93" s="1125"/>
      <c r="Y93" s="1125"/>
      <c r="Z93" s="1125"/>
      <c r="AA93" s="1125"/>
      <c r="AB93" s="1125"/>
      <c r="AC93" s="1125"/>
      <c r="AD93" s="1125"/>
      <c r="AE93" s="1173">
        <f t="shared" ref="AE93:AJ93" si="192">AE92+BG92</f>
        <v>10</v>
      </c>
      <c r="AF93" s="1173">
        <f t="shared" si="192"/>
        <v>50</v>
      </c>
      <c r="AG93" s="1173">
        <f t="shared" si="192"/>
        <v>10</v>
      </c>
      <c r="AH93" s="1173">
        <f t="shared" si="192"/>
        <v>5</v>
      </c>
      <c r="AI93" s="1174">
        <f t="shared" si="192"/>
        <v>20</v>
      </c>
      <c r="AJ93" s="1175">
        <f t="shared" si="192"/>
        <v>9</v>
      </c>
      <c r="AK93" s="1125"/>
      <c r="AL93" s="1173">
        <f t="shared" si="3"/>
        <v>300</v>
      </c>
      <c r="AM93" s="1173">
        <f t="shared" si="4"/>
        <v>300</v>
      </c>
      <c r="AN93" s="1173">
        <f t="shared" si="5"/>
        <v>300</v>
      </c>
      <c r="AO93" s="1176">
        <f t="shared" si="6"/>
        <v>1</v>
      </c>
      <c r="AP93" s="1175">
        <f t="shared" si="7"/>
        <v>3226</v>
      </c>
      <c r="AQ93" s="1177">
        <f t="shared" si="8"/>
        <v>4126</v>
      </c>
      <c r="AR93" s="1125"/>
      <c r="AS93" s="1173" t="str">
        <f t="shared" si="9"/>
        <v/>
      </c>
      <c r="AT93" s="1173" t="str">
        <f t="shared" si="10"/>
        <v/>
      </c>
      <c r="AU93" s="1173" t="str">
        <f t="shared" si="11"/>
        <v/>
      </c>
      <c r="AV93" s="1173" t="str">
        <f t="shared" si="12"/>
        <v/>
      </c>
      <c r="AW93" s="1178" t="str">
        <f t="shared" si="13"/>
        <v/>
      </c>
      <c r="AX93" s="1175" t="str">
        <f t="shared" si="14"/>
        <v/>
      </c>
      <c r="AY93" s="1125"/>
      <c r="AZ93" s="1179" t="str">
        <f t="shared" ref="AZ93:BD93" si="193">IF(AS93="", "", (AS93/$AQ93-1)/LABDURATION_SINGLE_ADJUSTED(AZ$4, AE93+1))</f>
        <v/>
      </c>
      <c r="BA93" s="1179" t="str">
        <f t="shared" si="193"/>
        <v/>
      </c>
      <c r="BB93" s="1179" t="str">
        <f t="shared" si="193"/>
        <v/>
      </c>
      <c r="BC93" s="1179" t="str">
        <f t="shared" si="193"/>
        <v/>
      </c>
      <c r="BD93" s="1180" t="str">
        <f t="shared" si="193"/>
        <v/>
      </c>
      <c r="BE93" s="1181" t="str">
        <f t="shared" si="16"/>
        <v/>
      </c>
      <c r="BF93" s="1125"/>
      <c r="BG93" s="1182" t="str">
        <f t="array" ref="BG93:BL93">IF(COLUMN(AZ93:BE93) = MIN(IF(AZ93:BE93=MAX(AZ93:BE93), COLUMN(AZ93:BE93))), 1, "")</f>
        <v/>
      </c>
      <c r="BH93" s="1182" t="s">
        <v>549</v>
      </c>
      <c r="BI93" s="1182" t="s">
        <v>549</v>
      </c>
      <c r="BJ93" s="1182" t="s">
        <v>549</v>
      </c>
      <c r="BK93" s="1174" t="s">
        <v>549</v>
      </c>
      <c r="BL93" s="1183" t="s">
        <v>549</v>
      </c>
      <c r="BM93" s="1125"/>
    </row>
    <row r="94">
      <c r="A94" s="1123"/>
      <c r="B94" s="1125"/>
      <c r="C94" s="1125"/>
      <c r="D94" s="1185" t="str">
        <f t="shared" si="17"/>
        <v/>
      </c>
      <c r="E94" s="1244"/>
      <c r="F94" s="1186" t="str">
        <f>IFERROR(__xludf.DUMMYFUNCTION("IF(SUM(BG93:BM93), ARRAYFORMULA(FILTER(BG$4:BM$4, BG93:BM93=1)), )"),"")</f>
        <v/>
      </c>
      <c r="G94" s="1187" t="str">
        <f>IFERROR(__xludf.DUMMYFUNCTION("IF(SUM(BG93:BM93),ARRAYFORMULA(FILTER(AE94:AJ94, BG93:BL93)), """")"),"")</f>
        <v/>
      </c>
      <c r="H94" s="1188" t="str">
        <f t="shared" si="18"/>
        <v/>
      </c>
      <c r="I94" s="1187"/>
      <c r="J94" s="1189" t="str">
        <f>IFERROR(__xludf.DUMMYFUNCTION("IF(SUM(BG93:BM93), ARRAYFORMULA(FILTER(AZ93:BE93, BG93:BL93=1))*D$5,"""")"),"")</f>
        <v/>
      </c>
      <c r="K94" s="1190" t="s">
        <v>549</v>
      </c>
      <c r="L94" s="1203" t="s">
        <v>549</v>
      </c>
      <c r="M94" s="1125"/>
      <c r="N94" s="1125"/>
      <c r="O94" s="1125"/>
      <c r="P94" s="1125"/>
      <c r="Q94" s="1125"/>
      <c r="R94" s="1125"/>
      <c r="S94" s="1125"/>
      <c r="T94" s="1125"/>
      <c r="U94" s="1125"/>
      <c r="V94" s="1130"/>
      <c r="W94" s="1125"/>
      <c r="X94" s="1125"/>
      <c r="Y94" s="1125"/>
      <c r="Z94" s="1125"/>
      <c r="AA94" s="1125"/>
      <c r="AB94" s="1125"/>
      <c r="AC94" s="1125"/>
      <c r="AD94" s="1125"/>
      <c r="AE94" s="1173">
        <f t="shared" ref="AE94:AJ94" si="194">AE93+BG93</f>
        <v>10</v>
      </c>
      <c r="AF94" s="1173">
        <f t="shared" si="194"/>
        <v>50</v>
      </c>
      <c r="AG94" s="1173">
        <f t="shared" si="194"/>
        <v>10</v>
      </c>
      <c r="AH94" s="1173">
        <f t="shared" si="194"/>
        <v>5</v>
      </c>
      <c r="AI94" s="1174">
        <f t="shared" si="194"/>
        <v>20</v>
      </c>
      <c r="AJ94" s="1175">
        <f t="shared" si="194"/>
        <v>9</v>
      </c>
      <c r="AK94" s="1125"/>
      <c r="AL94" s="1173">
        <f t="shared" si="3"/>
        <v>300</v>
      </c>
      <c r="AM94" s="1173">
        <f t="shared" si="4"/>
        <v>300</v>
      </c>
      <c r="AN94" s="1173">
        <f t="shared" si="5"/>
        <v>300</v>
      </c>
      <c r="AO94" s="1176">
        <f t="shared" si="6"/>
        <v>1</v>
      </c>
      <c r="AP94" s="1175">
        <f t="shared" si="7"/>
        <v>3226</v>
      </c>
      <c r="AQ94" s="1177">
        <f t="shared" si="8"/>
        <v>4126</v>
      </c>
      <c r="AR94" s="1125"/>
      <c r="AS94" s="1173" t="str">
        <f t="shared" si="9"/>
        <v/>
      </c>
      <c r="AT94" s="1173" t="str">
        <f t="shared" si="10"/>
        <v/>
      </c>
      <c r="AU94" s="1173" t="str">
        <f t="shared" si="11"/>
        <v/>
      </c>
      <c r="AV94" s="1173" t="str">
        <f t="shared" si="12"/>
        <v/>
      </c>
      <c r="AW94" s="1178" t="str">
        <f t="shared" si="13"/>
        <v/>
      </c>
      <c r="AX94" s="1175" t="str">
        <f t="shared" si="14"/>
        <v/>
      </c>
      <c r="AY94" s="1125"/>
      <c r="AZ94" s="1179" t="str">
        <f t="shared" ref="AZ94:BD94" si="195">IF(AS94="", "", (AS94/$AQ94-1)/LABDURATION_SINGLE_ADJUSTED(AZ$4, AE94+1))</f>
        <v/>
      </c>
      <c r="BA94" s="1179" t="str">
        <f t="shared" si="195"/>
        <v/>
      </c>
      <c r="BB94" s="1179" t="str">
        <f t="shared" si="195"/>
        <v/>
      </c>
      <c r="BC94" s="1179" t="str">
        <f t="shared" si="195"/>
        <v/>
      </c>
      <c r="BD94" s="1180" t="str">
        <f t="shared" si="195"/>
        <v/>
      </c>
      <c r="BE94" s="1181" t="str">
        <f t="shared" si="16"/>
        <v/>
      </c>
      <c r="BF94" s="1125"/>
      <c r="BG94" s="1182" t="str">
        <f t="array" ref="BG94:BL94">IF(COLUMN(AZ94:BE94) = MIN(IF(AZ94:BE94=MAX(AZ94:BE94), COLUMN(AZ94:BE94))), 1, "")</f>
        <v/>
      </c>
      <c r="BH94" s="1182" t="s">
        <v>549</v>
      </c>
      <c r="BI94" s="1182" t="s">
        <v>549</v>
      </c>
      <c r="BJ94" s="1182" t="s">
        <v>549</v>
      </c>
      <c r="BK94" s="1174" t="s">
        <v>549</v>
      </c>
      <c r="BL94" s="1183" t="s">
        <v>549</v>
      </c>
      <c r="BM94" s="1125"/>
    </row>
    <row r="95">
      <c r="A95" s="1123"/>
      <c r="B95" s="1125"/>
      <c r="C95" s="1125"/>
      <c r="D95" s="1185" t="str">
        <f t="shared" si="17"/>
        <v/>
      </c>
      <c r="E95" s="1244"/>
      <c r="F95" s="1186" t="str">
        <f>IFERROR(__xludf.DUMMYFUNCTION("IF(SUM(BG94:BM94), ARRAYFORMULA(FILTER(BG$4:BM$4, BG94:BM94=1)), )"),"")</f>
        <v/>
      </c>
      <c r="G95" s="1187" t="str">
        <f>IFERROR(__xludf.DUMMYFUNCTION("IF(SUM(BG94:BM94),ARRAYFORMULA(FILTER(AE95:AJ95, BG94:BL94)), """")"),"")</f>
        <v/>
      </c>
      <c r="H95" s="1188" t="str">
        <f t="shared" si="18"/>
        <v/>
      </c>
      <c r="I95" s="1187"/>
      <c r="J95" s="1189" t="str">
        <f>IFERROR(__xludf.DUMMYFUNCTION("IF(SUM(BG94:BM94), ARRAYFORMULA(FILTER(AZ94:BE94, BG94:BL94=1))*D$5,"""")"),"")</f>
        <v/>
      </c>
      <c r="K95" s="1190" t="s">
        <v>549</v>
      </c>
      <c r="L95" s="1252" t="s">
        <v>549</v>
      </c>
      <c r="M95" s="1125"/>
      <c r="N95" s="1125"/>
      <c r="O95" s="1125"/>
      <c r="P95" s="1125"/>
      <c r="Q95" s="1125"/>
      <c r="R95" s="1125"/>
      <c r="S95" s="1125"/>
      <c r="T95" s="1125"/>
      <c r="U95" s="1125"/>
      <c r="V95" s="1130"/>
      <c r="W95" s="1125"/>
      <c r="X95" s="1125"/>
      <c r="Y95" s="1125"/>
      <c r="Z95" s="1125"/>
      <c r="AA95" s="1125"/>
      <c r="AB95" s="1125"/>
      <c r="AC95" s="1125"/>
      <c r="AD95" s="1125"/>
      <c r="AE95" s="1173">
        <f t="shared" ref="AE95:AJ95" si="196">AE94+BG94</f>
        <v>10</v>
      </c>
      <c r="AF95" s="1173">
        <f t="shared" si="196"/>
        <v>50</v>
      </c>
      <c r="AG95" s="1173">
        <f t="shared" si="196"/>
        <v>10</v>
      </c>
      <c r="AH95" s="1173">
        <f t="shared" si="196"/>
        <v>5</v>
      </c>
      <c r="AI95" s="1174">
        <f t="shared" si="196"/>
        <v>20</v>
      </c>
      <c r="AJ95" s="1175">
        <f t="shared" si="196"/>
        <v>9</v>
      </c>
      <c r="AK95" s="1125"/>
      <c r="AL95" s="1173">
        <f t="shared" si="3"/>
        <v>300</v>
      </c>
      <c r="AM95" s="1173">
        <f t="shared" si="4"/>
        <v>300</v>
      </c>
      <c r="AN95" s="1173">
        <f t="shared" si="5"/>
        <v>300</v>
      </c>
      <c r="AO95" s="1176">
        <f t="shared" si="6"/>
        <v>1</v>
      </c>
      <c r="AP95" s="1175">
        <f t="shared" si="7"/>
        <v>3226</v>
      </c>
      <c r="AQ95" s="1177">
        <f t="shared" si="8"/>
        <v>4126</v>
      </c>
      <c r="AR95" s="1125"/>
      <c r="AS95" s="1173" t="str">
        <f t="shared" si="9"/>
        <v/>
      </c>
      <c r="AT95" s="1173" t="str">
        <f t="shared" si="10"/>
        <v/>
      </c>
      <c r="AU95" s="1173" t="str">
        <f t="shared" si="11"/>
        <v/>
      </c>
      <c r="AV95" s="1173" t="str">
        <f t="shared" si="12"/>
        <v/>
      </c>
      <c r="AW95" s="1178" t="str">
        <f t="shared" si="13"/>
        <v/>
      </c>
      <c r="AX95" s="1175" t="str">
        <f t="shared" si="14"/>
        <v/>
      </c>
      <c r="AY95" s="1125"/>
      <c r="AZ95" s="1179" t="str">
        <f t="shared" ref="AZ95:BD95" si="197">IF(AS95="", "", (AS95/$AQ95-1)/LABDURATION_SINGLE_ADJUSTED(AZ$4, AE95+1))</f>
        <v/>
      </c>
      <c r="BA95" s="1179" t="str">
        <f t="shared" si="197"/>
        <v/>
      </c>
      <c r="BB95" s="1179" t="str">
        <f t="shared" si="197"/>
        <v/>
      </c>
      <c r="BC95" s="1179" t="str">
        <f t="shared" si="197"/>
        <v/>
      </c>
      <c r="BD95" s="1180" t="str">
        <f t="shared" si="197"/>
        <v/>
      </c>
      <c r="BE95" s="1181" t="str">
        <f t="shared" si="16"/>
        <v/>
      </c>
      <c r="BF95" s="1125"/>
      <c r="BG95" s="1182" t="str">
        <f t="array" ref="BG95:BL95">IF(COLUMN(AZ95:BE95) = MIN(IF(AZ95:BE95=MAX(AZ95:BE95), COLUMN(AZ95:BE95))), 1, "")</f>
        <v/>
      </c>
      <c r="BH95" s="1182" t="s">
        <v>549</v>
      </c>
      <c r="BI95" s="1182" t="s">
        <v>549</v>
      </c>
      <c r="BJ95" s="1182" t="s">
        <v>549</v>
      </c>
      <c r="BK95" s="1174" t="s">
        <v>549</v>
      </c>
      <c r="BL95" s="1183" t="s">
        <v>549</v>
      </c>
      <c r="BM95" s="1125"/>
    </row>
    <row r="96">
      <c r="A96" s="1123"/>
      <c r="B96" s="1125"/>
      <c r="C96" s="1125"/>
      <c r="D96" s="1185" t="str">
        <f t="shared" si="17"/>
        <v/>
      </c>
      <c r="E96" s="1244"/>
      <c r="F96" s="1186" t="str">
        <f>IFERROR(__xludf.DUMMYFUNCTION("IF(SUM(BG95:BM95), ARRAYFORMULA(FILTER(BG$4:BM$4, BG95:BM95=1)), )"),"")</f>
        <v/>
      </c>
      <c r="G96" s="1187" t="str">
        <f>IFERROR(__xludf.DUMMYFUNCTION("IF(SUM(BG95:BM95),ARRAYFORMULA(FILTER(AE96:AJ96, BG95:BL95)), """")"),"")</f>
        <v/>
      </c>
      <c r="H96" s="1188" t="str">
        <f t="shared" si="18"/>
        <v/>
      </c>
      <c r="I96" s="1187"/>
      <c r="J96" s="1189" t="str">
        <f>IFERROR(__xludf.DUMMYFUNCTION("IF(SUM(BG95:BM95), ARRAYFORMULA(FILTER(AZ95:BE95, BG95:BL95=1))*D$5,"""")"),"")</f>
        <v/>
      </c>
      <c r="K96" s="1190" t="s">
        <v>549</v>
      </c>
      <c r="L96" s="1203" t="s">
        <v>549</v>
      </c>
      <c r="M96" s="1125"/>
      <c r="N96" s="1125"/>
      <c r="O96" s="1125"/>
      <c r="P96" s="1125"/>
      <c r="Q96" s="1125"/>
      <c r="R96" s="1125"/>
      <c r="S96" s="1125"/>
      <c r="T96" s="1125"/>
      <c r="U96" s="1125"/>
      <c r="V96" s="1130"/>
      <c r="W96" s="1125"/>
      <c r="X96" s="1125"/>
      <c r="Y96" s="1125"/>
      <c r="Z96" s="1125"/>
      <c r="AA96" s="1125"/>
      <c r="AB96" s="1125"/>
      <c r="AC96" s="1125"/>
      <c r="AD96" s="1125"/>
      <c r="AE96" s="1173">
        <f t="shared" ref="AE96:AJ96" si="198">AE95+BG95</f>
        <v>10</v>
      </c>
      <c r="AF96" s="1173">
        <f t="shared" si="198"/>
        <v>50</v>
      </c>
      <c r="AG96" s="1173">
        <f t="shared" si="198"/>
        <v>10</v>
      </c>
      <c r="AH96" s="1173">
        <f t="shared" si="198"/>
        <v>5</v>
      </c>
      <c r="AI96" s="1174">
        <f t="shared" si="198"/>
        <v>20</v>
      </c>
      <c r="AJ96" s="1175">
        <f t="shared" si="198"/>
        <v>9</v>
      </c>
      <c r="AK96" s="1125"/>
      <c r="AL96" s="1173">
        <f t="shared" si="3"/>
        <v>300</v>
      </c>
      <c r="AM96" s="1173">
        <f t="shared" si="4"/>
        <v>300</v>
      </c>
      <c r="AN96" s="1173">
        <f t="shared" si="5"/>
        <v>300</v>
      </c>
      <c r="AO96" s="1176">
        <f t="shared" si="6"/>
        <v>1</v>
      </c>
      <c r="AP96" s="1175">
        <f t="shared" si="7"/>
        <v>3226</v>
      </c>
      <c r="AQ96" s="1177">
        <f t="shared" si="8"/>
        <v>4126</v>
      </c>
      <c r="AR96" s="1125"/>
      <c r="AS96" s="1173" t="str">
        <f t="shared" si="9"/>
        <v/>
      </c>
      <c r="AT96" s="1173" t="str">
        <f t="shared" si="10"/>
        <v/>
      </c>
      <c r="AU96" s="1173" t="str">
        <f t="shared" si="11"/>
        <v/>
      </c>
      <c r="AV96" s="1173" t="str">
        <f t="shared" si="12"/>
        <v/>
      </c>
      <c r="AW96" s="1178" t="str">
        <f t="shared" si="13"/>
        <v/>
      </c>
      <c r="AX96" s="1175" t="str">
        <f t="shared" si="14"/>
        <v/>
      </c>
      <c r="AY96" s="1125"/>
      <c r="AZ96" s="1179" t="str">
        <f t="shared" ref="AZ96:BD96" si="199">IF(AS96="", "", (AS96/$AQ96-1)/LABDURATION_SINGLE_ADJUSTED(AZ$4, AE96+1))</f>
        <v/>
      </c>
      <c r="BA96" s="1179" t="str">
        <f t="shared" si="199"/>
        <v/>
      </c>
      <c r="BB96" s="1179" t="str">
        <f t="shared" si="199"/>
        <v/>
      </c>
      <c r="BC96" s="1179" t="str">
        <f t="shared" si="199"/>
        <v/>
      </c>
      <c r="BD96" s="1180" t="str">
        <f t="shared" si="199"/>
        <v/>
      </c>
      <c r="BE96" s="1181" t="str">
        <f t="shared" si="16"/>
        <v/>
      </c>
      <c r="BF96" s="1125"/>
      <c r="BG96" s="1182" t="str">
        <f t="array" ref="BG96:BL96">IF(COLUMN(AZ96:BE96) = MIN(IF(AZ96:BE96=MAX(AZ96:BE96), COLUMN(AZ96:BE96))), 1, "")</f>
        <v/>
      </c>
      <c r="BH96" s="1182" t="s">
        <v>549</v>
      </c>
      <c r="BI96" s="1182" t="s">
        <v>549</v>
      </c>
      <c r="BJ96" s="1182" t="s">
        <v>549</v>
      </c>
      <c r="BK96" s="1174" t="s">
        <v>549</v>
      </c>
      <c r="BL96" s="1183" t="s">
        <v>549</v>
      </c>
      <c r="BM96" s="1125"/>
    </row>
    <row r="97">
      <c r="A97" s="1123"/>
      <c r="B97" s="1125"/>
      <c r="C97" s="1125"/>
      <c r="D97" s="1185" t="str">
        <f t="shared" si="17"/>
        <v/>
      </c>
      <c r="E97" s="1244"/>
      <c r="F97" s="1186" t="str">
        <f>IFERROR(__xludf.DUMMYFUNCTION("IF(SUM(BG96:BM96), ARRAYFORMULA(FILTER(BG$4:BM$4, BG96:BM96=1)), )"),"")</f>
        <v/>
      </c>
      <c r="G97" s="1187" t="str">
        <f>IFERROR(__xludf.DUMMYFUNCTION("IF(SUM(BG96:BM96),ARRAYFORMULA(FILTER(AE97:AJ97, BG96:BL96)), """")"),"")</f>
        <v/>
      </c>
      <c r="H97" s="1188" t="str">
        <f t="shared" si="18"/>
        <v/>
      </c>
      <c r="I97" s="1187"/>
      <c r="J97" s="1189" t="str">
        <f>IFERROR(__xludf.DUMMYFUNCTION("IF(SUM(BG96:BM96), ARRAYFORMULA(FILTER(AZ96:BE96, BG96:BL96=1))*D$5,"""")"),"")</f>
        <v/>
      </c>
      <c r="K97" s="1190" t="s">
        <v>549</v>
      </c>
      <c r="L97" s="1203" t="s">
        <v>549</v>
      </c>
      <c r="M97" s="1125"/>
      <c r="N97" s="1125"/>
      <c r="O97" s="1125"/>
      <c r="P97" s="1125"/>
      <c r="Q97" s="1125"/>
      <c r="R97" s="1125"/>
      <c r="S97" s="1125"/>
      <c r="T97" s="1125"/>
      <c r="U97" s="1125"/>
      <c r="V97" s="1130"/>
      <c r="W97" s="1125"/>
      <c r="X97" s="1125"/>
      <c r="Y97" s="1125"/>
      <c r="Z97" s="1125"/>
      <c r="AA97" s="1125"/>
      <c r="AB97" s="1125"/>
      <c r="AC97" s="1125"/>
      <c r="AD97" s="1125"/>
      <c r="AE97" s="1173">
        <f t="shared" ref="AE97:AJ97" si="200">AE96+BG96</f>
        <v>10</v>
      </c>
      <c r="AF97" s="1173">
        <f t="shared" si="200"/>
        <v>50</v>
      </c>
      <c r="AG97" s="1173">
        <f t="shared" si="200"/>
        <v>10</v>
      </c>
      <c r="AH97" s="1173">
        <f t="shared" si="200"/>
        <v>5</v>
      </c>
      <c r="AI97" s="1174">
        <f t="shared" si="200"/>
        <v>20</v>
      </c>
      <c r="AJ97" s="1175">
        <f t="shared" si="200"/>
        <v>9</v>
      </c>
      <c r="AK97" s="1125"/>
      <c r="AL97" s="1173">
        <f t="shared" si="3"/>
        <v>300</v>
      </c>
      <c r="AM97" s="1173">
        <f t="shared" si="4"/>
        <v>300</v>
      </c>
      <c r="AN97" s="1173">
        <f t="shared" si="5"/>
        <v>300</v>
      </c>
      <c r="AO97" s="1176">
        <f t="shared" si="6"/>
        <v>1</v>
      </c>
      <c r="AP97" s="1175">
        <f t="shared" si="7"/>
        <v>3226</v>
      </c>
      <c r="AQ97" s="1177">
        <f t="shared" si="8"/>
        <v>4126</v>
      </c>
      <c r="AR97" s="1125"/>
      <c r="AS97" s="1173" t="str">
        <f t="shared" si="9"/>
        <v/>
      </c>
      <c r="AT97" s="1173" t="str">
        <f t="shared" si="10"/>
        <v/>
      </c>
      <c r="AU97" s="1173" t="str">
        <f t="shared" si="11"/>
        <v/>
      </c>
      <c r="AV97" s="1173" t="str">
        <f t="shared" si="12"/>
        <v/>
      </c>
      <c r="AW97" s="1178" t="str">
        <f t="shared" si="13"/>
        <v/>
      </c>
      <c r="AX97" s="1175" t="str">
        <f t="shared" si="14"/>
        <v/>
      </c>
      <c r="AY97" s="1125"/>
      <c r="AZ97" s="1179" t="str">
        <f t="shared" ref="AZ97:BD97" si="201">IF(AS97="", "", (AS97/$AQ97-1)/LABDURATION_SINGLE_ADJUSTED(AZ$4, AE97+1))</f>
        <v/>
      </c>
      <c r="BA97" s="1179" t="str">
        <f t="shared" si="201"/>
        <v/>
      </c>
      <c r="BB97" s="1179" t="str">
        <f t="shared" si="201"/>
        <v/>
      </c>
      <c r="BC97" s="1179" t="str">
        <f t="shared" si="201"/>
        <v/>
      </c>
      <c r="BD97" s="1180" t="str">
        <f t="shared" si="201"/>
        <v/>
      </c>
      <c r="BE97" s="1181" t="str">
        <f t="shared" si="16"/>
        <v/>
      </c>
      <c r="BF97" s="1125"/>
      <c r="BG97" s="1182" t="str">
        <f t="array" ref="BG97:BL97">IF(COLUMN(AZ97:BE97) = MIN(IF(AZ97:BE97=MAX(AZ97:BE97), COLUMN(AZ97:BE97))), 1, "")</f>
        <v/>
      </c>
      <c r="BH97" s="1182" t="s">
        <v>549</v>
      </c>
      <c r="BI97" s="1182" t="s">
        <v>549</v>
      </c>
      <c r="BJ97" s="1182" t="s">
        <v>549</v>
      </c>
      <c r="BK97" s="1174" t="s">
        <v>549</v>
      </c>
      <c r="BL97" s="1183" t="s">
        <v>549</v>
      </c>
      <c r="BM97" s="1125"/>
    </row>
    <row r="98">
      <c r="A98" s="1123"/>
      <c r="B98" s="1125"/>
      <c r="C98" s="1125"/>
      <c r="D98" s="1185" t="str">
        <f t="shared" si="17"/>
        <v/>
      </c>
      <c r="E98" s="1244"/>
      <c r="F98" s="1186" t="str">
        <f>IFERROR(__xludf.DUMMYFUNCTION("IF(SUM(BG97:BM97), ARRAYFORMULA(FILTER(BG$4:BM$4, BG97:BM97=1)), )"),"")</f>
        <v/>
      </c>
      <c r="G98" s="1187" t="str">
        <f>IFERROR(__xludf.DUMMYFUNCTION("IF(SUM(BG97:BM97),ARRAYFORMULA(FILTER(AE98:AJ98, BG97:BL97)), """")"),"")</f>
        <v/>
      </c>
      <c r="H98" s="1188" t="str">
        <f t="shared" si="18"/>
        <v/>
      </c>
      <c r="I98" s="1187"/>
      <c r="J98" s="1189" t="str">
        <f>IFERROR(__xludf.DUMMYFUNCTION("IF(SUM(BG97:BM97), ARRAYFORMULA(FILTER(AZ97:BE97, BG97:BL97=1))*D$5,"""")"),"")</f>
        <v/>
      </c>
      <c r="K98" s="1190" t="s">
        <v>549</v>
      </c>
      <c r="L98" s="1203" t="s">
        <v>549</v>
      </c>
      <c r="M98" s="1125"/>
      <c r="N98" s="1125"/>
      <c r="O98" s="1125"/>
      <c r="P98" s="1125"/>
      <c r="Q98" s="1125"/>
      <c r="R98" s="1125"/>
      <c r="S98" s="1125"/>
      <c r="T98" s="1125"/>
      <c r="U98" s="1125"/>
      <c r="V98" s="1130"/>
      <c r="W98" s="1125"/>
      <c r="X98" s="1125"/>
      <c r="Y98" s="1125"/>
      <c r="Z98" s="1125"/>
      <c r="AA98" s="1125"/>
      <c r="AB98" s="1125"/>
      <c r="AC98" s="1125"/>
      <c r="AD98" s="1125"/>
      <c r="AE98" s="1173">
        <f t="shared" ref="AE98:AJ98" si="202">AE97+BG97</f>
        <v>10</v>
      </c>
      <c r="AF98" s="1173">
        <f t="shared" si="202"/>
        <v>50</v>
      </c>
      <c r="AG98" s="1173">
        <f t="shared" si="202"/>
        <v>10</v>
      </c>
      <c r="AH98" s="1173">
        <f t="shared" si="202"/>
        <v>5</v>
      </c>
      <c r="AI98" s="1174">
        <f t="shared" si="202"/>
        <v>20</v>
      </c>
      <c r="AJ98" s="1175">
        <f t="shared" si="202"/>
        <v>9</v>
      </c>
      <c r="AK98" s="1125"/>
      <c r="AL98" s="1173">
        <f t="shared" si="3"/>
        <v>300</v>
      </c>
      <c r="AM98" s="1173">
        <f t="shared" si="4"/>
        <v>300</v>
      </c>
      <c r="AN98" s="1173">
        <f t="shared" si="5"/>
        <v>300</v>
      </c>
      <c r="AO98" s="1176">
        <f t="shared" si="6"/>
        <v>1</v>
      </c>
      <c r="AP98" s="1175">
        <f t="shared" si="7"/>
        <v>3226</v>
      </c>
      <c r="AQ98" s="1177">
        <f t="shared" si="8"/>
        <v>4126</v>
      </c>
      <c r="AR98" s="1125"/>
      <c r="AS98" s="1173" t="str">
        <f t="shared" si="9"/>
        <v/>
      </c>
      <c r="AT98" s="1173" t="str">
        <f t="shared" si="10"/>
        <v/>
      </c>
      <c r="AU98" s="1173" t="str">
        <f t="shared" si="11"/>
        <v/>
      </c>
      <c r="AV98" s="1173" t="str">
        <f t="shared" si="12"/>
        <v/>
      </c>
      <c r="AW98" s="1178" t="str">
        <f t="shared" si="13"/>
        <v/>
      </c>
      <c r="AX98" s="1175" t="str">
        <f t="shared" si="14"/>
        <v/>
      </c>
      <c r="AY98" s="1125"/>
      <c r="AZ98" s="1179" t="str">
        <f t="shared" ref="AZ98:BD98" si="203">IF(AS98="", "", (AS98/$AQ98-1)/LABDURATION_SINGLE_ADJUSTED(AZ$4, AE98+1))</f>
        <v/>
      </c>
      <c r="BA98" s="1179" t="str">
        <f t="shared" si="203"/>
        <v/>
      </c>
      <c r="BB98" s="1179" t="str">
        <f t="shared" si="203"/>
        <v/>
      </c>
      <c r="BC98" s="1179" t="str">
        <f t="shared" si="203"/>
        <v/>
      </c>
      <c r="BD98" s="1180" t="str">
        <f t="shared" si="203"/>
        <v/>
      </c>
      <c r="BE98" s="1181" t="str">
        <f t="shared" si="16"/>
        <v/>
      </c>
      <c r="BF98" s="1125"/>
      <c r="BG98" s="1182" t="str">
        <f t="array" ref="BG98:BL98">IF(COLUMN(AZ98:BE98) = MIN(IF(AZ98:BE98=MAX(AZ98:BE98), COLUMN(AZ98:BE98))), 1, "")</f>
        <v/>
      </c>
      <c r="BH98" s="1182" t="s">
        <v>549</v>
      </c>
      <c r="BI98" s="1182" t="s">
        <v>549</v>
      </c>
      <c r="BJ98" s="1182" t="s">
        <v>549</v>
      </c>
      <c r="BK98" s="1174" t="s">
        <v>549</v>
      </c>
      <c r="BL98" s="1183" t="s">
        <v>549</v>
      </c>
      <c r="BM98" s="1125"/>
    </row>
    <row r="99">
      <c r="A99" s="1123"/>
      <c r="B99" s="1125"/>
      <c r="C99" s="1125"/>
      <c r="D99" s="1185" t="str">
        <f t="shared" si="17"/>
        <v/>
      </c>
      <c r="E99" s="1244"/>
      <c r="F99" s="1186" t="str">
        <f>IFERROR(__xludf.DUMMYFUNCTION("IF(SUM(BG98:BM98), ARRAYFORMULA(FILTER(BG$4:BM$4, BG98:BM98=1)), )"),"")</f>
        <v/>
      </c>
      <c r="G99" s="1187" t="str">
        <f>IFERROR(__xludf.DUMMYFUNCTION("IF(SUM(BG98:BM98),ARRAYFORMULA(FILTER(AE99:AJ99, BG98:BL98)), """")"),"")</f>
        <v/>
      </c>
      <c r="H99" s="1188" t="str">
        <f t="shared" si="18"/>
        <v/>
      </c>
      <c r="I99" s="1187"/>
      <c r="J99" s="1189" t="str">
        <f>IFERROR(__xludf.DUMMYFUNCTION("IF(SUM(BG98:BM98), ARRAYFORMULA(FILTER(AZ98:BE98, BG98:BL98=1))*D$5,"""")"),"")</f>
        <v/>
      </c>
      <c r="K99" s="1190" t="s">
        <v>549</v>
      </c>
      <c r="L99" s="1203" t="s">
        <v>549</v>
      </c>
      <c r="M99" s="1125"/>
      <c r="N99" s="1125"/>
      <c r="O99" s="1125"/>
      <c r="P99" s="1125"/>
      <c r="Q99" s="1125"/>
      <c r="R99" s="1125"/>
      <c r="S99" s="1125"/>
      <c r="T99" s="1125"/>
      <c r="U99" s="1125"/>
      <c r="V99" s="1130"/>
      <c r="W99" s="1125"/>
      <c r="X99" s="1125"/>
      <c r="Y99" s="1125"/>
      <c r="Z99" s="1125"/>
      <c r="AA99" s="1125"/>
      <c r="AB99" s="1125"/>
      <c r="AC99" s="1125"/>
      <c r="AD99" s="1125"/>
      <c r="AE99" s="1173">
        <f t="shared" ref="AE99:AJ99" si="204">AE98+BG98</f>
        <v>10</v>
      </c>
      <c r="AF99" s="1173">
        <f t="shared" si="204"/>
        <v>50</v>
      </c>
      <c r="AG99" s="1173">
        <f t="shared" si="204"/>
        <v>10</v>
      </c>
      <c r="AH99" s="1173">
        <f t="shared" si="204"/>
        <v>5</v>
      </c>
      <c r="AI99" s="1174">
        <f t="shared" si="204"/>
        <v>20</v>
      </c>
      <c r="AJ99" s="1175">
        <f t="shared" si="204"/>
        <v>9</v>
      </c>
      <c r="AK99" s="1125"/>
      <c r="AL99" s="1173">
        <f t="shared" si="3"/>
        <v>300</v>
      </c>
      <c r="AM99" s="1173">
        <f t="shared" si="4"/>
        <v>300</v>
      </c>
      <c r="AN99" s="1173">
        <f t="shared" si="5"/>
        <v>300</v>
      </c>
      <c r="AO99" s="1176">
        <f t="shared" si="6"/>
        <v>1</v>
      </c>
      <c r="AP99" s="1175">
        <f t="shared" si="7"/>
        <v>3226</v>
      </c>
      <c r="AQ99" s="1177">
        <f t="shared" si="8"/>
        <v>4126</v>
      </c>
      <c r="AR99" s="1125"/>
      <c r="AS99" s="1173" t="str">
        <f t="shared" si="9"/>
        <v/>
      </c>
      <c r="AT99" s="1173" t="str">
        <f t="shared" si="10"/>
        <v/>
      </c>
      <c r="AU99" s="1173" t="str">
        <f t="shared" si="11"/>
        <v/>
      </c>
      <c r="AV99" s="1173" t="str">
        <f t="shared" si="12"/>
        <v/>
      </c>
      <c r="AW99" s="1178" t="str">
        <f t="shared" si="13"/>
        <v/>
      </c>
      <c r="AX99" s="1175" t="str">
        <f t="shared" si="14"/>
        <v/>
      </c>
      <c r="AY99" s="1125"/>
      <c r="AZ99" s="1179" t="str">
        <f t="shared" ref="AZ99:BD99" si="205">IF(AS99="", "", (AS99/$AQ99-1)/LABDURATION_SINGLE_ADJUSTED(AZ$4, AE99+1))</f>
        <v/>
      </c>
      <c r="BA99" s="1179" t="str">
        <f t="shared" si="205"/>
        <v/>
      </c>
      <c r="BB99" s="1179" t="str">
        <f t="shared" si="205"/>
        <v/>
      </c>
      <c r="BC99" s="1179" t="str">
        <f t="shared" si="205"/>
        <v/>
      </c>
      <c r="BD99" s="1180" t="str">
        <f t="shared" si="205"/>
        <v/>
      </c>
      <c r="BE99" s="1181" t="str">
        <f t="shared" si="16"/>
        <v/>
      </c>
      <c r="BF99" s="1125"/>
      <c r="BG99" s="1182" t="str">
        <f t="array" ref="BG99:BL99">IF(COLUMN(AZ99:BE99) = MIN(IF(AZ99:BE99=MAX(AZ99:BE99), COLUMN(AZ99:BE99))), 1, "")</f>
        <v/>
      </c>
      <c r="BH99" s="1182" t="s">
        <v>549</v>
      </c>
      <c r="BI99" s="1182" t="s">
        <v>549</v>
      </c>
      <c r="BJ99" s="1182" t="s">
        <v>549</v>
      </c>
      <c r="BK99" s="1174" t="s">
        <v>549</v>
      </c>
      <c r="BL99" s="1183" t="s">
        <v>549</v>
      </c>
      <c r="BM99" s="1125"/>
    </row>
    <row r="100">
      <c r="A100" s="1123"/>
      <c r="B100" s="1125"/>
      <c r="C100" s="1125"/>
      <c r="D100" s="1185" t="str">
        <f t="shared" si="17"/>
        <v/>
      </c>
      <c r="E100" s="1244"/>
      <c r="F100" s="1186" t="str">
        <f>IFERROR(__xludf.DUMMYFUNCTION("IF(SUM(BG99:BM99), ARRAYFORMULA(FILTER(BG$4:BM$4, BG99:BM99=1)), )"),"")</f>
        <v/>
      </c>
      <c r="G100" s="1187" t="str">
        <f>IFERROR(__xludf.DUMMYFUNCTION("IF(SUM(BG99:BM99),ARRAYFORMULA(FILTER(AE100:AJ100, BG99:BL99)), """")"),"")</f>
        <v/>
      </c>
      <c r="H100" s="1188" t="str">
        <f t="shared" si="18"/>
        <v/>
      </c>
      <c r="I100" s="1187"/>
      <c r="J100" s="1189" t="str">
        <f>IFERROR(__xludf.DUMMYFUNCTION("IF(SUM(BG99:BM99), ARRAYFORMULA(FILTER(AZ99:BE99, BG99:BL99=1))*D$5,"""")"),"")</f>
        <v/>
      </c>
      <c r="K100" s="1190" t="s">
        <v>549</v>
      </c>
      <c r="L100" s="1203" t="s">
        <v>549</v>
      </c>
      <c r="M100" s="1125"/>
      <c r="N100" s="1125"/>
      <c r="O100" s="1125"/>
      <c r="P100" s="1125"/>
      <c r="Q100" s="1125"/>
      <c r="R100" s="1125"/>
      <c r="S100" s="1125"/>
      <c r="T100" s="1125"/>
      <c r="U100" s="1125"/>
      <c r="V100" s="1130"/>
      <c r="W100" s="1125"/>
      <c r="X100" s="1125"/>
      <c r="Y100" s="1125"/>
      <c r="Z100" s="1125"/>
      <c r="AA100" s="1125"/>
      <c r="AB100" s="1125"/>
      <c r="AC100" s="1125"/>
      <c r="AD100" s="1125"/>
      <c r="AE100" s="1173">
        <f t="shared" ref="AE100:AJ100" si="206">AE99+BG99</f>
        <v>10</v>
      </c>
      <c r="AF100" s="1173">
        <f t="shared" si="206"/>
        <v>50</v>
      </c>
      <c r="AG100" s="1173">
        <f t="shared" si="206"/>
        <v>10</v>
      </c>
      <c r="AH100" s="1173">
        <f t="shared" si="206"/>
        <v>5</v>
      </c>
      <c r="AI100" s="1174">
        <f t="shared" si="206"/>
        <v>20</v>
      </c>
      <c r="AJ100" s="1175">
        <f t="shared" si="206"/>
        <v>9</v>
      </c>
      <c r="AK100" s="1125"/>
      <c r="AL100" s="1173">
        <f t="shared" si="3"/>
        <v>300</v>
      </c>
      <c r="AM100" s="1173">
        <f t="shared" si="4"/>
        <v>300</v>
      </c>
      <c r="AN100" s="1173">
        <f t="shared" si="5"/>
        <v>300</v>
      </c>
      <c r="AO100" s="1176">
        <f t="shared" si="6"/>
        <v>1</v>
      </c>
      <c r="AP100" s="1175">
        <f t="shared" si="7"/>
        <v>3226</v>
      </c>
      <c r="AQ100" s="1177">
        <f t="shared" si="8"/>
        <v>4126</v>
      </c>
      <c r="AR100" s="1125"/>
      <c r="AS100" s="1173" t="str">
        <f t="shared" si="9"/>
        <v/>
      </c>
      <c r="AT100" s="1173" t="str">
        <f t="shared" si="10"/>
        <v/>
      </c>
      <c r="AU100" s="1173" t="str">
        <f t="shared" si="11"/>
        <v/>
      </c>
      <c r="AV100" s="1173" t="str">
        <f t="shared" si="12"/>
        <v/>
      </c>
      <c r="AW100" s="1178" t="str">
        <f t="shared" si="13"/>
        <v/>
      </c>
      <c r="AX100" s="1175" t="str">
        <f t="shared" si="14"/>
        <v/>
      </c>
      <c r="AY100" s="1125"/>
      <c r="AZ100" s="1179" t="str">
        <f t="shared" ref="AZ100:BD100" si="207">IF(AS100="", "", (AS100/$AQ100-1)/LABDURATION_SINGLE_ADJUSTED(AZ$4, AE100+1))</f>
        <v/>
      </c>
      <c r="BA100" s="1179" t="str">
        <f t="shared" si="207"/>
        <v/>
      </c>
      <c r="BB100" s="1179" t="str">
        <f t="shared" si="207"/>
        <v/>
      </c>
      <c r="BC100" s="1179" t="str">
        <f t="shared" si="207"/>
        <v/>
      </c>
      <c r="BD100" s="1180" t="str">
        <f t="shared" si="207"/>
        <v/>
      </c>
      <c r="BE100" s="1181" t="str">
        <f t="shared" si="16"/>
        <v/>
      </c>
      <c r="BF100" s="1125"/>
      <c r="BG100" s="1182" t="str">
        <f t="array" ref="BG100:BL100">IF(COLUMN(AZ100:BE100) = MIN(IF(AZ100:BE100=MAX(AZ100:BE100), COLUMN(AZ100:BE100))), 1, "")</f>
        <v/>
      </c>
      <c r="BH100" s="1182" t="s">
        <v>549</v>
      </c>
      <c r="BI100" s="1182" t="s">
        <v>549</v>
      </c>
      <c r="BJ100" s="1182" t="s">
        <v>549</v>
      </c>
      <c r="BK100" s="1174" t="s">
        <v>549</v>
      </c>
      <c r="BL100" s="1183" t="s">
        <v>549</v>
      </c>
      <c r="BM100" s="1125"/>
    </row>
    <row r="101">
      <c r="A101" s="1123"/>
      <c r="B101" s="1125"/>
      <c r="C101" s="1125"/>
      <c r="D101" s="1185" t="str">
        <f t="shared" si="17"/>
        <v/>
      </c>
      <c r="E101" s="1125"/>
      <c r="F101" s="1186" t="str">
        <f>IFERROR(__xludf.DUMMYFUNCTION("IF(SUM(BG100:BM100), ARRAYFORMULA(FILTER(BG$4:BM$4, BG100:BM100=1)), )"),"")</f>
        <v/>
      </c>
      <c r="G101" s="1187" t="str">
        <f>IFERROR(__xludf.DUMMYFUNCTION("IF(SUM(BG100:BM100),ARRAYFORMULA(FILTER(AE101:AJ101, BG100:BL100)), """")"),"")</f>
        <v/>
      </c>
      <c r="H101" s="1188" t="str">
        <f t="shared" si="18"/>
        <v/>
      </c>
      <c r="I101" s="1187"/>
      <c r="J101" s="1189" t="str">
        <f>IFERROR(__xludf.DUMMYFUNCTION("IF(SUM(BG100:BM100), ARRAYFORMULA(FILTER(AZ100:BE100, BG100:BL100=1))*D$5,"""")"),"")</f>
        <v/>
      </c>
      <c r="K101" s="1190" t="s">
        <v>549</v>
      </c>
      <c r="L101" s="1125" t="s">
        <v>549</v>
      </c>
      <c r="M101" s="1125"/>
      <c r="N101" s="1125"/>
      <c r="O101" s="1125"/>
      <c r="P101" s="1125"/>
      <c r="Q101" s="1125"/>
      <c r="R101" s="1125"/>
      <c r="S101" s="1125"/>
      <c r="T101" s="1125"/>
      <c r="U101" s="1125"/>
      <c r="V101" s="1125"/>
      <c r="W101" s="1125"/>
      <c r="X101" s="1125"/>
      <c r="Y101" s="1125"/>
      <c r="Z101" s="1125"/>
      <c r="AA101" s="1125"/>
      <c r="AB101" s="1125"/>
      <c r="AC101" s="1125"/>
      <c r="AD101" s="1125"/>
      <c r="AE101" s="1173">
        <f t="shared" ref="AE101:AJ101" si="208">AE100+BG100</f>
        <v>10</v>
      </c>
      <c r="AF101" s="1173">
        <f t="shared" si="208"/>
        <v>50</v>
      </c>
      <c r="AG101" s="1173">
        <f t="shared" si="208"/>
        <v>10</v>
      </c>
      <c r="AH101" s="1173">
        <f t="shared" si="208"/>
        <v>5</v>
      </c>
      <c r="AI101" s="1174">
        <f t="shared" si="208"/>
        <v>20</v>
      </c>
      <c r="AJ101" s="1175">
        <f t="shared" si="208"/>
        <v>9</v>
      </c>
      <c r="AK101" s="1125"/>
      <c r="AL101" s="1173">
        <f t="shared" si="3"/>
        <v>300</v>
      </c>
      <c r="AM101" s="1173">
        <f t="shared" si="4"/>
        <v>300</v>
      </c>
      <c r="AN101" s="1173">
        <f t="shared" si="5"/>
        <v>300</v>
      </c>
      <c r="AO101" s="1176">
        <f t="shared" si="6"/>
        <v>1</v>
      </c>
      <c r="AP101" s="1175">
        <f t="shared" si="7"/>
        <v>3226</v>
      </c>
      <c r="AQ101" s="1177">
        <f t="shared" si="8"/>
        <v>4126</v>
      </c>
      <c r="AR101" s="1125"/>
      <c r="AS101" s="1173" t="str">
        <f t="shared" si="9"/>
        <v/>
      </c>
      <c r="AT101" s="1173" t="str">
        <f t="shared" si="10"/>
        <v/>
      </c>
      <c r="AU101" s="1173" t="str">
        <f t="shared" si="11"/>
        <v/>
      </c>
      <c r="AV101" s="1173" t="str">
        <f t="shared" si="12"/>
        <v/>
      </c>
      <c r="AW101" s="1178" t="str">
        <f t="shared" si="13"/>
        <v/>
      </c>
      <c r="AX101" s="1175" t="str">
        <f t="shared" si="14"/>
        <v/>
      </c>
      <c r="AY101" s="1125"/>
      <c r="AZ101" s="1179" t="str">
        <f t="shared" ref="AZ101:BD101" si="209">IF(AS101="", "", (AS101/$AQ101-1)/LABDURATION_SINGLE_ADJUSTED(AZ$4, AE101+1))</f>
        <v/>
      </c>
      <c r="BA101" s="1179" t="str">
        <f t="shared" si="209"/>
        <v/>
      </c>
      <c r="BB101" s="1179" t="str">
        <f t="shared" si="209"/>
        <v/>
      </c>
      <c r="BC101" s="1179" t="str">
        <f t="shared" si="209"/>
        <v/>
      </c>
      <c r="BD101" s="1180" t="str">
        <f t="shared" si="209"/>
        <v/>
      </c>
      <c r="BE101" s="1181" t="str">
        <f t="shared" si="16"/>
        <v/>
      </c>
      <c r="BF101" s="1125"/>
      <c r="BG101" s="1182" t="str">
        <f t="array" ref="BG101:BL101">IF(COLUMN(AZ101:BE101) = MIN(IF(AZ101:BE101=MAX(AZ101:BE101), COLUMN(AZ101:BE101))), 1, "")</f>
        <v/>
      </c>
      <c r="BH101" s="1182" t="s">
        <v>549</v>
      </c>
      <c r="BI101" s="1182" t="s">
        <v>549</v>
      </c>
      <c r="BJ101" s="1182" t="s">
        <v>549</v>
      </c>
      <c r="BK101" s="1174" t="s">
        <v>549</v>
      </c>
      <c r="BL101" s="1183" t="s">
        <v>549</v>
      </c>
      <c r="BM101" s="1125"/>
    </row>
    <row r="102">
      <c r="A102" s="1123"/>
      <c r="B102" s="1125"/>
      <c r="C102" s="1125"/>
      <c r="D102" s="1185" t="str">
        <f t="shared" si="17"/>
        <v/>
      </c>
      <c r="E102" s="1125"/>
      <c r="F102" s="1186" t="str">
        <f>IFERROR(__xludf.DUMMYFUNCTION("IF(SUM(BG101:BM101), ARRAYFORMULA(FILTER(BG$4:BM$4, BG101:BM101=1)), )"),"")</f>
        <v/>
      </c>
      <c r="G102" s="1187" t="str">
        <f>IFERROR(__xludf.DUMMYFUNCTION("IF(SUM(BG101:BM101),ARRAYFORMULA(FILTER(AE102:AJ102, BG101:BL101)), """")"),"")</f>
        <v/>
      </c>
      <c r="H102" s="1188" t="str">
        <f t="shared" si="18"/>
        <v/>
      </c>
      <c r="I102" s="1187"/>
      <c r="J102" s="1189" t="str">
        <f>IFERROR(__xludf.DUMMYFUNCTION("IF(SUM(BG101:BM101), ARRAYFORMULA(FILTER(AZ101:BE101, BG101:BL101=1))*D$5,"""")"),"")</f>
        <v/>
      </c>
      <c r="K102" s="1190" t="s">
        <v>549</v>
      </c>
      <c r="L102" s="1125" t="s">
        <v>549</v>
      </c>
      <c r="M102" s="1125"/>
      <c r="N102" s="1125"/>
      <c r="O102" s="1125"/>
      <c r="P102" s="1125"/>
      <c r="Q102" s="1125"/>
      <c r="R102" s="1125"/>
      <c r="S102" s="1125"/>
      <c r="T102" s="1125"/>
      <c r="U102" s="1125"/>
      <c r="V102" s="1125"/>
      <c r="W102" s="1125"/>
      <c r="X102" s="1125"/>
      <c r="Y102" s="1125"/>
      <c r="Z102" s="1125"/>
      <c r="AA102" s="1125"/>
      <c r="AB102" s="1125"/>
      <c r="AC102" s="1125"/>
      <c r="AD102" s="1125"/>
      <c r="AE102" s="1173">
        <f t="shared" ref="AE102:AJ102" si="210">AE101+BG101</f>
        <v>10</v>
      </c>
      <c r="AF102" s="1173">
        <f t="shared" si="210"/>
        <v>50</v>
      </c>
      <c r="AG102" s="1173">
        <f t="shared" si="210"/>
        <v>10</v>
      </c>
      <c r="AH102" s="1173">
        <f t="shared" si="210"/>
        <v>5</v>
      </c>
      <c r="AI102" s="1174">
        <f t="shared" si="210"/>
        <v>20</v>
      </c>
      <c r="AJ102" s="1175">
        <f t="shared" si="210"/>
        <v>9</v>
      </c>
      <c r="AK102" s="1125"/>
      <c r="AL102" s="1173">
        <f t="shared" si="3"/>
        <v>300</v>
      </c>
      <c r="AM102" s="1173">
        <f t="shared" si="4"/>
        <v>300</v>
      </c>
      <c r="AN102" s="1173">
        <f t="shared" si="5"/>
        <v>300</v>
      </c>
      <c r="AO102" s="1176">
        <f t="shared" si="6"/>
        <v>1</v>
      </c>
      <c r="AP102" s="1175">
        <f t="shared" si="7"/>
        <v>3226</v>
      </c>
      <c r="AQ102" s="1177">
        <f t="shared" si="8"/>
        <v>4126</v>
      </c>
      <c r="AR102" s="1125"/>
      <c r="AS102" s="1173" t="str">
        <f t="shared" si="9"/>
        <v/>
      </c>
      <c r="AT102" s="1173" t="str">
        <f t="shared" si="10"/>
        <v/>
      </c>
      <c r="AU102" s="1173" t="str">
        <f t="shared" si="11"/>
        <v/>
      </c>
      <c r="AV102" s="1173" t="str">
        <f t="shared" si="12"/>
        <v/>
      </c>
      <c r="AW102" s="1178" t="str">
        <f t="shared" si="13"/>
        <v/>
      </c>
      <c r="AX102" s="1175" t="str">
        <f t="shared" si="14"/>
        <v/>
      </c>
      <c r="AY102" s="1125"/>
      <c r="AZ102" s="1179" t="str">
        <f t="shared" ref="AZ102:BD102" si="211">IF(AS102="", "", (AS102/$AQ102-1)/LABDURATION_SINGLE_ADJUSTED(AZ$4, AE102+1))</f>
        <v/>
      </c>
      <c r="BA102" s="1179" t="str">
        <f t="shared" si="211"/>
        <v/>
      </c>
      <c r="BB102" s="1179" t="str">
        <f t="shared" si="211"/>
        <v/>
      </c>
      <c r="BC102" s="1179" t="str">
        <f t="shared" si="211"/>
        <v/>
      </c>
      <c r="BD102" s="1180" t="str">
        <f t="shared" si="211"/>
        <v/>
      </c>
      <c r="BE102" s="1181" t="str">
        <f t="shared" si="16"/>
        <v/>
      </c>
      <c r="BF102" s="1125"/>
      <c r="BG102" s="1182" t="str">
        <f t="array" ref="BG102:BL102">IF(COLUMN(AZ102:BE102) = MIN(IF(AZ102:BE102=MAX(AZ102:BE102), COLUMN(AZ102:BE102))), 1, "")</f>
        <v/>
      </c>
      <c r="BH102" s="1182" t="s">
        <v>549</v>
      </c>
      <c r="BI102" s="1182" t="s">
        <v>549</v>
      </c>
      <c r="BJ102" s="1182" t="s">
        <v>549</v>
      </c>
      <c r="BK102" s="1174" t="s">
        <v>549</v>
      </c>
      <c r="BL102" s="1183" t="s">
        <v>549</v>
      </c>
      <c r="BM102" s="1125"/>
    </row>
    <row r="103">
      <c r="A103" s="1123"/>
      <c r="B103" s="1125"/>
      <c r="C103" s="1125"/>
      <c r="D103" s="1185" t="str">
        <f t="shared" si="17"/>
        <v/>
      </c>
      <c r="E103" s="1125"/>
      <c r="F103" s="1186" t="str">
        <f>IFERROR(__xludf.DUMMYFUNCTION("IF(SUM(BG102:BM102), ARRAYFORMULA(FILTER(BG$4:BM$4, BG102:BM102=1)), )"),"")</f>
        <v/>
      </c>
      <c r="G103" s="1187" t="str">
        <f>IFERROR(__xludf.DUMMYFUNCTION("IF(SUM(BG102:BM102),ARRAYFORMULA(FILTER(AE103:AJ103, BG102:BL102)), """")"),"")</f>
        <v/>
      </c>
      <c r="H103" s="1188" t="str">
        <f t="shared" si="18"/>
        <v/>
      </c>
      <c r="I103" s="1187"/>
      <c r="J103" s="1189" t="str">
        <f>IFERROR(__xludf.DUMMYFUNCTION("IF(SUM(BG102:BM102), ARRAYFORMULA(FILTER(AZ102:BE102, BG102:BL102=1))*D$5,"""")"),"")</f>
        <v/>
      </c>
      <c r="K103" s="1190" t="s">
        <v>549</v>
      </c>
      <c r="L103" s="1125" t="s">
        <v>549</v>
      </c>
      <c r="M103" s="1125"/>
      <c r="N103" s="1125"/>
      <c r="O103" s="1125"/>
      <c r="P103" s="1125"/>
      <c r="Q103" s="1125"/>
      <c r="R103" s="1125"/>
      <c r="S103" s="1125"/>
      <c r="T103" s="1125"/>
      <c r="U103" s="1125"/>
      <c r="V103" s="1125"/>
      <c r="W103" s="1125"/>
      <c r="X103" s="1125"/>
      <c r="Y103" s="1125"/>
      <c r="Z103" s="1125"/>
      <c r="AA103" s="1125"/>
      <c r="AB103" s="1125"/>
      <c r="AC103" s="1125"/>
      <c r="AD103" s="1125"/>
      <c r="AE103" s="1173">
        <f t="shared" ref="AE103:AJ103" si="212">AE102+BG102</f>
        <v>10</v>
      </c>
      <c r="AF103" s="1173">
        <f t="shared" si="212"/>
        <v>50</v>
      </c>
      <c r="AG103" s="1173">
        <f t="shared" si="212"/>
        <v>10</v>
      </c>
      <c r="AH103" s="1173">
        <f t="shared" si="212"/>
        <v>5</v>
      </c>
      <c r="AI103" s="1174">
        <f t="shared" si="212"/>
        <v>20</v>
      </c>
      <c r="AJ103" s="1175">
        <f t="shared" si="212"/>
        <v>9</v>
      </c>
      <c r="AK103" s="1125"/>
      <c r="AL103" s="1173">
        <f t="shared" si="3"/>
        <v>300</v>
      </c>
      <c r="AM103" s="1173">
        <f t="shared" si="4"/>
        <v>300</v>
      </c>
      <c r="AN103" s="1173">
        <f t="shared" si="5"/>
        <v>300</v>
      </c>
      <c r="AO103" s="1176">
        <f t="shared" si="6"/>
        <v>1</v>
      </c>
      <c r="AP103" s="1175">
        <f t="shared" si="7"/>
        <v>3226</v>
      </c>
      <c r="AQ103" s="1177">
        <f t="shared" si="8"/>
        <v>4126</v>
      </c>
      <c r="AR103" s="1125"/>
      <c r="AS103" s="1173" t="str">
        <f t="shared" si="9"/>
        <v/>
      </c>
      <c r="AT103" s="1173" t="str">
        <f t="shared" si="10"/>
        <v/>
      </c>
      <c r="AU103" s="1173" t="str">
        <f t="shared" si="11"/>
        <v/>
      </c>
      <c r="AV103" s="1173" t="str">
        <f t="shared" si="12"/>
        <v/>
      </c>
      <c r="AW103" s="1178" t="str">
        <f t="shared" si="13"/>
        <v/>
      </c>
      <c r="AX103" s="1175" t="str">
        <f t="shared" si="14"/>
        <v/>
      </c>
      <c r="AY103" s="1125"/>
      <c r="AZ103" s="1179" t="str">
        <f t="shared" ref="AZ103:BD103" si="213">IF(AS103="", "", (AS103/$AQ103-1)/LABDURATION_SINGLE_ADJUSTED(AZ$4, AE103+1))</f>
        <v/>
      </c>
      <c r="BA103" s="1179" t="str">
        <f t="shared" si="213"/>
        <v/>
      </c>
      <c r="BB103" s="1179" t="str">
        <f t="shared" si="213"/>
        <v/>
      </c>
      <c r="BC103" s="1179" t="str">
        <f t="shared" si="213"/>
        <v/>
      </c>
      <c r="BD103" s="1180" t="str">
        <f t="shared" si="213"/>
        <v/>
      </c>
      <c r="BE103" s="1181" t="str">
        <f t="shared" si="16"/>
        <v/>
      </c>
      <c r="BF103" s="1125"/>
      <c r="BG103" s="1182" t="str">
        <f t="array" ref="BG103:BL103">IF(COLUMN(AZ103:BE103) = MIN(IF(AZ103:BE103=MAX(AZ103:BE103), COLUMN(AZ103:BE103))), 1, "")</f>
        <v/>
      </c>
      <c r="BH103" s="1182" t="s">
        <v>549</v>
      </c>
      <c r="BI103" s="1182" t="s">
        <v>549</v>
      </c>
      <c r="BJ103" s="1182" t="s">
        <v>549</v>
      </c>
      <c r="BK103" s="1174" t="s">
        <v>549</v>
      </c>
      <c r="BL103" s="1183" t="s">
        <v>549</v>
      </c>
      <c r="BM103" s="1125"/>
    </row>
    <row r="104">
      <c r="A104" s="1123"/>
      <c r="B104" s="1125"/>
      <c r="C104" s="1125"/>
      <c r="D104" s="1185" t="str">
        <f t="shared" si="17"/>
        <v/>
      </c>
      <c r="E104" s="1125"/>
      <c r="F104" s="1186" t="str">
        <f>IFERROR(__xludf.DUMMYFUNCTION("IF(SUM(BG103:BM103), ARRAYFORMULA(FILTER(BG$4:BM$4, BG103:BM103=1)), )"),"")</f>
        <v/>
      </c>
      <c r="G104" s="1187" t="str">
        <f>IFERROR(__xludf.DUMMYFUNCTION("IF(SUM(BG103:BM103),ARRAYFORMULA(FILTER(AE104:AJ104, BG103:BL103)), """")"),"")</f>
        <v/>
      </c>
      <c r="H104" s="1188" t="str">
        <f t="shared" si="18"/>
        <v/>
      </c>
      <c r="I104" s="1187"/>
      <c r="J104" s="1189" t="str">
        <f>IFERROR(__xludf.DUMMYFUNCTION("IF(SUM(BG103:BM103), ARRAYFORMULA(FILTER(AZ103:BE103, BG103:BL103=1))*D$5,"""")"),"")</f>
        <v/>
      </c>
      <c r="K104" s="1190" t="s">
        <v>549</v>
      </c>
      <c r="L104" s="1125" t="s">
        <v>549</v>
      </c>
      <c r="M104" s="1125"/>
      <c r="N104" s="1125"/>
      <c r="O104" s="1125"/>
      <c r="P104" s="1125"/>
      <c r="Q104" s="1125"/>
      <c r="R104" s="1125"/>
      <c r="S104" s="1125"/>
      <c r="T104" s="1125"/>
      <c r="U104" s="1125"/>
      <c r="V104" s="1125"/>
      <c r="W104" s="1125"/>
      <c r="X104" s="1125"/>
      <c r="Y104" s="1125"/>
      <c r="Z104" s="1125"/>
      <c r="AA104" s="1125"/>
      <c r="AB104" s="1125"/>
      <c r="AC104" s="1125"/>
      <c r="AD104" s="1125"/>
      <c r="AE104" s="1173">
        <f t="shared" ref="AE104:AJ104" si="214">AE103+BG103</f>
        <v>10</v>
      </c>
      <c r="AF104" s="1173">
        <f t="shared" si="214"/>
        <v>50</v>
      </c>
      <c r="AG104" s="1173">
        <f t="shared" si="214"/>
        <v>10</v>
      </c>
      <c r="AH104" s="1173">
        <f t="shared" si="214"/>
        <v>5</v>
      </c>
      <c r="AI104" s="1174">
        <f t="shared" si="214"/>
        <v>20</v>
      </c>
      <c r="AJ104" s="1175">
        <f t="shared" si="214"/>
        <v>9</v>
      </c>
      <c r="AK104" s="1125"/>
      <c r="AL104" s="1173">
        <f t="shared" si="3"/>
        <v>300</v>
      </c>
      <c r="AM104" s="1173">
        <f t="shared" si="4"/>
        <v>300</v>
      </c>
      <c r="AN104" s="1173">
        <f t="shared" si="5"/>
        <v>300</v>
      </c>
      <c r="AO104" s="1176">
        <f t="shared" si="6"/>
        <v>1</v>
      </c>
      <c r="AP104" s="1175">
        <f t="shared" si="7"/>
        <v>3226</v>
      </c>
      <c r="AQ104" s="1177">
        <f t="shared" si="8"/>
        <v>4126</v>
      </c>
      <c r="AR104" s="1125"/>
      <c r="AS104" s="1173" t="str">
        <f t="shared" si="9"/>
        <v/>
      </c>
      <c r="AT104" s="1173" t="str">
        <f t="shared" si="10"/>
        <v/>
      </c>
      <c r="AU104" s="1173" t="str">
        <f t="shared" si="11"/>
        <v/>
      </c>
      <c r="AV104" s="1173" t="str">
        <f t="shared" si="12"/>
        <v/>
      </c>
      <c r="AW104" s="1178" t="str">
        <f t="shared" si="13"/>
        <v/>
      </c>
      <c r="AX104" s="1175" t="str">
        <f t="shared" si="14"/>
        <v/>
      </c>
      <c r="AY104" s="1125"/>
      <c r="AZ104" s="1179" t="str">
        <f t="shared" ref="AZ104:BD104" si="215">IF(AS104="", "", (AS104/$AQ104-1)/LABDURATION_SINGLE_ADJUSTED(AZ$4, AE104+1))</f>
        <v/>
      </c>
      <c r="BA104" s="1179" t="str">
        <f t="shared" si="215"/>
        <v/>
      </c>
      <c r="BB104" s="1179" t="str">
        <f t="shared" si="215"/>
        <v/>
      </c>
      <c r="BC104" s="1179" t="str">
        <f t="shared" si="215"/>
        <v/>
      </c>
      <c r="BD104" s="1180" t="str">
        <f t="shared" si="215"/>
        <v/>
      </c>
      <c r="BE104" s="1181" t="str">
        <f t="shared" si="16"/>
        <v/>
      </c>
      <c r="BF104" s="1125"/>
      <c r="BG104" s="1182" t="str">
        <f t="array" ref="BG104:BL104">IF(COLUMN(AZ104:BE104) = MIN(IF(AZ104:BE104=MAX(AZ104:BE104), COLUMN(AZ104:BE104))), 1, "")</f>
        <v/>
      </c>
      <c r="BH104" s="1182" t="s">
        <v>549</v>
      </c>
      <c r="BI104" s="1182" t="s">
        <v>549</v>
      </c>
      <c r="BJ104" s="1182" t="s">
        <v>549</v>
      </c>
      <c r="BK104" s="1174" t="s">
        <v>549</v>
      </c>
      <c r="BL104" s="1183" t="s">
        <v>549</v>
      </c>
      <c r="BM104" s="1125"/>
    </row>
    <row r="105">
      <c r="A105" s="1123"/>
      <c r="B105" s="1125"/>
      <c r="C105" s="1125"/>
      <c r="D105" s="1185" t="str">
        <f t="shared" si="17"/>
        <v/>
      </c>
      <c r="E105" s="1125"/>
      <c r="F105" s="1186" t="str">
        <f>IFERROR(__xludf.DUMMYFUNCTION("IF(SUM(BG104:BM104), ARRAYFORMULA(FILTER(BG$4:BM$4, BG104:BM104=1)), )"),"")</f>
        <v/>
      </c>
      <c r="G105" s="1187" t="str">
        <f>IFERROR(__xludf.DUMMYFUNCTION("IF(SUM(BG104:BM104),ARRAYFORMULA(FILTER(AE105:AJ105, BG104:BL104)), """")"),"")</f>
        <v/>
      </c>
      <c r="H105" s="1188" t="str">
        <f t="shared" si="18"/>
        <v/>
      </c>
      <c r="I105" s="1187"/>
      <c r="J105" s="1189" t="str">
        <f>IFERROR(__xludf.DUMMYFUNCTION("IF(SUM(BG104:BM104), ARRAYFORMULA(FILTER(AZ104:BE104, BG104:BL104=1))*D$5,"""")"),"")</f>
        <v/>
      </c>
      <c r="K105" s="1190" t="s">
        <v>549</v>
      </c>
      <c r="L105" s="1125" t="s">
        <v>549</v>
      </c>
      <c r="M105" s="1125"/>
      <c r="N105" s="1125"/>
      <c r="O105" s="1125"/>
      <c r="P105" s="1125"/>
      <c r="Q105" s="1125"/>
      <c r="R105" s="1125"/>
      <c r="S105" s="1125"/>
      <c r="T105" s="1125"/>
      <c r="U105" s="1125"/>
      <c r="V105" s="1125"/>
      <c r="W105" s="1125"/>
      <c r="X105" s="1125"/>
      <c r="Y105" s="1125"/>
      <c r="Z105" s="1125"/>
      <c r="AA105" s="1125"/>
      <c r="AB105" s="1125"/>
      <c r="AC105" s="1125"/>
      <c r="AD105" s="1125"/>
      <c r="AE105" s="1173">
        <f t="shared" ref="AE105:AJ105" si="216">AE104+BG104</f>
        <v>10</v>
      </c>
      <c r="AF105" s="1173">
        <f t="shared" si="216"/>
        <v>50</v>
      </c>
      <c r="AG105" s="1173">
        <f t="shared" si="216"/>
        <v>10</v>
      </c>
      <c r="AH105" s="1173">
        <f t="shared" si="216"/>
        <v>5</v>
      </c>
      <c r="AI105" s="1174">
        <f t="shared" si="216"/>
        <v>20</v>
      </c>
      <c r="AJ105" s="1175">
        <f t="shared" si="216"/>
        <v>9</v>
      </c>
      <c r="AK105" s="1125"/>
      <c r="AL105" s="1173">
        <f t="shared" si="3"/>
        <v>300</v>
      </c>
      <c r="AM105" s="1173">
        <f t="shared" si="4"/>
        <v>300</v>
      </c>
      <c r="AN105" s="1173">
        <f t="shared" si="5"/>
        <v>300</v>
      </c>
      <c r="AO105" s="1176">
        <f t="shared" si="6"/>
        <v>1</v>
      </c>
      <c r="AP105" s="1175">
        <f t="shared" si="7"/>
        <v>3226</v>
      </c>
      <c r="AQ105" s="1177">
        <f t="shared" si="8"/>
        <v>4126</v>
      </c>
      <c r="AR105" s="1125"/>
      <c r="AS105" s="1173" t="str">
        <f t="shared" si="9"/>
        <v/>
      </c>
      <c r="AT105" s="1173" t="str">
        <f t="shared" si="10"/>
        <v/>
      </c>
      <c r="AU105" s="1173" t="str">
        <f t="shared" si="11"/>
        <v/>
      </c>
      <c r="AV105" s="1173" t="str">
        <f t="shared" si="12"/>
        <v/>
      </c>
      <c r="AW105" s="1178" t="str">
        <f t="shared" si="13"/>
        <v/>
      </c>
      <c r="AX105" s="1175" t="str">
        <f t="shared" si="14"/>
        <v/>
      </c>
      <c r="AY105" s="1125"/>
      <c r="AZ105" s="1179" t="str">
        <f t="shared" ref="AZ105:BD105" si="217">IF(AS105="", "", (AS105/$AQ105-1)/LABDURATION_SINGLE_ADJUSTED(AZ$4, AE105+1))</f>
        <v/>
      </c>
      <c r="BA105" s="1179" t="str">
        <f t="shared" si="217"/>
        <v/>
      </c>
      <c r="BB105" s="1179" t="str">
        <f t="shared" si="217"/>
        <v/>
      </c>
      <c r="BC105" s="1179" t="str">
        <f t="shared" si="217"/>
        <v/>
      </c>
      <c r="BD105" s="1180" t="str">
        <f t="shared" si="217"/>
        <v/>
      </c>
      <c r="BE105" s="1181" t="str">
        <f t="shared" si="16"/>
        <v/>
      </c>
      <c r="BF105" s="1125"/>
      <c r="BG105" s="1182" t="str">
        <f t="array" ref="BG105:BL105">IF(COLUMN(AZ105:BE105) = MIN(IF(AZ105:BE105=MAX(AZ105:BE105), COLUMN(AZ105:BE105))), 1, "")</f>
        <v/>
      </c>
      <c r="BH105" s="1182" t="s">
        <v>549</v>
      </c>
      <c r="BI105" s="1182" t="s">
        <v>549</v>
      </c>
      <c r="BJ105" s="1182" t="s">
        <v>549</v>
      </c>
      <c r="BK105" s="1174" t="s">
        <v>549</v>
      </c>
      <c r="BL105" s="1183" t="s">
        <v>549</v>
      </c>
      <c r="BM105" s="1125"/>
    </row>
    <row r="106">
      <c r="A106" s="1123"/>
      <c r="B106" s="1125"/>
      <c r="C106" s="1125"/>
      <c r="D106" s="1185" t="str">
        <f t="shared" si="17"/>
        <v/>
      </c>
      <c r="E106" s="1125"/>
      <c r="F106" s="1186" t="str">
        <f>IFERROR(__xludf.DUMMYFUNCTION("IF(SUM(BG105:BM105), ARRAYFORMULA(FILTER(BG$4:BM$4, BG105:BM105=1)), )"),"")</f>
        <v/>
      </c>
      <c r="G106" s="1187" t="str">
        <f>IFERROR(__xludf.DUMMYFUNCTION("IF(SUM(BG105:BM105),ARRAYFORMULA(FILTER(AE106:AJ106, BG105:BL105)), """")"),"")</f>
        <v/>
      </c>
      <c r="H106" s="1188" t="str">
        <f t="shared" si="18"/>
        <v/>
      </c>
      <c r="I106" s="1187"/>
      <c r="J106" s="1189" t="str">
        <f>IFERROR(__xludf.DUMMYFUNCTION("IF(SUM(BG105:BM105), ARRAYFORMULA(FILTER(AZ105:BE105, BG105:BL105=1))*D$5,"""")"),"")</f>
        <v/>
      </c>
      <c r="K106" s="1190" t="s">
        <v>549</v>
      </c>
      <c r="L106" s="1125" t="s">
        <v>549</v>
      </c>
      <c r="M106" s="1125"/>
      <c r="N106" s="1125"/>
      <c r="O106" s="1125"/>
      <c r="P106" s="1125"/>
      <c r="Q106" s="1125"/>
      <c r="R106" s="1125"/>
      <c r="S106" s="1125"/>
      <c r="T106" s="1125"/>
      <c r="U106" s="1125"/>
      <c r="V106" s="1125"/>
      <c r="W106" s="1125"/>
      <c r="X106" s="1125"/>
      <c r="Y106" s="1125"/>
      <c r="Z106" s="1125"/>
      <c r="AA106" s="1125"/>
      <c r="AB106" s="1125"/>
      <c r="AC106" s="1125"/>
      <c r="AD106" s="1125"/>
      <c r="AE106" s="1173">
        <f t="shared" ref="AE106:AJ106" si="218">AE105+BG105</f>
        <v>10</v>
      </c>
      <c r="AF106" s="1173">
        <f t="shared" si="218"/>
        <v>50</v>
      </c>
      <c r="AG106" s="1173">
        <f t="shared" si="218"/>
        <v>10</v>
      </c>
      <c r="AH106" s="1173">
        <f t="shared" si="218"/>
        <v>5</v>
      </c>
      <c r="AI106" s="1174">
        <f t="shared" si="218"/>
        <v>20</v>
      </c>
      <c r="AJ106" s="1175">
        <f t="shared" si="218"/>
        <v>9</v>
      </c>
      <c r="AK106" s="1125"/>
      <c r="AL106" s="1173">
        <f t="shared" si="3"/>
        <v>300</v>
      </c>
      <c r="AM106" s="1173">
        <f t="shared" si="4"/>
        <v>300</v>
      </c>
      <c r="AN106" s="1173">
        <f t="shared" si="5"/>
        <v>300</v>
      </c>
      <c r="AO106" s="1176">
        <f t="shared" si="6"/>
        <v>1</v>
      </c>
      <c r="AP106" s="1175">
        <f t="shared" si="7"/>
        <v>3226</v>
      </c>
      <c r="AQ106" s="1177">
        <f t="shared" si="8"/>
        <v>4126</v>
      </c>
      <c r="AR106" s="1125"/>
      <c r="AS106" s="1173" t="str">
        <f t="shared" si="9"/>
        <v/>
      </c>
      <c r="AT106" s="1173" t="str">
        <f t="shared" si="10"/>
        <v/>
      </c>
      <c r="AU106" s="1173" t="str">
        <f t="shared" si="11"/>
        <v/>
      </c>
      <c r="AV106" s="1173" t="str">
        <f t="shared" si="12"/>
        <v/>
      </c>
      <c r="AW106" s="1178" t="str">
        <f t="shared" si="13"/>
        <v/>
      </c>
      <c r="AX106" s="1175" t="str">
        <f t="shared" si="14"/>
        <v/>
      </c>
      <c r="AY106" s="1125"/>
      <c r="AZ106" s="1179" t="str">
        <f t="shared" ref="AZ106:BD106" si="219">IF(AS106="", "", (AS106/$AQ106-1)/LABDURATION_SINGLE_ADJUSTED(AZ$4, AE106+1))</f>
        <v/>
      </c>
      <c r="BA106" s="1179" t="str">
        <f t="shared" si="219"/>
        <v/>
      </c>
      <c r="BB106" s="1179" t="str">
        <f t="shared" si="219"/>
        <v/>
      </c>
      <c r="BC106" s="1179" t="str">
        <f t="shared" si="219"/>
        <v/>
      </c>
      <c r="BD106" s="1180" t="str">
        <f t="shared" si="219"/>
        <v/>
      </c>
      <c r="BE106" s="1181" t="str">
        <f t="shared" si="16"/>
        <v/>
      </c>
      <c r="BF106" s="1125"/>
      <c r="BG106" s="1182" t="str">
        <f t="array" ref="BG106:BL106">IF(COLUMN(AZ106:BE106) = MIN(IF(AZ106:BE106=MAX(AZ106:BE106), COLUMN(AZ106:BE106))), 1, "")</f>
        <v/>
      </c>
      <c r="BH106" s="1182" t="s">
        <v>549</v>
      </c>
      <c r="BI106" s="1182" t="s">
        <v>549</v>
      </c>
      <c r="BJ106" s="1182" t="s">
        <v>549</v>
      </c>
      <c r="BK106" s="1174" t="s">
        <v>549</v>
      </c>
      <c r="BL106" s="1183" t="s">
        <v>549</v>
      </c>
      <c r="BM106" s="1125"/>
    </row>
    <row r="107">
      <c r="A107" s="1123"/>
      <c r="B107" s="1125"/>
      <c r="C107" s="1125"/>
      <c r="D107" s="1185" t="str">
        <f t="shared" si="17"/>
        <v/>
      </c>
      <c r="E107" s="1125"/>
      <c r="F107" s="1186" t="str">
        <f>IFERROR(__xludf.DUMMYFUNCTION("IF(SUM(BG106:BM106), ARRAYFORMULA(FILTER(BG$4:BM$4, BG106:BM106=1)), )"),"")</f>
        <v/>
      </c>
      <c r="G107" s="1187" t="str">
        <f>IFERROR(__xludf.DUMMYFUNCTION("IF(SUM(BG106:BM106),ARRAYFORMULA(FILTER(AE107:AJ107, BG106:BL106)), """")"),"")</f>
        <v/>
      </c>
      <c r="H107" s="1188" t="str">
        <f t="shared" si="18"/>
        <v/>
      </c>
      <c r="I107" s="1187"/>
      <c r="J107" s="1189" t="str">
        <f>IFERROR(__xludf.DUMMYFUNCTION("IF(SUM(BG106:BM106), ARRAYFORMULA(FILTER(AZ106:BE106, BG106:BL106=1))*D$5,"""")"),"")</f>
        <v/>
      </c>
      <c r="K107" s="1190" t="s">
        <v>549</v>
      </c>
      <c r="L107" s="1125" t="s">
        <v>549</v>
      </c>
      <c r="M107" s="1125"/>
      <c r="N107" s="1125"/>
      <c r="O107" s="1125"/>
      <c r="P107" s="1125"/>
      <c r="Q107" s="1125"/>
      <c r="R107" s="1125"/>
      <c r="S107" s="1125"/>
      <c r="T107" s="1125"/>
      <c r="U107" s="1125"/>
      <c r="V107" s="1125"/>
      <c r="W107" s="1125"/>
      <c r="X107" s="1125"/>
      <c r="Y107" s="1125"/>
      <c r="Z107" s="1125"/>
      <c r="AA107" s="1125"/>
      <c r="AB107" s="1125"/>
      <c r="AC107" s="1125"/>
      <c r="AD107" s="1125"/>
      <c r="AE107" s="1173">
        <f t="shared" ref="AE107:AJ107" si="220">AE106+BG106</f>
        <v>10</v>
      </c>
      <c r="AF107" s="1173">
        <f t="shared" si="220"/>
        <v>50</v>
      </c>
      <c r="AG107" s="1173">
        <f t="shared" si="220"/>
        <v>10</v>
      </c>
      <c r="AH107" s="1173">
        <f t="shared" si="220"/>
        <v>5</v>
      </c>
      <c r="AI107" s="1174">
        <f t="shared" si="220"/>
        <v>20</v>
      </c>
      <c r="AJ107" s="1175">
        <f t="shared" si="220"/>
        <v>9</v>
      </c>
      <c r="AK107" s="1125"/>
      <c r="AL107" s="1173">
        <f t="shared" si="3"/>
        <v>300</v>
      </c>
      <c r="AM107" s="1173">
        <f t="shared" si="4"/>
        <v>300</v>
      </c>
      <c r="AN107" s="1173">
        <f t="shared" si="5"/>
        <v>300</v>
      </c>
      <c r="AO107" s="1176">
        <f t="shared" si="6"/>
        <v>1</v>
      </c>
      <c r="AP107" s="1175">
        <f t="shared" si="7"/>
        <v>3226</v>
      </c>
      <c r="AQ107" s="1177">
        <f t="shared" si="8"/>
        <v>4126</v>
      </c>
      <c r="AR107" s="1125"/>
      <c r="AS107" s="1173" t="str">
        <f t="shared" si="9"/>
        <v/>
      </c>
      <c r="AT107" s="1173" t="str">
        <f t="shared" si="10"/>
        <v/>
      </c>
      <c r="AU107" s="1173" t="str">
        <f t="shared" si="11"/>
        <v/>
      </c>
      <c r="AV107" s="1173" t="str">
        <f t="shared" si="12"/>
        <v/>
      </c>
      <c r="AW107" s="1178" t="str">
        <f t="shared" si="13"/>
        <v/>
      </c>
      <c r="AX107" s="1175" t="str">
        <f t="shared" si="14"/>
        <v/>
      </c>
      <c r="AY107" s="1125"/>
      <c r="AZ107" s="1179" t="str">
        <f t="shared" ref="AZ107:BD107" si="221">IF(AS107="", "", (AS107/$AQ107-1)/LABDURATION_SINGLE_ADJUSTED(AZ$4, AE107+1))</f>
        <v/>
      </c>
      <c r="BA107" s="1179" t="str">
        <f t="shared" si="221"/>
        <v/>
      </c>
      <c r="BB107" s="1179" t="str">
        <f t="shared" si="221"/>
        <v/>
      </c>
      <c r="BC107" s="1179" t="str">
        <f t="shared" si="221"/>
        <v/>
      </c>
      <c r="BD107" s="1180" t="str">
        <f t="shared" si="221"/>
        <v/>
      </c>
      <c r="BE107" s="1181" t="str">
        <f t="shared" si="16"/>
        <v/>
      </c>
      <c r="BF107" s="1125"/>
      <c r="BG107" s="1182" t="str">
        <f t="array" ref="BG107:BL107">IF(COLUMN(AZ107:BE107) = MIN(IF(AZ107:BE107=MAX(AZ107:BE107), COLUMN(AZ107:BE107))), 1, "")</f>
        <v/>
      </c>
      <c r="BH107" s="1182" t="s">
        <v>549</v>
      </c>
      <c r="BI107" s="1182" t="s">
        <v>549</v>
      </c>
      <c r="BJ107" s="1182" t="s">
        <v>549</v>
      </c>
      <c r="BK107" s="1174" t="s">
        <v>549</v>
      </c>
      <c r="BL107" s="1183" t="s">
        <v>549</v>
      </c>
      <c r="BM107" s="1125"/>
    </row>
    <row r="108">
      <c r="A108" s="1123"/>
      <c r="B108" s="1125"/>
      <c r="C108" s="1125"/>
      <c r="D108" s="1185" t="str">
        <f t="shared" si="17"/>
        <v/>
      </c>
      <c r="E108" s="1125"/>
      <c r="F108" s="1186" t="str">
        <f>IFERROR(__xludf.DUMMYFUNCTION("IF(SUM(BG107:BM107), ARRAYFORMULA(FILTER(BG$4:BM$4, BG107:BM107=1)), )"),"")</f>
        <v/>
      </c>
      <c r="G108" s="1187" t="str">
        <f>IFERROR(__xludf.DUMMYFUNCTION("IF(SUM(BG107:BM107),ARRAYFORMULA(FILTER(AE108:AJ108, BG107:BL107)), """")"),"")</f>
        <v/>
      </c>
      <c r="H108" s="1188" t="str">
        <f t="shared" si="18"/>
        <v/>
      </c>
      <c r="I108" s="1187"/>
      <c r="J108" s="1189" t="str">
        <f>IFERROR(__xludf.DUMMYFUNCTION("IF(SUM(BG107:BM107), ARRAYFORMULA(FILTER(AZ107:BE107, BG107:BL107=1))*D$5,"""")"),"")</f>
        <v/>
      </c>
      <c r="K108" s="1190" t="s">
        <v>549</v>
      </c>
      <c r="L108" s="1125" t="s">
        <v>549</v>
      </c>
      <c r="M108" s="1125"/>
      <c r="N108" s="1125"/>
      <c r="O108" s="1125"/>
      <c r="P108" s="1125"/>
      <c r="Q108" s="1125"/>
      <c r="R108" s="1125"/>
      <c r="S108" s="1125"/>
      <c r="T108" s="1125"/>
      <c r="U108" s="1125"/>
      <c r="V108" s="1125"/>
      <c r="W108" s="1125"/>
      <c r="X108" s="1125"/>
      <c r="Y108" s="1125"/>
      <c r="Z108" s="1125"/>
      <c r="AA108" s="1125"/>
      <c r="AB108" s="1125"/>
      <c r="AC108" s="1125"/>
      <c r="AD108" s="1125"/>
      <c r="AE108" s="1173">
        <f t="shared" ref="AE108:AJ108" si="222">AE107+BG107</f>
        <v>10</v>
      </c>
      <c r="AF108" s="1173">
        <f t="shared" si="222"/>
        <v>50</v>
      </c>
      <c r="AG108" s="1173">
        <f t="shared" si="222"/>
        <v>10</v>
      </c>
      <c r="AH108" s="1173">
        <f t="shared" si="222"/>
        <v>5</v>
      </c>
      <c r="AI108" s="1174">
        <f t="shared" si="222"/>
        <v>20</v>
      </c>
      <c r="AJ108" s="1175">
        <f t="shared" si="222"/>
        <v>9</v>
      </c>
      <c r="AK108" s="1125"/>
      <c r="AL108" s="1173">
        <f t="shared" si="3"/>
        <v>300</v>
      </c>
      <c r="AM108" s="1173">
        <f t="shared" si="4"/>
        <v>300</v>
      </c>
      <c r="AN108" s="1173">
        <f t="shared" si="5"/>
        <v>300</v>
      </c>
      <c r="AO108" s="1176">
        <f t="shared" si="6"/>
        <v>1</v>
      </c>
      <c r="AP108" s="1175">
        <f t="shared" si="7"/>
        <v>3226</v>
      </c>
      <c r="AQ108" s="1177">
        <f t="shared" si="8"/>
        <v>4126</v>
      </c>
      <c r="AR108" s="1125"/>
      <c r="AS108" s="1173" t="str">
        <f t="shared" si="9"/>
        <v/>
      </c>
      <c r="AT108" s="1173" t="str">
        <f t="shared" si="10"/>
        <v/>
      </c>
      <c r="AU108" s="1173" t="str">
        <f t="shared" si="11"/>
        <v/>
      </c>
      <c r="AV108" s="1173" t="str">
        <f t="shared" si="12"/>
        <v/>
      </c>
      <c r="AW108" s="1178" t="str">
        <f t="shared" si="13"/>
        <v/>
      </c>
      <c r="AX108" s="1175" t="str">
        <f t="shared" si="14"/>
        <v/>
      </c>
      <c r="AY108" s="1125"/>
      <c r="AZ108" s="1179" t="str">
        <f t="shared" ref="AZ108:BD108" si="223">IF(AS108="", "", (AS108/$AQ108-1)/LABDURATION_SINGLE_ADJUSTED(AZ$4, AE108+1))</f>
        <v/>
      </c>
      <c r="BA108" s="1179" t="str">
        <f t="shared" si="223"/>
        <v/>
      </c>
      <c r="BB108" s="1179" t="str">
        <f t="shared" si="223"/>
        <v/>
      </c>
      <c r="BC108" s="1179" t="str">
        <f t="shared" si="223"/>
        <v/>
      </c>
      <c r="BD108" s="1180" t="str">
        <f t="shared" si="223"/>
        <v/>
      </c>
      <c r="BE108" s="1181" t="str">
        <f t="shared" si="16"/>
        <v/>
      </c>
      <c r="BF108" s="1125"/>
      <c r="BG108" s="1182" t="str">
        <f t="array" ref="BG108:BL108">IF(COLUMN(AZ108:BE108) = MIN(IF(AZ108:BE108=MAX(AZ108:BE108), COLUMN(AZ108:BE108))), 1, "")</f>
        <v/>
      </c>
      <c r="BH108" s="1182" t="s">
        <v>549</v>
      </c>
      <c r="BI108" s="1182" t="s">
        <v>549</v>
      </c>
      <c r="BJ108" s="1182" t="s">
        <v>549</v>
      </c>
      <c r="BK108" s="1174" t="s">
        <v>549</v>
      </c>
      <c r="BL108" s="1183" t="s">
        <v>549</v>
      </c>
      <c r="BM108" s="1125"/>
    </row>
    <row r="109">
      <c r="A109" s="1123"/>
      <c r="B109" s="1125"/>
      <c r="C109" s="1125"/>
      <c r="D109" s="1185" t="str">
        <f t="shared" si="17"/>
        <v/>
      </c>
      <c r="E109" s="1125"/>
      <c r="F109" s="1186" t="str">
        <f>IFERROR(__xludf.DUMMYFUNCTION("IF(SUM(BG108:BM108), ARRAYFORMULA(FILTER(BG$4:BM$4, BG108:BM108=1)), )"),"")</f>
        <v/>
      </c>
      <c r="G109" s="1187" t="str">
        <f>IFERROR(__xludf.DUMMYFUNCTION("IF(SUM(BG108:BM108),ARRAYFORMULA(FILTER(AE109:AJ109, BG108:BL108)), """")"),"")</f>
        <v/>
      </c>
      <c r="H109" s="1188" t="str">
        <f t="shared" si="18"/>
        <v/>
      </c>
      <c r="I109" s="1187"/>
      <c r="J109" s="1189" t="str">
        <f>IFERROR(__xludf.DUMMYFUNCTION("IF(SUM(BG108:BM108), ARRAYFORMULA(FILTER(AZ108:BE108, BG108:BL108=1))*D$5,"""")"),"")</f>
        <v/>
      </c>
      <c r="K109" s="1190" t="s">
        <v>549</v>
      </c>
      <c r="L109" s="1125" t="s">
        <v>549</v>
      </c>
      <c r="M109" s="1125"/>
      <c r="N109" s="1125"/>
      <c r="O109" s="1125"/>
      <c r="P109" s="1125"/>
      <c r="Q109" s="1125"/>
      <c r="R109" s="1125"/>
      <c r="S109" s="1125"/>
      <c r="T109" s="1125"/>
      <c r="U109" s="1125"/>
      <c r="V109" s="1125"/>
      <c r="W109" s="1125"/>
      <c r="X109" s="1125"/>
      <c r="Y109" s="1125"/>
      <c r="Z109" s="1125"/>
      <c r="AA109" s="1125"/>
      <c r="AB109" s="1125"/>
      <c r="AC109" s="1125"/>
      <c r="AD109" s="1125"/>
      <c r="AE109" s="1173">
        <f t="shared" ref="AE109:AJ109" si="224">AE108+BG108</f>
        <v>10</v>
      </c>
      <c r="AF109" s="1173">
        <f t="shared" si="224"/>
        <v>50</v>
      </c>
      <c r="AG109" s="1173">
        <f t="shared" si="224"/>
        <v>10</v>
      </c>
      <c r="AH109" s="1173">
        <f t="shared" si="224"/>
        <v>5</v>
      </c>
      <c r="AI109" s="1174">
        <f t="shared" si="224"/>
        <v>20</v>
      </c>
      <c r="AJ109" s="1175">
        <f t="shared" si="224"/>
        <v>9</v>
      </c>
      <c r="AK109" s="1125"/>
      <c r="AL109" s="1173">
        <f t="shared" si="3"/>
        <v>300</v>
      </c>
      <c r="AM109" s="1173">
        <f t="shared" si="4"/>
        <v>300</v>
      </c>
      <c r="AN109" s="1173">
        <f t="shared" si="5"/>
        <v>300</v>
      </c>
      <c r="AO109" s="1176">
        <f t="shared" si="6"/>
        <v>1</v>
      </c>
      <c r="AP109" s="1175">
        <f t="shared" si="7"/>
        <v>3226</v>
      </c>
      <c r="AQ109" s="1177">
        <f t="shared" si="8"/>
        <v>4126</v>
      </c>
      <c r="AR109" s="1125"/>
      <c r="AS109" s="1173" t="str">
        <f t="shared" si="9"/>
        <v/>
      </c>
      <c r="AT109" s="1173" t="str">
        <f t="shared" si="10"/>
        <v/>
      </c>
      <c r="AU109" s="1173" t="str">
        <f t="shared" si="11"/>
        <v/>
      </c>
      <c r="AV109" s="1173" t="str">
        <f t="shared" si="12"/>
        <v/>
      </c>
      <c r="AW109" s="1178" t="str">
        <f t="shared" si="13"/>
        <v/>
      </c>
      <c r="AX109" s="1175" t="str">
        <f t="shared" si="14"/>
        <v/>
      </c>
      <c r="AY109" s="1125"/>
      <c r="AZ109" s="1179" t="str">
        <f t="shared" ref="AZ109:BD109" si="225">IF(AS109="", "", (AS109/$AQ109-1)/LABDURATION_SINGLE_ADJUSTED(AZ$4, AE109+1))</f>
        <v/>
      </c>
      <c r="BA109" s="1179" t="str">
        <f t="shared" si="225"/>
        <v/>
      </c>
      <c r="BB109" s="1179" t="str">
        <f t="shared" si="225"/>
        <v/>
      </c>
      <c r="BC109" s="1179" t="str">
        <f t="shared" si="225"/>
        <v/>
      </c>
      <c r="BD109" s="1180" t="str">
        <f t="shared" si="225"/>
        <v/>
      </c>
      <c r="BE109" s="1181" t="str">
        <f t="shared" si="16"/>
        <v/>
      </c>
      <c r="BF109" s="1125"/>
      <c r="BG109" s="1182" t="str">
        <f t="array" ref="BG109:BL109">IF(COLUMN(AZ109:BE109) = MIN(IF(AZ109:BE109=MAX(AZ109:BE109), COLUMN(AZ109:BE109))), 1, "")</f>
        <v/>
      </c>
      <c r="BH109" s="1182" t="s">
        <v>549</v>
      </c>
      <c r="BI109" s="1182" t="s">
        <v>549</v>
      </c>
      <c r="BJ109" s="1182" t="s">
        <v>549</v>
      </c>
      <c r="BK109" s="1174" t="s">
        <v>549</v>
      </c>
      <c r="BL109" s="1183" t="s">
        <v>549</v>
      </c>
      <c r="BM109" s="1125"/>
    </row>
    <row r="110">
      <c r="A110" s="1123"/>
      <c r="B110" s="1125"/>
      <c r="C110" s="1125"/>
      <c r="D110" s="1185" t="str">
        <f t="shared" si="17"/>
        <v/>
      </c>
      <c r="E110" s="1125"/>
      <c r="F110" s="1186" t="str">
        <f>IFERROR(__xludf.DUMMYFUNCTION("IF(SUM(BG109:BM109), ARRAYFORMULA(FILTER(BG$4:BM$4, BG109:BM109=1)), )"),"")</f>
        <v/>
      </c>
      <c r="G110" s="1187" t="str">
        <f>IFERROR(__xludf.DUMMYFUNCTION("IF(SUM(BG109:BM109),ARRAYFORMULA(FILTER(AE110:AJ110, BG109:BL109)), """")"),"")</f>
        <v/>
      </c>
      <c r="H110" s="1188" t="str">
        <f t="shared" si="18"/>
        <v/>
      </c>
      <c r="I110" s="1187"/>
      <c r="J110" s="1189" t="str">
        <f>IFERROR(__xludf.DUMMYFUNCTION("IF(SUM(BG109:BM109), ARRAYFORMULA(FILTER(AZ109:BE109, BG109:BL109=1))*D$5,"""")"),"")</f>
        <v/>
      </c>
      <c r="K110" s="1190" t="s">
        <v>549</v>
      </c>
      <c r="L110" s="1125" t="s">
        <v>549</v>
      </c>
      <c r="M110" s="1125"/>
      <c r="N110" s="1125"/>
      <c r="O110" s="1125"/>
      <c r="P110" s="1125"/>
      <c r="Q110" s="1125"/>
      <c r="R110" s="1125"/>
      <c r="S110" s="1125"/>
      <c r="T110" s="1125"/>
      <c r="U110" s="1125"/>
      <c r="V110" s="1125"/>
      <c r="W110" s="1125"/>
      <c r="X110" s="1125"/>
      <c r="Y110" s="1125"/>
      <c r="Z110" s="1125"/>
      <c r="AA110" s="1125"/>
      <c r="AB110" s="1125"/>
      <c r="AC110" s="1125"/>
      <c r="AD110" s="1125"/>
      <c r="AE110" s="1173">
        <f t="shared" ref="AE110:AJ110" si="226">AE109+BG109</f>
        <v>10</v>
      </c>
      <c r="AF110" s="1173">
        <f t="shared" si="226"/>
        <v>50</v>
      </c>
      <c r="AG110" s="1173">
        <f t="shared" si="226"/>
        <v>10</v>
      </c>
      <c r="AH110" s="1173">
        <f t="shared" si="226"/>
        <v>5</v>
      </c>
      <c r="AI110" s="1174">
        <f t="shared" si="226"/>
        <v>20</v>
      </c>
      <c r="AJ110" s="1175">
        <f t="shared" si="226"/>
        <v>9</v>
      </c>
      <c r="AK110" s="1125"/>
      <c r="AL110" s="1173">
        <f t="shared" si="3"/>
        <v>300</v>
      </c>
      <c r="AM110" s="1173">
        <f t="shared" si="4"/>
        <v>300</v>
      </c>
      <c r="AN110" s="1173">
        <f t="shared" si="5"/>
        <v>300</v>
      </c>
      <c r="AO110" s="1176">
        <f t="shared" si="6"/>
        <v>1</v>
      </c>
      <c r="AP110" s="1175">
        <f t="shared" si="7"/>
        <v>3226</v>
      </c>
      <c r="AQ110" s="1177">
        <f t="shared" si="8"/>
        <v>4126</v>
      </c>
      <c r="AR110" s="1125"/>
      <c r="AS110" s="1173" t="str">
        <f t="shared" si="9"/>
        <v/>
      </c>
      <c r="AT110" s="1173" t="str">
        <f t="shared" si="10"/>
        <v/>
      </c>
      <c r="AU110" s="1173" t="str">
        <f t="shared" si="11"/>
        <v/>
      </c>
      <c r="AV110" s="1173" t="str">
        <f t="shared" si="12"/>
        <v/>
      </c>
      <c r="AW110" s="1178" t="str">
        <f t="shared" si="13"/>
        <v/>
      </c>
      <c r="AX110" s="1175" t="str">
        <f t="shared" si="14"/>
        <v/>
      </c>
      <c r="AY110" s="1125"/>
      <c r="AZ110" s="1179" t="str">
        <f t="shared" ref="AZ110:BD110" si="227">IF(AS110="", "", (AS110/$AQ110-1)/LABDURATION_SINGLE_ADJUSTED(AZ$4, AE110+1))</f>
        <v/>
      </c>
      <c r="BA110" s="1179" t="str">
        <f t="shared" si="227"/>
        <v/>
      </c>
      <c r="BB110" s="1179" t="str">
        <f t="shared" si="227"/>
        <v/>
      </c>
      <c r="BC110" s="1179" t="str">
        <f t="shared" si="227"/>
        <v/>
      </c>
      <c r="BD110" s="1180" t="str">
        <f t="shared" si="227"/>
        <v/>
      </c>
      <c r="BE110" s="1181" t="str">
        <f t="shared" si="16"/>
        <v/>
      </c>
      <c r="BF110" s="1125"/>
      <c r="BG110" s="1182" t="str">
        <f t="array" ref="BG110:BL110">IF(COLUMN(AZ110:BE110) = MIN(IF(AZ110:BE110=MAX(AZ110:BE110), COLUMN(AZ110:BE110))), 1, "")</f>
        <v/>
      </c>
      <c r="BH110" s="1182" t="s">
        <v>549</v>
      </c>
      <c r="BI110" s="1182" t="s">
        <v>549</v>
      </c>
      <c r="BJ110" s="1182" t="s">
        <v>549</v>
      </c>
      <c r="BK110" s="1174" t="s">
        <v>549</v>
      </c>
      <c r="BL110" s="1183" t="s">
        <v>549</v>
      </c>
      <c r="BM110" s="1125"/>
    </row>
    <row r="111">
      <c r="A111" s="1123"/>
      <c r="B111" s="1125"/>
      <c r="C111" s="1125"/>
      <c r="D111" s="1185" t="str">
        <f t="shared" si="17"/>
        <v/>
      </c>
      <c r="E111" s="1125"/>
      <c r="F111" s="1186" t="str">
        <f>IFERROR(__xludf.DUMMYFUNCTION("IF(SUM(BG110:BM110), ARRAYFORMULA(FILTER(BG$4:BM$4, BG110:BM110=1)), )"),"")</f>
        <v/>
      </c>
      <c r="G111" s="1187" t="str">
        <f>IFERROR(__xludf.DUMMYFUNCTION("IF(SUM(BG110:BM110),ARRAYFORMULA(FILTER(AE111:AJ111, BG110:BL110)), """")"),"")</f>
        <v/>
      </c>
      <c r="H111" s="1188" t="str">
        <f t="shared" si="18"/>
        <v/>
      </c>
      <c r="I111" s="1187"/>
      <c r="J111" s="1189" t="str">
        <f>IFERROR(__xludf.DUMMYFUNCTION("IF(SUM(BG110:BM110), ARRAYFORMULA(FILTER(AZ110:BE110, BG110:BL110=1))*D$5,"""")"),"")</f>
        <v/>
      </c>
      <c r="K111" s="1190" t="s">
        <v>549</v>
      </c>
      <c r="L111" s="1125" t="s">
        <v>549</v>
      </c>
      <c r="M111" s="1125"/>
      <c r="N111" s="1125"/>
      <c r="O111" s="1125"/>
      <c r="P111" s="1125"/>
      <c r="Q111" s="1125"/>
      <c r="R111" s="1125"/>
      <c r="S111" s="1125"/>
      <c r="T111" s="1125"/>
      <c r="U111" s="1125"/>
      <c r="V111" s="1125"/>
      <c r="W111" s="1125"/>
      <c r="X111" s="1125"/>
      <c r="Y111" s="1125"/>
      <c r="Z111" s="1125"/>
      <c r="AA111" s="1125"/>
      <c r="AB111" s="1125"/>
      <c r="AC111" s="1125"/>
      <c r="AD111" s="1125"/>
      <c r="AE111" s="1173">
        <f t="shared" ref="AE111:AJ111" si="228">AE110+BG110</f>
        <v>10</v>
      </c>
      <c r="AF111" s="1173">
        <f t="shared" si="228"/>
        <v>50</v>
      </c>
      <c r="AG111" s="1173">
        <f t="shared" si="228"/>
        <v>10</v>
      </c>
      <c r="AH111" s="1173">
        <f t="shared" si="228"/>
        <v>5</v>
      </c>
      <c r="AI111" s="1174">
        <f t="shared" si="228"/>
        <v>20</v>
      </c>
      <c r="AJ111" s="1175">
        <f t="shared" si="228"/>
        <v>9</v>
      </c>
      <c r="AK111" s="1125"/>
      <c r="AL111" s="1173">
        <f t="shared" si="3"/>
        <v>300</v>
      </c>
      <c r="AM111" s="1173">
        <f t="shared" si="4"/>
        <v>300</v>
      </c>
      <c r="AN111" s="1173">
        <f t="shared" si="5"/>
        <v>300</v>
      </c>
      <c r="AO111" s="1176">
        <f t="shared" si="6"/>
        <v>1</v>
      </c>
      <c r="AP111" s="1175">
        <f t="shared" si="7"/>
        <v>3226</v>
      </c>
      <c r="AQ111" s="1177">
        <f t="shared" si="8"/>
        <v>4126</v>
      </c>
      <c r="AR111" s="1125"/>
      <c r="AS111" s="1173" t="str">
        <f t="shared" si="9"/>
        <v/>
      </c>
      <c r="AT111" s="1173" t="str">
        <f t="shared" si="10"/>
        <v/>
      </c>
      <c r="AU111" s="1173" t="str">
        <f t="shared" si="11"/>
        <v/>
      </c>
      <c r="AV111" s="1173" t="str">
        <f t="shared" si="12"/>
        <v/>
      </c>
      <c r="AW111" s="1178" t="str">
        <f t="shared" si="13"/>
        <v/>
      </c>
      <c r="AX111" s="1175" t="str">
        <f t="shared" si="14"/>
        <v/>
      </c>
      <c r="AY111" s="1125"/>
      <c r="AZ111" s="1179" t="str">
        <f t="shared" ref="AZ111:BD111" si="229">IF(AS111="", "", (AS111/$AQ111-1)/LABDURATION_SINGLE_ADJUSTED(AZ$4, AE111+1))</f>
        <v/>
      </c>
      <c r="BA111" s="1179" t="str">
        <f t="shared" si="229"/>
        <v/>
      </c>
      <c r="BB111" s="1179" t="str">
        <f t="shared" si="229"/>
        <v/>
      </c>
      <c r="BC111" s="1179" t="str">
        <f t="shared" si="229"/>
        <v/>
      </c>
      <c r="BD111" s="1180" t="str">
        <f t="shared" si="229"/>
        <v/>
      </c>
      <c r="BE111" s="1181" t="str">
        <f t="shared" si="16"/>
        <v/>
      </c>
      <c r="BF111" s="1125"/>
      <c r="BG111" s="1182" t="str">
        <f t="array" ref="BG111:BL111">IF(COLUMN(AZ111:BE111) = MIN(IF(AZ111:BE111=MAX(AZ111:BE111), COLUMN(AZ111:BE111))), 1, "")</f>
        <v/>
      </c>
      <c r="BH111" s="1182" t="s">
        <v>549</v>
      </c>
      <c r="BI111" s="1182" t="s">
        <v>549</v>
      </c>
      <c r="BJ111" s="1182" t="s">
        <v>549</v>
      </c>
      <c r="BK111" s="1174" t="s">
        <v>549</v>
      </c>
      <c r="BL111" s="1183" t="s">
        <v>549</v>
      </c>
      <c r="BM111" s="1125"/>
    </row>
    <row r="112">
      <c r="A112" s="1123"/>
      <c r="B112" s="1125"/>
      <c r="C112" s="1125"/>
      <c r="D112" s="1185" t="str">
        <f t="shared" si="17"/>
        <v/>
      </c>
      <c r="E112" s="1125"/>
      <c r="F112" s="1186" t="str">
        <f>IFERROR(__xludf.DUMMYFUNCTION("IF(SUM(BG111:BM111), ARRAYFORMULA(FILTER(BG$4:BM$4, BG111:BM111=1)), )"),"")</f>
        <v/>
      </c>
      <c r="G112" s="1187" t="str">
        <f>IFERROR(__xludf.DUMMYFUNCTION("IF(SUM(BG111:BM111),ARRAYFORMULA(FILTER(AE112:AJ112, BG111:BL111)), """")"),"")</f>
        <v/>
      </c>
      <c r="H112" s="1188" t="str">
        <f t="shared" si="18"/>
        <v/>
      </c>
      <c r="I112" s="1187"/>
      <c r="J112" s="1189" t="str">
        <f>IFERROR(__xludf.DUMMYFUNCTION("IF(SUM(BG111:BM111), ARRAYFORMULA(FILTER(AZ111:BE111, BG111:BL111=1))*D$5,"""")"),"")</f>
        <v/>
      </c>
      <c r="K112" s="1190" t="s">
        <v>549</v>
      </c>
      <c r="L112" s="1125" t="s">
        <v>549</v>
      </c>
      <c r="M112" s="1125"/>
      <c r="N112" s="1125"/>
      <c r="O112" s="1125"/>
      <c r="P112" s="1125"/>
      <c r="Q112" s="1125"/>
      <c r="R112" s="1125"/>
      <c r="S112" s="1125"/>
      <c r="T112" s="1125"/>
      <c r="U112" s="1125"/>
      <c r="V112" s="1125"/>
      <c r="W112" s="1125"/>
      <c r="X112" s="1125"/>
      <c r="Y112" s="1125"/>
      <c r="Z112" s="1125"/>
      <c r="AA112" s="1125"/>
      <c r="AB112" s="1125"/>
      <c r="AC112" s="1125"/>
      <c r="AD112" s="1125"/>
      <c r="AE112" s="1173">
        <f t="shared" ref="AE112:AJ112" si="230">AE111+BG111</f>
        <v>10</v>
      </c>
      <c r="AF112" s="1173">
        <f t="shared" si="230"/>
        <v>50</v>
      </c>
      <c r="AG112" s="1173">
        <f t="shared" si="230"/>
        <v>10</v>
      </c>
      <c r="AH112" s="1173">
        <f t="shared" si="230"/>
        <v>5</v>
      </c>
      <c r="AI112" s="1174">
        <f t="shared" si="230"/>
        <v>20</v>
      </c>
      <c r="AJ112" s="1175">
        <f t="shared" si="230"/>
        <v>9</v>
      </c>
      <c r="AK112" s="1125"/>
      <c r="AL112" s="1173">
        <f t="shared" si="3"/>
        <v>300</v>
      </c>
      <c r="AM112" s="1173">
        <f t="shared" si="4"/>
        <v>300</v>
      </c>
      <c r="AN112" s="1173">
        <f t="shared" si="5"/>
        <v>300</v>
      </c>
      <c r="AO112" s="1176">
        <f t="shared" si="6"/>
        <v>1</v>
      </c>
      <c r="AP112" s="1175">
        <f t="shared" si="7"/>
        <v>3226</v>
      </c>
      <c r="AQ112" s="1177">
        <f t="shared" si="8"/>
        <v>4126</v>
      </c>
      <c r="AR112" s="1125"/>
      <c r="AS112" s="1173" t="str">
        <f t="shared" si="9"/>
        <v/>
      </c>
      <c r="AT112" s="1173" t="str">
        <f t="shared" si="10"/>
        <v/>
      </c>
      <c r="AU112" s="1173" t="str">
        <f t="shared" si="11"/>
        <v/>
      </c>
      <c r="AV112" s="1173" t="str">
        <f t="shared" si="12"/>
        <v/>
      </c>
      <c r="AW112" s="1178" t="str">
        <f t="shared" si="13"/>
        <v/>
      </c>
      <c r="AX112" s="1175" t="str">
        <f t="shared" si="14"/>
        <v/>
      </c>
      <c r="AY112" s="1125"/>
      <c r="AZ112" s="1179" t="str">
        <f t="shared" ref="AZ112:BD112" si="231">IF(AS112="", "", (AS112/$AQ112-1)/LABDURATION_SINGLE_ADJUSTED(AZ$4, AE112+1))</f>
        <v/>
      </c>
      <c r="BA112" s="1179" t="str">
        <f t="shared" si="231"/>
        <v/>
      </c>
      <c r="BB112" s="1179" t="str">
        <f t="shared" si="231"/>
        <v/>
      </c>
      <c r="BC112" s="1179" t="str">
        <f t="shared" si="231"/>
        <v/>
      </c>
      <c r="BD112" s="1180" t="str">
        <f t="shared" si="231"/>
        <v/>
      </c>
      <c r="BE112" s="1181" t="str">
        <f t="shared" si="16"/>
        <v/>
      </c>
      <c r="BF112" s="1125"/>
      <c r="BG112" s="1182" t="str">
        <f t="array" ref="BG112:BL112">IF(COLUMN(AZ112:BE112) = MIN(IF(AZ112:BE112=MAX(AZ112:BE112), COLUMN(AZ112:BE112))), 1, "")</f>
        <v/>
      </c>
      <c r="BH112" s="1182" t="s">
        <v>549</v>
      </c>
      <c r="BI112" s="1182" t="s">
        <v>549</v>
      </c>
      <c r="BJ112" s="1182" t="s">
        <v>549</v>
      </c>
      <c r="BK112" s="1174" t="s">
        <v>549</v>
      </c>
      <c r="BL112" s="1183" t="s">
        <v>549</v>
      </c>
      <c r="BM112" s="1125"/>
    </row>
    <row r="113">
      <c r="A113" s="1123"/>
      <c r="B113" s="1125"/>
      <c r="C113" s="1125"/>
      <c r="D113" s="1185" t="str">
        <f t="shared" si="17"/>
        <v/>
      </c>
      <c r="E113" s="1125"/>
      <c r="F113" s="1186" t="str">
        <f>IFERROR(__xludf.DUMMYFUNCTION("IF(SUM(BG112:BM112), ARRAYFORMULA(FILTER(BG$4:BM$4, BG112:BM112=1)), )"),"")</f>
        <v/>
      </c>
      <c r="G113" s="1187" t="str">
        <f>IFERROR(__xludf.DUMMYFUNCTION("IF(SUM(BG112:BM112),ARRAYFORMULA(FILTER(AE113:AJ113, BG112:BL112)), """")"),"")</f>
        <v/>
      </c>
      <c r="H113" s="1188" t="str">
        <f t="shared" si="18"/>
        <v/>
      </c>
      <c r="I113" s="1187"/>
      <c r="J113" s="1189" t="str">
        <f>IFERROR(__xludf.DUMMYFUNCTION("IF(SUM(BG112:BM112), ARRAYFORMULA(FILTER(AZ112:BE112, BG112:BL112=1))*D$5,"""")"),"")</f>
        <v/>
      </c>
      <c r="K113" s="1190" t="s">
        <v>549</v>
      </c>
      <c r="L113" s="1125" t="s">
        <v>549</v>
      </c>
      <c r="M113" s="1125"/>
      <c r="N113" s="1125"/>
      <c r="O113" s="1125"/>
      <c r="P113" s="1125"/>
      <c r="Q113" s="1125"/>
      <c r="R113" s="1125"/>
      <c r="S113" s="1125"/>
      <c r="T113" s="1125"/>
      <c r="U113" s="1125"/>
      <c r="V113" s="1125"/>
      <c r="W113" s="1125"/>
      <c r="X113" s="1125"/>
      <c r="Y113" s="1125"/>
      <c r="Z113" s="1125"/>
      <c r="AA113" s="1125"/>
      <c r="AB113" s="1125"/>
      <c r="AC113" s="1125"/>
      <c r="AD113" s="1125"/>
      <c r="AE113" s="1173">
        <f t="shared" ref="AE113:AJ113" si="232">AE112+BG112</f>
        <v>10</v>
      </c>
      <c r="AF113" s="1173">
        <f t="shared" si="232"/>
        <v>50</v>
      </c>
      <c r="AG113" s="1173">
        <f t="shared" si="232"/>
        <v>10</v>
      </c>
      <c r="AH113" s="1173">
        <f t="shared" si="232"/>
        <v>5</v>
      </c>
      <c r="AI113" s="1174">
        <f t="shared" si="232"/>
        <v>20</v>
      </c>
      <c r="AJ113" s="1175">
        <f t="shared" si="232"/>
        <v>9</v>
      </c>
      <c r="AK113" s="1125"/>
      <c r="AL113" s="1173">
        <f t="shared" si="3"/>
        <v>300</v>
      </c>
      <c r="AM113" s="1173">
        <f t="shared" si="4"/>
        <v>300</v>
      </c>
      <c r="AN113" s="1173">
        <f t="shared" si="5"/>
        <v>300</v>
      </c>
      <c r="AO113" s="1176">
        <f t="shared" si="6"/>
        <v>1</v>
      </c>
      <c r="AP113" s="1175">
        <f t="shared" si="7"/>
        <v>3226</v>
      </c>
      <c r="AQ113" s="1177">
        <f t="shared" si="8"/>
        <v>4126</v>
      </c>
      <c r="AR113" s="1125"/>
      <c r="AS113" s="1173" t="str">
        <f t="shared" si="9"/>
        <v/>
      </c>
      <c r="AT113" s="1173" t="str">
        <f t="shared" si="10"/>
        <v/>
      </c>
      <c r="AU113" s="1173" t="str">
        <f t="shared" si="11"/>
        <v/>
      </c>
      <c r="AV113" s="1173" t="str">
        <f t="shared" si="12"/>
        <v/>
      </c>
      <c r="AW113" s="1178" t="str">
        <f t="shared" si="13"/>
        <v/>
      </c>
      <c r="AX113" s="1175" t="str">
        <f t="shared" si="14"/>
        <v/>
      </c>
      <c r="AY113" s="1125"/>
      <c r="AZ113" s="1179" t="str">
        <f t="shared" ref="AZ113:BD113" si="233">IF(AS113="", "", (AS113/$AQ113-1)/LABDURATION_SINGLE_ADJUSTED(AZ$4, AE113+1))</f>
        <v/>
      </c>
      <c r="BA113" s="1179" t="str">
        <f t="shared" si="233"/>
        <v/>
      </c>
      <c r="BB113" s="1179" t="str">
        <f t="shared" si="233"/>
        <v/>
      </c>
      <c r="BC113" s="1179" t="str">
        <f t="shared" si="233"/>
        <v/>
      </c>
      <c r="BD113" s="1180" t="str">
        <f t="shared" si="233"/>
        <v/>
      </c>
      <c r="BE113" s="1181" t="str">
        <f t="shared" si="16"/>
        <v/>
      </c>
      <c r="BF113" s="1125"/>
      <c r="BG113" s="1182" t="str">
        <f t="array" ref="BG113:BL113">IF(COLUMN(AZ113:BE113) = MIN(IF(AZ113:BE113=MAX(AZ113:BE113), COLUMN(AZ113:BE113))), 1, "")</f>
        <v/>
      </c>
      <c r="BH113" s="1182" t="s">
        <v>549</v>
      </c>
      <c r="BI113" s="1182" t="s">
        <v>549</v>
      </c>
      <c r="BJ113" s="1182" t="s">
        <v>549</v>
      </c>
      <c r="BK113" s="1174" t="s">
        <v>549</v>
      </c>
      <c r="BL113" s="1183" t="s">
        <v>549</v>
      </c>
      <c r="BM113" s="1125"/>
    </row>
    <row r="114">
      <c r="A114" s="1123"/>
      <c r="B114" s="1125"/>
      <c r="C114" s="1125"/>
      <c r="D114" s="1185" t="str">
        <f t="shared" si="17"/>
        <v/>
      </c>
      <c r="E114" s="1125"/>
      <c r="F114" s="1186" t="str">
        <f>IFERROR(__xludf.DUMMYFUNCTION("IF(SUM(BG113:BM113), ARRAYFORMULA(FILTER(BG$4:BM$4, BG113:BM113=1)), )"),"")</f>
        <v/>
      </c>
      <c r="G114" s="1187" t="str">
        <f>IFERROR(__xludf.DUMMYFUNCTION("IF(SUM(BG113:BM113),ARRAYFORMULA(FILTER(AE114:AJ114, BG113:BL113)), """")"),"")</f>
        <v/>
      </c>
      <c r="H114" s="1188" t="str">
        <f t="shared" si="18"/>
        <v/>
      </c>
      <c r="I114" s="1187"/>
      <c r="J114" s="1189" t="str">
        <f>IFERROR(__xludf.DUMMYFUNCTION("IF(SUM(BG113:BM113), ARRAYFORMULA(FILTER(AZ113:BE113, BG113:BL113=1))*D$5,"""")"),"")</f>
        <v/>
      </c>
      <c r="K114" s="1190" t="s">
        <v>549</v>
      </c>
      <c r="L114" s="1125" t="s">
        <v>549</v>
      </c>
      <c r="M114" s="1125"/>
      <c r="N114" s="1125"/>
      <c r="O114" s="1125"/>
      <c r="P114" s="1125"/>
      <c r="Q114" s="1125"/>
      <c r="R114" s="1125"/>
      <c r="S114" s="1125"/>
      <c r="T114" s="1125"/>
      <c r="U114" s="1125"/>
      <c r="V114" s="1125"/>
      <c r="W114" s="1125"/>
      <c r="X114" s="1125"/>
      <c r="Y114" s="1125"/>
      <c r="Z114" s="1125"/>
      <c r="AA114" s="1125"/>
      <c r="AB114" s="1125"/>
      <c r="AC114" s="1125"/>
      <c r="AD114" s="1125"/>
      <c r="AE114" s="1173">
        <f t="shared" ref="AE114:AJ114" si="234">AE113+BG113</f>
        <v>10</v>
      </c>
      <c r="AF114" s="1173">
        <f t="shared" si="234"/>
        <v>50</v>
      </c>
      <c r="AG114" s="1173">
        <f t="shared" si="234"/>
        <v>10</v>
      </c>
      <c r="AH114" s="1173">
        <f t="shared" si="234"/>
        <v>5</v>
      </c>
      <c r="AI114" s="1174">
        <f t="shared" si="234"/>
        <v>20</v>
      </c>
      <c r="AJ114" s="1175">
        <f t="shared" si="234"/>
        <v>9</v>
      </c>
      <c r="AK114" s="1125"/>
      <c r="AL114" s="1173">
        <f t="shared" si="3"/>
        <v>300</v>
      </c>
      <c r="AM114" s="1173">
        <f t="shared" si="4"/>
        <v>300</v>
      </c>
      <c r="AN114" s="1173">
        <f t="shared" si="5"/>
        <v>300</v>
      </c>
      <c r="AO114" s="1176">
        <f t="shared" si="6"/>
        <v>1</v>
      </c>
      <c r="AP114" s="1175">
        <f t="shared" si="7"/>
        <v>3226</v>
      </c>
      <c r="AQ114" s="1177">
        <f t="shared" si="8"/>
        <v>4126</v>
      </c>
      <c r="AR114" s="1125"/>
      <c r="AS114" s="1173" t="str">
        <f t="shared" si="9"/>
        <v/>
      </c>
      <c r="AT114" s="1173" t="str">
        <f t="shared" si="10"/>
        <v/>
      </c>
      <c r="AU114" s="1173" t="str">
        <f t="shared" si="11"/>
        <v/>
      </c>
      <c r="AV114" s="1173" t="str">
        <f t="shared" si="12"/>
        <v/>
      </c>
      <c r="AW114" s="1178" t="str">
        <f t="shared" si="13"/>
        <v/>
      </c>
      <c r="AX114" s="1175" t="str">
        <f t="shared" si="14"/>
        <v/>
      </c>
      <c r="AY114" s="1125"/>
      <c r="AZ114" s="1179" t="str">
        <f t="shared" ref="AZ114:BD114" si="235">IF(AS114="", "", (AS114/$AQ114-1)/LABDURATION_SINGLE_ADJUSTED(AZ$4, AE114+1))</f>
        <v/>
      </c>
      <c r="BA114" s="1179" t="str">
        <f t="shared" si="235"/>
        <v/>
      </c>
      <c r="BB114" s="1179" t="str">
        <f t="shared" si="235"/>
        <v/>
      </c>
      <c r="BC114" s="1179" t="str">
        <f t="shared" si="235"/>
        <v/>
      </c>
      <c r="BD114" s="1180" t="str">
        <f t="shared" si="235"/>
        <v/>
      </c>
      <c r="BE114" s="1181" t="str">
        <f t="shared" si="16"/>
        <v/>
      </c>
      <c r="BF114" s="1125"/>
      <c r="BG114" s="1182" t="str">
        <f t="array" ref="BG114:BL114">IF(COLUMN(AZ114:BE114) = MIN(IF(AZ114:BE114=MAX(AZ114:BE114), COLUMN(AZ114:BE114))), 1, "")</f>
        <v/>
      </c>
      <c r="BH114" s="1182" t="s">
        <v>549</v>
      </c>
      <c r="BI114" s="1182" t="s">
        <v>549</v>
      </c>
      <c r="BJ114" s="1182" t="s">
        <v>549</v>
      </c>
      <c r="BK114" s="1174" t="s">
        <v>549</v>
      </c>
      <c r="BL114" s="1183" t="s">
        <v>549</v>
      </c>
      <c r="BM114" s="1125"/>
    </row>
    <row r="115">
      <c r="A115" s="1123"/>
      <c r="B115" s="1125"/>
      <c r="C115" s="1125"/>
      <c r="D115" s="1185" t="str">
        <f t="shared" si="17"/>
        <v/>
      </c>
      <c r="E115" s="1125"/>
      <c r="F115" s="1186" t="str">
        <f>IFERROR(__xludf.DUMMYFUNCTION("IF(SUM(BG114:BM114), ARRAYFORMULA(FILTER(BG$4:BM$4, BG114:BM114=1)), )"),"")</f>
        <v/>
      </c>
      <c r="G115" s="1187" t="str">
        <f>IFERROR(__xludf.DUMMYFUNCTION("IF(SUM(BG114:BM114),ARRAYFORMULA(FILTER(AE115:AJ115, BG114:BL114)), """")"),"")</f>
        <v/>
      </c>
      <c r="H115" s="1188" t="str">
        <f t="shared" si="18"/>
        <v/>
      </c>
      <c r="I115" s="1187"/>
      <c r="J115" s="1189" t="str">
        <f>IFERROR(__xludf.DUMMYFUNCTION("IF(SUM(BG114:BM114), ARRAYFORMULA(FILTER(AZ114:BE114, BG114:BL114=1))*D$5,"""")"),"")</f>
        <v/>
      </c>
      <c r="K115" s="1190" t="s">
        <v>549</v>
      </c>
      <c r="L115" s="1125" t="s">
        <v>549</v>
      </c>
      <c r="M115" s="1125"/>
      <c r="N115" s="1125"/>
      <c r="O115" s="1125"/>
      <c r="P115" s="1125"/>
      <c r="Q115" s="1125"/>
      <c r="R115" s="1125"/>
      <c r="S115" s="1125"/>
      <c r="T115" s="1125"/>
      <c r="U115" s="1125"/>
      <c r="V115" s="1125"/>
      <c r="W115" s="1125"/>
      <c r="X115" s="1125"/>
      <c r="Y115" s="1125"/>
      <c r="Z115" s="1125"/>
      <c r="AA115" s="1125"/>
      <c r="AB115" s="1125"/>
      <c r="AC115" s="1125"/>
      <c r="AD115" s="1125"/>
      <c r="AE115" s="1173">
        <f t="shared" ref="AE115:AJ115" si="236">AE114+BG114</f>
        <v>10</v>
      </c>
      <c r="AF115" s="1173">
        <f t="shared" si="236"/>
        <v>50</v>
      </c>
      <c r="AG115" s="1173">
        <f t="shared" si="236"/>
        <v>10</v>
      </c>
      <c r="AH115" s="1173">
        <f t="shared" si="236"/>
        <v>5</v>
      </c>
      <c r="AI115" s="1174">
        <f t="shared" si="236"/>
        <v>20</v>
      </c>
      <c r="AJ115" s="1175">
        <f t="shared" si="236"/>
        <v>9</v>
      </c>
      <c r="AK115" s="1125"/>
      <c r="AL115" s="1173">
        <f t="shared" si="3"/>
        <v>300</v>
      </c>
      <c r="AM115" s="1173">
        <f t="shared" si="4"/>
        <v>300</v>
      </c>
      <c r="AN115" s="1173">
        <f t="shared" si="5"/>
        <v>300</v>
      </c>
      <c r="AO115" s="1176">
        <f t="shared" si="6"/>
        <v>1</v>
      </c>
      <c r="AP115" s="1175">
        <f t="shared" si="7"/>
        <v>3226</v>
      </c>
      <c r="AQ115" s="1177">
        <f t="shared" si="8"/>
        <v>4126</v>
      </c>
      <c r="AR115" s="1125"/>
      <c r="AS115" s="1173" t="str">
        <f t="shared" si="9"/>
        <v/>
      </c>
      <c r="AT115" s="1173" t="str">
        <f t="shared" si="10"/>
        <v/>
      </c>
      <c r="AU115" s="1173" t="str">
        <f t="shared" si="11"/>
        <v/>
      </c>
      <c r="AV115" s="1173" t="str">
        <f t="shared" si="12"/>
        <v/>
      </c>
      <c r="AW115" s="1178" t="str">
        <f t="shared" si="13"/>
        <v/>
      </c>
      <c r="AX115" s="1175" t="str">
        <f t="shared" si="14"/>
        <v/>
      </c>
      <c r="AY115" s="1125"/>
      <c r="AZ115" s="1179" t="str">
        <f t="shared" ref="AZ115:BD115" si="237">IF(AS115="", "", (AS115/$AQ115-1)/LABDURATION_SINGLE_ADJUSTED(AZ$4, AE115+1))</f>
        <v/>
      </c>
      <c r="BA115" s="1179" t="str">
        <f t="shared" si="237"/>
        <v/>
      </c>
      <c r="BB115" s="1179" t="str">
        <f t="shared" si="237"/>
        <v/>
      </c>
      <c r="BC115" s="1179" t="str">
        <f t="shared" si="237"/>
        <v/>
      </c>
      <c r="BD115" s="1180" t="str">
        <f t="shared" si="237"/>
        <v/>
      </c>
      <c r="BE115" s="1181" t="str">
        <f t="shared" si="16"/>
        <v/>
      </c>
      <c r="BF115" s="1125"/>
      <c r="BG115" s="1182" t="str">
        <f t="array" ref="BG115:BL115">IF(COLUMN(AZ115:BE115) = MIN(IF(AZ115:BE115=MAX(AZ115:BE115), COLUMN(AZ115:BE115))), 1, "")</f>
        <v/>
      </c>
      <c r="BH115" s="1182" t="s">
        <v>549</v>
      </c>
      <c r="BI115" s="1182" t="s">
        <v>549</v>
      </c>
      <c r="BJ115" s="1182" t="s">
        <v>549</v>
      </c>
      <c r="BK115" s="1174" t="s">
        <v>549</v>
      </c>
      <c r="BL115" s="1183" t="s">
        <v>549</v>
      </c>
      <c r="BM115" s="1125"/>
    </row>
    <row r="116">
      <c r="A116" s="1123"/>
      <c r="B116" s="1125"/>
      <c r="C116" s="1125"/>
      <c r="D116" s="1185" t="str">
        <f t="shared" si="17"/>
        <v/>
      </c>
      <c r="E116" s="1125"/>
      <c r="F116" s="1186" t="str">
        <f>IFERROR(__xludf.DUMMYFUNCTION("IF(SUM(BG115:BM115), ARRAYFORMULA(FILTER(BG$4:BM$4, BG115:BM115=1)), )"),"")</f>
        <v/>
      </c>
      <c r="G116" s="1187" t="str">
        <f>IFERROR(__xludf.DUMMYFUNCTION("IF(SUM(BG115:BM115),ARRAYFORMULA(FILTER(AE116:AJ116, BG115:BL115)), """")"),"")</f>
        <v/>
      </c>
      <c r="H116" s="1188" t="str">
        <f t="shared" si="18"/>
        <v/>
      </c>
      <c r="I116" s="1187"/>
      <c r="J116" s="1189" t="str">
        <f>IFERROR(__xludf.DUMMYFUNCTION("IF(SUM(BG115:BM115), ARRAYFORMULA(FILTER(AZ115:BE115, BG115:BL115=1))*D$5,"""")"),"")</f>
        <v/>
      </c>
      <c r="K116" s="1190" t="s">
        <v>549</v>
      </c>
      <c r="L116" s="1125" t="s">
        <v>549</v>
      </c>
      <c r="M116" s="1125"/>
      <c r="N116" s="1125"/>
      <c r="O116" s="1125"/>
      <c r="P116" s="1125"/>
      <c r="Q116" s="1125"/>
      <c r="R116" s="1125"/>
      <c r="S116" s="1125"/>
      <c r="T116" s="1125"/>
      <c r="U116" s="1125"/>
      <c r="V116" s="1125"/>
      <c r="W116" s="1125"/>
      <c r="X116" s="1125"/>
      <c r="Y116" s="1125"/>
      <c r="Z116" s="1125"/>
      <c r="AA116" s="1125"/>
      <c r="AB116" s="1125"/>
      <c r="AC116" s="1125"/>
      <c r="AD116" s="1125"/>
      <c r="AE116" s="1173">
        <f t="shared" ref="AE116:AJ116" si="238">AE115+BG115</f>
        <v>10</v>
      </c>
      <c r="AF116" s="1173">
        <f t="shared" si="238"/>
        <v>50</v>
      </c>
      <c r="AG116" s="1173">
        <f t="shared" si="238"/>
        <v>10</v>
      </c>
      <c r="AH116" s="1173">
        <f t="shared" si="238"/>
        <v>5</v>
      </c>
      <c r="AI116" s="1174">
        <f t="shared" si="238"/>
        <v>20</v>
      </c>
      <c r="AJ116" s="1175">
        <f t="shared" si="238"/>
        <v>9</v>
      </c>
      <c r="AK116" s="1125"/>
      <c r="AL116" s="1173">
        <f t="shared" si="3"/>
        <v>300</v>
      </c>
      <c r="AM116" s="1173">
        <f t="shared" si="4"/>
        <v>300</v>
      </c>
      <c r="AN116" s="1173">
        <f t="shared" si="5"/>
        <v>300</v>
      </c>
      <c r="AO116" s="1176">
        <f t="shared" si="6"/>
        <v>1</v>
      </c>
      <c r="AP116" s="1175">
        <f t="shared" si="7"/>
        <v>3226</v>
      </c>
      <c r="AQ116" s="1177">
        <f t="shared" si="8"/>
        <v>4126</v>
      </c>
      <c r="AR116" s="1125"/>
      <c r="AS116" s="1173" t="str">
        <f t="shared" si="9"/>
        <v/>
      </c>
      <c r="AT116" s="1173" t="str">
        <f t="shared" si="10"/>
        <v/>
      </c>
      <c r="AU116" s="1173" t="str">
        <f t="shared" si="11"/>
        <v/>
      </c>
      <c r="AV116" s="1173" t="str">
        <f t="shared" si="12"/>
        <v/>
      </c>
      <c r="AW116" s="1178" t="str">
        <f t="shared" si="13"/>
        <v/>
      </c>
      <c r="AX116" s="1175" t="str">
        <f t="shared" si="14"/>
        <v/>
      </c>
      <c r="AY116" s="1125"/>
      <c r="AZ116" s="1179" t="str">
        <f t="shared" ref="AZ116:BD116" si="239">IF(AS116="", "", (AS116/$AQ116-1)/LABDURATION_SINGLE_ADJUSTED(AZ$4, AE116+1))</f>
        <v/>
      </c>
      <c r="BA116" s="1179" t="str">
        <f t="shared" si="239"/>
        <v/>
      </c>
      <c r="BB116" s="1179" t="str">
        <f t="shared" si="239"/>
        <v/>
      </c>
      <c r="BC116" s="1179" t="str">
        <f t="shared" si="239"/>
        <v/>
      </c>
      <c r="BD116" s="1180" t="str">
        <f t="shared" si="239"/>
        <v/>
      </c>
      <c r="BE116" s="1181" t="str">
        <f t="shared" si="16"/>
        <v/>
      </c>
      <c r="BF116" s="1125"/>
      <c r="BG116" s="1182" t="str">
        <f t="array" ref="BG116:BL116">IF(COLUMN(AZ116:BE116) = MIN(IF(AZ116:BE116=MAX(AZ116:BE116), COLUMN(AZ116:BE116))), 1, "")</f>
        <v/>
      </c>
      <c r="BH116" s="1182" t="s">
        <v>549</v>
      </c>
      <c r="BI116" s="1182" t="s">
        <v>549</v>
      </c>
      <c r="BJ116" s="1182" t="s">
        <v>549</v>
      </c>
      <c r="BK116" s="1174" t="s">
        <v>549</v>
      </c>
      <c r="BL116" s="1183" t="s">
        <v>549</v>
      </c>
      <c r="BM116" s="1125"/>
    </row>
    <row r="117">
      <c r="A117" s="1123"/>
      <c r="B117" s="1125"/>
      <c r="C117" s="1125"/>
      <c r="D117" s="1185" t="str">
        <f t="shared" si="17"/>
        <v/>
      </c>
      <c r="E117" s="1125"/>
      <c r="F117" s="1186" t="str">
        <f>IFERROR(__xludf.DUMMYFUNCTION("IF(SUM(BG116:BM116), ARRAYFORMULA(FILTER(BG$4:BM$4, BG116:BM116=1)), )"),"")</f>
        <v/>
      </c>
      <c r="G117" s="1187" t="str">
        <f>IFERROR(__xludf.DUMMYFUNCTION("IF(SUM(BG116:BM116),ARRAYFORMULA(FILTER(AE117:AJ117, BG116:BL116)), """")"),"")</f>
        <v/>
      </c>
      <c r="H117" s="1188" t="str">
        <f t="shared" si="18"/>
        <v/>
      </c>
      <c r="I117" s="1187"/>
      <c r="J117" s="1189" t="str">
        <f>IFERROR(__xludf.DUMMYFUNCTION("IF(SUM(BG116:BM116), ARRAYFORMULA(FILTER(AZ116:BE116, BG116:BL116=1))*D$5,"""")"),"")</f>
        <v/>
      </c>
      <c r="K117" s="1190" t="s">
        <v>549</v>
      </c>
      <c r="L117" s="1125" t="s">
        <v>549</v>
      </c>
      <c r="M117" s="1125"/>
      <c r="N117" s="1125"/>
      <c r="O117" s="1125"/>
      <c r="P117" s="1125"/>
      <c r="Q117" s="1125"/>
      <c r="R117" s="1125"/>
      <c r="S117" s="1125"/>
      <c r="T117" s="1125"/>
      <c r="U117" s="1125"/>
      <c r="V117" s="1125"/>
      <c r="W117" s="1125"/>
      <c r="X117" s="1125"/>
      <c r="Y117" s="1125"/>
      <c r="Z117" s="1125"/>
      <c r="AA117" s="1125"/>
      <c r="AB117" s="1125"/>
      <c r="AC117" s="1125"/>
      <c r="AD117" s="1125"/>
      <c r="AE117" s="1173">
        <f t="shared" ref="AE117:AJ117" si="240">AE116+BG116</f>
        <v>10</v>
      </c>
      <c r="AF117" s="1173">
        <f t="shared" si="240"/>
        <v>50</v>
      </c>
      <c r="AG117" s="1173">
        <f t="shared" si="240"/>
        <v>10</v>
      </c>
      <c r="AH117" s="1173">
        <f t="shared" si="240"/>
        <v>5</v>
      </c>
      <c r="AI117" s="1174">
        <f t="shared" si="240"/>
        <v>20</v>
      </c>
      <c r="AJ117" s="1175">
        <f t="shared" si="240"/>
        <v>9</v>
      </c>
      <c r="AK117" s="1125"/>
      <c r="AL117" s="1173">
        <f t="shared" si="3"/>
        <v>300</v>
      </c>
      <c r="AM117" s="1173">
        <f t="shared" si="4"/>
        <v>300</v>
      </c>
      <c r="AN117" s="1173">
        <f t="shared" si="5"/>
        <v>300</v>
      </c>
      <c r="AO117" s="1176">
        <f t="shared" si="6"/>
        <v>1</v>
      </c>
      <c r="AP117" s="1175">
        <f t="shared" si="7"/>
        <v>3226</v>
      </c>
      <c r="AQ117" s="1177">
        <f t="shared" si="8"/>
        <v>4126</v>
      </c>
      <c r="AR117" s="1125"/>
      <c r="AS117" s="1173" t="str">
        <f t="shared" si="9"/>
        <v/>
      </c>
      <c r="AT117" s="1173" t="str">
        <f t="shared" si="10"/>
        <v/>
      </c>
      <c r="AU117" s="1173" t="str">
        <f t="shared" si="11"/>
        <v/>
      </c>
      <c r="AV117" s="1173" t="str">
        <f t="shared" si="12"/>
        <v/>
      </c>
      <c r="AW117" s="1178" t="str">
        <f t="shared" si="13"/>
        <v/>
      </c>
      <c r="AX117" s="1175" t="str">
        <f t="shared" si="14"/>
        <v/>
      </c>
      <c r="AY117" s="1125"/>
      <c r="AZ117" s="1179" t="str">
        <f t="shared" ref="AZ117:BD117" si="241">IF(AS117="", "", (AS117/$AQ117-1)/LABDURATION_SINGLE_ADJUSTED(AZ$4, AE117+1))</f>
        <v/>
      </c>
      <c r="BA117" s="1179" t="str">
        <f t="shared" si="241"/>
        <v/>
      </c>
      <c r="BB117" s="1179" t="str">
        <f t="shared" si="241"/>
        <v/>
      </c>
      <c r="BC117" s="1179" t="str">
        <f t="shared" si="241"/>
        <v/>
      </c>
      <c r="BD117" s="1180" t="str">
        <f t="shared" si="241"/>
        <v/>
      </c>
      <c r="BE117" s="1181" t="str">
        <f t="shared" si="16"/>
        <v/>
      </c>
      <c r="BF117" s="1125"/>
      <c r="BG117" s="1182" t="str">
        <f t="array" ref="BG117:BL117">IF(COLUMN(AZ117:BE117) = MIN(IF(AZ117:BE117=MAX(AZ117:BE117), COLUMN(AZ117:BE117))), 1, "")</f>
        <v/>
      </c>
      <c r="BH117" s="1182" t="s">
        <v>549</v>
      </c>
      <c r="BI117" s="1182" t="s">
        <v>549</v>
      </c>
      <c r="BJ117" s="1182" t="s">
        <v>549</v>
      </c>
      <c r="BK117" s="1174" t="s">
        <v>549</v>
      </c>
      <c r="BL117" s="1183" t="s">
        <v>549</v>
      </c>
      <c r="BM117" s="1125"/>
    </row>
    <row r="118">
      <c r="A118" s="1123"/>
      <c r="B118" s="1125"/>
      <c r="C118" s="1125"/>
      <c r="D118" s="1185" t="str">
        <f t="shared" si="17"/>
        <v/>
      </c>
      <c r="E118" s="1125"/>
      <c r="F118" s="1186" t="str">
        <f>IFERROR(__xludf.DUMMYFUNCTION("IF(SUM(BG117:BM117), ARRAYFORMULA(FILTER(BG$4:BM$4, BG117:BM117=1)), )"),"")</f>
        <v/>
      </c>
      <c r="G118" s="1187" t="str">
        <f>IFERROR(__xludf.DUMMYFUNCTION("IF(SUM(BG117:BM117),ARRAYFORMULA(FILTER(AE118:AJ118, BG117:BL117)), """")"),"")</f>
        <v/>
      </c>
      <c r="H118" s="1188" t="str">
        <f t="shared" si="18"/>
        <v/>
      </c>
      <c r="I118" s="1187"/>
      <c r="J118" s="1189" t="str">
        <f>IFERROR(__xludf.DUMMYFUNCTION("IF(SUM(BG117:BM117), ARRAYFORMULA(FILTER(AZ117:BE117, BG117:BL117=1))*D$5,"""")"),"")</f>
        <v/>
      </c>
      <c r="K118" s="1190" t="s">
        <v>549</v>
      </c>
      <c r="L118" s="1125" t="s">
        <v>549</v>
      </c>
      <c r="M118" s="1125"/>
      <c r="N118" s="1125"/>
      <c r="O118" s="1125"/>
      <c r="P118" s="1125"/>
      <c r="Q118" s="1125"/>
      <c r="R118" s="1125"/>
      <c r="S118" s="1125"/>
      <c r="T118" s="1125"/>
      <c r="U118" s="1125"/>
      <c r="V118" s="1125"/>
      <c r="W118" s="1125"/>
      <c r="X118" s="1125"/>
      <c r="Y118" s="1125"/>
      <c r="Z118" s="1125"/>
      <c r="AA118" s="1125"/>
      <c r="AB118" s="1125"/>
      <c r="AC118" s="1125"/>
      <c r="AD118" s="1125"/>
      <c r="AE118" s="1173">
        <f t="shared" ref="AE118:AJ118" si="242">AE117+BG117</f>
        <v>10</v>
      </c>
      <c r="AF118" s="1173">
        <f t="shared" si="242"/>
        <v>50</v>
      </c>
      <c r="AG118" s="1173">
        <f t="shared" si="242"/>
        <v>10</v>
      </c>
      <c r="AH118" s="1173">
        <f t="shared" si="242"/>
        <v>5</v>
      </c>
      <c r="AI118" s="1174">
        <f t="shared" si="242"/>
        <v>20</v>
      </c>
      <c r="AJ118" s="1175">
        <f t="shared" si="242"/>
        <v>9</v>
      </c>
      <c r="AK118" s="1125"/>
      <c r="AL118" s="1173">
        <f t="shared" si="3"/>
        <v>300</v>
      </c>
      <c r="AM118" s="1173">
        <f t="shared" si="4"/>
        <v>300</v>
      </c>
      <c r="AN118" s="1173">
        <f t="shared" si="5"/>
        <v>300</v>
      </c>
      <c r="AO118" s="1176">
        <f t="shared" si="6"/>
        <v>1</v>
      </c>
      <c r="AP118" s="1175">
        <f t="shared" si="7"/>
        <v>3226</v>
      </c>
      <c r="AQ118" s="1177">
        <f t="shared" si="8"/>
        <v>4126</v>
      </c>
      <c r="AR118" s="1125"/>
      <c r="AS118" s="1173" t="str">
        <f t="shared" si="9"/>
        <v/>
      </c>
      <c r="AT118" s="1173" t="str">
        <f t="shared" si="10"/>
        <v/>
      </c>
      <c r="AU118" s="1173" t="str">
        <f t="shared" si="11"/>
        <v/>
      </c>
      <c r="AV118" s="1173" t="str">
        <f t="shared" si="12"/>
        <v/>
      </c>
      <c r="AW118" s="1178" t="str">
        <f t="shared" si="13"/>
        <v/>
      </c>
      <c r="AX118" s="1175" t="str">
        <f t="shared" si="14"/>
        <v/>
      </c>
      <c r="AY118" s="1125"/>
      <c r="AZ118" s="1179" t="str">
        <f t="shared" ref="AZ118:BD118" si="243">IF(AS118="", "", (AS118/$AQ118-1)/LABDURATION_SINGLE_ADJUSTED(AZ$4, AE118+1))</f>
        <v/>
      </c>
      <c r="BA118" s="1179" t="str">
        <f t="shared" si="243"/>
        <v/>
      </c>
      <c r="BB118" s="1179" t="str">
        <f t="shared" si="243"/>
        <v/>
      </c>
      <c r="BC118" s="1179" t="str">
        <f t="shared" si="243"/>
        <v/>
      </c>
      <c r="BD118" s="1180" t="str">
        <f t="shared" si="243"/>
        <v/>
      </c>
      <c r="BE118" s="1181" t="str">
        <f t="shared" si="16"/>
        <v/>
      </c>
      <c r="BF118" s="1125"/>
      <c r="BG118" s="1182" t="str">
        <f t="array" ref="BG118:BL118">IF(COLUMN(AZ118:BE118) = MIN(IF(AZ118:BE118=MAX(AZ118:BE118), COLUMN(AZ118:BE118))), 1, "")</f>
        <v/>
      </c>
      <c r="BH118" s="1182" t="s">
        <v>549</v>
      </c>
      <c r="BI118" s="1182" t="s">
        <v>549</v>
      </c>
      <c r="BJ118" s="1182" t="s">
        <v>549</v>
      </c>
      <c r="BK118" s="1174" t="s">
        <v>549</v>
      </c>
      <c r="BL118" s="1183" t="s">
        <v>549</v>
      </c>
      <c r="BM118" s="1125"/>
    </row>
    <row r="119">
      <c r="A119" s="1123"/>
      <c r="B119" s="1125"/>
      <c r="C119" s="1125"/>
      <c r="D119" s="1185" t="str">
        <f t="shared" si="17"/>
        <v/>
      </c>
      <c r="E119" s="1125"/>
      <c r="F119" s="1186" t="str">
        <f>IFERROR(__xludf.DUMMYFUNCTION("IF(SUM(BG118:BM118), ARRAYFORMULA(FILTER(BG$4:BM$4, BG118:BM118=1)), )"),"")</f>
        <v/>
      </c>
      <c r="G119" s="1187" t="str">
        <f>IFERROR(__xludf.DUMMYFUNCTION("IF(SUM(BG118:BM118),ARRAYFORMULA(FILTER(AE119:AJ119, BG118:BL118)), """")"),"")</f>
        <v/>
      </c>
      <c r="H119" s="1188" t="str">
        <f t="shared" si="18"/>
        <v/>
      </c>
      <c r="I119" s="1187"/>
      <c r="J119" s="1189" t="str">
        <f>IFERROR(__xludf.DUMMYFUNCTION("IF(SUM(BG118:BM118), ARRAYFORMULA(FILTER(AZ118:BE118, BG118:BL118=1))*D$5,"""")"),"")</f>
        <v/>
      </c>
      <c r="K119" s="1190" t="s">
        <v>549</v>
      </c>
      <c r="L119" s="1125" t="s">
        <v>549</v>
      </c>
      <c r="M119" s="1125"/>
      <c r="N119" s="1125"/>
      <c r="O119" s="1125"/>
      <c r="P119" s="1125"/>
      <c r="Q119" s="1125"/>
      <c r="R119" s="1125"/>
      <c r="S119" s="1125"/>
      <c r="T119" s="1125"/>
      <c r="U119" s="1125"/>
      <c r="V119" s="1125"/>
      <c r="W119" s="1125"/>
      <c r="X119" s="1125"/>
      <c r="Y119" s="1125"/>
      <c r="Z119" s="1125"/>
      <c r="AA119" s="1125"/>
      <c r="AB119" s="1125"/>
      <c r="AC119" s="1125"/>
      <c r="AD119" s="1125"/>
      <c r="AE119" s="1173">
        <f t="shared" ref="AE119:AJ119" si="244">AE118+BG118</f>
        <v>10</v>
      </c>
      <c r="AF119" s="1173">
        <f t="shared" si="244"/>
        <v>50</v>
      </c>
      <c r="AG119" s="1173">
        <f t="shared" si="244"/>
        <v>10</v>
      </c>
      <c r="AH119" s="1173">
        <f t="shared" si="244"/>
        <v>5</v>
      </c>
      <c r="AI119" s="1174">
        <f t="shared" si="244"/>
        <v>20</v>
      </c>
      <c r="AJ119" s="1175">
        <f t="shared" si="244"/>
        <v>9</v>
      </c>
      <c r="AK119" s="1125"/>
      <c r="AL119" s="1173">
        <f t="shared" si="3"/>
        <v>300</v>
      </c>
      <c r="AM119" s="1173">
        <f t="shared" si="4"/>
        <v>300</v>
      </c>
      <c r="AN119" s="1173">
        <f t="shared" si="5"/>
        <v>300</v>
      </c>
      <c r="AO119" s="1176">
        <f t="shared" si="6"/>
        <v>1</v>
      </c>
      <c r="AP119" s="1175">
        <f t="shared" si="7"/>
        <v>3226</v>
      </c>
      <c r="AQ119" s="1177">
        <f t="shared" si="8"/>
        <v>4126</v>
      </c>
      <c r="AR119" s="1125"/>
      <c r="AS119" s="1173" t="str">
        <f t="shared" si="9"/>
        <v/>
      </c>
      <c r="AT119" s="1173" t="str">
        <f t="shared" si="10"/>
        <v/>
      </c>
      <c r="AU119" s="1173" t="str">
        <f t="shared" si="11"/>
        <v/>
      </c>
      <c r="AV119" s="1173" t="str">
        <f t="shared" si="12"/>
        <v/>
      </c>
      <c r="AW119" s="1178" t="str">
        <f t="shared" si="13"/>
        <v/>
      </c>
      <c r="AX119" s="1175" t="str">
        <f t="shared" si="14"/>
        <v/>
      </c>
      <c r="AY119" s="1125"/>
      <c r="AZ119" s="1179" t="str">
        <f t="shared" ref="AZ119:BD119" si="245">IF(AS119="", "", (AS119/$AQ119-1)/LABDURATION_SINGLE_ADJUSTED(AZ$4, AE119+1))</f>
        <v/>
      </c>
      <c r="BA119" s="1179" t="str">
        <f t="shared" si="245"/>
        <v/>
      </c>
      <c r="BB119" s="1179" t="str">
        <f t="shared" si="245"/>
        <v/>
      </c>
      <c r="BC119" s="1179" t="str">
        <f t="shared" si="245"/>
        <v/>
      </c>
      <c r="BD119" s="1180" t="str">
        <f t="shared" si="245"/>
        <v/>
      </c>
      <c r="BE119" s="1181" t="str">
        <f t="shared" si="16"/>
        <v/>
      </c>
      <c r="BF119" s="1125"/>
      <c r="BG119" s="1182" t="str">
        <f t="array" ref="BG119:BL119">IF(COLUMN(AZ119:BE119) = MIN(IF(AZ119:BE119=MAX(AZ119:BE119), COLUMN(AZ119:BE119))), 1, "")</f>
        <v/>
      </c>
      <c r="BH119" s="1182" t="s">
        <v>549</v>
      </c>
      <c r="BI119" s="1182" t="s">
        <v>549</v>
      </c>
      <c r="BJ119" s="1182" t="s">
        <v>549</v>
      </c>
      <c r="BK119" s="1174" t="s">
        <v>549</v>
      </c>
      <c r="BL119" s="1183" t="s">
        <v>549</v>
      </c>
      <c r="BM119" s="1125"/>
    </row>
    <row r="120">
      <c r="A120" s="1123"/>
      <c r="B120" s="1125"/>
      <c r="C120" s="1125"/>
      <c r="D120" s="1185" t="str">
        <f t="shared" si="17"/>
        <v/>
      </c>
      <c r="E120" s="1125"/>
      <c r="F120" s="1186" t="str">
        <f>IFERROR(__xludf.DUMMYFUNCTION("IF(SUM(BG119:BM119), ARRAYFORMULA(FILTER(BG$4:BM$4, BG119:BM119=1)), )"),"")</f>
        <v/>
      </c>
      <c r="G120" s="1187" t="str">
        <f>IFERROR(__xludf.DUMMYFUNCTION("IF(SUM(BG119:BM119),ARRAYFORMULA(FILTER(AE120:AJ120, BG119:BL119)), """")"),"")</f>
        <v/>
      </c>
      <c r="H120" s="1188" t="str">
        <f t="shared" si="18"/>
        <v/>
      </c>
      <c r="I120" s="1187"/>
      <c r="J120" s="1189" t="str">
        <f>IFERROR(__xludf.DUMMYFUNCTION("IF(SUM(BG119:BM119), ARRAYFORMULA(FILTER(AZ119:BE119, BG119:BL119=1))*D$5,"""")"),"")</f>
        <v/>
      </c>
      <c r="K120" s="1190" t="s">
        <v>549</v>
      </c>
      <c r="L120" s="1125" t="s">
        <v>549</v>
      </c>
      <c r="M120" s="1125"/>
      <c r="N120" s="1125"/>
      <c r="O120" s="1125"/>
      <c r="P120" s="1125"/>
      <c r="Q120" s="1125"/>
      <c r="R120" s="1125"/>
      <c r="S120" s="1125"/>
      <c r="T120" s="1125"/>
      <c r="U120" s="1125"/>
      <c r="V120" s="1125"/>
      <c r="W120" s="1125"/>
      <c r="X120" s="1125"/>
      <c r="Y120" s="1125"/>
      <c r="Z120" s="1125"/>
      <c r="AA120" s="1125"/>
      <c r="AB120" s="1125"/>
      <c r="AC120" s="1125"/>
      <c r="AD120" s="1125"/>
      <c r="AE120" s="1173">
        <f t="shared" ref="AE120:AJ120" si="246">AE119+BG119</f>
        <v>10</v>
      </c>
      <c r="AF120" s="1173">
        <f t="shared" si="246"/>
        <v>50</v>
      </c>
      <c r="AG120" s="1173">
        <f t="shared" si="246"/>
        <v>10</v>
      </c>
      <c r="AH120" s="1173">
        <f t="shared" si="246"/>
        <v>5</v>
      </c>
      <c r="AI120" s="1174">
        <f t="shared" si="246"/>
        <v>20</v>
      </c>
      <c r="AJ120" s="1175">
        <f t="shared" si="246"/>
        <v>9</v>
      </c>
      <c r="AK120" s="1125"/>
      <c r="AL120" s="1173">
        <f t="shared" si="3"/>
        <v>300</v>
      </c>
      <c r="AM120" s="1173">
        <f t="shared" si="4"/>
        <v>300</v>
      </c>
      <c r="AN120" s="1173">
        <f t="shared" si="5"/>
        <v>300</v>
      </c>
      <c r="AO120" s="1176">
        <f t="shared" si="6"/>
        <v>1</v>
      </c>
      <c r="AP120" s="1175">
        <f t="shared" si="7"/>
        <v>3226</v>
      </c>
      <c r="AQ120" s="1177">
        <f t="shared" si="8"/>
        <v>4126</v>
      </c>
      <c r="AR120" s="1125"/>
      <c r="AS120" s="1173" t="str">
        <f t="shared" si="9"/>
        <v/>
      </c>
      <c r="AT120" s="1173" t="str">
        <f t="shared" si="10"/>
        <v/>
      </c>
      <c r="AU120" s="1173" t="str">
        <f t="shared" si="11"/>
        <v/>
      </c>
      <c r="AV120" s="1173" t="str">
        <f t="shared" si="12"/>
        <v/>
      </c>
      <c r="AW120" s="1178" t="str">
        <f t="shared" si="13"/>
        <v/>
      </c>
      <c r="AX120" s="1175" t="str">
        <f t="shared" si="14"/>
        <v/>
      </c>
      <c r="AY120" s="1125"/>
      <c r="AZ120" s="1179" t="str">
        <f t="shared" ref="AZ120:BD120" si="247">IF(AS120="", "", (AS120/$AQ120-1)/LABDURATION_SINGLE_ADJUSTED(AZ$4, AE120+1))</f>
        <v/>
      </c>
      <c r="BA120" s="1179" t="str">
        <f t="shared" si="247"/>
        <v/>
      </c>
      <c r="BB120" s="1179" t="str">
        <f t="shared" si="247"/>
        <v/>
      </c>
      <c r="BC120" s="1179" t="str">
        <f t="shared" si="247"/>
        <v/>
      </c>
      <c r="BD120" s="1180" t="str">
        <f t="shared" si="247"/>
        <v/>
      </c>
      <c r="BE120" s="1181" t="str">
        <f t="shared" si="16"/>
        <v/>
      </c>
      <c r="BF120" s="1125"/>
      <c r="BG120" s="1182" t="str">
        <f t="array" ref="BG120:BL120">IF(COLUMN(AZ120:BE120) = MIN(IF(AZ120:BE120=MAX(AZ120:BE120), COLUMN(AZ120:BE120))), 1, "")</f>
        <v/>
      </c>
      <c r="BH120" s="1182" t="s">
        <v>549</v>
      </c>
      <c r="BI120" s="1182" t="s">
        <v>549</v>
      </c>
      <c r="BJ120" s="1182" t="s">
        <v>549</v>
      </c>
      <c r="BK120" s="1174" t="s">
        <v>549</v>
      </c>
      <c r="BL120" s="1183" t="s">
        <v>549</v>
      </c>
      <c r="BM120" s="1125"/>
    </row>
    <row r="121">
      <c r="A121" s="1123"/>
      <c r="B121" s="1125"/>
      <c r="C121" s="1125"/>
      <c r="D121" s="1185" t="str">
        <f t="shared" si="17"/>
        <v/>
      </c>
      <c r="E121" s="1125"/>
      <c r="F121" s="1186" t="str">
        <f>IFERROR(__xludf.DUMMYFUNCTION("IF(SUM(BG120:BM120), ARRAYFORMULA(FILTER(BG$4:BM$4, BG120:BM120=1)), )"),"")</f>
        <v/>
      </c>
      <c r="G121" s="1187" t="str">
        <f>IFERROR(__xludf.DUMMYFUNCTION("IF(SUM(BG120:BM120),ARRAYFORMULA(FILTER(AE121:AJ121, BG120:BL120)), """")"),"")</f>
        <v/>
      </c>
      <c r="H121" s="1188" t="str">
        <f t="shared" si="18"/>
        <v/>
      </c>
      <c r="I121" s="1187"/>
      <c r="J121" s="1189" t="str">
        <f>IFERROR(__xludf.DUMMYFUNCTION("IF(SUM(BG120:BM120), ARRAYFORMULA(FILTER(AZ120:BE120, BG120:BL120=1))*D$5,"""")"),"")</f>
        <v/>
      </c>
      <c r="K121" s="1190" t="s">
        <v>549</v>
      </c>
      <c r="L121" s="1125" t="s">
        <v>549</v>
      </c>
      <c r="M121" s="1125"/>
      <c r="N121" s="1125"/>
      <c r="O121" s="1125"/>
      <c r="P121" s="1125"/>
      <c r="Q121" s="1125"/>
      <c r="R121" s="1125"/>
      <c r="S121" s="1125"/>
      <c r="T121" s="1125"/>
      <c r="U121" s="1125"/>
      <c r="V121" s="1125"/>
      <c r="W121" s="1125"/>
      <c r="X121" s="1125"/>
      <c r="Y121" s="1125"/>
      <c r="Z121" s="1125"/>
      <c r="AA121" s="1125"/>
      <c r="AB121" s="1125"/>
      <c r="AC121" s="1125"/>
      <c r="AD121" s="1125"/>
      <c r="AE121" s="1173">
        <f t="shared" ref="AE121:AJ121" si="248">AE120+BG120</f>
        <v>10</v>
      </c>
      <c r="AF121" s="1173">
        <f t="shared" si="248"/>
        <v>50</v>
      </c>
      <c r="AG121" s="1173">
        <f t="shared" si="248"/>
        <v>10</v>
      </c>
      <c r="AH121" s="1173">
        <f t="shared" si="248"/>
        <v>5</v>
      </c>
      <c r="AI121" s="1174">
        <f t="shared" si="248"/>
        <v>20</v>
      </c>
      <c r="AJ121" s="1175">
        <f t="shared" si="248"/>
        <v>9</v>
      </c>
      <c r="AK121" s="1125"/>
      <c r="AL121" s="1173">
        <f t="shared" si="3"/>
        <v>300</v>
      </c>
      <c r="AM121" s="1173">
        <f t="shared" si="4"/>
        <v>300</v>
      </c>
      <c r="AN121" s="1173">
        <f t="shared" si="5"/>
        <v>300</v>
      </c>
      <c r="AO121" s="1176">
        <f t="shared" si="6"/>
        <v>1</v>
      </c>
      <c r="AP121" s="1175">
        <f t="shared" si="7"/>
        <v>3226</v>
      </c>
      <c r="AQ121" s="1177">
        <f t="shared" si="8"/>
        <v>4126</v>
      </c>
      <c r="AR121" s="1125"/>
      <c r="AS121" s="1173" t="str">
        <f t="shared" si="9"/>
        <v/>
      </c>
      <c r="AT121" s="1173" t="str">
        <f t="shared" si="10"/>
        <v/>
      </c>
      <c r="AU121" s="1173" t="str">
        <f t="shared" si="11"/>
        <v/>
      </c>
      <c r="AV121" s="1173" t="str">
        <f t="shared" si="12"/>
        <v/>
      </c>
      <c r="AW121" s="1178" t="str">
        <f t="shared" si="13"/>
        <v/>
      </c>
      <c r="AX121" s="1175" t="str">
        <f t="shared" si="14"/>
        <v/>
      </c>
      <c r="AY121" s="1125"/>
      <c r="AZ121" s="1179" t="str">
        <f t="shared" ref="AZ121:BD121" si="249">IF(AS121="", "", (AS121/$AQ121-1)/LABDURATION_SINGLE_ADJUSTED(AZ$4, AE121+1))</f>
        <v/>
      </c>
      <c r="BA121" s="1179" t="str">
        <f t="shared" si="249"/>
        <v/>
      </c>
      <c r="BB121" s="1179" t="str">
        <f t="shared" si="249"/>
        <v/>
      </c>
      <c r="BC121" s="1179" t="str">
        <f t="shared" si="249"/>
        <v/>
      </c>
      <c r="BD121" s="1180" t="str">
        <f t="shared" si="249"/>
        <v/>
      </c>
      <c r="BE121" s="1181" t="str">
        <f t="shared" si="16"/>
        <v/>
      </c>
      <c r="BF121" s="1125"/>
      <c r="BG121" s="1182" t="str">
        <f t="array" ref="BG121:BL121">IF(COLUMN(AZ121:BE121) = MIN(IF(AZ121:BE121=MAX(AZ121:BE121), COLUMN(AZ121:BE121))), 1, "")</f>
        <v/>
      </c>
      <c r="BH121" s="1182" t="s">
        <v>549</v>
      </c>
      <c r="BI121" s="1182" t="s">
        <v>549</v>
      </c>
      <c r="BJ121" s="1182" t="s">
        <v>549</v>
      </c>
      <c r="BK121" s="1174" t="s">
        <v>549</v>
      </c>
      <c r="BL121" s="1183" t="s">
        <v>549</v>
      </c>
      <c r="BM121" s="1125"/>
    </row>
    <row r="122">
      <c r="A122" s="1123"/>
      <c r="B122" s="1125"/>
      <c r="C122" s="1125"/>
      <c r="D122" s="1185" t="str">
        <f t="shared" si="17"/>
        <v/>
      </c>
      <c r="E122" s="1125"/>
      <c r="F122" s="1186" t="str">
        <f>IFERROR(__xludf.DUMMYFUNCTION("IF(SUM(BG121:BM121), ARRAYFORMULA(FILTER(BG$4:BM$4, BG121:BM121=1)), )"),"")</f>
        <v/>
      </c>
      <c r="G122" s="1187" t="str">
        <f>IFERROR(__xludf.DUMMYFUNCTION("IF(SUM(BG121:BM121),ARRAYFORMULA(FILTER(AE122:AJ122, BG121:BL121)), """")"),"")</f>
        <v/>
      </c>
      <c r="H122" s="1188" t="str">
        <f t="shared" si="18"/>
        <v/>
      </c>
      <c r="I122" s="1187"/>
      <c r="J122" s="1189" t="str">
        <f>IFERROR(__xludf.DUMMYFUNCTION("IF(SUM(BG121:BM121), ARRAYFORMULA(FILTER(AZ121:BE121, BG121:BL121=1))*D$5,"""")"),"")</f>
        <v/>
      </c>
      <c r="K122" s="1190" t="s">
        <v>549</v>
      </c>
      <c r="L122" s="1125" t="s">
        <v>549</v>
      </c>
      <c r="M122" s="1125"/>
      <c r="N122" s="1125"/>
      <c r="O122" s="1125"/>
      <c r="P122" s="1125"/>
      <c r="Q122" s="1125"/>
      <c r="R122" s="1125"/>
      <c r="S122" s="1125"/>
      <c r="T122" s="1125"/>
      <c r="U122" s="1125"/>
      <c r="V122" s="1125"/>
      <c r="W122" s="1125"/>
      <c r="X122" s="1125"/>
      <c r="Y122" s="1125"/>
      <c r="Z122" s="1125"/>
      <c r="AA122" s="1125"/>
      <c r="AB122" s="1125"/>
      <c r="AC122" s="1125"/>
      <c r="AD122" s="1125"/>
      <c r="AE122" s="1173">
        <f t="shared" ref="AE122:AJ122" si="250">AE121+BG121</f>
        <v>10</v>
      </c>
      <c r="AF122" s="1173">
        <f t="shared" si="250"/>
        <v>50</v>
      </c>
      <c r="AG122" s="1173">
        <f t="shared" si="250"/>
        <v>10</v>
      </c>
      <c r="AH122" s="1173">
        <f t="shared" si="250"/>
        <v>5</v>
      </c>
      <c r="AI122" s="1174">
        <f t="shared" si="250"/>
        <v>20</v>
      </c>
      <c r="AJ122" s="1175">
        <f t="shared" si="250"/>
        <v>9</v>
      </c>
      <c r="AK122" s="1125"/>
      <c r="AL122" s="1173">
        <f t="shared" si="3"/>
        <v>300</v>
      </c>
      <c r="AM122" s="1173">
        <f t="shared" si="4"/>
        <v>300</v>
      </c>
      <c r="AN122" s="1173">
        <f t="shared" si="5"/>
        <v>300</v>
      </c>
      <c r="AO122" s="1176">
        <f t="shared" si="6"/>
        <v>1</v>
      </c>
      <c r="AP122" s="1175">
        <f t="shared" si="7"/>
        <v>3226</v>
      </c>
      <c r="AQ122" s="1177">
        <f t="shared" si="8"/>
        <v>4126</v>
      </c>
      <c r="AR122" s="1125"/>
      <c r="AS122" s="1173" t="str">
        <f t="shared" si="9"/>
        <v/>
      </c>
      <c r="AT122" s="1173" t="str">
        <f t="shared" si="10"/>
        <v/>
      </c>
      <c r="AU122" s="1173" t="str">
        <f t="shared" si="11"/>
        <v/>
      </c>
      <c r="AV122" s="1173" t="str">
        <f t="shared" si="12"/>
        <v/>
      </c>
      <c r="AW122" s="1178" t="str">
        <f t="shared" si="13"/>
        <v/>
      </c>
      <c r="AX122" s="1175" t="str">
        <f t="shared" si="14"/>
        <v/>
      </c>
      <c r="AY122" s="1125"/>
      <c r="AZ122" s="1179" t="str">
        <f t="shared" ref="AZ122:BD122" si="251">IF(AS122="", "", (AS122/$AQ122-1)/LABDURATION_SINGLE_ADJUSTED(AZ$4, AE122+1))</f>
        <v/>
      </c>
      <c r="BA122" s="1179" t="str">
        <f t="shared" si="251"/>
        <v/>
      </c>
      <c r="BB122" s="1179" t="str">
        <f t="shared" si="251"/>
        <v/>
      </c>
      <c r="BC122" s="1179" t="str">
        <f t="shared" si="251"/>
        <v/>
      </c>
      <c r="BD122" s="1180" t="str">
        <f t="shared" si="251"/>
        <v/>
      </c>
      <c r="BE122" s="1181" t="str">
        <f t="shared" si="16"/>
        <v/>
      </c>
      <c r="BF122" s="1125"/>
      <c r="BG122" s="1182" t="str">
        <f t="array" ref="BG122:BL122">IF(COLUMN(AZ122:BE122) = MIN(IF(AZ122:BE122=MAX(AZ122:BE122), COLUMN(AZ122:BE122))), 1, "")</f>
        <v/>
      </c>
      <c r="BH122" s="1182" t="s">
        <v>549</v>
      </c>
      <c r="BI122" s="1182" t="s">
        <v>549</v>
      </c>
      <c r="BJ122" s="1182" t="s">
        <v>549</v>
      </c>
      <c r="BK122" s="1174" t="s">
        <v>549</v>
      </c>
      <c r="BL122" s="1183" t="s">
        <v>549</v>
      </c>
      <c r="BM122" s="1125"/>
    </row>
    <row r="123">
      <c r="A123" s="1123"/>
      <c r="B123" s="1125"/>
      <c r="C123" s="1125"/>
      <c r="D123" s="1185" t="str">
        <f t="shared" si="17"/>
        <v/>
      </c>
      <c r="E123" s="1125"/>
      <c r="F123" s="1186" t="str">
        <f>IFERROR(__xludf.DUMMYFUNCTION("IF(SUM(BG122:BM122), ARRAYFORMULA(FILTER(BG$4:BM$4, BG122:BM122=1)), )"),"")</f>
        <v/>
      </c>
      <c r="G123" s="1187" t="str">
        <f>IFERROR(__xludf.DUMMYFUNCTION("IF(SUM(BG122:BM122),ARRAYFORMULA(FILTER(AE123:AJ123, BG122:BL122)), """")"),"")</f>
        <v/>
      </c>
      <c r="H123" s="1188" t="str">
        <f t="shared" si="18"/>
        <v/>
      </c>
      <c r="I123" s="1187"/>
      <c r="J123" s="1189" t="str">
        <f>IFERROR(__xludf.DUMMYFUNCTION("IF(SUM(BG122:BM122), ARRAYFORMULA(FILTER(AZ122:BE122, BG122:BL122=1))*D$5,"""")"),"")</f>
        <v/>
      </c>
      <c r="K123" s="1190" t="s">
        <v>549</v>
      </c>
      <c r="L123" s="1125" t="s">
        <v>549</v>
      </c>
      <c r="M123" s="1125"/>
      <c r="N123" s="1125"/>
      <c r="O123" s="1125"/>
      <c r="P123" s="1125"/>
      <c r="Q123" s="1125"/>
      <c r="R123" s="1125"/>
      <c r="S123" s="1125"/>
      <c r="T123" s="1125"/>
      <c r="U123" s="1125"/>
      <c r="V123" s="1125"/>
      <c r="W123" s="1125"/>
      <c r="X123" s="1125"/>
      <c r="Y123" s="1125"/>
      <c r="Z123" s="1125"/>
      <c r="AA123" s="1125"/>
      <c r="AB123" s="1125"/>
      <c r="AC123" s="1125"/>
      <c r="AD123" s="1125"/>
      <c r="AE123" s="1173">
        <f t="shared" ref="AE123:AJ123" si="252">AE122+BG122</f>
        <v>10</v>
      </c>
      <c r="AF123" s="1173">
        <f t="shared" si="252"/>
        <v>50</v>
      </c>
      <c r="AG123" s="1173">
        <f t="shared" si="252"/>
        <v>10</v>
      </c>
      <c r="AH123" s="1173">
        <f t="shared" si="252"/>
        <v>5</v>
      </c>
      <c r="AI123" s="1174">
        <f t="shared" si="252"/>
        <v>20</v>
      </c>
      <c r="AJ123" s="1175">
        <f t="shared" si="252"/>
        <v>9</v>
      </c>
      <c r="AK123" s="1125"/>
      <c r="AL123" s="1173">
        <f t="shared" si="3"/>
        <v>300</v>
      </c>
      <c r="AM123" s="1173">
        <f t="shared" si="4"/>
        <v>300</v>
      </c>
      <c r="AN123" s="1173">
        <f t="shared" si="5"/>
        <v>300</v>
      </c>
      <c r="AO123" s="1176">
        <f t="shared" si="6"/>
        <v>1</v>
      </c>
      <c r="AP123" s="1175">
        <f t="shared" si="7"/>
        <v>3226</v>
      </c>
      <c r="AQ123" s="1177">
        <f t="shared" si="8"/>
        <v>4126</v>
      </c>
      <c r="AR123" s="1125"/>
      <c r="AS123" s="1173" t="str">
        <f t="shared" si="9"/>
        <v/>
      </c>
      <c r="AT123" s="1173" t="str">
        <f t="shared" si="10"/>
        <v/>
      </c>
      <c r="AU123" s="1173" t="str">
        <f t="shared" si="11"/>
        <v/>
      </c>
      <c r="AV123" s="1173" t="str">
        <f t="shared" si="12"/>
        <v/>
      </c>
      <c r="AW123" s="1178" t="str">
        <f t="shared" si="13"/>
        <v/>
      </c>
      <c r="AX123" s="1175" t="str">
        <f t="shared" si="14"/>
        <v/>
      </c>
      <c r="AY123" s="1125"/>
      <c r="AZ123" s="1179" t="str">
        <f t="shared" ref="AZ123:BD123" si="253">IF(AS123="", "", (AS123/$AQ123-1)/LABDURATION_SINGLE_ADJUSTED(AZ$4, AE123+1))</f>
        <v/>
      </c>
      <c r="BA123" s="1179" t="str">
        <f t="shared" si="253"/>
        <v/>
      </c>
      <c r="BB123" s="1179" t="str">
        <f t="shared" si="253"/>
        <v/>
      </c>
      <c r="BC123" s="1179" t="str">
        <f t="shared" si="253"/>
        <v/>
      </c>
      <c r="BD123" s="1180" t="str">
        <f t="shared" si="253"/>
        <v/>
      </c>
      <c r="BE123" s="1181" t="str">
        <f t="shared" si="16"/>
        <v/>
      </c>
      <c r="BF123" s="1125"/>
      <c r="BG123" s="1182" t="str">
        <f t="array" ref="BG123:BL123">IF(COLUMN(AZ123:BE123) = MIN(IF(AZ123:BE123=MAX(AZ123:BE123), COLUMN(AZ123:BE123))), 1, "")</f>
        <v/>
      </c>
      <c r="BH123" s="1182" t="s">
        <v>549</v>
      </c>
      <c r="BI123" s="1182" t="s">
        <v>549</v>
      </c>
      <c r="BJ123" s="1182" t="s">
        <v>549</v>
      </c>
      <c r="BK123" s="1174" t="s">
        <v>549</v>
      </c>
      <c r="BL123" s="1183" t="s">
        <v>549</v>
      </c>
      <c r="BM123" s="1125"/>
    </row>
    <row r="124">
      <c r="A124" s="1123"/>
      <c r="B124" s="1125"/>
      <c r="C124" s="1125"/>
      <c r="D124" s="1185" t="str">
        <f t="shared" si="17"/>
        <v/>
      </c>
      <c r="E124" s="1125"/>
      <c r="F124" s="1186" t="str">
        <f>IFERROR(__xludf.DUMMYFUNCTION("IF(SUM(BG123:BM123), ARRAYFORMULA(FILTER(BG$4:BM$4, BG123:BM123=1)), )"),"")</f>
        <v/>
      </c>
      <c r="G124" s="1187" t="str">
        <f>IFERROR(__xludf.DUMMYFUNCTION("IF(SUM(BG123:BM123),ARRAYFORMULA(FILTER(AE124:AJ124, BG123:BL123)), """")"),"")</f>
        <v/>
      </c>
      <c r="H124" s="1188" t="str">
        <f t="shared" si="18"/>
        <v/>
      </c>
      <c r="I124" s="1187"/>
      <c r="J124" s="1189" t="str">
        <f>IFERROR(__xludf.DUMMYFUNCTION("IF(SUM(BG123:BM123), ARRAYFORMULA(FILTER(AZ123:BE123, BG123:BL123=1))*D$5,"""")"),"")</f>
        <v/>
      </c>
      <c r="K124" s="1190" t="s">
        <v>549</v>
      </c>
      <c r="L124" s="1125" t="s">
        <v>549</v>
      </c>
      <c r="M124" s="1125"/>
      <c r="N124" s="1125"/>
      <c r="O124" s="1125"/>
      <c r="P124" s="1125"/>
      <c r="Q124" s="1125"/>
      <c r="R124" s="1125"/>
      <c r="S124" s="1125"/>
      <c r="T124" s="1125"/>
      <c r="U124" s="1125"/>
      <c r="V124" s="1125"/>
      <c r="W124" s="1125"/>
      <c r="X124" s="1125"/>
      <c r="Y124" s="1125"/>
      <c r="Z124" s="1125"/>
      <c r="AA124" s="1125"/>
      <c r="AB124" s="1125"/>
      <c r="AC124" s="1125"/>
      <c r="AD124" s="1125"/>
      <c r="AE124" s="1173">
        <f t="shared" ref="AE124:AJ124" si="254">AE123+BG123</f>
        <v>10</v>
      </c>
      <c r="AF124" s="1173">
        <f t="shared" si="254"/>
        <v>50</v>
      </c>
      <c r="AG124" s="1173">
        <f t="shared" si="254"/>
        <v>10</v>
      </c>
      <c r="AH124" s="1173">
        <f t="shared" si="254"/>
        <v>5</v>
      </c>
      <c r="AI124" s="1174">
        <f t="shared" si="254"/>
        <v>20</v>
      </c>
      <c r="AJ124" s="1175">
        <f t="shared" si="254"/>
        <v>9</v>
      </c>
      <c r="AK124" s="1125"/>
      <c r="AL124" s="1173">
        <f t="shared" si="3"/>
        <v>300</v>
      </c>
      <c r="AM124" s="1173">
        <f t="shared" si="4"/>
        <v>300</v>
      </c>
      <c r="AN124" s="1173">
        <f t="shared" si="5"/>
        <v>300</v>
      </c>
      <c r="AO124" s="1176">
        <f t="shared" si="6"/>
        <v>1</v>
      </c>
      <c r="AP124" s="1175">
        <f t="shared" si="7"/>
        <v>3226</v>
      </c>
      <c r="AQ124" s="1177">
        <f t="shared" si="8"/>
        <v>4126</v>
      </c>
      <c r="AR124" s="1125"/>
      <c r="AS124" s="1173" t="str">
        <f t="shared" si="9"/>
        <v/>
      </c>
      <c r="AT124" s="1173" t="str">
        <f t="shared" si="10"/>
        <v/>
      </c>
      <c r="AU124" s="1173" t="str">
        <f t="shared" si="11"/>
        <v/>
      </c>
      <c r="AV124" s="1173" t="str">
        <f t="shared" si="12"/>
        <v/>
      </c>
      <c r="AW124" s="1178" t="str">
        <f t="shared" si="13"/>
        <v/>
      </c>
      <c r="AX124" s="1175" t="str">
        <f t="shared" si="14"/>
        <v/>
      </c>
      <c r="AY124" s="1125"/>
      <c r="AZ124" s="1179" t="str">
        <f t="shared" ref="AZ124:BD124" si="255">IF(AS124="", "", (AS124/$AQ124-1)/LABDURATION_SINGLE_ADJUSTED(AZ$4, AE124+1))</f>
        <v/>
      </c>
      <c r="BA124" s="1179" t="str">
        <f t="shared" si="255"/>
        <v/>
      </c>
      <c r="BB124" s="1179" t="str">
        <f t="shared" si="255"/>
        <v/>
      </c>
      <c r="BC124" s="1179" t="str">
        <f t="shared" si="255"/>
        <v/>
      </c>
      <c r="BD124" s="1180" t="str">
        <f t="shared" si="255"/>
        <v/>
      </c>
      <c r="BE124" s="1181" t="str">
        <f t="shared" si="16"/>
        <v/>
      </c>
      <c r="BF124" s="1125"/>
      <c r="BG124" s="1182" t="str">
        <f t="array" ref="BG124:BL124">IF(COLUMN(AZ124:BE124) = MIN(IF(AZ124:BE124=MAX(AZ124:BE124), COLUMN(AZ124:BE124))), 1, "")</f>
        <v/>
      </c>
      <c r="BH124" s="1182" t="s">
        <v>549</v>
      </c>
      <c r="BI124" s="1182" t="s">
        <v>549</v>
      </c>
      <c r="BJ124" s="1182" t="s">
        <v>549</v>
      </c>
      <c r="BK124" s="1174" t="s">
        <v>549</v>
      </c>
      <c r="BL124" s="1183" t="s">
        <v>549</v>
      </c>
      <c r="BM124" s="1125"/>
    </row>
    <row r="125">
      <c r="A125" s="1123"/>
      <c r="B125" s="1125"/>
      <c r="C125" s="1125"/>
      <c r="D125" s="1185" t="str">
        <f t="shared" si="17"/>
        <v/>
      </c>
      <c r="E125" s="1125"/>
      <c r="F125" s="1186" t="str">
        <f>IFERROR(__xludf.DUMMYFUNCTION("IF(SUM(BG124:BM124), ARRAYFORMULA(FILTER(BG$4:BM$4, BG124:BM124=1)), )"),"")</f>
        <v/>
      </c>
      <c r="G125" s="1187" t="str">
        <f>IFERROR(__xludf.DUMMYFUNCTION("IF(SUM(BG124:BM124),ARRAYFORMULA(FILTER(AE125:AJ125, BG124:BL124)), """")"),"")</f>
        <v/>
      </c>
      <c r="H125" s="1188" t="str">
        <f t="shared" si="18"/>
        <v/>
      </c>
      <c r="I125" s="1187"/>
      <c r="J125" s="1189" t="str">
        <f>IFERROR(__xludf.DUMMYFUNCTION("IF(SUM(BG124:BM124), ARRAYFORMULA(FILTER(AZ124:BE124, BG124:BL124=1))*D$5,"""")"),"")</f>
        <v/>
      </c>
      <c r="K125" s="1190" t="s">
        <v>549</v>
      </c>
      <c r="L125" s="1125" t="s">
        <v>549</v>
      </c>
      <c r="M125" s="1125"/>
      <c r="N125" s="1125"/>
      <c r="O125" s="1125"/>
      <c r="P125" s="1125"/>
      <c r="Q125" s="1125"/>
      <c r="R125" s="1125"/>
      <c r="S125" s="1125"/>
      <c r="T125" s="1125"/>
      <c r="U125" s="1125"/>
      <c r="V125" s="1125"/>
      <c r="W125" s="1125"/>
      <c r="X125" s="1125"/>
      <c r="Y125" s="1125"/>
      <c r="Z125" s="1125"/>
      <c r="AA125" s="1125"/>
      <c r="AB125" s="1125"/>
      <c r="AC125" s="1125"/>
      <c r="AD125" s="1125"/>
      <c r="AE125" s="1173">
        <f t="shared" ref="AE125:AJ125" si="256">AE124+BG124</f>
        <v>10</v>
      </c>
      <c r="AF125" s="1173">
        <f t="shared" si="256"/>
        <v>50</v>
      </c>
      <c r="AG125" s="1173">
        <f t="shared" si="256"/>
        <v>10</v>
      </c>
      <c r="AH125" s="1173">
        <f t="shared" si="256"/>
        <v>5</v>
      </c>
      <c r="AI125" s="1174">
        <f t="shared" si="256"/>
        <v>20</v>
      </c>
      <c r="AJ125" s="1175">
        <f t="shared" si="256"/>
        <v>9</v>
      </c>
      <c r="AK125" s="1125"/>
      <c r="AL125" s="1173">
        <f t="shared" si="3"/>
        <v>300</v>
      </c>
      <c r="AM125" s="1173">
        <f t="shared" si="4"/>
        <v>300</v>
      </c>
      <c r="AN125" s="1173">
        <f t="shared" si="5"/>
        <v>300</v>
      </c>
      <c r="AO125" s="1176">
        <f t="shared" si="6"/>
        <v>1</v>
      </c>
      <c r="AP125" s="1175">
        <f t="shared" si="7"/>
        <v>3226</v>
      </c>
      <c r="AQ125" s="1177">
        <f t="shared" si="8"/>
        <v>4126</v>
      </c>
      <c r="AR125" s="1125"/>
      <c r="AS125" s="1173" t="str">
        <f t="shared" si="9"/>
        <v/>
      </c>
      <c r="AT125" s="1173" t="str">
        <f t="shared" si="10"/>
        <v/>
      </c>
      <c r="AU125" s="1173" t="str">
        <f t="shared" si="11"/>
        <v/>
      </c>
      <c r="AV125" s="1173" t="str">
        <f t="shared" si="12"/>
        <v/>
      </c>
      <c r="AW125" s="1178" t="str">
        <f t="shared" si="13"/>
        <v/>
      </c>
      <c r="AX125" s="1175" t="str">
        <f t="shared" si="14"/>
        <v/>
      </c>
      <c r="AY125" s="1125"/>
      <c r="AZ125" s="1179" t="str">
        <f t="shared" ref="AZ125:BD125" si="257">IF(AS125="", "", (AS125/$AQ125-1)/LABDURATION_SINGLE_ADJUSTED(AZ$4, AE125+1))</f>
        <v/>
      </c>
      <c r="BA125" s="1179" t="str">
        <f t="shared" si="257"/>
        <v/>
      </c>
      <c r="BB125" s="1179" t="str">
        <f t="shared" si="257"/>
        <v/>
      </c>
      <c r="BC125" s="1179" t="str">
        <f t="shared" si="257"/>
        <v/>
      </c>
      <c r="BD125" s="1180" t="str">
        <f t="shared" si="257"/>
        <v/>
      </c>
      <c r="BE125" s="1181" t="str">
        <f t="shared" si="16"/>
        <v/>
      </c>
      <c r="BF125" s="1125"/>
      <c r="BG125" s="1182" t="str">
        <f t="array" ref="BG125:BL125">IF(COLUMN(AZ125:BE125) = MIN(IF(AZ125:BE125=MAX(AZ125:BE125), COLUMN(AZ125:BE125))), 1, "")</f>
        <v/>
      </c>
      <c r="BH125" s="1182" t="s">
        <v>549</v>
      </c>
      <c r="BI125" s="1182" t="s">
        <v>549</v>
      </c>
      <c r="BJ125" s="1182" t="s">
        <v>549</v>
      </c>
      <c r="BK125" s="1174" t="s">
        <v>549</v>
      </c>
      <c r="BL125" s="1183" t="s">
        <v>549</v>
      </c>
      <c r="BM125" s="1125"/>
    </row>
    <row r="126">
      <c r="A126" s="1123"/>
      <c r="B126" s="1125"/>
      <c r="C126" s="1125"/>
      <c r="D126" s="1185" t="str">
        <f t="shared" si="17"/>
        <v/>
      </c>
      <c r="E126" s="1125"/>
      <c r="F126" s="1186" t="str">
        <f>IFERROR(__xludf.DUMMYFUNCTION("IF(SUM(BG125:BM125), ARRAYFORMULA(FILTER(BG$4:BM$4, BG125:BM125=1)), )"),"")</f>
        <v/>
      </c>
      <c r="G126" s="1187" t="str">
        <f>IFERROR(__xludf.DUMMYFUNCTION("IF(SUM(BG125:BM125),ARRAYFORMULA(FILTER(AE126:AJ126, BG125:BL125)), """")"),"")</f>
        <v/>
      </c>
      <c r="H126" s="1188" t="str">
        <f t="shared" si="18"/>
        <v/>
      </c>
      <c r="I126" s="1187"/>
      <c r="J126" s="1189" t="str">
        <f>IFERROR(__xludf.DUMMYFUNCTION("IF(SUM(BG125:BM125), ARRAYFORMULA(FILTER(AZ125:BE125, BG125:BL125=1))*D$5,"""")"),"")</f>
        <v/>
      </c>
      <c r="K126" s="1190" t="s">
        <v>549</v>
      </c>
      <c r="L126" s="1125" t="s">
        <v>549</v>
      </c>
      <c r="M126" s="1125"/>
      <c r="N126" s="1125"/>
      <c r="O126" s="1125"/>
      <c r="P126" s="1125"/>
      <c r="Q126" s="1125"/>
      <c r="R126" s="1125"/>
      <c r="S126" s="1125"/>
      <c r="T126" s="1125"/>
      <c r="U126" s="1125"/>
      <c r="V126" s="1125"/>
      <c r="W126" s="1125"/>
      <c r="X126" s="1125"/>
      <c r="Y126" s="1125"/>
      <c r="Z126" s="1125"/>
      <c r="AA126" s="1125"/>
      <c r="AB126" s="1125"/>
      <c r="AC126" s="1125"/>
      <c r="AD126" s="1125"/>
      <c r="AE126" s="1173">
        <f t="shared" ref="AE126:AJ126" si="258">AE125+BG125</f>
        <v>10</v>
      </c>
      <c r="AF126" s="1173">
        <f t="shared" si="258"/>
        <v>50</v>
      </c>
      <c r="AG126" s="1173">
        <f t="shared" si="258"/>
        <v>10</v>
      </c>
      <c r="AH126" s="1173">
        <f t="shared" si="258"/>
        <v>5</v>
      </c>
      <c r="AI126" s="1174">
        <f t="shared" si="258"/>
        <v>20</v>
      </c>
      <c r="AJ126" s="1175">
        <f t="shared" si="258"/>
        <v>9</v>
      </c>
      <c r="AK126" s="1125"/>
      <c r="AL126" s="1173">
        <f t="shared" si="3"/>
        <v>300</v>
      </c>
      <c r="AM126" s="1173">
        <f t="shared" si="4"/>
        <v>300</v>
      </c>
      <c r="AN126" s="1173">
        <f t="shared" si="5"/>
        <v>300</v>
      </c>
      <c r="AO126" s="1176">
        <f t="shared" si="6"/>
        <v>1</v>
      </c>
      <c r="AP126" s="1175">
        <f t="shared" si="7"/>
        <v>3226</v>
      </c>
      <c r="AQ126" s="1177">
        <f t="shared" si="8"/>
        <v>4126</v>
      </c>
      <c r="AR126" s="1125"/>
      <c r="AS126" s="1173" t="str">
        <f t="shared" si="9"/>
        <v/>
      </c>
      <c r="AT126" s="1173" t="str">
        <f t="shared" si="10"/>
        <v/>
      </c>
      <c r="AU126" s="1173" t="str">
        <f t="shared" si="11"/>
        <v/>
      </c>
      <c r="AV126" s="1173" t="str">
        <f t="shared" si="12"/>
        <v/>
      </c>
      <c r="AW126" s="1178" t="str">
        <f t="shared" si="13"/>
        <v/>
      </c>
      <c r="AX126" s="1175" t="str">
        <f t="shared" si="14"/>
        <v/>
      </c>
      <c r="AY126" s="1125"/>
      <c r="AZ126" s="1179" t="str">
        <f t="shared" ref="AZ126:BD126" si="259">IF(AS126="", "", (AS126/$AQ126-1)/LABDURATION_SINGLE_ADJUSTED(AZ$4, AE126+1))</f>
        <v/>
      </c>
      <c r="BA126" s="1179" t="str">
        <f t="shared" si="259"/>
        <v/>
      </c>
      <c r="BB126" s="1179" t="str">
        <f t="shared" si="259"/>
        <v/>
      </c>
      <c r="BC126" s="1179" t="str">
        <f t="shared" si="259"/>
        <v/>
      </c>
      <c r="BD126" s="1180" t="str">
        <f t="shared" si="259"/>
        <v/>
      </c>
      <c r="BE126" s="1181" t="str">
        <f t="shared" si="16"/>
        <v/>
      </c>
      <c r="BF126" s="1125"/>
      <c r="BG126" s="1182" t="str">
        <f t="array" ref="BG126:BL126">IF(COLUMN(AZ126:BE126) = MIN(IF(AZ126:BE126=MAX(AZ126:BE126), COLUMN(AZ126:BE126))), 1, "")</f>
        <v/>
      </c>
      <c r="BH126" s="1182" t="s">
        <v>549</v>
      </c>
      <c r="BI126" s="1182" t="s">
        <v>549</v>
      </c>
      <c r="BJ126" s="1182" t="s">
        <v>549</v>
      </c>
      <c r="BK126" s="1174" t="s">
        <v>549</v>
      </c>
      <c r="BL126" s="1183" t="s">
        <v>549</v>
      </c>
      <c r="BM126" s="1125"/>
    </row>
    <row r="127">
      <c r="A127" s="1123"/>
      <c r="B127" s="1125"/>
      <c r="C127" s="1125"/>
      <c r="D127" s="1185" t="str">
        <f t="shared" si="17"/>
        <v/>
      </c>
      <c r="E127" s="1125"/>
      <c r="F127" s="1186" t="str">
        <f>IFERROR(__xludf.DUMMYFUNCTION("IF(SUM(BG126:BM126), ARRAYFORMULA(FILTER(BG$4:BM$4, BG126:BM126=1)), )"),"")</f>
        <v/>
      </c>
      <c r="G127" s="1187" t="str">
        <f>IFERROR(__xludf.DUMMYFUNCTION("IF(SUM(BG126:BM126),ARRAYFORMULA(FILTER(AE127:AJ127, BG126:BL126)), """")"),"")</f>
        <v/>
      </c>
      <c r="H127" s="1188" t="str">
        <f t="shared" si="18"/>
        <v/>
      </c>
      <c r="I127" s="1187"/>
      <c r="J127" s="1189" t="str">
        <f>IFERROR(__xludf.DUMMYFUNCTION("IF(SUM(BG126:BM126), ARRAYFORMULA(FILTER(AZ126:BE126, BG126:BL126=1))*D$5,"""")"),"")</f>
        <v/>
      </c>
      <c r="K127" s="1190" t="s">
        <v>549</v>
      </c>
      <c r="L127" s="1125" t="s">
        <v>549</v>
      </c>
      <c r="M127" s="1125"/>
      <c r="N127" s="1125"/>
      <c r="O127" s="1125"/>
      <c r="P127" s="1125"/>
      <c r="Q127" s="1125"/>
      <c r="R127" s="1125"/>
      <c r="S127" s="1125"/>
      <c r="T127" s="1125"/>
      <c r="U127" s="1125"/>
      <c r="V127" s="1125"/>
      <c r="W127" s="1125"/>
      <c r="X127" s="1125"/>
      <c r="Y127" s="1125"/>
      <c r="Z127" s="1125"/>
      <c r="AA127" s="1125"/>
      <c r="AB127" s="1125"/>
      <c r="AC127" s="1125"/>
      <c r="AD127" s="1125"/>
      <c r="AE127" s="1173">
        <f t="shared" ref="AE127:AJ127" si="260">AE126+BG126</f>
        <v>10</v>
      </c>
      <c r="AF127" s="1173">
        <f t="shared" si="260"/>
        <v>50</v>
      </c>
      <c r="AG127" s="1173">
        <f t="shared" si="260"/>
        <v>10</v>
      </c>
      <c r="AH127" s="1173">
        <f t="shared" si="260"/>
        <v>5</v>
      </c>
      <c r="AI127" s="1174">
        <f t="shared" si="260"/>
        <v>20</v>
      </c>
      <c r="AJ127" s="1175">
        <f t="shared" si="260"/>
        <v>9</v>
      </c>
      <c r="AK127" s="1125"/>
      <c r="AL127" s="1173">
        <f t="shared" si="3"/>
        <v>300</v>
      </c>
      <c r="AM127" s="1173">
        <f t="shared" si="4"/>
        <v>300</v>
      </c>
      <c r="AN127" s="1173">
        <f t="shared" si="5"/>
        <v>300</v>
      </c>
      <c r="AO127" s="1176">
        <f t="shared" si="6"/>
        <v>1</v>
      </c>
      <c r="AP127" s="1175">
        <f t="shared" si="7"/>
        <v>3226</v>
      </c>
      <c r="AQ127" s="1177">
        <f t="shared" si="8"/>
        <v>4126</v>
      </c>
      <c r="AR127" s="1125"/>
      <c r="AS127" s="1173" t="str">
        <f t="shared" si="9"/>
        <v/>
      </c>
      <c r="AT127" s="1173" t="str">
        <f t="shared" si="10"/>
        <v/>
      </c>
      <c r="AU127" s="1173" t="str">
        <f t="shared" si="11"/>
        <v/>
      </c>
      <c r="AV127" s="1173" t="str">
        <f t="shared" si="12"/>
        <v/>
      </c>
      <c r="AW127" s="1178" t="str">
        <f t="shared" si="13"/>
        <v/>
      </c>
      <c r="AX127" s="1175" t="str">
        <f t="shared" si="14"/>
        <v/>
      </c>
      <c r="AY127" s="1125"/>
      <c r="AZ127" s="1179" t="str">
        <f t="shared" ref="AZ127:BD127" si="261">IF(AS127="", "", (AS127/$AQ127-1)/LABDURATION_SINGLE_ADJUSTED(AZ$4, AE127+1))</f>
        <v/>
      </c>
      <c r="BA127" s="1179" t="str">
        <f t="shared" si="261"/>
        <v/>
      </c>
      <c r="BB127" s="1179" t="str">
        <f t="shared" si="261"/>
        <v/>
      </c>
      <c r="BC127" s="1179" t="str">
        <f t="shared" si="261"/>
        <v/>
      </c>
      <c r="BD127" s="1180" t="str">
        <f t="shared" si="261"/>
        <v/>
      </c>
      <c r="BE127" s="1181" t="str">
        <f t="shared" si="16"/>
        <v/>
      </c>
      <c r="BF127" s="1125"/>
      <c r="BG127" s="1182" t="str">
        <f t="array" ref="BG127:BL127">IF(COLUMN(AZ127:BE127) = MIN(IF(AZ127:BE127=MAX(AZ127:BE127), COLUMN(AZ127:BE127))), 1, "")</f>
        <v/>
      </c>
      <c r="BH127" s="1182" t="s">
        <v>549</v>
      </c>
      <c r="BI127" s="1182" t="s">
        <v>549</v>
      </c>
      <c r="BJ127" s="1182" t="s">
        <v>549</v>
      </c>
      <c r="BK127" s="1174" t="s">
        <v>549</v>
      </c>
      <c r="BL127" s="1183" t="s">
        <v>549</v>
      </c>
      <c r="BM127" s="1125"/>
    </row>
    <row r="128">
      <c r="A128" s="1123"/>
      <c r="B128" s="1125"/>
      <c r="C128" s="1125"/>
      <c r="D128" s="1185" t="str">
        <f t="shared" si="17"/>
        <v/>
      </c>
      <c r="E128" s="1125"/>
      <c r="F128" s="1186" t="str">
        <f>IFERROR(__xludf.DUMMYFUNCTION("IF(SUM(BG127:BM127), ARRAYFORMULA(FILTER(BG$4:BM$4, BG127:BM127=1)), )"),"")</f>
        <v/>
      </c>
      <c r="G128" s="1187" t="str">
        <f>IFERROR(__xludf.DUMMYFUNCTION("IF(SUM(BG127:BM127),ARRAYFORMULA(FILTER(AE128:AJ128, BG127:BL127)), """")"),"")</f>
        <v/>
      </c>
      <c r="H128" s="1188" t="str">
        <f t="shared" si="18"/>
        <v/>
      </c>
      <c r="I128" s="1187"/>
      <c r="J128" s="1189" t="str">
        <f>IFERROR(__xludf.DUMMYFUNCTION("IF(SUM(BG127:BM127), ARRAYFORMULA(FILTER(AZ127:BE127, BG127:BL127=1))*D$5,"""")"),"")</f>
        <v/>
      </c>
      <c r="K128" s="1190" t="s">
        <v>549</v>
      </c>
      <c r="L128" s="1125" t="s">
        <v>549</v>
      </c>
      <c r="M128" s="1125"/>
      <c r="N128" s="1125"/>
      <c r="O128" s="1125"/>
      <c r="P128" s="1125"/>
      <c r="Q128" s="1125"/>
      <c r="R128" s="1125"/>
      <c r="S128" s="1125"/>
      <c r="T128" s="1125"/>
      <c r="U128" s="1125"/>
      <c r="V128" s="1125"/>
      <c r="W128" s="1125"/>
      <c r="X128" s="1125"/>
      <c r="Y128" s="1125"/>
      <c r="Z128" s="1125"/>
      <c r="AA128" s="1125"/>
      <c r="AB128" s="1125"/>
      <c r="AC128" s="1125"/>
      <c r="AD128" s="1125"/>
      <c r="AE128" s="1173">
        <f t="shared" ref="AE128:AJ128" si="262">AE127+BG127</f>
        <v>10</v>
      </c>
      <c r="AF128" s="1173">
        <f t="shared" si="262"/>
        <v>50</v>
      </c>
      <c r="AG128" s="1173">
        <f t="shared" si="262"/>
        <v>10</v>
      </c>
      <c r="AH128" s="1173">
        <f t="shared" si="262"/>
        <v>5</v>
      </c>
      <c r="AI128" s="1174">
        <f t="shared" si="262"/>
        <v>20</v>
      </c>
      <c r="AJ128" s="1175">
        <f t="shared" si="262"/>
        <v>9</v>
      </c>
      <c r="AK128" s="1125"/>
      <c r="AL128" s="1173">
        <f t="shared" si="3"/>
        <v>300</v>
      </c>
      <c r="AM128" s="1173">
        <f t="shared" si="4"/>
        <v>300</v>
      </c>
      <c r="AN128" s="1173">
        <f t="shared" si="5"/>
        <v>300</v>
      </c>
      <c r="AO128" s="1176">
        <f t="shared" si="6"/>
        <v>1</v>
      </c>
      <c r="AP128" s="1175">
        <f t="shared" si="7"/>
        <v>3226</v>
      </c>
      <c r="AQ128" s="1177">
        <f t="shared" si="8"/>
        <v>4126</v>
      </c>
      <c r="AR128" s="1125"/>
      <c r="AS128" s="1173" t="str">
        <f t="shared" si="9"/>
        <v/>
      </c>
      <c r="AT128" s="1173" t="str">
        <f t="shared" si="10"/>
        <v/>
      </c>
      <c r="AU128" s="1173" t="str">
        <f t="shared" si="11"/>
        <v/>
      </c>
      <c r="AV128" s="1173" t="str">
        <f t="shared" si="12"/>
        <v/>
      </c>
      <c r="AW128" s="1178" t="str">
        <f t="shared" si="13"/>
        <v/>
      </c>
      <c r="AX128" s="1175" t="str">
        <f t="shared" si="14"/>
        <v/>
      </c>
      <c r="AY128" s="1125"/>
      <c r="AZ128" s="1179" t="str">
        <f t="shared" ref="AZ128:BD128" si="263">IF(AS128="", "", (AS128/$AQ128-1)/LABDURATION_SINGLE_ADJUSTED(AZ$4, AE128+1))</f>
        <v/>
      </c>
      <c r="BA128" s="1179" t="str">
        <f t="shared" si="263"/>
        <v/>
      </c>
      <c r="BB128" s="1179" t="str">
        <f t="shared" si="263"/>
        <v/>
      </c>
      <c r="BC128" s="1179" t="str">
        <f t="shared" si="263"/>
        <v/>
      </c>
      <c r="BD128" s="1180" t="str">
        <f t="shared" si="263"/>
        <v/>
      </c>
      <c r="BE128" s="1181" t="str">
        <f t="shared" si="16"/>
        <v/>
      </c>
      <c r="BF128" s="1125"/>
      <c r="BG128" s="1182" t="str">
        <f t="array" ref="BG128:BL128">IF(COLUMN(AZ128:BE128) = MIN(IF(AZ128:BE128=MAX(AZ128:BE128), COLUMN(AZ128:BE128))), 1, "")</f>
        <v/>
      </c>
      <c r="BH128" s="1182" t="s">
        <v>549</v>
      </c>
      <c r="BI128" s="1182" t="s">
        <v>549</v>
      </c>
      <c r="BJ128" s="1182" t="s">
        <v>549</v>
      </c>
      <c r="BK128" s="1174" t="s">
        <v>549</v>
      </c>
      <c r="BL128" s="1183" t="s">
        <v>549</v>
      </c>
      <c r="BM128" s="1125"/>
    </row>
    <row r="129">
      <c r="A129" s="1123"/>
      <c r="B129" s="1125"/>
      <c r="C129" s="1125"/>
      <c r="D129" s="1185" t="str">
        <f t="shared" si="17"/>
        <v/>
      </c>
      <c r="E129" s="1125"/>
      <c r="F129" s="1186" t="str">
        <f>IFERROR(__xludf.DUMMYFUNCTION("IF(SUM(BG128:BM128), ARRAYFORMULA(FILTER(BG$4:BM$4, BG128:BM128=1)), )"),"")</f>
        <v/>
      </c>
      <c r="G129" s="1187" t="str">
        <f>IFERROR(__xludf.DUMMYFUNCTION("IF(SUM(BG128:BM128),ARRAYFORMULA(FILTER(AE129:AJ129, BG128:BL128)), """")"),"")</f>
        <v/>
      </c>
      <c r="H129" s="1188" t="str">
        <f t="shared" si="18"/>
        <v/>
      </c>
      <c r="I129" s="1187"/>
      <c r="J129" s="1189" t="str">
        <f>IFERROR(__xludf.DUMMYFUNCTION("IF(SUM(BG128:BM128), ARRAYFORMULA(FILTER(AZ128:BE128, BG128:BL128=1))*D$5,"""")"),"")</f>
        <v/>
      </c>
      <c r="K129" s="1190" t="s">
        <v>549</v>
      </c>
      <c r="L129" s="1125" t="s">
        <v>549</v>
      </c>
      <c r="M129" s="1125"/>
      <c r="N129" s="1125"/>
      <c r="O129" s="1125"/>
      <c r="P129" s="1125"/>
      <c r="Q129" s="1125"/>
      <c r="R129" s="1125"/>
      <c r="S129" s="1125"/>
      <c r="T129" s="1125"/>
      <c r="U129" s="1125"/>
      <c r="V129" s="1125"/>
      <c r="W129" s="1125"/>
      <c r="X129" s="1125"/>
      <c r="Y129" s="1125"/>
      <c r="Z129" s="1125"/>
      <c r="AA129" s="1125"/>
      <c r="AB129" s="1125"/>
      <c r="AC129" s="1125"/>
      <c r="AD129" s="1125"/>
      <c r="AE129" s="1173">
        <f t="shared" ref="AE129:AJ129" si="264">AE128+BG128</f>
        <v>10</v>
      </c>
      <c r="AF129" s="1173">
        <f t="shared" si="264"/>
        <v>50</v>
      </c>
      <c r="AG129" s="1173">
        <f t="shared" si="264"/>
        <v>10</v>
      </c>
      <c r="AH129" s="1173">
        <f t="shared" si="264"/>
        <v>5</v>
      </c>
      <c r="AI129" s="1174">
        <f t="shared" si="264"/>
        <v>20</v>
      </c>
      <c r="AJ129" s="1175">
        <f t="shared" si="264"/>
        <v>9</v>
      </c>
      <c r="AK129" s="1125"/>
      <c r="AL129" s="1173">
        <f t="shared" si="3"/>
        <v>300</v>
      </c>
      <c r="AM129" s="1173">
        <f t="shared" si="4"/>
        <v>300</v>
      </c>
      <c r="AN129" s="1173">
        <f t="shared" si="5"/>
        <v>300</v>
      </c>
      <c r="AO129" s="1176">
        <f t="shared" si="6"/>
        <v>1</v>
      </c>
      <c r="AP129" s="1175">
        <f t="shared" si="7"/>
        <v>3226</v>
      </c>
      <c r="AQ129" s="1177">
        <f t="shared" si="8"/>
        <v>4126</v>
      </c>
      <c r="AR129" s="1125"/>
      <c r="AS129" s="1173" t="str">
        <f t="shared" si="9"/>
        <v/>
      </c>
      <c r="AT129" s="1173" t="str">
        <f t="shared" si="10"/>
        <v/>
      </c>
      <c r="AU129" s="1173" t="str">
        <f t="shared" si="11"/>
        <v/>
      </c>
      <c r="AV129" s="1173" t="str">
        <f t="shared" si="12"/>
        <v/>
      </c>
      <c r="AW129" s="1178" t="str">
        <f t="shared" si="13"/>
        <v/>
      </c>
      <c r="AX129" s="1175" t="str">
        <f t="shared" si="14"/>
        <v/>
      </c>
      <c r="AY129" s="1125"/>
      <c r="AZ129" s="1179" t="str">
        <f t="shared" ref="AZ129:BD129" si="265">IF(AS129="", "", (AS129/$AQ129-1)/LABDURATION_SINGLE_ADJUSTED(AZ$4, AE129+1))</f>
        <v/>
      </c>
      <c r="BA129" s="1179" t="str">
        <f t="shared" si="265"/>
        <v/>
      </c>
      <c r="BB129" s="1179" t="str">
        <f t="shared" si="265"/>
        <v/>
      </c>
      <c r="BC129" s="1179" t="str">
        <f t="shared" si="265"/>
        <v/>
      </c>
      <c r="BD129" s="1180" t="str">
        <f t="shared" si="265"/>
        <v/>
      </c>
      <c r="BE129" s="1181" t="str">
        <f t="shared" si="16"/>
        <v/>
      </c>
      <c r="BF129" s="1125"/>
      <c r="BG129" s="1182" t="str">
        <f t="array" ref="BG129:BL129">IF(COLUMN(AZ129:BE129) = MIN(IF(AZ129:BE129=MAX(AZ129:BE129), COLUMN(AZ129:BE129))), 1, "")</f>
        <v/>
      </c>
      <c r="BH129" s="1182" t="s">
        <v>549</v>
      </c>
      <c r="BI129" s="1182" t="s">
        <v>549</v>
      </c>
      <c r="BJ129" s="1182" t="s">
        <v>549</v>
      </c>
      <c r="BK129" s="1174" t="s">
        <v>549</v>
      </c>
      <c r="BL129" s="1183" t="s">
        <v>549</v>
      </c>
      <c r="BM129" s="1125"/>
    </row>
    <row r="130">
      <c r="A130" s="1123"/>
      <c r="B130" s="1125"/>
      <c r="C130" s="1125"/>
      <c r="D130" s="1185" t="str">
        <f t="shared" si="17"/>
        <v/>
      </c>
      <c r="E130" s="1125"/>
      <c r="F130" s="1186" t="str">
        <f>IFERROR(__xludf.DUMMYFUNCTION("IF(SUM(BG129:BM129), ARRAYFORMULA(FILTER(BG$4:BM$4, BG129:BM129=1)), )"),"")</f>
        <v/>
      </c>
      <c r="G130" s="1187" t="str">
        <f>IFERROR(__xludf.DUMMYFUNCTION("IF(SUM(BG129:BM129),ARRAYFORMULA(FILTER(AE130:AJ130, BG129:BL129)), """")"),"")</f>
        <v/>
      </c>
      <c r="H130" s="1188" t="str">
        <f t="shared" si="18"/>
        <v/>
      </c>
      <c r="I130" s="1187"/>
      <c r="J130" s="1189" t="str">
        <f>IFERROR(__xludf.DUMMYFUNCTION("IF(SUM(BG129:BM129), ARRAYFORMULA(FILTER(AZ129:BE129, BG129:BL129=1))*D$5,"""")"),"")</f>
        <v/>
      </c>
      <c r="K130" s="1190" t="s">
        <v>549</v>
      </c>
      <c r="L130" s="1125" t="s">
        <v>549</v>
      </c>
      <c r="M130" s="1125"/>
      <c r="N130" s="1125"/>
      <c r="O130" s="1125"/>
      <c r="P130" s="1125"/>
      <c r="Q130" s="1125"/>
      <c r="R130" s="1125"/>
      <c r="S130" s="1125"/>
      <c r="T130" s="1125"/>
      <c r="U130" s="1125"/>
      <c r="V130" s="1125"/>
      <c r="W130" s="1125"/>
      <c r="X130" s="1125"/>
      <c r="Y130" s="1125"/>
      <c r="Z130" s="1125"/>
      <c r="AA130" s="1125"/>
      <c r="AB130" s="1125"/>
      <c r="AC130" s="1125"/>
      <c r="AD130" s="1125"/>
      <c r="AE130" s="1173">
        <f t="shared" ref="AE130:AJ130" si="266">AE129+BG129</f>
        <v>10</v>
      </c>
      <c r="AF130" s="1173">
        <f t="shared" si="266"/>
        <v>50</v>
      </c>
      <c r="AG130" s="1173">
        <f t="shared" si="266"/>
        <v>10</v>
      </c>
      <c r="AH130" s="1173">
        <f t="shared" si="266"/>
        <v>5</v>
      </c>
      <c r="AI130" s="1174">
        <f t="shared" si="266"/>
        <v>20</v>
      </c>
      <c r="AJ130" s="1175">
        <f t="shared" si="266"/>
        <v>9</v>
      </c>
      <c r="AK130" s="1125"/>
      <c r="AL130" s="1173">
        <f t="shared" si="3"/>
        <v>300</v>
      </c>
      <c r="AM130" s="1173">
        <f t="shared" si="4"/>
        <v>300</v>
      </c>
      <c r="AN130" s="1173">
        <f t="shared" si="5"/>
        <v>300</v>
      </c>
      <c r="AO130" s="1176">
        <f t="shared" si="6"/>
        <v>1</v>
      </c>
      <c r="AP130" s="1175">
        <f t="shared" si="7"/>
        <v>3226</v>
      </c>
      <c r="AQ130" s="1177">
        <f t="shared" si="8"/>
        <v>4126</v>
      </c>
      <c r="AR130" s="1125"/>
      <c r="AS130" s="1173" t="str">
        <f t="shared" si="9"/>
        <v/>
      </c>
      <c r="AT130" s="1173" t="str">
        <f t="shared" si="10"/>
        <v/>
      </c>
      <c r="AU130" s="1173" t="str">
        <f t="shared" si="11"/>
        <v/>
      </c>
      <c r="AV130" s="1173" t="str">
        <f t="shared" si="12"/>
        <v/>
      </c>
      <c r="AW130" s="1178" t="str">
        <f t="shared" si="13"/>
        <v/>
      </c>
      <c r="AX130" s="1175" t="str">
        <f t="shared" si="14"/>
        <v/>
      </c>
      <c r="AY130" s="1125"/>
      <c r="AZ130" s="1179" t="str">
        <f t="shared" ref="AZ130:BD130" si="267">IF(AS130="", "", (AS130/$AQ130-1)/LABDURATION_SINGLE_ADJUSTED(AZ$4, AE130+1))</f>
        <v/>
      </c>
      <c r="BA130" s="1179" t="str">
        <f t="shared" si="267"/>
        <v/>
      </c>
      <c r="BB130" s="1179" t="str">
        <f t="shared" si="267"/>
        <v/>
      </c>
      <c r="BC130" s="1179" t="str">
        <f t="shared" si="267"/>
        <v/>
      </c>
      <c r="BD130" s="1180" t="str">
        <f t="shared" si="267"/>
        <v/>
      </c>
      <c r="BE130" s="1181" t="str">
        <f t="shared" si="16"/>
        <v/>
      </c>
      <c r="BF130" s="1125"/>
      <c r="BG130" s="1182" t="str">
        <f t="array" ref="BG130:BL130">IF(COLUMN(AZ130:BE130) = MIN(IF(AZ130:BE130=MAX(AZ130:BE130), COLUMN(AZ130:BE130))), 1, "")</f>
        <v/>
      </c>
      <c r="BH130" s="1182" t="s">
        <v>549</v>
      </c>
      <c r="BI130" s="1182" t="s">
        <v>549</v>
      </c>
      <c r="BJ130" s="1182" t="s">
        <v>549</v>
      </c>
      <c r="BK130" s="1174" t="s">
        <v>549</v>
      </c>
      <c r="BL130" s="1183" t="s">
        <v>549</v>
      </c>
      <c r="BM130" s="1125"/>
    </row>
    <row r="131">
      <c r="A131" s="1123"/>
      <c r="B131" s="1125"/>
      <c r="C131" s="1125"/>
      <c r="D131" s="1185" t="str">
        <f t="shared" si="17"/>
        <v/>
      </c>
      <c r="E131" s="1125"/>
      <c r="F131" s="1186" t="str">
        <f>IFERROR(__xludf.DUMMYFUNCTION("IF(SUM(BG130:BM130), ARRAYFORMULA(FILTER(BG$4:BM$4, BG130:BM130=1)), )"),"")</f>
        <v/>
      </c>
      <c r="G131" s="1187" t="str">
        <f>IFERROR(__xludf.DUMMYFUNCTION("IF(SUM(BG130:BM130),ARRAYFORMULA(FILTER(AE131:AJ131, BG130:BL130)), """")"),"")</f>
        <v/>
      </c>
      <c r="H131" s="1188" t="str">
        <f t="shared" si="18"/>
        <v/>
      </c>
      <c r="I131" s="1187"/>
      <c r="J131" s="1189" t="str">
        <f>IFERROR(__xludf.DUMMYFUNCTION("IF(SUM(BG130:BM130), ARRAYFORMULA(FILTER(AZ130:BE130, BG130:BL130=1))*D$5,"""")"),"")</f>
        <v/>
      </c>
      <c r="K131" s="1190" t="s">
        <v>549</v>
      </c>
      <c r="L131" s="1125" t="s">
        <v>549</v>
      </c>
      <c r="M131" s="1125"/>
      <c r="N131" s="1125"/>
      <c r="O131" s="1125"/>
      <c r="P131" s="1125"/>
      <c r="Q131" s="1125"/>
      <c r="R131" s="1125"/>
      <c r="S131" s="1125"/>
      <c r="T131" s="1125"/>
      <c r="U131" s="1125"/>
      <c r="V131" s="1125"/>
      <c r="W131" s="1125"/>
      <c r="X131" s="1125"/>
      <c r="Y131" s="1125"/>
      <c r="Z131" s="1125"/>
      <c r="AA131" s="1125"/>
      <c r="AB131" s="1125"/>
      <c r="AC131" s="1125"/>
      <c r="AD131" s="1125"/>
      <c r="AE131" s="1173">
        <f t="shared" ref="AE131:AJ131" si="268">AE130+BG130</f>
        <v>10</v>
      </c>
      <c r="AF131" s="1173">
        <f t="shared" si="268"/>
        <v>50</v>
      </c>
      <c r="AG131" s="1173">
        <f t="shared" si="268"/>
        <v>10</v>
      </c>
      <c r="AH131" s="1173">
        <f t="shared" si="268"/>
        <v>5</v>
      </c>
      <c r="AI131" s="1174">
        <f t="shared" si="268"/>
        <v>20</v>
      </c>
      <c r="AJ131" s="1175">
        <f t="shared" si="268"/>
        <v>9</v>
      </c>
      <c r="AK131" s="1125"/>
      <c r="AL131" s="1173">
        <f t="shared" si="3"/>
        <v>300</v>
      </c>
      <c r="AM131" s="1173">
        <f t="shared" si="4"/>
        <v>300</v>
      </c>
      <c r="AN131" s="1173">
        <f t="shared" si="5"/>
        <v>300</v>
      </c>
      <c r="AO131" s="1176">
        <f t="shared" si="6"/>
        <v>1</v>
      </c>
      <c r="AP131" s="1175">
        <f t="shared" si="7"/>
        <v>3226</v>
      </c>
      <c r="AQ131" s="1177">
        <f t="shared" si="8"/>
        <v>4126</v>
      </c>
      <c r="AR131" s="1125"/>
      <c r="AS131" s="1173" t="str">
        <f t="shared" si="9"/>
        <v/>
      </c>
      <c r="AT131" s="1173" t="str">
        <f t="shared" si="10"/>
        <v/>
      </c>
      <c r="AU131" s="1173" t="str">
        <f t="shared" si="11"/>
        <v/>
      </c>
      <c r="AV131" s="1173" t="str">
        <f t="shared" si="12"/>
        <v/>
      </c>
      <c r="AW131" s="1178" t="str">
        <f t="shared" si="13"/>
        <v/>
      </c>
      <c r="AX131" s="1175" t="str">
        <f t="shared" si="14"/>
        <v/>
      </c>
      <c r="AY131" s="1125"/>
      <c r="AZ131" s="1179" t="str">
        <f t="shared" ref="AZ131:BD131" si="269">IF(AS131="", "", (AS131/$AQ131-1)/LABDURATION_SINGLE_ADJUSTED(AZ$4, AE131+1))</f>
        <v/>
      </c>
      <c r="BA131" s="1179" t="str">
        <f t="shared" si="269"/>
        <v/>
      </c>
      <c r="BB131" s="1179" t="str">
        <f t="shared" si="269"/>
        <v/>
      </c>
      <c r="BC131" s="1179" t="str">
        <f t="shared" si="269"/>
        <v/>
      </c>
      <c r="BD131" s="1180" t="str">
        <f t="shared" si="269"/>
        <v/>
      </c>
      <c r="BE131" s="1181" t="str">
        <f t="shared" si="16"/>
        <v/>
      </c>
      <c r="BF131" s="1125"/>
      <c r="BG131" s="1182" t="str">
        <f t="array" ref="BG131:BL131">IF(COLUMN(AZ131:BE131) = MIN(IF(AZ131:BE131=MAX(AZ131:BE131), COLUMN(AZ131:BE131))), 1, "")</f>
        <v/>
      </c>
      <c r="BH131" s="1182" t="s">
        <v>549</v>
      </c>
      <c r="BI131" s="1182" t="s">
        <v>549</v>
      </c>
      <c r="BJ131" s="1182" t="s">
        <v>549</v>
      </c>
      <c r="BK131" s="1174" t="s">
        <v>549</v>
      </c>
      <c r="BL131" s="1183" t="s">
        <v>549</v>
      </c>
      <c r="BM131" s="1125"/>
    </row>
    <row r="132">
      <c r="A132" s="1123"/>
      <c r="B132" s="1125"/>
      <c r="C132" s="1125"/>
      <c r="D132" s="1185" t="str">
        <f t="shared" si="17"/>
        <v/>
      </c>
      <c r="E132" s="1125"/>
      <c r="F132" s="1186" t="str">
        <f>IFERROR(__xludf.DUMMYFUNCTION("IF(SUM(BG131:BM131), ARRAYFORMULA(FILTER(BG$4:BM$4, BG131:BM131=1)), )"),"")</f>
        <v/>
      </c>
      <c r="G132" s="1187" t="str">
        <f>IFERROR(__xludf.DUMMYFUNCTION("IF(SUM(BG131:BM131),ARRAYFORMULA(FILTER(AE132:AJ132, BG131:BL131)), """")"),"")</f>
        <v/>
      </c>
      <c r="H132" s="1188" t="str">
        <f t="shared" si="18"/>
        <v/>
      </c>
      <c r="I132" s="1187"/>
      <c r="J132" s="1189" t="str">
        <f>IFERROR(__xludf.DUMMYFUNCTION("IF(SUM(BG131:BM131), ARRAYFORMULA(FILTER(AZ131:BE131, BG131:BL131=1))*D$5,"""")"),"")</f>
        <v/>
      </c>
      <c r="K132" s="1190" t="s">
        <v>549</v>
      </c>
      <c r="L132" s="1125" t="s">
        <v>549</v>
      </c>
      <c r="M132" s="1125"/>
      <c r="N132" s="1125"/>
      <c r="O132" s="1125"/>
      <c r="P132" s="1125"/>
      <c r="Q132" s="1125"/>
      <c r="R132" s="1125"/>
      <c r="S132" s="1125"/>
      <c r="T132" s="1125"/>
      <c r="U132" s="1125"/>
      <c r="V132" s="1125"/>
      <c r="W132" s="1125"/>
      <c r="X132" s="1125"/>
      <c r="Y132" s="1125"/>
      <c r="Z132" s="1125"/>
      <c r="AA132" s="1125"/>
      <c r="AB132" s="1125"/>
      <c r="AC132" s="1125"/>
      <c r="AD132" s="1125"/>
      <c r="AE132" s="1173">
        <f t="shared" ref="AE132:AJ132" si="270">AE131+BG131</f>
        <v>10</v>
      </c>
      <c r="AF132" s="1173">
        <f t="shared" si="270"/>
        <v>50</v>
      </c>
      <c r="AG132" s="1173">
        <f t="shared" si="270"/>
        <v>10</v>
      </c>
      <c r="AH132" s="1173">
        <f t="shared" si="270"/>
        <v>5</v>
      </c>
      <c r="AI132" s="1174">
        <f t="shared" si="270"/>
        <v>20</v>
      </c>
      <c r="AJ132" s="1175">
        <f t="shared" si="270"/>
        <v>9</v>
      </c>
      <c r="AK132" s="1125"/>
      <c r="AL132" s="1173">
        <f t="shared" si="3"/>
        <v>300</v>
      </c>
      <c r="AM132" s="1173">
        <f t="shared" si="4"/>
        <v>300</v>
      </c>
      <c r="AN132" s="1173">
        <f t="shared" si="5"/>
        <v>300</v>
      </c>
      <c r="AO132" s="1176">
        <f t="shared" si="6"/>
        <v>1</v>
      </c>
      <c r="AP132" s="1175">
        <f t="shared" si="7"/>
        <v>3226</v>
      </c>
      <c r="AQ132" s="1177">
        <f t="shared" si="8"/>
        <v>4126</v>
      </c>
      <c r="AR132" s="1125"/>
      <c r="AS132" s="1173" t="str">
        <f t="shared" si="9"/>
        <v/>
      </c>
      <c r="AT132" s="1173" t="str">
        <f t="shared" si="10"/>
        <v/>
      </c>
      <c r="AU132" s="1173" t="str">
        <f t="shared" si="11"/>
        <v/>
      </c>
      <c r="AV132" s="1173" t="str">
        <f t="shared" si="12"/>
        <v/>
      </c>
      <c r="AW132" s="1178" t="str">
        <f t="shared" si="13"/>
        <v/>
      </c>
      <c r="AX132" s="1175" t="str">
        <f t="shared" si="14"/>
        <v/>
      </c>
      <c r="AY132" s="1125"/>
      <c r="AZ132" s="1179" t="str">
        <f t="shared" ref="AZ132:BD132" si="271">IF(AS132="", "", (AS132/$AQ132-1)/LABDURATION_SINGLE_ADJUSTED(AZ$4, AE132+1))</f>
        <v/>
      </c>
      <c r="BA132" s="1179" t="str">
        <f t="shared" si="271"/>
        <v/>
      </c>
      <c r="BB132" s="1179" t="str">
        <f t="shared" si="271"/>
        <v/>
      </c>
      <c r="BC132" s="1179" t="str">
        <f t="shared" si="271"/>
        <v/>
      </c>
      <c r="BD132" s="1180" t="str">
        <f t="shared" si="271"/>
        <v/>
      </c>
      <c r="BE132" s="1181" t="str">
        <f t="shared" si="16"/>
        <v/>
      </c>
      <c r="BF132" s="1125"/>
      <c r="BG132" s="1182" t="str">
        <f t="array" ref="BG132:BL132">IF(COLUMN(AZ132:BE132) = MIN(IF(AZ132:BE132=MAX(AZ132:BE132), COLUMN(AZ132:BE132))), 1, "")</f>
        <v/>
      </c>
      <c r="BH132" s="1182" t="s">
        <v>549</v>
      </c>
      <c r="BI132" s="1182" t="s">
        <v>549</v>
      </c>
      <c r="BJ132" s="1182" t="s">
        <v>549</v>
      </c>
      <c r="BK132" s="1174" t="s">
        <v>549</v>
      </c>
      <c r="BL132" s="1183" t="s">
        <v>549</v>
      </c>
      <c r="BM132" s="1125"/>
    </row>
    <row r="133">
      <c r="A133" s="1123"/>
      <c r="B133" s="1125"/>
      <c r="C133" s="1125"/>
      <c r="D133" s="1185" t="str">
        <f t="shared" si="17"/>
        <v/>
      </c>
      <c r="E133" s="1125"/>
      <c r="F133" s="1186" t="str">
        <f>IFERROR(__xludf.DUMMYFUNCTION("IF(SUM(BG132:BM132), ARRAYFORMULA(FILTER(BG$4:BM$4, BG132:BM132=1)), )"),"")</f>
        <v/>
      </c>
      <c r="G133" s="1187" t="str">
        <f>IFERROR(__xludf.DUMMYFUNCTION("IF(SUM(BG132:BM132),ARRAYFORMULA(FILTER(AE133:AJ133, BG132:BL132)), """")"),"")</f>
        <v/>
      </c>
      <c r="H133" s="1188" t="str">
        <f t="shared" si="18"/>
        <v/>
      </c>
      <c r="I133" s="1187"/>
      <c r="J133" s="1189" t="str">
        <f>IFERROR(__xludf.DUMMYFUNCTION("IF(SUM(BG132:BM132), ARRAYFORMULA(FILTER(AZ132:BE132, BG132:BL132=1))*D$5,"""")"),"")</f>
        <v/>
      </c>
      <c r="K133" s="1190" t="s">
        <v>549</v>
      </c>
      <c r="L133" s="1125" t="s">
        <v>549</v>
      </c>
      <c r="M133" s="1125"/>
      <c r="N133" s="1125"/>
      <c r="O133" s="1125"/>
      <c r="P133" s="1125"/>
      <c r="Q133" s="1125"/>
      <c r="R133" s="1125"/>
      <c r="S133" s="1125"/>
      <c r="T133" s="1125"/>
      <c r="U133" s="1125"/>
      <c r="V133" s="1125"/>
      <c r="W133" s="1125"/>
      <c r="X133" s="1125"/>
      <c r="Y133" s="1125"/>
      <c r="Z133" s="1125"/>
      <c r="AA133" s="1125"/>
      <c r="AB133" s="1125"/>
      <c r="AC133" s="1125"/>
      <c r="AD133" s="1125"/>
      <c r="AE133" s="1173">
        <f t="shared" ref="AE133:AJ133" si="272">AE132+BG132</f>
        <v>10</v>
      </c>
      <c r="AF133" s="1173">
        <f t="shared" si="272"/>
        <v>50</v>
      </c>
      <c r="AG133" s="1173">
        <f t="shared" si="272"/>
        <v>10</v>
      </c>
      <c r="AH133" s="1173">
        <f t="shared" si="272"/>
        <v>5</v>
      </c>
      <c r="AI133" s="1174">
        <f t="shared" si="272"/>
        <v>20</v>
      </c>
      <c r="AJ133" s="1175">
        <f t="shared" si="272"/>
        <v>9</v>
      </c>
      <c r="AK133" s="1125"/>
      <c r="AL133" s="1173">
        <f t="shared" si="3"/>
        <v>300</v>
      </c>
      <c r="AM133" s="1173">
        <f t="shared" si="4"/>
        <v>300</v>
      </c>
      <c r="AN133" s="1173">
        <f t="shared" si="5"/>
        <v>300</v>
      </c>
      <c r="AO133" s="1176">
        <f t="shared" si="6"/>
        <v>1</v>
      </c>
      <c r="AP133" s="1175">
        <f t="shared" si="7"/>
        <v>3226</v>
      </c>
      <c r="AQ133" s="1177">
        <f t="shared" si="8"/>
        <v>4126</v>
      </c>
      <c r="AR133" s="1125"/>
      <c r="AS133" s="1173" t="str">
        <f t="shared" si="9"/>
        <v/>
      </c>
      <c r="AT133" s="1173" t="str">
        <f t="shared" si="10"/>
        <v/>
      </c>
      <c r="AU133" s="1173" t="str">
        <f t="shared" si="11"/>
        <v/>
      </c>
      <c r="AV133" s="1173" t="str">
        <f t="shared" si="12"/>
        <v/>
      </c>
      <c r="AW133" s="1178" t="str">
        <f t="shared" si="13"/>
        <v/>
      </c>
      <c r="AX133" s="1175" t="str">
        <f t="shared" si="14"/>
        <v/>
      </c>
      <c r="AY133" s="1125"/>
      <c r="AZ133" s="1179" t="str">
        <f t="shared" ref="AZ133:BD133" si="273">IF(AS133="", "", (AS133/$AQ133-1)/LABDURATION_SINGLE_ADJUSTED(AZ$4, AE133+1))</f>
        <v/>
      </c>
      <c r="BA133" s="1179" t="str">
        <f t="shared" si="273"/>
        <v/>
      </c>
      <c r="BB133" s="1179" t="str">
        <f t="shared" si="273"/>
        <v/>
      </c>
      <c r="BC133" s="1179" t="str">
        <f t="shared" si="273"/>
        <v/>
      </c>
      <c r="BD133" s="1180" t="str">
        <f t="shared" si="273"/>
        <v/>
      </c>
      <c r="BE133" s="1181" t="str">
        <f t="shared" si="16"/>
        <v/>
      </c>
      <c r="BF133" s="1125"/>
      <c r="BG133" s="1182" t="str">
        <f t="array" ref="BG133:BL133">IF(COLUMN(AZ133:BE133) = MIN(IF(AZ133:BE133=MAX(AZ133:BE133), COLUMN(AZ133:BE133))), 1, "")</f>
        <v/>
      </c>
      <c r="BH133" s="1182" t="s">
        <v>549</v>
      </c>
      <c r="BI133" s="1182" t="s">
        <v>549</v>
      </c>
      <c r="BJ133" s="1182" t="s">
        <v>549</v>
      </c>
      <c r="BK133" s="1174" t="s">
        <v>549</v>
      </c>
      <c r="BL133" s="1183" t="s">
        <v>549</v>
      </c>
      <c r="BM133" s="1125"/>
    </row>
    <row r="134">
      <c r="A134" s="1123"/>
      <c r="B134" s="1125"/>
      <c r="C134" s="1125"/>
      <c r="D134" s="1185" t="str">
        <f t="shared" si="17"/>
        <v/>
      </c>
      <c r="E134" s="1125"/>
      <c r="F134" s="1186" t="str">
        <f>IFERROR(__xludf.DUMMYFUNCTION("IF(SUM(BG133:BM133), ARRAYFORMULA(FILTER(BG$4:BM$4, BG133:BM133=1)), )"),"")</f>
        <v/>
      </c>
      <c r="G134" s="1187" t="str">
        <f>IFERROR(__xludf.DUMMYFUNCTION("IF(SUM(BG133:BM133),ARRAYFORMULA(FILTER(AE134:AJ134, BG133:BL133)), """")"),"")</f>
        <v/>
      </c>
      <c r="H134" s="1188" t="str">
        <f t="shared" si="18"/>
        <v/>
      </c>
      <c r="I134" s="1187"/>
      <c r="J134" s="1189" t="str">
        <f>IFERROR(__xludf.DUMMYFUNCTION("IF(SUM(BG133:BM133), ARRAYFORMULA(FILTER(AZ133:BE133, BG133:BL133=1))*D$5,"""")"),"")</f>
        <v/>
      </c>
      <c r="K134" s="1190" t="s">
        <v>549</v>
      </c>
      <c r="L134" s="1125" t="s">
        <v>549</v>
      </c>
      <c r="M134" s="1125"/>
      <c r="N134" s="1125"/>
      <c r="O134" s="1125"/>
      <c r="P134" s="1125"/>
      <c r="Q134" s="1125"/>
      <c r="R134" s="1125"/>
      <c r="S134" s="1125"/>
      <c r="T134" s="1125"/>
      <c r="U134" s="1125"/>
      <c r="V134" s="1125"/>
      <c r="W134" s="1125"/>
      <c r="X134" s="1125"/>
      <c r="Y134" s="1125"/>
      <c r="Z134" s="1125"/>
      <c r="AA134" s="1125"/>
      <c r="AB134" s="1125"/>
      <c r="AC134" s="1125"/>
      <c r="AD134" s="1125"/>
      <c r="AE134" s="1173">
        <f t="shared" ref="AE134:AJ134" si="274">AE133+BG133</f>
        <v>10</v>
      </c>
      <c r="AF134" s="1173">
        <f t="shared" si="274"/>
        <v>50</v>
      </c>
      <c r="AG134" s="1173">
        <f t="shared" si="274"/>
        <v>10</v>
      </c>
      <c r="AH134" s="1173">
        <f t="shared" si="274"/>
        <v>5</v>
      </c>
      <c r="AI134" s="1174">
        <f t="shared" si="274"/>
        <v>20</v>
      </c>
      <c r="AJ134" s="1175">
        <f t="shared" si="274"/>
        <v>9</v>
      </c>
      <c r="AK134" s="1125"/>
      <c r="AL134" s="1173">
        <f t="shared" si="3"/>
        <v>300</v>
      </c>
      <c r="AM134" s="1173">
        <f t="shared" si="4"/>
        <v>300</v>
      </c>
      <c r="AN134" s="1173">
        <f t="shared" si="5"/>
        <v>300</v>
      </c>
      <c r="AO134" s="1176">
        <f t="shared" si="6"/>
        <v>1</v>
      </c>
      <c r="AP134" s="1175">
        <f t="shared" si="7"/>
        <v>3226</v>
      </c>
      <c r="AQ134" s="1177">
        <f t="shared" si="8"/>
        <v>4126</v>
      </c>
      <c r="AR134" s="1125"/>
      <c r="AS134" s="1173" t="str">
        <f t="shared" si="9"/>
        <v/>
      </c>
      <c r="AT134" s="1173" t="str">
        <f t="shared" si="10"/>
        <v/>
      </c>
      <c r="AU134" s="1173" t="str">
        <f t="shared" si="11"/>
        <v/>
      </c>
      <c r="AV134" s="1173" t="str">
        <f t="shared" si="12"/>
        <v/>
      </c>
      <c r="AW134" s="1178" t="str">
        <f t="shared" si="13"/>
        <v/>
      </c>
      <c r="AX134" s="1175" t="str">
        <f t="shared" si="14"/>
        <v/>
      </c>
      <c r="AY134" s="1125"/>
      <c r="AZ134" s="1179" t="str">
        <f t="shared" ref="AZ134:BD134" si="275">IF(AS134="", "", (AS134/$AQ134-1)/LABDURATION_SINGLE_ADJUSTED(AZ$4, AE134+1))</f>
        <v/>
      </c>
      <c r="BA134" s="1179" t="str">
        <f t="shared" si="275"/>
        <v/>
      </c>
      <c r="BB134" s="1179" t="str">
        <f t="shared" si="275"/>
        <v/>
      </c>
      <c r="BC134" s="1179" t="str">
        <f t="shared" si="275"/>
        <v/>
      </c>
      <c r="BD134" s="1180" t="str">
        <f t="shared" si="275"/>
        <v/>
      </c>
      <c r="BE134" s="1181" t="str">
        <f t="shared" si="16"/>
        <v/>
      </c>
      <c r="BF134" s="1125"/>
      <c r="BG134" s="1182" t="str">
        <f t="array" ref="BG134:BL134">IF(COLUMN(AZ134:BE134) = MIN(IF(AZ134:BE134=MAX(AZ134:BE134), COLUMN(AZ134:BE134))), 1, "")</f>
        <v/>
      </c>
      <c r="BH134" s="1182" t="s">
        <v>549</v>
      </c>
      <c r="BI134" s="1182" t="s">
        <v>549</v>
      </c>
      <c r="BJ134" s="1182" t="s">
        <v>549</v>
      </c>
      <c r="BK134" s="1174" t="s">
        <v>549</v>
      </c>
      <c r="BL134" s="1183" t="s">
        <v>549</v>
      </c>
      <c r="BM134" s="1125"/>
    </row>
    <row r="135">
      <c r="A135" s="1123"/>
      <c r="B135" s="1125"/>
      <c r="C135" s="1125"/>
      <c r="D135" s="1185" t="str">
        <f t="shared" si="17"/>
        <v/>
      </c>
      <c r="E135" s="1125"/>
      <c r="F135" s="1186" t="str">
        <f>IFERROR(__xludf.DUMMYFUNCTION("IF(SUM(BG134:BM134), ARRAYFORMULA(FILTER(BG$4:BM$4, BG134:BM134=1)), )"),"")</f>
        <v/>
      </c>
      <c r="G135" s="1187" t="str">
        <f>IFERROR(__xludf.DUMMYFUNCTION("IF(SUM(BG134:BM134),ARRAYFORMULA(FILTER(AE135:AJ135, BG134:BL134)), """")"),"")</f>
        <v/>
      </c>
      <c r="H135" s="1188" t="str">
        <f t="shared" si="18"/>
        <v/>
      </c>
      <c r="I135" s="1187"/>
      <c r="J135" s="1189" t="str">
        <f>IFERROR(__xludf.DUMMYFUNCTION("IF(SUM(BG134:BM134), ARRAYFORMULA(FILTER(AZ134:BE134, BG134:BL134=1))*D$5,"""")"),"")</f>
        <v/>
      </c>
      <c r="K135" s="1190" t="s">
        <v>549</v>
      </c>
      <c r="L135" s="1125" t="s">
        <v>549</v>
      </c>
      <c r="M135" s="1125"/>
      <c r="N135" s="1125"/>
      <c r="O135" s="1125"/>
      <c r="P135" s="1125"/>
      <c r="Q135" s="1125"/>
      <c r="R135" s="1125"/>
      <c r="S135" s="1125"/>
      <c r="T135" s="1125"/>
      <c r="U135" s="1125"/>
      <c r="V135" s="1125"/>
      <c r="W135" s="1125"/>
      <c r="X135" s="1125"/>
      <c r="Y135" s="1125"/>
      <c r="Z135" s="1125"/>
      <c r="AA135" s="1125"/>
      <c r="AB135" s="1125"/>
      <c r="AC135" s="1125"/>
      <c r="AD135" s="1125"/>
      <c r="AE135" s="1173">
        <f t="shared" ref="AE135:AJ135" si="276">AE134+BG134</f>
        <v>10</v>
      </c>
      <c r="AF135" s="1173">
        <f t="shared" si="276"/>
        <v>50</v>
      </c>
      <c r="AG135" s="1173">
        <f t="shared" si="276"/>
        <v>10</v>
      </c>
      <c r="AH135" s="1173">
        <f t="shared" si="276"/>
        <v>5</v>
      </c>
      <c r="AI135" s="1174">
        <f t="shared" si="276"/>
        <v>20</v>
      </c>
      <c r="AJ135" s="1175">
        <f t="shared" si="276"/>
        <v>9</v>
      </c>
      <c r="AK135" s="1125"/>
      <c r="AL135" s="1173">
        <f t="shared" si="3"/>
        <v>300</v>
      </c>
      <c r="AM135" s="1173">
        <f t="shared" si="4"/>
        <v>300</v>
      </c>
      <c r="AN135" s="1173">
        <f t="shared" si="5"/>
        <v>300</v>
      </c>
      <c r="AO135" s="1176">
        <f t="shared" si="6"/>
        <v>1</v>
      </c>
      <c r="AP135" s="1175">
        <f t="shared" si="7"/>
        <v>3226</v>
      </c>
      <c r="AQ135" s="1177">
        <f t="shared" si="8"/>
        <v>4126</v>
      </c>
      <c r="AR135" s="1125"/>
      <c r="AS135" s="1173" t="str">
        <f t="shared" si="9"/>
        <v/>
      </c>
      <c r="AT135" s="1173" t="str">
        <f t="shared" si="10"/>
        <v/>
      </c>
      <c r="AU135" s="1173" t="str">
        <f t="shared" si="11"/>
        <v/>
      </c>
      <c r="AV135" s="1173" t="str">
        <f t="shared" si="12"/>
        <v/>
      </c>
      <c r="AW135" s="1178" t="str">
        <f t="shared" si="13"/>
        <v/>
      </c>
      <c r="AX135" s="1175" t="str">
        <f t="shared" si="14"/>
        <v/>
      </c>
      <c r="AY135" s="1125"/>
      <c r="AZ135" s="1179" t="str">
        <f t="shared" ref="AZ135:BD135" si="277">IF(AS135="", "", (AS135/$AQ135-1)/LABDURATION_SINGLE_ADJUSTED(AZ$4, AE135+1))</f>
        <v/>
      </c>
      <c r="BA135" s="1179" t="str">
        <f t="shared" si="277"/>
        <v/>
      </c>
      <c r="BB135" s="1179" t="str">
        <f t="shared" si="277"/>
        <v/>
      </c>
      <c r="BC135" s="1179" t="str">
        <f t="shared" si="277"/>
        <v/>
      </c>
      <c r="BD135" s="1180" t="str">
        <f t="shared" si="277"/>
        <v/>
      </c>
      <c r="BE135" s="1181" t="str">
        <f t="shared" si="16"/>
        <v/>
      </c>
      <c r="BF135" s="1125"/>
      <c r="BG135" s="1182" t="str">
        <f t="array" ref="BG135:BL135">IF(COLUMN(AZ135:BE135) = MIN(IF(AZ135:BE135=MAX(AZ135:BE135), COLUMN(AZ135:BE135))), 1, "")</f>
        <v/>
      </c>
      <c r="BH135" s="1182" t="s">
        <v>549</v>
      </c>
      <c r="BI135" s="1182" t="s">
        <v>549</v>
      </c>
      <c r="BJ135" s="1182" t="s">
        <v>549</v>
      </c>
      <c r="BK135" s="1174" t="s">
        <v>549</v>
      </c>
      <c r="BL135" s="1183" t="s">
        <v>549</v>
      </c>
      <c r="BM135" s="1125"/>
    </row>
    <row r="136">
      <c r="A136" s="1123"/>
      <c r="B136" s="1125"/>
      <c r="C136" s="1125"/>
      <c r="D136" s="1185" t="str">
        <f t="shared" si="17"/>
        <v/>
      </c>
      <c r="E136" s="1125"/>
      <c r="F136" s="1186" t="str">
        <f>IFERROR(__xludf.DUMMYFUNCTION("IF(SUM(BG135:BM135), ARRAYFORMULA(FILTER(BG$4:BM$4, BG135:BM135=1)), )"),"")</f>
        <v/>
      </c>
      <c r="G136" s="1187" t="str">
        <f>IFERROR(__xludf.DUMMYFUNCTION("IF(SUM(BG135:BM135),ARRAYFORMULA(FILTER(AE136:AJ136, BG135:BL135)), """")"),"")</f>
        <v/>
      </c>
      <c r="H136" s="1188" t="str">
        <f t="shared" si="18"/>
        <v/>
      </c>
      <c r="I136" s="1187"/>
      <c r="J136" s="1189" t="str">
        <f>IFERROR(__xludf.DUMMYFUNCTION("IF(SUM(BG135:BM135), ARRAYFORMULA(FILTER(AZ135:BE135, BG135:BL135=1))*D$5,"""")"),"")</f>
        <v/>
      </c>
      <c r="K136" s="1190" t="s">
        <v>549</v>
      </c>
      <c r="L136" s="1125" t="s">
        <v>549</v>
      </c>
      <c r="M136" s="1125"/>
      <c r="N136" s="1125"/>
      <c r="O136" s="1125"/>
      <c r="P136" s="1125"/>
      <c r="Q136" s="1125"/>
      <c r="R136" s="1125"/>
      <c r="S136" s="1125"/>
      <c r="T136" s="1125"/>
      <c r="U136" s="1125"/>
      <c r="V136" s="1125"/>
      <c r="W136" s="1125"/>
      <c r="X136" s="1125"/>
      <c r="Y136" s="1125"/>
      <c r="Z136" s="1125"/>
      <c r="AA136" s="1125"/>
      <c r="AB136" s="1125"/>
      <c r="AC136" s="1125"/>
      <c r="AD136" s="1125"/>
      <c r="AE136" s="1173">
        <f t="shared" ref="AE136:AJ136" si="278">AE135+BG135</f>
        <v>10</v>
      </c>
      <c r="AF136" s="1173">
        <f t="shared" si="278"/>
        <v>50</v>
      </c>
      <c r="AG136" s="1173">
        <f t="shared" si="278"/>
        <v>10</v>
      </c>
      <c r="AH136" s="1173">
        <f t="shared" si="278"/>
        <v>5</v>
      </c>
      <c r="AI136" s="1174">
        <f t="shared" si="278"/>
        <v>20</v>
      </c>
      <c r="AJ136" s="1175">
        <f t="shared" si="278"/>
        <v>9</v>
      </c>
      <c r="AK136" s="1125"/>
      <c r="AL136" s="1173">
        <f t="shared" si="3"/>
        <v>300</v>
      </c>
      <c r="AM136" s="1173">
        <f t="shared" si="4"/>
        <v>300</v>
      </c>
      <c r="AN136" s="1173">
        <f t="shared" si="5"/>
        <v>300</v>
      </c>
      <c r="AO136" s="1176">
        <f t="shared" si="6"/>
        <v>1</v>
      </c>
      <c r="AP136" s="1175">
        <f t="shared" si="7"/>
        <v>3226</v>
      </c>
      <c r="AQ136" s="1177">
        <f t="shared" si="8"/>
        <v>4126</v>
      </c>
      <c r="AR136" s="1125"/>
      <c r="AS136" s="1173" t="str">
        <f t="shared" si="9"/>
        <v/>
      </c>
      <c r="AT136" s="1173" t="str">
        <f t="shared" si="10"/>
        <v/>
      </c>
      <c r="AU136" s="1173" t="str">
        <f t="shared" si="11"/>
        <v/>
      </c>
      <c r="AV136" s="1173" t="str">
        <f t="shared" si="12"/>
        <v/>
      </c>
      <c r="AW136" s="1178" t="str">
        <f t="shared" si="13"/>
        <v/>
      </c>
      <c r="AX136" s="1175" t="str">
        <f t="shared" si="14"/>
        <v/>
      </c>
      <c r="AY136" s="1125"/>
      <c r="AZ136" s="1179" t="str">
        <f t="shared" ref="AZ136:BD136" si="279">IF(AS136="", "", (AS136/$AQ136-1)/LABDURATION_SINGLE_ADJUSTED(AZ$4, AE136+1))</f>
        <v/>
      </c>
      <c r="BA136" s="1179" t="str">
        <f t="shared" si="279"/>
        <v/>
      </c>
      <c r="BB136" s="1179" t="str">
        <f t="shared" si="279"/>
        <v/>
      </c>
      <c r="BC136" s="1179" t="str">
        <f t="shared" si="279"/>
        <v/>
      </c>
      <c r="BD136" s="1180" t="str">
        <f t="shared" si="279"/>
        <v/>
      </c>
      <c r="BE136" s="1181" t="str">
        <f t="shared" si="16"/>
        <v/>
      </c>
      <c r="BF136" s="1125"/>
      <c r="BG136" s="1182" t="str">
        <f t="array" ref="BG136:BL136">IF(COLUMN(AZ136:BE136) = MIN(IF(AZ136:BE136=MAX(AZ136:BE136), COLUMN(AZ136:BE136))), 1, "")</f>
        <v/>
      </c>
      <c r="BH136" s="1182" t="s">
        <v>549</v>
      </c>
      <c r="BI136" s="1182" t="s">
        <v>549</v>
      </c>
      <c r="BJ136" s="1182" t="s">
        <v>549</v>
      </c>
      <c r="BK136" s="1174" t="s">
        <v>549</v>
      </c>
      <c r="BL136" s="1183" t="s">
        <v>549</v>
      </c>
      <c r="BM136" s="1125"/>
    </row>
    <row r="137">
      <c r="A137" s="1123"/>
      <c r="B137" s="1125"/>
      <c r="C137" s="1125"/>
      <c r="D137" s="1185" t="str">
        <f t="shared" si="17"/>
        <v/>
      </c>
      <c r="E137" s="1125"/>
      <c r="F137" s="1186" t="str">
        <f>IFERROR(__xludf.DUMMYFUNCTION("IF(SUM(BG136:BM136), ARRAYFORMULA(FILTER(BG$4:BM$4, BG136:BM136=1)), )"),"")</f>
        <v/>
      </c>
      <c r="G137" s="1187" t="str">
        <f>IFERROR(__xludf.DUMMYFUNCTION("IF(SUM(BG136:BM136),ARRAYFORMULA(FILTER(AE137:AJ137, BG136:BL136)), """")"),"")</f>
        <v/>
      </c>
      <c r="H137" s="1188" t="str">
        <f t="shared" si="18"/>
        <v/>
      </c>
      <c r="I137" s="1187"/>
      <c r="J137" s="1189" t="str">
        <f>IFERROR(__xludf.DUMMYFUNCTION("IF(SUM(BG136:BM136), ARRAYFORMULA(FILTER(AZ136:BE136, BG136:BL136=1))*D$5,"""")"),"")</f>
        <v/>
      </c>
      <c r="K137" s="1190" t="s">
        <v>549</v>
      </c>
      <c r="L137" s="1125" t="s">
        <v>549</v>
      </c>
      <c r="M137" s="1125"/>
      <c r="N137" s="1125"/>
      <c r="O137" s="1125"/>
      <c r="P137" s="1125"/>
      <c r="Q137" s="1125"/>
      <c r="R137" s="1125"/>
      <c r="S137" s="1125"/>
      <c r="T137" s="1125"/>
      <c r="U137" s="1125"/>
      <c r="V137" s="1125"/>
      <c r="W137" s="1125"/>
      <c r="X137" s="1125"/>
      <c r="Y137" s="1125"/>
      <c r="Z137" s="1125"/>
      <c r="AA137" s="1125"/>
      <c r="AB137" s="1125"/>
      <c r="AC137" s="1125"/>
      <c r="AD137" s="1125"/>
      <c r="AE137" s="1173">
        <f t="shared" ref="AE137:AJ137" si="280">AE136+BG136</f>
        <v>10</v>
      </c>
      <c r="AF137" s="1173">
        <f t="shared" si="280"/>
        <v>50</v>
      </c>
      <c r="AG137" s="1173">
        <f t="shared" si="280"/>
        <v>10</v>
      </c>
      <c r="AH137" s="1173">
        <f t="shared" si="280"/>
        <v>5</v>
      </c>
      <c r="AI137" s="1174">
        <f t="shared" si="280"/>
        <v>20</v>
      </c>
      <c r="AJ137" s="1175">
        <f t="shared" si="280"/>
        <v>9</v>
      </c>
      <c r="AK137" s="1125"/>
      <c r="AL137" s="1173">
        <f t="shared" si="3"/>
        <v>300</v>
      </c>
      <c r="AM137" s="1173">
        <f t="shared" si="4"/>
        <v>300</v>
      </c>
      <c r="AN137" s="1173">
        <f t="shared" si="5"/>
        <v>300</v>
      </c>
      <c r="AO137" s="1176">
        <f t="shared" si="6"/>
        <v>1</v>
      </c>
      <c r="AP137" s="1175">
        <f t="shared" si="7"/>
        <v>3226</v>
      </c>
      <c r="AQ137" s="1177">
        <f t="shared" si="8"/>
        <v>4126</v>
      </c>
      <c r="AR137" s="1125"/>
      <c r="AS137" s="1173" t="str">
        <f t="shared" si="9"/>
        <v/>
      </c>
      <c r="AT137" s="1173" t="str">
        <f t="shared" si="10"/>
        <v/>
      </c>
      <c r="AU137" s="1173" t="str">
        <f t="shared" si="11"/>
        <v/>
      </c>
      <c r="AV137" s="1173" t="str">
        <f t="shared" si="12"/>
        <v/>
      </c>
      <c r="AW137" s="1178" t="str">
        <f t="shared" si="13"/>
        <v/>
      </c>
      <c r="AX137" s="1175" t="str">
        <f t="shared" si="14"/>
        <v/>
      </c>
      <c r="AY137" s="1125"/>
      <c r="AZ137" s="1179" t="str">
        <f t="shared" ref="AZ137:BD137" si="281">IF(AS137="", "", (AS137/$AQ137-1)/LABDURATION_SINGLE_ADJUSTED(AZ$4, AE137+1))</f>
        <v/>
      </c>
      <c r="BA137" s="1179" t="str">
        <f t="shared" si="281"/>
        <v/>
      </c>
      <c r="BB137" s="1179" t="str">
        <f t="shared" si="281"/>
        <v/>
      </c>
      <c r="BC137" s="1179" t="str">
        <f t="shared" si="281"/>
        <v/>
      </c>
      <c r="BD137" s="1180" t="str">
        <f t="shared" si="281"/>
        <v/>
      </c>
      <c r="BE137" s="1181" t="str">
        <f t="shared" si="16"/>
        <v/>
      </c>
      <c r="BF137" s="1125"/>
      <c r="BG137" s="1182" t="str">
        <f t="array" ref="BG137:BL137">IF(COLUMN(AZ137:BE137) = MIN(IF(AZ137:BE137=MAX(AZ137:BE137), COLUMN(AZ137:BE137))), 1, "")</f>
        <v/>
      </c>
      <c r="BH137" s="1182" t="s">
        <v>549</v>
      </c>
      <c r="BI137" s="1182" t="s">
        <v>549</v>
      </c>
      <c r="BJ137" s="1182" t="s">
        <v>549</v>
      </c>
      <c r="BK137" s="1174" t="s">
        <v>549</v>
      </c>
      <c r="BL137" s="1183" t="s">
        <v>549</v>
      </c>
      <c r="BM137" s="1125"/>
    </row>
    <row r="138">
      <c r="A138" s="1123"/>
      <c r="B138" s="1125"/>
      <c r="C138" s="1125"/>
      <c r="D138" s="1185" t="str">
        <f t="shared" si="17"/>
        <v/>
      </c>
      <c r="E138" s="1125"/>
      <c r="F138" s="1186" t="str">
        <f>IFERROR(__xludf.DUMMYFUNCTION("IF(SUM(BG137:BM137), ARRAYFORMULA(FILTER(BG$4:BM$4, BG137:BM137=1)), )"),"")</f>
        <v/>
      </c>
      <c r="G138" s="1187" t="str">
        <f>IFERROR(__xludf.DUMMYFUNCTION("IF(SUM(BG137:BM137),ARRAYFORMULA(FILTER(AE138:AJ138, BG137:BL137)), """")"),"")</f>
        <v/>
      </c>
      <c r="H138" s="1188" t="str">
        <f t="shared" si="18"/>
        <v/>
      </c>
      <c r="I138" s="1187"/>
      <c r="J138" s="1189" t="str">
        <f>IFERROR(__xludf.DUMMYFUNCTION("IF(SUM(BG137:BM137), ARRAYFORMULA(FILTER(AZ137:BE137, BG137:BL137=1))*D$5,"""")"),"")</f>
        <v/>
      </c>
      <c r="K138" s="1190" t="s">
        <v>549</v>
      </c>
      <c r="L138" s="1125" t="s">
        <v>549</v>
      </c>
      <c r="M138" s="1125"/>
      <c r="N138" s="1125"/>
      <c r="O138" s="1125"/>
      <c r="P138" s="1125"/>
      <c r="Q138" s="1125"/>
      <c r="R138" s="1125"/>
      <c r="S138" s="1125"/>
      <c r="T138" s="1125"/>
      <c r="U138" s="1125"/>
      <c r="V138" s="1125"/>
      <c r="W138" s="1125"/>
      <c r="X138" s="1125"/>
      <c r="Y138" s="1125"/>
      <c r="Z138" s="1125"/>
      <c r="AA138" s="1125"/>
      <c r="AB138" s="1125"/>
      <c r="AC138" s="1125"/>
      <c r="AD138" s="1125"/>
      <c r="AE138" s="1173">
        <f t="shared" ref="AE138:AJ138" si="282">AE137+BG137</f>
        <v>10</v>
      </c>
      <c r="AF138" s="1173">
        <f t="shared" si="282"/>
        <v>50</v>
      </c>
      <c r="AG138" s="1173">
        <f t="shared" si="282"/>
        <v>10</v>
      </c>
      <c r="AH138" s="1173">
        <f t="shared" si="282"/>
        <v>5</v>
      </c>
      <c r="AI138" s="1174">
        <f t="shared" si="282"/>
        <v>20</v>
      </c>
      <c r="AJ138" s="1175">
        <f t="shared" si="282"/>
        <v>9</v>
      </c>
      <c r="AK138" s="1125"/>
      <c r="AL138" s="1173">
        <f t="shared" si="3"/>
        <v>300</v>
      </c>
      <c r="AM138" s="1173">
        <f t="shared" si="4"/>
        <v>300</v>
      </c>
      <c r="AN138" s="1173">
        <f t="shared" si="5"/>
        <v>300</v>
      </c>
      <c r="AO138" s="1176">
        <f t="shared" si="6"/>
        <v>1</v>
      </c>
      <c r="AP138" s="1175">
        <f t="shared" si="7"/>
        <v>3226</v>
      </c>
      <c r="AQ138" s="1177">
        <f t="shared" si="8"/>
        <v>4126</v>
      </c>
      <c r="AR138" s="1125"/>
      <c r="AS138" s="1173" t="str">
        <f t="shared" si="9"/>
        <v/>
      </c>
      <c r="AT138" s="1173" t="str">
        <f t="shared" si="10"/>
        <v/>
      </c>
      <c r="AU138" s="1173" t="str">
        <f t="shared" si="11"/>
        <v/>
      </c>
      <c r="AV138" s="1173" t="str">
        <f t="shared" si="12"/>
        <v/>
      </c>
      <c r="AW138" s="1178" t="str">
        <f t="shared" si="13"/>
        <v/>
      </c>
      <c r="AX138" s="1175" t="str">
        <f t="shared" si="14"/>
        <v/>
      </c>
      <c r="AY138" s="1125"/>
      <c r="AZ138" s="1179" t="str">
        <f t="shared" ref="AZ138:BD138" si="283">IF(AS138="", "", (AS138/$AQ138-1)/LABDURATION_SINGLE_ADJUSTED(AZ$4, AE138+1))</f>
        <v/>
      </c>
      <c r="BA138" s="1179" t="str">
        <f t="shared" si="283"/>
        <v/>
      </c>
      <c r="BB138" s="1179" t="str">
        <f t="shared" si="283"/>
        <v/>
      </c>
      <c r="BC138" s="1179" t="str">
        <f t="shared" si="283"/>
        <v/>
      </c>
      <c r="BD138" s="1180" t="str">
        <f t="shared" si="283"/>
        <v/>
      </c>
      <c r="BE138" s="1181" t="str">
        <f t="shared" si="16"/>
        <v/>
      </c>
      <c r="BF138" s="1125"/>
      <c r="BG138" s="1182" t="str">
        <f t="array" ref="BG138:BL138">IF(COLUMN(AZ138:BE138) = MIN(IF(AZ138:BE138=MAX(AZ138:BE138), COLUMN(AZ138:BE138))), 1, "")</f>
        <v/>
      </c>
      <c r="BH138" s="1182" t="s">
        <v>549</v>
      </c>
      <c r="BI138" s="1182" t="s">
        <v>549</v>
      </c>
      <c r="BJ138" s="1182" t="s">
        <v>549</v>
      </c>
      <c r="BK138" s="1174" t="s">
        <v>549</v>
      </c>
      <c r="BL138" s="1183" t="s">
        <v>549</v>
      </c>
      <c r="BM138" s="1125"/>
    </row>
    <row r="139">
      <c r="A139" s="1123"/>
      <c r="B139" s="1125"/>
      <c r="C139" s="1125"/>
      <c r="D139" s="1185" t="str">
        <f t="shared" si="17"/>
        <v/>
      </c>
      <c r="E139" s="1125"/>
      <c r="F139" s="1186" t="str">
        <f>IFERROR(__xludf.DUMMYFUNCTION("IF(SUM(BG138:BM138), ARRAYFORMULA(FILTER(BG$4:BM$4, BG138:BM138=1)), )"),"")</f>
        <v/>
      </c>
      <c r="G139" s="1187" t="str">
        <f>IFERROR(__xludf.DUMMYFUNCTION("IF(SUM(BG138:BM138),ARRAYFORMULA(FILTER(AE139:AJ139, BG138:BL138)), """")"),"")</f>
        <v/>
      </c>
      <c r="H139" s="1188" t="str">
        <f t="shared" si="18"/>
        <v/>
      </c>
      <c r="I139" s="1187"/>
      <c r="J139" s="1189" t="str">
        <f>IFERROR(__xludf.DUMMYFUNCTION("IF(SUM(BG138:BM138), ARRAYFORMULA(FILTER(AZ138:BE138, BG138:BL138=1))*D$5,"""")"),"")</f>
        <v/>
      </c>
      <c r="K139" s="1190" t="s">
        <v>549</v>
      </c>
      <c r="L139" s="1125" t="s">
        <v>549</v>
      </c>
      <c r="M139" s="1125"/>
      <c r="N139" s="1125"/>
      <c r="O139" s="1125"/>
      <c r="P139" s="1125"/>
      <c r="Q139" s="1125"/>
      <c r="R139" s="1125"/>
      <c r="S139" s="1125"/>
      <c r="T139" s="1125"/>
      <c r="U139" s="1125"/>
      <c r="V139" s="1125"/>
      <c r="W139" s="1125"/>
      <c r="X139" s="1125"/>
      <c r="Y139" s="1125"/>
      <c r="Z139" s="1125"/>
      <c r="AA139" s="1125"/>
      <c r="AB139" s="1125"/>
      <c r="AC139" s="1125"/>
      <c r="AD139" s="1125"/>
      <c r="AE139" s="1173">
        <f t="shared" ref="AE139:AJ139" si="284">AE138+BG138</f>
        <v>10</v>
      </c>
      <c r="AF139" s="1173">
        <f t="shared" si="284"/>
        <v>50</v>
      </c>
      <c r="AG139" s="1173">
        <f t="shared" si="284"/>
        <v>10</v>
      </c>
      <c r="AH139" s="1173">
        <f t="shared" si="284"/>
        <v>5</v>
      </c>
      <c r="AI139" s="1174">
        <f t="shared" si="284"/>
        <v>20</v>
      </c>
      <c r="AJ139" s="1175">
        <f t="shared" si="284"/>
        <v>9</v>
      </c>
      <c r="AK139" s="1125"/>
      <c r="AL139" s="1173">
        <f t="shared" si="3"/>
        <v>300</v>
      </c>
      <c r="AM139" s="1173">
        <f t="shared" si="4"/>
        <v>300</v>
      </c>
      <c r="AN139" s="1173">
        <f t="shared" si="5"/>
        <v>300</v>
      </c>
      <c r="AO139" s="1176">
        <f t="shared" si="6"/>
        <v>1</v>
      </c>
      <c r="AP139" s="1175">
        <f t="shared" si="7"/>
        <v>3226</v>
      </c>
      <c r="AQ139" s="1177">
        <f t="shared" si="8"/>
        <v>4126</v>
      </c>
      <c r="AR139" s="1125"/>
      <c r="AS139" s="1173" t="str">
        <f t="shared" si="9"/>
        <v/>
      </c>
      <c r="AT139" s="1173" t="str">
        <f t="shared" si="10"/>
        <v/>
      </c>
      <c r="AU139" s="1173" t="str">
        <f t="shared" si="11"/>
        <v/>
      </c>
      <c r="AV139" s="1173" t="str">
        <f t="shared" si="12"/>
        <v/>
      </c>
      <c r="AW139" s="1178" t="str">
        <f t="shared" si="13"/>
        <v/>
      </c>
      <c r="AX139" s="1175" t="str">
        <f t="shared" si="14"/>
        <v/>
      </c>
      <c r="AY139" s="1125"/>
      <c r="AZ139" s="1179" t="str">
        <f t="shared" ref="AZ139:BD139" si="285">IF(AS139="", "", (AS139/$AQ139-1)/LABDURATION_SINGLE_ADJUSTED(AZ$4, AE139+1))</f>
        <v/>
      </c>
      <c r="BA139" s="1179" t="str">
        <f t="shared" si="285"/>
        <v/>
      </c>
      <c r="BB139" s="1179" t="str">
        <f t="shared" si="285"/>
        <v/>
      </c>
      <c r="BC139" s="1179" t="str">
        <f t="shared" si="285"/>
        <v/>
      </c>
      <c r="BD139" s="1180" t="str">
        <f t="shared" si="285"/>
        <v/>
      </c>
      <c r="BE139" s="1181" t="str">
        <f t="shared" si="16"/>
        <v/>
      </c>
      <c r="BF139" s="1125"/>
      <c r="BG139" s="1182" t="str">
        <f t="array" ref="BG139:BL139">IF(COLUMN(AZ139:BE139) = MIN(IF(AZ139:BE139=MAX(AZ139:BE139), COLUMN(AZ139:BE139))), 1, "")</f>
        <v/>
      </c>
      <c r="BH139" s="1182" t="s">
        <v>549</v>
      </c>
      <c r="BI139" s="1182" t="s">
        <v>549</v>
      </c>
      <c r="BJ139" s="1182" t="s">
        <v>549</v>
      </c>
      <c r="BK139" s="1174" t="s">
        <v>549</v>
      </c>
      <c r="BL139" s="1183" t="s">
        <v>549</v>
      </c>
      <c r="BM139" s="1125"/>
    </row>
    <row r="140">
      <c r="A140" s="1123"/>
      <c r="B140" s="1125"/>
      <c r="C140" s="1125"/>
      <c r="D140" s="1185" t="str">
        <f t="shared" si="17"/>
        <v/>
      </c>
      <c r="E140" s="1125"/>
      <c r="F140" s="1186" t="str">
        <f>IFERROR(__xludf.DUMMYFUNCTION("IF(SUM(BG139:BM139), ARRAYFORMULA(FILTER(BG$4:BM$4, BG139:BM139=1)), )"),"")</f>
        <v/>
      </c>
      <c r="G140" s="1187" t="str">
        <f>IFERROR(__xludf.DUMMYFUNCTION("IF(SUM(BG139:BM139),ARRAYFORMULA(FILTER(AE140:AJ140, BG139:BL139)), """")"),"")</f>
        <v/>
      </c>
      <c r="H140" s="1188" t="str">
        <f t="shared" si="18"/>
        <v/>
      </c>
      <c r="I140" s="1187"/>
      <c r="J140" s="1189" t="str">
        <f>IFERROR(__xludf.DUMMYFUNCTION("IF(SUM(BG139:BM139), ARRAYFORMULA(FILTER(AZ139:BE139, BG139:BL139=1))*D$5,"""")"),"")</f>
        <v/>
      </c>
      <c r="K140" s="1190" t="s">
        <v>549</v>
      </c>
      <c r="L140" s="1125" t="s">
        <v>549</v>
      </c>
      <c r="M140" s="1125"/>
      <c r="N140" s="1125"/>
      <c r="O140" s="1125"/>
      <c r="P140" s="1125"/>
      <c r="Q140" s="1125"/>
      <c r="R140" s="1125"/>
      <c r="S140" s="1125"/>
      <c r="T140" s="1125"/>
      <c r="U140" s="1125"/>
      <c r="V140" s="1125"/>
      <c r="W140" s="1125"/>
      <c r="X140" s="1125"/>
      <c r="Y140" s="1125"/>
      <c r="Z140" s="1125"/>
      <c r="AA140" s="1125"/>
      <c r="AB140" s="1125"/>
      <c r="AC140" s="1125"/>
      <c r="AD140" s="1125"/>
      <c r="AE140" s="1173">
        <f t="shared" ref="AE140:AJ140" si="286">AE139+BG139</f>
        <v>10</v>
      </c>
      <c r="AF140" s="1173">
        <f t="shared" si="286"/>
        <v>50</v>
      </c>
      <c r="AG140" s="1173">
        <f t="shared" si="286"/>
        <v>10</v>
      </c>
      <c r="AH140" s="1173">
        <f t="shared" si="286"/>
        <v>5</v>
      </c>
      <c r="AI140" s="1174">
        <f t="shared" si="286"/>
        <v>20</v>
      </c>
      <c r="AJ140" s="1175">
        <f t="shared" si="286"/>
        <v>9</v>
      </c>
      <c r="AK140" s="1125"/>
      <c r="AL140" s="1173">
        <f t="shared" si="3"/>
        <v>300</v>
      </c>
      <c r="AM140" s="1173">
        <f t="shared" si="4"/>
        <v>300</v>
      </c>
      <c r="AN140" s="1173">
        <f t="shared" si="5"/>
        <v>300</v>
      </c>
      <c r="AO140" s="1176">
        <f t="shared" si="6"/>
        <v>1</v>
      </c>
      <c r="AP140" s="1175">
        <f t="shared" si="7"/>
        <v>3226</v>
      </c>
      <c r="AQ140" s="1177">
        <f t="shared" si="8"/>
        <v>4126</v>
      </c>
      <c r="AR140" s="1125"/>
      <c r="AS140" s="1173" t="str">
        <f t="shared" si="9"/>
        <v/>
      </c>
      <c r="AT140" s="1173" t="str">
        <f t="shared" si="10"/>
        <v/>
      </c>
      <c r="AU140" s="1173" t="str">
        <f t="shared" si="11"/>
        <v/>
      </c>
      <c r="AV140" s="1173" t="str">
        <f t="shared" si="12"/>
        <v/>
      </c>
      <c r="AW140" s="1178" t="str">
        <f t="shared" si="13"/>
        <v/>
      </c>
      <c r="AX140" s="1175" t="str">
        <f t="shared" si="14"/>
        <v/>
      </c>
      <c r="AY140" s="1125"/>
      <c r="AZ140" s="1179" t="str">
        <f t="shared" ref="AZ140:BD140" si="287">IF(AS140="", "", (AS140/$AQ140-1)/LABDURATION_SINGLE_ADJUSTED(AZ$4, AE140+1))</f>
        <v/>
      </c>
      <c r="BA140" s="1179" t="str">
        <f t="shared" si="287"/>
        <v/>
      </c>
      <c r="BB140" s="1179" t="str">
        <f t="shared" si="287"/>
        <v/>
      </c>
      <c r="BC140" s="1179" t="str">
        <f t="shared" si="287"/>
        <v/>
      </c>
      <c r="BD140" s="1180" t="str">
        <f t="shared" si="287"/>
        <v/>
      </c>
      <c r="BE140" s="1181" t="str">
        <f t="shared" si="16"/>
        <v/>
      </c>
      <c r="BF140" s="1125"/>
      <c r="BG140" s="1182" t="str">
        <f t="array" ref="BG140:BL140">IF(COLUMN(AZ140:BE140) = MIN(IF(AZ140:BE140=MAX(AZ140:BE140), COLUMN(AZ140:BE140))), 1, "")</f>
        <v/>
      </c>
      <c r="BH140" s="1182" t="s">
        <v>549</v>
      </c>
      <c r="BI140" s="1182" t="s">
        <v>549</v>
      </c>
      <c r="BJ140" s="1182" t="s">
        <v>549</v>
      </c>
      <c r="BK140" s="1174" t="s">
        <v>549</v>
      </c>
      <c r="BL140" s="1183" t="s">
        <v>549</v>
      </c>
      <c r="BM140" s="1125"/>
    </row>
    <row r="141">
      <c r="A141" s="1123"/>
      <c r="B141" s="1125"/>
      <c r="C141" s="1125"/>
      <c r="D141" s="1185" t="str">
        <f t="shared" si="17"/>
        <v/>
      </c>
      <c r="E141" s="1125"/>
      <c r="F141" s="1186" t="str">
        <f>IFERROR(__xludf.DUMMYFUNCTION("IF(SUM(BG140:BM140), ARRAYFORMULA(FILTER(BG$4:BM$4, BG140:BM140=1)), )"),"")</f>
        <v/>
      </c>
      <c r="G141" s="1187" t="str">
        <f>IFERROR(__xludf.DUMMYFUNCTION("IF(SUM(BG140:BM140),ARRAYFORMULA(FILTER(AE141:AJ141, BG140:BL140)), """")"),"")</f>
        <v/>
      </c>
      <c r="H141" s="1188" t="str">
        <f t="shared" si="18"/>
        <v/>
      </c>
      <c r="I141" s="1187"/>
      <c r="J141" s="1189" t="str">
        <f>IFERROR(__xludf.DUMMYFUNCTION("IF(SUM(BG140:BM140), ARRAYFORMULA(FILTER(AZ140:BE140, BG140:BL140=1))*D$5,"""")"),"")</f>
        <v/>
      </c>
      <c r="K141" s="1190" t="s">
        <v>549</v>
      </c>
      <c r="L141" s="1125" t="s">
        <v>549</v>
      </c>
      <c r="M141" s="1125"/>
      <c r="N141" s="1125"/>
      <c r="O141" s="1125"/>
      <c r="P141" s="1125"/>
      <c r="Q141" s="1125"/>
      <c r="R141" s="1125"/>
      <c r="S141" s="1125"/>
      <c r="T141" s="1125"/>
      <c r="U141" s="1125"/>
      <c r="V141" s="1125"/>
      <c r="W141" s="1125"/>
      <c r="X141" s="1125"/>
      <c r="Y141" s="1125"/>
      <c r="Z141" s="1125"/>
      <c r="AA141" s="1125"/>
      <c r="AB141" s="1125"/>
      <c r="AC141" s="1125"/>
      <c r="AD141" s="1125"/>
      <c r="AE141" s="1173">
        <f t="shared" ref="AE141:AJ141" si="288">AE140+BG140</f>
        <v>10</v>
      </c>
      <c r="AF141" s="1173">
        <f t="shared" si="288"/>
        <v>50</v>
      </c>
      <c r="AG141" s="1173">
        <f t="shared" si="288"/>
        <v>10</v>
      </c>
      <c r="AH141" s="1173">
        <f t="shared" si="288"/>
        <v>5</v>
      </c>
      <c r="AI141" s="1174">
        <f t="shared" si="288"/>
        <v>20</v>
      </c>
      <c r="AJ141" s="1175">
        <f t="shared" si="288"/>
        <v>9</v>
      </c>
      <c r="AK141" s="1125"/>
      <c r="AL141" s="1173">
        <f t="shared" si="3"/>
        <v>300</v>
      </c>
      <c r="AM141" s="1173">
        <f t="shared" si="4"/>
        <v>300</v>
      </c>
      <c r="AN141" s="1173">
        <f t="shared" si="5"/>
        <v>300</v>
      </c>
      <c r="AO141" s="1176">
        <f t="shared" si="6"/>
        <v>1</v>
      </c>
      <c r="AP141" s="1175">
        <f t="shared" si="7"/>
        <v>3226</v>
      </c>
      <c r="AQ141" s="1177">
        <f t="shared" si="8"/>
        <v>4126</v>
      </c>
      <c r="AR141" s="1125"/>
      <c r="AS141" s="1173" t="str">
        <f t="shared" si="9"/>
        <v/>
      </c>
      <c r="AT141" s="1173" t="str">
        <f t="shared" si="10"/>
        <v/>
      </c>
      <c r="AU141" s="1173" t="str">
        <f t="shared" si="11"/>
        <v/>
      </c>
      <c r="AV141" s="1173" t="str">
        <f t="shared" si="12"/>
        <v/>
      </c>
      <c r="AW141" s="1178" t="str">
        <f t="shared" si="13"/>
        <v/>
      </c>
      <c r="AX141" s="1175" t="str">
        <f t="shared" si="14"/>
        <v/>
      </c>
      <c r="AY141" s="1125"/>
      <c r="AZ141" s="1179" t="str">
        <f t="shared" ref="AZ141:BD141" si="289">IF(AS141="", "", (AS141/$AQ141-1)/LABDURATION_SINGLE_ADJUSTED(AZ$4, AE141+1))</f>
        <v/>
      </c>
      <c r="BA141" s="1179" t="str">
        <f t="shared" si="289"/>
        <v/>
      </c>
      <c r="BB141" s="1179" t="str">
        <f t="shared" si="289"/>
        <v/>
      </c>
      <c r="BC141" s="1179" t="str">
        <f t="shared" si="289"/>
        <v/>
      </c>
      <c r="BD141" s="1180" t="str">
        <f t="shared" si="289"/>
        <v/>
      </c>
      <c r="BE141" s="1181" t="str">
        <f t="shared" si="16"/>
        <v/>
      </c>
      <c r="BF141" s="1125"/>
      <c r="BG141" s="1182" t="str">
        <f t="array" ref="BG141:BL141">IF(COLUMN(AZ141:BE141) = MIN(IF(AZ141:BE141=MAX(AZ141:BE141), COLUMN(AZ141:BE141))), 1, "")</f>
        <v/>
      </c>
      <c r="BH141" s="1182" t="s">
        <v>549</v>
      </c>
      <c r="BI141" s="1182" t="s">
        <v>549</v>
      </c>
      <c r="BJ141" s="1182" t="s">
        <v>549</v>
      </c>
      <c r="BK141" s="1174" t="s">
        <v>549</v>
      </c>
      <c r="BL141" s="1183" t="s">
        <v>549</v>
      </c>
      <c r="BM141" s="1125"/>
    </row>
    <row r="142">
      <c r="A142" s="1123"/>
      <c r="B142" s="1125"/>
      <c r="C142" s="1125"/>
      <c r="D142" s="1185" t="str">
        <f t="shared" si="17"/>
        <v/>
      </c>
      <c r="E142" s="1125"/>
      <c r="F142" s="1186" t="str">
        <f>IFERROR(__xludf.DUMMYFUNCTION("IF(SUM(BG141:BM141), ARRAYFORMULA(FILTER(BG$4:BM$4, BG141:BM141=1)), )"),"")</f>
        <v/>
      </c>
      <c r="G142" s="1187" t="str">
        <f>IFERROR(__xludf.DUMMYFUNCTION("IF(SUM(BG141:BM141),ARRAYFORMULA(FILTER(AE142:AJ142, BG141:BL141)), """")"),"")</f>
        <v/>
      </c>
      <c r="H142" s="1188" t="str">
        <f t="shared" si="18"/>
        <v/>
      </c>
      <c r="I142" s="1187"/>
      <c r="J142" s="1189" t="str">
        <f>IFERROR(__xludf.DUMMYFUNCTION("IF(SUM(BG141:BM141), ARRAYFORMULA(FILTER(AZ141:BE141, BG141:BL141=1))*D$5,"""")"),"")</f>
        <v/>
      </c>
      <c r="K142" s="1190" t="s">
        <v>549</v>
      </c>
      <c r="L142" s="1125" t="s">
        <v>549</v>
      </c>
      <c r="M142" s="1125"/>
      <c r="N142" s="1125"/>
      <c r="O142" s="1125"/>
      <c r="P142" s="1125"/>
      <c r="Q142" s="1125"/>
      <c r="R142" s="1125"/>
      <c r="S142" s="1125"/>
      <c r="T142" s="1125"/>
      <c r="U142" s="1125"/>
      <c r="V142" s="1125"/>
      <c r="W142" s="1125"/>
      <c r="X142" s="1125"/>
      <c r="Y142" s="1125"/>
      <c r="Z142" s="1125"/>
      <c r="AA142" s="1125"/>
      <c r="AB142" s="1125"/>
      <c r="AC142" s="1125"/>
      <c r="AD142" s="1125"/>
      <c r="AE142" s="1173">
        <f t="shared" ref="AE142:AJ142" si="290">AE141+BG141</f>
        <v>10</v>
      </c>
      <c r="AF142" s="1173">
        <f t="shared" si="290"/>
        <v>50</v>
      </c>
      <c r="AG142" s="1173">
        <f t="shared" si="290"/>
        <v>10</v>
      </c>
      <c r="AH142" s="1173">
        <f t="shared" si="290"/>
        <v>5</v>
      </c>
      <c r="AI142" s="1174">
        <f t="shared" si="290"/>
        <v>20</v>
      </c>
      <c r="AJ142" s="1175">
        <f t="shared" si="290"/>
        <v>9</v>
      </c>
      <c r="AK142" s="1125"/>
      <c r="AL142" s="1173">
        <f t="shared" si="3"/>
        <v>300</v>
      </c>
      <c r="AM142" s="1173">
        <f t="shared" si="4"/>
        <v>300</v>
      </c>
      <c r="AN142" s="1173">
        <f t="shared" si="5"/>
        <v>300</v>
      </c>
      <c r="AO142" s="1176">
        <f t="shared" si="6"/>
        <v>1</v>
      </c>
      <c r="AP142" s="1175">
        <f t="shared" si="7"/>
        <v>3226</v>
      </c>
      <c r="AQ142" s="1177">
        <f t="shared" si="8"/>
        <v>4126</v>
      </c>
      <c r="AR142" s="1125"/>
      <c r="AS142" s="1173" t="str">
        <f t="shared" si="9"/>
        <v/>
      </c>
      <c r="AT142" s="1173" t="str">
        <f t="shared" si="10"/>
        <v/>
      </c>
      <c r="AU142" s="1173" t="str">
        <f t="shared" si="11"/>
        <v/>
      </c>
      <c r="AV142" s="1173" t="str">
        <f t="shared" si="12"/>
        <v/>
      </c>
      <c r="AW142" s="1178" t="str">
        <f t="shared" si="13"/>
        <v/>
      </c>
      <c r="AX142" s="1175" t="str">
        <f t="shared" si="14"/>
        <v/>
      </c>
      <c r="AY142" s="1125"/>
      <c r="AZ142" s="1179" t="str">
        <f t="shared" ref="AZ142:BD142" si="291">IF(AS142="", "", (AS142/$AQ142-1)/LABDURATION_SINGLE_ADJUSTED(AZ$4, AE142+1))</f>
        <v/>
      </c>
      <c r="BA142" s="1179" t="str">
        <f t="shared" si="291"/>
        <v/>
      </c>
      <c r="BB142" s="1179" t="str">
        <f t="shared" si="291"/>
        <v/>
      </c>
      <c r="BC142" s="1179" t="str">
        <f t="shared" si="291"/>
        <v/>
      </c>
      <c r="BD142" s="1180" t="str">
        <f t="shared" si="291"/>
        <v/>
      </c>
      <c r="BE142" s="1181" t="str">
        <f t="shared" si="16"/>
        <v/>
      </c>
      <c r="BF142" s="1125"/>
      <c r="BG142" s="1182" t="str">
        <f t="array" ref="BG142:BL142">IF(COLUMN(AZ142:BE142) = MIN(IF(AZ142:BE142=MAX(AZ142:BE142), COLUMN(AZ142:BE142))), 1, "")</f>
        <v/>
      </c>
      <c r="BH142" s="1182" t="s">
        <v>549</v>
      </c>
      <c r="BI142" s="1182" t="s">
        <v>549</v>
      </c>
      <c r="BJ142" s="1182" t="s">
        <v>549</v>
      </c>
      <c r="BK142" s="1174" t="s">
        <v>549</v>
      </c>
      <c r="BL142" s="1183" t="s">
        <v>549</v>
      </c>
      <c r="BM142" s="1125"/>
    </row>
    <row r="143">
      <c r="A143" s="1123"/>
      <c r="B143" s="1125"/>
      <c r="C143" s="1125"/>
      <c r="D143" s="1185" t="str">
        <f t="shared" si="17"/>
        <v/>
      </c>
      <c r="E143" s="1125"/>
      <c r="F143" s="1186" t="str">
        <f>IFERROR(__xludf.DUMMYFUNCTION("IF(SUM(BG142:BM142), ARRAYFORMULA(FILTER(BG$4:BM$4, BG142:BM142=1)), )"),"")</f>
        <v/>
      </c>
      <c r="G143" s="1187" t="str">
        <f>IFERROR(__xludf.DUMMYFUNCTION("IF(SUM(BG142:BM142),ARRAYFORMULA(FILTER(AE143:AJ143, BG142:BL142)), """")"),"")</f>
        <v/>
      </c>
      <c r="H143" s="1188" t="str">
        <f t="shared" si="18"/>
        <v/>
      </c>
      <c r="I143" s="1187"/>
      <c r="J143" s="1189" t="str">
        <f>IFERROR(__xludf.DUMMYFUNCTION("IF(SUM(BG142:BM142), ARRAYFORMULA(FILTER(AZ142:BE142, BG142:BL142=1))*D$5,"""")"),"")</f>
        <v/>
      </c>
      <c r="K143" s="1190" t="s">
        <v>549</v>
      </c>
      <c r="L143" s="1125" t="s">
        <v>549</v>
      </c>
      <c r="M143" s="1125"/>
      <c r="N143" s="1125"/>
      <c r="O143" s="1125"/>
      <c r="P143" s="1125"/>
      <c r="Q143" s="1125"/>
      <c r="R143" s="1125"/>
      <c r="S143" s="1125"/>
      <c r="T143" s="1125"/>
      <c r="U143" s="1125"/>
      <c r="V143" s="1125"/>
      <c r="W143" s="1125"/>
      <c r="X143" s="1125"/>
      <c r="Y143" s="1125"/>
      <c r="Z143" s="1125"/>
      <c r="AA143" s="1125"/>
      <c r="AB143" s="1125"/>
      <c r="AC143" s="1125"/>
      <c r="AD143" s="1125"/>
      <c r="AE143" s="1173">
        <f t="shared" ref="AE143:AJ143" si="292">AE142+BG142</f>
        <v>10</v>
      </c>
      <c r="AF143" s="1173">
        <f t="shared" si="292"/>
        <v>50</v>
      </c>
      <c r="AG143" s="1173">
        <f t="shared" si="292"/>
        <v>10</v>
      </c>
      <c r="AH143" s="1173">
        <f t="shared" si="292"/>
        <v>5</v>
      </c>
      <c r="AI143" s="1174">
        <f t="shared" si="292"/>
        <v>20</v>
      </c>
      <c r="AJ143" s="1175">
        <f t="shared" si="292"/>
        <v>9</v>
      </c>
      <c r="AK143" s="1125"/>
      <c r="AL143" s="1173">
        <f t="shared" si="3"/>
        <v>300</v>
      </c>
      <c r="AM143" s="1173">
        <f t="shared" si="4"/>
        <v>300</v>
      </c>
      <c r="AN143" s="1173">
        <f t="shared" si="5"/>
        <v>300</v>
      </c>
      <c r="AO143" s="1176">
        <f t="shared" si="6"/>
        <v>1</v>
      </c>
      <c r="AP143" s="1175">
        <f t="shared" si="7"/>
        <v>3226</v>
      </c>
      <c r="AQ143" s="1177">
        <f t="shared" si="8"/>
        <v>4126</v>
      </c>
      <c r="AR143" s="1125"/>
      <c r="AS143" s="1173" t="str">
        <f t="shared" si="9"/>
        <v/>
      </c>
      <c r="AT143" s="1173" t="str">
        <f t="shared" si="10"/>
        <v/>
      </c>
      <c r="AU143" s="1173" t="str">
        <f t="shared" si="11"/>
        <v/>
      </c>
      <c r="AV143" s="1173" t="str">
        <f t="shared" si="12"/>
        <v/>
      </c>
      <c r="AW143" s="1178" t="str">
        <f t="shared" si="13"/>
        <v/>
      </c>
      <c r="AX143" s="1175" t="str">
        <f t="shared" si="14"/>
        <v/>
      </c>
      <c r="AY143" s="1125"/>
      <c r="AZ143" s="1179" t="str">
        <f t="shared" ref="AZ143:BD143" si="293">IF(AS143="", "", (AS143/$AQ143-1)/LABDURATION_SINGLE_ADJUSTED(AZ$4, AE143+1))</f>
        <v/>
      </c>
      <c r="BA143" s="1179" t="str">
        <f t="shared" si="293"/>
        <v/>
      </c>
      <c r="BB143" s="1179" t="str">
        <f t="shared" si="293"/>
        <v/>
      </c>
      <c r="BC143" s="1179" t="str">
        <f t="shared" si="293"/>
        <v/>
      </c>
      <c r="BD143" s="1180" t="str">
        <f t="shared" si="293"/>
        <v/>
      </c>
      <c r="BE143" s="1181" t="str">
        <f t="shared" si="16"/>
        <v/>
      </c>
      <c r="BF143" s="1125"/>
      <c r="BG143" s="1182" t="str">
        <f t="array" ref="BG143:BL143">IF(COLUMN(AZ143:BE143) = MIN(IF(AZ143:BE143=MAX(AZ143:BE143), COLUMN(AZ143:BE143))), 1, "")</f>
        <v/>
      </c>
      <c r="BH143" s="1182" t="s">
        <v>549</v>
      </c>
      <c r="BI143" s="1182" t="s">
        <v>549</v>
      </c>
      <c r="BJ143" s="1182" t="s">
        <v>549</v>
      </c>
      <c r="BK143" s="1174" t="s">
        <v>549</v>
      </c>
      <c r="BL143" s="1183" t="s">
        <v>549</v>
      </c>
      <c r="BM143" s="1125"/>
    </row>
    <row r="144">
      <c r="A144" s="1123"/>
      <c r="B144" s="1125"/>
      <c r="C144" s="1125"/>
      <c r="D144" s="1185" t="str">
        <f t="shared" si="17"/>
        <v/>
      </c>
      <c r="E144" s="1125"/>
      <c r="F144" s="1186" t="str">
        <f>IFERROR(__xludf.DUMMYFUNCTION("IF(SUM(BG143:BM143), ARRAYFORMULA(FILTER(BG$4:BM$4, BG143:BM143=1)), )"),"")</f>
        <v/>
      </c>
      <c r="G144" s="1187" t="str">
        <f>IFERROR(__xludf.DUMMYFUNCTION("IF(SUM(BG143:BM143),ARRAYFORMULA(FILTER(AE144:AJ144, BG143:BL143)), """")"),"")</f>
        <v/>
      </c>
      <c r="H144" s="1188" t="str">
        <f t="shared" si="18"/>
        <v/>
      </c>
      <c r="I144" s="1187"/>
      <c r="J144" s="1189" t="str">
        <f>IFERROR(__xludf.DUMMYFUNCTION("IF(SUM(BG143:BM143), ARRAYFORMULA(FILTER(AZ143:BE143, BG143:BL143=1))*D$5,"""")"),"")</f>
        <v/>
      </c>
      <c r="K144" s="1190" t="s">
        <v>549</v>
      </c>
      <c r="L144" s="1125" t="s">
        <v>549</v>
      </c>
      <c r="M144" s="1125"/>
      <c r="N144" s="1125"/>
      <c r="O144" s="1125"/>
      <c r="P144" s="1125"/>
      <c r="Q144" s="1125"/>
      <c r="R144" s="1125"/>
      <c r="S144" s="1125"/>
      <c r="T144" s="1125"/>
      <c r="U144" s="1125"/>
      <c r="V144" s="1125"/>
      <c r="W144" s="1125"/>
      <c r="X144" s="1125"/>
      <c r="Y144" s="1125"/>
      <c r="Z144" s="1125"/>
      <c r="AA144" s="1125"/>
      <c r="AB144" s="1125"/>
      <c r="AC144" s="1125"/>
      <c r="AD144" s="1125"/>
      <c r="AE144" s="1173">
        <f t="shared" ref="AE144:AJ144" si="294">AE143+BG143</f>
        <v>10</v>
      </c>
      <c r="AF144" s="1173">
        <f t="shared" si="294"/>
        <v>50</v>
      </c>
      <c r="AG144" s="1173">
        <f t="shared" si="294"/>
        <v>10</v>
      </c>
      <c r="AH144" s="1173">
        <f t="shared" si="294"/>
        <v>5</v>
      </c>
      <c r="AI144" s="1174">
        <f t="shared" si="294"/>
        <v>20</v>
      </c>
      <c r="AJ144" s="1175">
        <f t="shared" si="294"/>
        <v>9</v>
      </c>
      <c r="AK144" s="1125"/>
      <c r="AL144" s="1173">
        <f t="shared" si="3"/>
        <v>300</v>
      </c>
      <c r="AM144" s="1173">
        <f t="shared" si="4"/>
        <v>300</v>
      </c>
      <c r="AN144" s="1173">
        <f t="shared" si="5"/>
        <v>300</v>
      </c>
      <c r="AO144" s="1176">
        <f t="shared" si="6"/>
        <v>1</v>
      </c>
      <c r="AP144" s="1175">
        <f t="shared" si="7"/>
        <v>3226</v>
      </c>
      <c r="AQ144" s="1177">
        <f t="shared" si="8"/>
        <v>4126</v>
      </c>
      <c r="AR144" s="1125"/>
      <c r="AS144" s="1173" t="str">
        <f t="shared" si="9"/>
        <v/>
      </c>
      <c r="AT144" s="1173" t="str">
        <f t="shared" si="10"/>
        <v/>
      </c>
      <c r="AU144" s="1173" t="str">
        <f t="shared" si="11"/>
        <v/>
      </c>
      <c r="AV144" s="1173" t="str">
        <f t="shared" si="12"/>
        <v/>
      </c>
      <c r="AW144" s="1178" t="str">
        <f t="shared" si="13"/>
        <v/>
      </c>
      <c r="AX144" s="1175" t="str">
        <f t="shared" si="14"/>
        <v/>
      </c>
      <c r="AY144" s="1125"/>
      <c r="AZ144" s="1179" t="str">
        <f t="shared" ref="AZ144:BD144" si="295">IF(AS144="", "", (AS144/$AQ144-1)/LABDURATION_SINGLE_ADJUSTED(AZ$4, AE144+1))</f>
        <v/>
      </c>
      <c r="BA144" s="1179" t="str">
        <f t="shared" si="295"/>
        <v/>
      </c>
      <c r="BB144" s="1179" t="str">
        <f t="shared" si="295"/>
        <v/>
      </c>
      <c r="BC144" s="1179" t="str">
        <f t="shared" si="295"/>
        <v/>
      </c>
      <c r="BD144" s="1180" t="str">
        <f t="shared" si="295"/>
        <v/>
      </c>
      <c r="BE144" s="1181" t="str">
        <f t="shared" si="16"/>
        <v/>
      </c>
      <c r="BF144" s="1125"/>
      <c r="BG144" s="1182" t="str">
        <f t="array" ref="BG144:BL144">IF(COLUMN(AZ144:BE144) = MIN(IF(AZ144:BE144=MAX(AZ144:BE144), COLUMN(AZ144:BE144))), 1, "")</f>
        <v/>
      </c>
      <c r="BH144" s="1182" t="s">
        <v>549</v>
      </c>
      <c r="BI144" s="1182" t="s">
        <v>549</v>
      </c>
      <c r="BJ144" s="1182" t="s">
        <v>549</v>
      </c>
      <c r="BK144" s="1174" t="s">
        <v>549</v>
      </c>
      <c r="BL144" s="1183" t="s">
        <v>549</v>
      </c>
      <c r="BM144" s="1125"/>
    </row>
    <row r="145">
      <c r="A145" s="1123"/>
      <c r="B145" s="1125"/>
      <c r="C145" s="1125"/>
      <c r="D145" s="1185" t="str">
        <f t="shared" si="17"/>
        <v/>
      </c>
      <c r="E145" s="1125"/>
      <c r="F145" s="1186" t="str">
        <f>IFERROR(__xludf.DUMMYFUNCTION("IF(SUM(BG144:BM144), ARRAYFORMULA(FILTER(BG$4:BM$4, BG144:BM144=1)), )"),"")</f>
        <v/>
      </c>
      <c r="G145" s="1187" t="str">
        <f>IFERROR(__xludf.DUMMYFUNCTION("IF(SUM(BG144:BM144),ARRAYFORMULA(FILTER(AE145:AJ145, BG144:BL144)), """")"),"")</f>
        <v/>
      </c>
      <c r="H145" s="1188" t="str">
        <f t="shared" si="18"/>
        <v/>
      </c>
      <c r="I145" s="1187"/>
      <c r="J145" s="1189" t="str">
        <f>IFERROR(__xludf.DUMMYFUNCTION("IF(SUM(BG144:BM144), ARRAYFORMULA(FILTER(AZ144:BE144, BG144:BL144=1))*D$5,"""")"),"")</f>
        <v/>
      </c>
      <c r="K145" s="1190" t="s">
        <v>549</v>
      </c>
      <c r="L145" s="1125" t="s">
        <v>549</v>
      </c>
      <c r="M145" s="1125"/>
      <c r="N145" s="1125"/>
      <c r="O145" s="1125"/>
      <c r="P145" s="1125"/>
      <c r="Q145" s="1125"/>
      <c r="R145" s="1125"/>
      <c r="S145" s="1125"/>
      <c r="T145" s="1125"/>
      <c r="U145" s="1125"/>
      <c r="V145" s="1125"/>
      <c r="W145" s="1125"/>
      <c r="X145" s="1125"/>
      <c r="Y145" s="1125"/>
      <c r="Z145" s="1125"/>
      <c r="AA145" s="1125"/>
      <c r="AB145" s="1125"/>
      <c r="AC145" s="1125"/>
      <c r="AD145" s="1125"/>
      <c r="AE145" s="1173">
        <f t="shared" ref="AE145:AJ145" si="296">AE144+BG144</f>
        <v>10</v>
      </c>
      <c r="AF145" s="1173">
        <f t="shared" si="296"/>
        <v>50</v>
      </c>
      <c r="AG145" s="1173">
        <f t="shared" si="296"/>
        <v>10</v>
      </c>
      <c r="AH145" s="1173">
        <f t="shared" si="296"/>
        <v>5</v>
      </c>
      <c r="AI145" s="1174">
        <f t="shared" si="296"/>
        <v>20</v>
      </c>
      <c r="AJ145" s="1175">
        <f t="shared" si="296"/>
        <v>9</v>
      </c>
      <c r="AK145" s="1125"/>
      <c r="AL145" s="1173">
        <f t="shared" si="3"/>
        <v>300</v>
      </c>
      <c r="AM145" s="1173">
        <f t="shared" si="4"/>
        <v>300</v>
      </c>
      <c r="AN145" s="1173">
        <f t="shared" si="5"/>
        <v>300</v>
      </c>
      <c r="AO145" s="1176">
        <f t="shared" si="6"/>
        <v>1</v>
      </c>
      <c r="AP145" s="1175">
        <f t="shared" si="7"/>
        <v>3226</v>
      </c>
      <c r="AQ145" s="1177">
        <f t="shared" si="8"/>
        <v>4126</v>
      </c>
      <c r="AR145" s="1125"/>
      <c r="AS145" s="1173" t="str">
        <f t="shared" si="9"/>
        <v/>
      </c>
      <c r="AT145" s="1173" t="str">
        <f t="shared" si="10"/>
        <v/>
      </c>
      <c r="AU145" s="1173" t="str">
        <f t="shared" si="11"/>
        <v/>
      </c>
      <c r="AV145" s="1173" t="str">
        <f t="shared" si="12"/>
        <v/>
      </c>
      <c r="AW145" s="1178" t="str">
        <f t="shared" si="13"/>
        <v/>
      </c>
      <c r="AX145" s="1175" t="str">
        <f t="shared" si="14"/>
        <v/>
      </c>
      <c r="AY145" s="1125"/>
      <c r="AZ145" s="1179" t="str">
        <f t="shared" ref="AZ145:BD145" si="297">IF(AS145="", "", (AS145/$AQ145-1)/LABDURATION_SINGLE_ADJUSTED(AZ$4, AE145+1))</f>
        <v/>
      </c>
      <c r="BA145" s="1179" t="str">
        <f t="shared" si="297"/>
        <v/>
      </c>
      <c r="BB145" s="1179" t="str">
        <f t="shared" si="297"/>
        <v/>
      </c>
      <c r="BC145" s="1179" t="str">
        <f t="shared" si="297"/>
        <v/>
      </c>
      <c r="BD145" s="1180" t="str">
        <f t="shared" si="297"/>
        <v/>
      </c>
      <c r="BE145" s="1181" t="str">
        <f t="shared" si="16"/>
        <v/>
      </c>
      <c r="BF145" s="1125"/>
      <c r="BG145" s="1182" t="str">
        <f t="array" ref="BG145:BL145">IF(COLUMN(AZ145:BE145) = MIN(IF(AZ145:BE145=MAX(AZ145:BE145), COLUMN(AZ145:BE145))), 1, "")</f>
        <v/>
      </c>
      <c r="BH145" s="1182" t="s">
        <v>549</v>
      </c>
      <c r="BI145" s="1182" t="s">
        <v>549</v>
      </c>
      <c r="BJ145" s="1182" t="s">
        <v>549</v>
      </c>
      <c r="BK145" s="1174" t="s">
        <v>549</v>
      </c>
      <c r="BL145" s="1183" t="s">
        <v>549</v>
      </c>
      <c r="BM145" s="1125"/>
    </row>
    <row r="146">
      <c r="A146" s="1123"/>
      <c r="B146" s="1125"/>
      <c r="C146" s="1125"/>
      <c r="D146" s="1185" t="str">
        <f t="shared" si="17"/>
        <v/>
      </c>
      <c r="E146" s="1125"/>
      <c r="F146" s="1186" t="str">
        <f>IFERROR(__xludf.DUMMYFUNCTION("IF(SUM(BG145:BM145), ARRAYFORMULA(FILTER(BG$4:BM$4, BG145:BM145=1)), )"),"")</f>
        <v/>
      </c>
      <c r="G146" s="1187" t="str">
        <f>IFERROR(__xludf.DUMMYFUNCTION("IF(SUM(BG145:BM145),ARRAYFORMULA(FILTER(AE146:AJ146, BG145:BL145)), """")"),"")</f>
        <v/>
      </c>
      <c r="H146" s="1188" t="str">
        <f t="shared" si="18"/>
        <v/>
      </c>
      <c r="I146" s="1187"/>
      <c r="J146" s="1189" t="str">
        <f>IFERROR(__xludf.DUMMYFUNCTION("IF(SUM(BG145:BM145), ARRAYFORMULA(FILTER(AZ145:BE145, BG145:BL145=1))*D$5,"""")"),"")</f>
        <v/>
      </c>
      <c r="K146" s="1190" t="s">
        <v>549</v>
      </c>
      <c r="L146" s="1125" t="s">
        <v>549</v>
      </c>
      <c r="M146" s="1125"/>
      <c r="N146" s="1125"/>
      <c r="O146" s="1125"/>
      <c r="P146" s="1125"/>
      <c r="Q146" s="1125"/>
      <c r="R146" s="1125"/>
      <c r="S146" s="1125"/>
      <c r="T146" s="1125"/>
      <c r="U146" s="1125"/>
      <c r="V146" s="1125"/>
      <c r="W146" s="1125"/>
      <c r="X146" s="1125"/>
      <c r="Y146" s="1125"/>
      <c r="Z146" s="1125"/>
      <c r="AA146" s="1125"/>
      <c r="AB146" s="1125"/>
      <c r="AC146" s="1125"/>
      <c r="AD146" s="1125"/>
      <c r="AE146" s="1173">
        <f t="shared" ref="AE146:AJ146" si="298">AE145+BG145</f>
        <v>10</v>
      </c>
      <c r="AF146" s="1173">
        <f t="shared" si="298"/>
        <v>50</v>
      </c>
      <c r="AG146" s="1173">
        <f t="shared" si="298"/>
        <v>10</v>
      </c>
      <c r="AH146" s="1173">
        <f t="shared" si="298"/>
        <v>5</v>
      </c>
      <c r="AI146" s="1174">
        <f t="shared" si="298"/>
        <v>20</v>
      </c>
      <c r="AJ146" s="1175">
        <f t="shared" si="298"/>
        <v>9</v>
      </c>
      <c r="AK146" s="1125"/>
      <c r="AL146" s="1173">
        <f t="shared" si="3"/>
        <v>300</v>
      </c>
      <c r="AM146" s="1173">
        <f t="shared" si="4"/>
        <v>300</v>
      </c>
      <c r="AN146" s="1173">
        <f t="shared" si="5"/>
        <v>300</v>
      </c>
      <c r="AO146" s="1176">
        <f t="shared" si="6"/>
        <v>1</v>
      </c>
      <c r="AP146" s="1175">
        <f t="shared" si="7"/>
        <v>3226</v>
      </c>
      <c r="AQ146" s="1177">
        <f t="shared" si="8"/>
        <v>4126</v>
      </c>
      <c r="AR146" s="1125"/>
      <c r="AS146" s="1173" t="str">
        <f t="shared" si="9"/>
        <v/>
      </c>
      <c r="AT146" s="1173" t="str">
        <f t="shared" si="10"/>
        <v/>
      </c>
      <c r="AU146" s="1173" t="str">
        <f t="shared" si="11"/>
        <v/>
      </c>
      <c r="AV146" s="1173" t="str">
        <f t="shared" si="12"/>
        <v/>
      </c>
      <c r="AW146" s="1178" t="str">
        <f t="shared" si="13"/>
        <v/>
      </c>
      <c r="AX146" s="1175" t="str">
        <f t="shared" si="14"/>
        <v/>
      </c>
      <c r="AY146" s="1125"/>
      <c r="AZ146" s="1179" t="str">
        <f t="shared" ref="AZ146:BD146" si="299">IF(AS146="", "", (AS146/$AQ146-1)/LABDURATION_SINGLE_ADJUSTED(AZ$4, AE146+1))</f>
        <v/>
      </c>
      <c r="BA146" s="1179" t="str">
        <f t="shared" si="299"/>
        <v/>
      </c>
      <c r="BB146" s="1179" t="str">
        <f t="shared" si="299"/>
        <v/>
      </c>
      <c r="BC146" s="1179" t="str">
        <f t="shared" si="299"/>
        <v/>
      </c>
      <c r="BD146" s="1180" t="str">
        <f t="shared" si="299"/>
        <v/>
      </c>
      <c r="BE146" s="1181" t="str">
        <f t="shared" si="16"/>
        <v/>
      </c>
      <c r="BF146" s="1125"/>
      <c r="BG146" s="1182" t="str">
        <f t="array" ref="BG146:BL146">IF(COLUMN(AZ146:BE146) = MIN(IF(AZ146:BE146=MAX(AZ146:BE146), COLUMN(AZ146:BE146))), 1, "")</f>
        <v/>
      </c>
      <c r="BH146" s="1182" t="s">
        <v>549</v>
      </c>
      <c r="BI146" s="1182" t="s">
        <v>549</v>
      </c>
      <c r="BJ146" s="1182" t="s">
        <v>549</v>
      </c>
      <c r="BK146" s="1174" t="s">
        <v>549</v>
      </c>
      <c r="BL146" s="1183" t="s">
        <v>549</v>
      </c>
      <c r="BM146" s="1125"/>
    </row>
    <row r="147">
      <c r="A147" s="1123"/>
      <c r="B147" s="1125"/>
      <c r="C147" s="1125"/>
      <c r="D147" s="1185" t="str">
        <f t="shared" si="17"/>
        <v/>
      </c>
      <c r="E147" s="1125"/>
      <c r="F147" s="1186" t="str">
        <f>IFERROR(__xludf.DUMMYFUNCTION("IF(SUM(BG146:BM146), ARRAYFORMULA(FILTER(BG$4:BM$4, BG146:BM146=1)), )"),"")</f>
        <v/>
      </c>
      <c r="G147" s="1187" t="str">
        <f>IFERROR(__xludf.DUMMYFUNCTION("IF(SUM(BG146:BM146),ARRAYFORMULA(FILTER(AE147:AJ147, BG146:BL146)), """")"),"")</f>
        <v/>
      </c>
      <c r="H147" s="1188" t="str">
        <f t="shared" si="18"/>
        <v/>
      </c>
      <c r="I147" s="1187"/>
      <c r="J147" s="1189" t="str">
        <f>IFERROR(__xludf.DUMMYFUNCTION("IF(SUM(BG146:BM146), ARRAYFORMULA(FILTER(AZ146:BE146, BG146:BL146=1))*D$5,"""")"),"")</f>
        <v/>
      </c>
      <c r="K147" s="1190" t="s">
        <v>549</v>
      </c>
      <c r="L147" s="1125" t="s">
        <v>549</v>
      </c>
      <c r="M147" s="1125"/>
      <c r="N147" s="1125"/>
      <c r="O147" s="1125"/>
      <c r="P147" s="1125"/>
      <c r="Q147" s="1125"/>
      <c r="R147" s="1125"/>
      <c r="S147" s="1125"/>
      <c r="T147" s="1125"/>
      <c r="U147" s="1125"/>
      <c r="V147" s="1125"/>
      <c r="W147" s="1125"/>
      <c r="X147" s="1125"/>
      <c r="Y147" s="1125"/>
      <c r="Z147" s="1125"/>
      <c r="AA147" s="1125"/>
      <c r="AB147" s="1125"/>
      <c r="AC147" s="1125"/>
      <c r="AD147" s="1125"/>
      <c r="AE147" s="1173">
        <f t="shared" ref="AE147:AJ147" si="300">AE146+BG146</f>
        <v>10</v>
      </c>
      <c r="AF147" s="1173">
        <f t="shared" si="300"/>
        <v>50</v>
      </c>
      <c r="AG147" s="1173">
        <f t="shared" si="300"/>
        <v>10</v>
      </c>
      <c r="AH147" s="1173">
        <f t="shared" si="300"/>
        <v>5</v>
      </c>
      <c r="AI147" s="1174">
        <f t="shared" si="300"/>
        <v>20</v>
      </c>
      <c r="AJ147" s="1175">
        <f t="shared" si="300"/>
        <v>9</v>
      </c>
      <c r="AK147" s="1125"/>
      <c r="AL147" s="1173">
        <f t="shared" si="3"/>
        <v>300</v>
      </c>
      <c r="AM147" s="1173">
        <f t="shared" si="4"/>
        <v>300</v>
      </c>
      <c r="AN147" s="1173">
        <f t="shared" si="5"/>
        <v>300</v>
      </c>
      <c r="AO147" s="1176">
        <f t="shared" si="6"/>
        <v>1</v>
      </c>
      <c r="AP147" s="1175">
        <f t="shared" si="7"/>
        <v>3226</v>
      </c>
      <c r="AQ147" s="1177">
        <f t="shared" si="8"/>
        <v>4126</v>
      </c>
      <c r="AR147" s="1125"/>
      <c r="AS147" s="1173" t="str">
        <f t="shared" si="9"/>
        <v/>
      </c>
      <c r="AT147" s="1173" t="str">
        <f t="shared" si="10"/>
        <v/>
      </c>
      <c r="AU147" s="1173" t="str">
        <f t="shared" si="11"/>
        <v/>
      </c>
      <c r="AV147" s="1173" t="str">
        <f t="shared" si="12"/>
        <v/>
      </c>
      <c r="AW147" s="1178" t="str">
        <f t="shared" si="13"/>
        <v/>
      </c>
      <c r="AX147" s="1175" t="str">
        <f t="shared" si="14"/>
        <v/>
      </c>
      <c r="AY147" s="1125"/>
      <c r="AZ147" s="1179" t="str">
        <f t="shared" ref="AZ147:BD147" si="301">IF(AS147="", "", (AS147/$AQ147-1)/LABDURATION_SINGLE_ADJUSTED(AZ$4, AE147+1))</f>
        <v/>
      </c>
      <c r="BA147" s="1179" t="str">
        <f t="shared" si="301"/>
        <v/>
      </c>
      <c r="BB147" s="1179" t="str">
        <f t="shared" si="301"/>
        <v/>
      </c>
      <c r="BC147" s="1179" t="str">
        <f t="shared" si="301"/>
        <v/>
      </c>
      <c r="BD147" s="1180" t="str">
        <f t="shared" si="301"/>
        <v/>
      </c>
      <c r="BE147" s="1181" t="str">
        <f t="shared" si="16"/>
        <v/>
      </c>
      <c r="BF147" s="1125"/>
      <c r="BG147" s="1182" t="str">
        <f t="array" ref="BG147:BL147">IF(COLUMN(AZ147:BE147) = MIN(IF(AZ147:BE147=MAX(AZ147:BE147), COLUMN(AZ147:BE147))), 1, "")</f>
        <v/>
      </c>
      <c r="BH147" s="1182" t="s">
        <v>549</v>
      </c>
      <c r="BI147" s="1182" t="s">
        <v>549</v>
      </c>
      <c r="BJ147" s="1182" t="s">
        <v>549</v>
      </c>
      <c r="BK147" s="1174" t="s">
        <v>549</v>
      </c>
      <c r="BL147" s="1183" t="s">
        <v>549</v>
      </c>
      <c r="BM147" s="1125"/>
    </row>
    <row r="148">
      <c r="A148" s="1123"/>
      <c r="B148" s="1125"/>
      <c r="C148" s="1125"/>
      <c r="D148" s="1185" t="str">
        <f t="shared" si="17"/>
        <v/>
      </c>
      <c r="E148" s="1125"/>
      <c r="F148" s="1186" t="str">
        <f>IFERROR(__xludf.DUMMYFUNCTION("IF(SUM(BG147:BM147), ARRAYFORMULA(FILTER(BG$4:BM$4, BG147:BM147=1)), )"),"")</f>
        <v/>
      </c>
      <c r="G148" s="1187" t="str">
        <f>IFERROR(__xludf.DUMMYFUNCTION("IF(SUM(BG147:BM147),ARRAYFORMULA(FILTER(AE148:AJ148, BG147:BL147)), """")"),"")</f>
        <v/>
      </c>
      <c r="H148" s="1188" t="str">
        <f t="shared" si="18"/>
        <v/>
      </c>
      <c r="I148" s="1187"/>
      <c r="J148" s="1189" t="str">
        <f>IFERROR(__xludf.DUMMYFUNCTION("IF(SUM(BG147:BM147), ARRAYFORMULA(FILTER(AZ147:BE147, BG147:BL147=1))*D$5,"""")"),"")</f>
        <v/>
      </c>
      <c r="K148" s="1190" t="s">
        <v>549</v>
      </c>
      <c r="L148" s="1125" t="s">
        <v>549</v>
      </c>
      <c r="M148" s="1125"/>
      <c r="N148" s="1125"/>
      <c r="O148" s="1125"/>
      <c r="P148" s="1125"/>
      <c r="Q148" s="1125"/>
      <c r="R148" s="1125"/>
      <c r="S148" s="1125"/>
      <c r="T148" s="1125"/>
      <c r="U148" s="1125"/>
      <c r="V148" s="1125"/>
      <c r="W148" s="1125"/>
      <c r="X148" s="1125"/>
      <c r="Y148" s="1125"/>
      <c r="Z148" s="1125"/>
      <c r="AA148" s="1125"/>
      <c r="AB148" s="1125"/>
      <c r="AC148" s="1125"/>
      <c r="AD148" s="1125"/>
      <c r="AE148" s="1173">
        <f t="shared" ref="AE148:AJ148" si="302">AE147+BG147</f>
        <v>10</v>
      </c>
      <c r="AF148" s="1173">
        <f t="shared" si="302"/>
        <v>50</v>
      </c>
      <c r="AG148" s="1173">
        <f t="shared" si="302"/>
        <v>10</v>
      </c>
      <c r="AH148" s="1173">
        <f t="shared" si="302"/>
        <v>5</v>
      </c>
      <c r="AI148" s="1174">
        <f t="shared" si="302"/>
        <v>20</v>
      </c>
      <c r="AJ148" s="1175">
        <f t="shared" si="302"/>
        <v>9</v>
      </c>
      <c r="AK148" s="1125"/>
      <c r="AL148" s="1173">
        <f t="shared" si="3"/>
        <v>300</v>
      </c>
      <c r="AM148" s="1173">
        <f t="shared" si="4"/>
        <v>300</v>
      </c>
      <c r="AN148" s="1173">
        <f t="shared" si="5"/>
        <v>300</v>
      </c>
      <c r="AO148" s="1176">
        <f t="shared" si="6"/>
        <v>1</v>
      </c>
      <c r="AP148" s="1175">
        <f t="shared" si="7"/>
        <v>3226</v>
      </c>
      <c r="AQ148" s="1177">
        <f t="shared" si="8"/>
        <v>4126</v>
      </c>
      <c r="AR148" s="1125"/>
      <c r="AS148" s="1173" t="str">
        <f t="shared" si="9"/>
        <v/>
      </c>
      <c r="AT148" s="1173" t="str">
        <f t="shared" si="10"/>
        <v/>
      </c>
      <c r="AU148" s="1173" t="str">
        <f t="shared" si="11"/>
        <v/>
      </c>
      <c r="AV148" s="1173" t="str">
        <f t="shared" si="12"/>
        <v/>
      </c>
      <c r="AW148" s="1178" t="str">
        <f t="shared" si="13"/>
        <v/>
      </c>
      <c r="AX148" s="1175" t="str">
        <f t="shared" si="14"/>
        <v/>
      </c>
      <c r="AY148" s="1125"/>
      <c r="AZ148" s="1179" t="str">
        <f t="shared" ref="AZ148:BD148" si="303">IF(AS148="", "", (AS148/$AQ148-1)/LABDURATION_SINGLE_ADJUSTED(AZ$4, AE148+1))</f>
        <v/>
      </c>
      <c r="BA148" s="1179" t="str">
        <f t="shared" si="303"/>
        <v/>
      </c>
      <c r="BB148" s="1179" t="str">
        <f t="shared" si="303"/>
        <v/>
      </c>
      <c r="BC148" s="1179" t="str">
        <f t="shared" si="303"/>
        <v/>
      </c>
      <c r="BD148" s="1180" t="str">
        <f t="shared" si="303"/>
        <v/>
      </c>
      <c r="BE148" s="1181" t="str">
        <f t="shared" si="16"/>
        <v/>
      </c>
      <c r="BF148" s="1125"/>
      <c r="BG148" s="1182" t="str">
        <f t="array" ref="BG148:BL148">IF(COLUMN(AZ148:BE148) = MIN(IF(AZ148:BE148=MAX(AZ148:BE148), COLUMN(AZ148:BE148))), 1, "")</f>
        <v/>
      </c>
      <c r="BH148" s="1182" t="s">
        <v>549</v>
      </c>
      <c r="BI148" s="1182" t="s">
        <v>549</v>
      </c>
      <c r="BJ148" s="1182" t="s">
        <v>549</v>
      </c>
      <c r="BK148" s="1174" t="s">
        <v>549</v>
      </c>
      <c r="BL148" s="1183" t="s">
        <v>549</v>
      </c>
      <c r="BM148" s="1125"/>
    </row>
    <row r="149">
      <c r="A149" s="1123"/>
      <c r="B149" s="1125"/>
      <c r="C149" s="1125"/>
      <c r="D149" s="1185" t="str">
        <f t="shared" si="17"/>
        <v/>
      </c>
      <c r="E149" s="1125"/>
      <c r="F149" s="1186" t="str">
        <f>IFERROR(__xludf.DUMMYFUNCTION("IF(SUM(BG148:BM148), ARRAYFORMULA(FILTER(BG$4:BM$4, BG148:BM148=1)), )"),"")</f>
        <v/>
      </c>
      <c r="G149" s="1187" t="str">
        <f>IFERROR(__xludf.DUMMYFUNCTION("IF(SUM(BG148:BM148),ARRAYFORMULA(FILTER(AE149:AJ149, BG148:BL148)), """")"),"")</f>
        <v/>
      </c>
      <c r="H149" s="1188" t="str">
        <f t="shared" si="18"/>
        <v/>
      </c>
      <c r="I149" s="1187"/>
      <c r="J149" s="1189" t="str">
        <f>IFERROR(__xludf.DUMMYFUNCTION("IF(SUM(BG148:BM148), ARRAYFORMULA(FILTER(AZ148:BE148, BG148:BL148=1))*D$5,"""")"),"")</f>
        <v/>
      </c>
      <c r="K149" s="1190" t="s">
        <v>549</v>
      </c>
      <c r="L149" s="1125" t="s">
        <v>549</v>
      </c>
      <c r="M149" s="1125"/>
      <c r="N149" s="1125"/>
      <c r="O149" s="1125"/>
      <c r="P149" s="1125"/>
      <c r="Q149" s="1125"/>
      <c r="R149" s="1125"/>
      <c r="S149" s="1125"/>
      <c r="T149" s="1125"/>
      <c r="U149" s="1125"/>
      <c r="V149" s="1125"/>
      <c r="W149" s="1125"/>
      <c r="X149" s="1125"/>
      <c r="Y149" s="1125"/>
      <c r="Z149" s="1125"/>
      <c r="AA149" s="1125"/>
      <c r="AB149" s="1125"/>
      <c r="AC149" s="1125"/>
      <c r="AD149" s="1125"/>
      <c r="AE149" s="1173">
        <f t="shared" ref="AE149:AJ149" si="304">AE148+BG148</f>
        <v>10</v>
      </c>
      <c r="AF149" s="1173">
        <f t="shared" si="304"/>
        <v>50</v>
      </c>
      <c r="AG149" s="1173">
        <f t="shared" si="304"/>
        <v>10</v>
      </c>
      <c r="AH149" s="1173">
        <f t="shared" si="304"/>
        <v>5</v>
      </c>
      <c r="AI149" s="1174">
        <f t="shared" si="304"/>
        <v>20</v>
      </c>
      <c r="AJ149" s="1175">
        <f t="shared" si="304"/>
        <v>9</v>
      </c>
      <c r="AK149" s="1125"/>
      <c r="AL149" s="1173">
        <f t="shared" si="3"/>
        <v>300</v>
      </c>
      <c r="AM149" s="1173">
        <f t="shared" si="4"/>
        <v>300</v>
      </c>
      <c r="AN149" s="1173">
        <f t="shared" si="5"/>
        <v>300</v>
      </c>
      <c r="AO149" s="1176">
        <f t="shared" si="6"/>
        <v>1</v>
      </c>
      <c r="AP149" s="1175">
        <f t="shared" si="7"/>
        <v>3226</v>
      </c>
      <c r="AQ149" s="1177">
        <f t="shared" si="8"/>
        <v>4126</v>
      </c>
      <c r="AR149" s="1125"/>
      <c r="AS149" s="1173" t="str">
        <f t="shared" si="9"/>
        <v/>
      </c>
      <c r="AT149" s="1173" t="str">
        <f t="shared" si="10"/>
        <v/>
      </c>
      <c r="AU149" s="1173" t="str">
        <f t="shared" si="11"/>
        <v/>
      </c>
      <c r="AV149" s="1173" t="str">
        <f t="shared" si="12"/>
        <v/>
      </c>
      <c r="AW149" s="1178" t="str">
        <f t="shared" si="13"/>
        <v/>
      </c>
      <c r="AX149" s="1175" t="str">
        <f t="shared" si="14"/>
        <v/>
      </c>
      <c r="AY149" s="1125"/>
      <c r="AZ149" s="1179" t="str">
        <f t="shared" ref="AZ149:BD149" si="305">IF(AS149="", "", (AS149/$AQ149-1)/LABDURATION_SINGLE_ADJUSTED(AZ$4, AE149+1))</f>
        <v/>
      </c>
      <c r="BA149" s="1179" t="str">
        <f t="shared" si="305"/>
        <v/>
      </c>
      <c r="BB149" s="1179" t="str">
        <f t="shared" si="305"/>
        <v/>
      </c>
      <c r="BC149" s="1179" t="str">
        <f t="shared" si="305"/>
        <v/>
      </c>
      <c r="BD149" s="1180" t="str">
        <f t="shared" si="305"/>
        <v/>
      </c>
      <c r="BE149" s="1181" t="str">
        <f t="shared" si="16"/>
        <v/>
      </c>
      <c r="BF149" s="1125"/>
      <c r="BG149" s="1182" t="str">
        <f t="array" ref="BG149:BL149">IF(COLUMN(AZ149:BE149) = MIN(IF(AZ149:BE149=MAX(AZ149:BE149), COLUMN(AZ149:BE149))), 1, "")</f>
        <v/>
      </c>
      <c r="BH149" s="1182" t="s">
        <v>549</v>
      </c>
      <c r="BI149" s="1182" t="s">
        <v>549</v>
      </c>
      <c r="BJ149" s="1182" t="s">
        <v>549</v>
      </c>
      <c r="BK149" s="1174" t="s">
        <v>549</v>
      </c>
      <c r="BL149" s="1183" t="s">
        <v>549</v>
      </c>
      <c r="BM149" s="1125"/>
    </row>
    <row r="150">
      <c r="A150" s="1123"/>
      <c r="B150" s="1125"/>
      <c r="C150" s="1125"/>
      <c r="D150" s="1185" t="str">
        <f t="shared" si="17"/>
        <v/>
      </c>
      <c r="E150" s="1125"/>
      <c r="F150" s="1186" t="str">
        <f>IFERROR(__xludf.DUMMYFUNCTION("IF(SUM(BG149:BM149), ARRAYFORMULA(FILTER(BG$4:BM$4, BG149:BM149=1)), )"),"")</f>
        <v/>
      </c>
      <c r="G150" s="1187" t="str">
        <f>IFERROR(__xludf.DUMMYFUNCTION("IF(SUM(BG149:BM149),ARRAYFORMULA(FILTER(AE150:AJ150, BG149:BL149)), """")"),"")</f>
        <v/>
      </c>
      <c r="H150" s="1188" t="str">
        <f t="shared" si="18"/>
        <v/>
      </c>
      <c r="I150" s="1187"/>
      <c r="J150" s="1189" t="str">
        <f>IFERROR(__xludf.DUMMYFUNCTION("IF(SUM(BG149:BM149), ARRAYFORMULA(FILTER(AZ149:BE149, BG149:BL149=1))*D$5,"""")"),"")</f>
        <v/>
      </c>
      <c r="K150" s="1190" t="s">
        <v>549</v>
      </c>
      <c r="L150" s="1125" t="s">
        <v>549</v>
      </c>
      <c r="M150" s="1125"/>
      <c r="N150" s="1125"/>
      <c r="O150" s="1125"/>
      <c r="P150" s="1125"/>
      <c r="Q150" s="1125"/>
      <c r="R150" s="1125"/>
      <c r="S150" s="1125"/>
      <c r="T150" s="1125"/>
      <c r="U150" s="1125"/>
      <c r="V150" s="1125"/>
      <c r="W150" s="1125"/>
      <c r="X150" s="1125"/>
      <c r="Y150" s="1125"/>
      <c r="Z150" s="1125"/>
      <c r="AA150" s="1125"/>
      <c r="AB150" s="1125"/>
      <c r="AC150" s="1125"/>
      <c r="AD150" s="1125"/>
      <c r="AE150" s="1173">
        <f t="shared" ref="AE150:AJ150" si="306">AE149+BG149</f>
        <v>10</v>
      </c>
      <c r="AF150" s="1173">
        <f t="shared" si="306"/>
        <v>50</v>
      </c>
      <c r="AG150" s="1173">
        <f t="shared" si="306"/>
        <v>10</v>
      </c>
      <c r="AH150" s="1173">
        <f t="shared" si="306"/>
        <v>5</v>
      </c>
      <c r="AI150" s="1174">
        <f t="shared" si="306"/>
        <v>20</v>
      </c>
      <c r="AJ150" s="1175">
        <f t="shared" si="306"/>
        <v>9</v>
      </c>
      <c r="AK150" s="1125"/>
      <c r="AL150" s="1173">
        <f t="shared" si="3"/>
        <v>300</v>
      </c>
      <c r="AM150" s="1173">
        <f t="shared" si="4"/>
        <v>300</v>
      </c>
      <c r="AN150" s="1173">
        <f t="shared" si="5"/>
        <v>300</v>
      </c>
      <c r="AO150" s="1176">
        <f t="shared" si="6"/>
        <v>1</v>
      </c>
      <c r="AP150" s="1175">
        <f t="shared" si="7"/>
        <v>3226</v>
      </c>
      <c r="AQ150" s="1177">
        <f t="shared" si="8"/>
        <v>4126</v>
      </c>
      <c r="AR150" s="1125"/>
      <c r="AS150" s="1173" t="str">
        <f t="shared" si="9"/>
        <v/>
      </c>
      <c r="AT150" s="1173" t="str">
        <f t="shared" si="10"/>
        <v/>
      </c>
      <c r="AU150" s="1173" t="str">
        <f t="shared" si="11"/>
        <v/>
      </c>
      <c r="AV150" s="1173" t="str">
        <f t="shared" si="12"/>
        <v/>
      </c>
      <c r="AW150" s="1178" t="str">
        <f t="shared" si="13"/>
        <v/>
      </c>
      <c r="AX150" s="1175" t="str">
        <f t="shared" si="14"/>
        <v/>
      </c>
      <c r="AY150" s="1125"/>
      <c r="AZ150" s="1179" t="str">
        <f t="shared" ref="AZ150:BD150" si="307">IF(AS150="", "", (AS150/$AQ150-1)/LABDURATION_SINGLE_ADJUSTED(AZ$4, AE150+1))</f>
        <v/>
      </c>
      <c r="BA150" s="1179" t="str">
        <f t="shared" si="307"/>
        <v/>
      </c>
      <c r="BB150" s="1179" t="str">
        <f t="shared" si="307"/>
        <v/>
      </c>
      <c r="BC150" s="1179" t="str">
        <f t="shared" si="307"/>
        <v/>
      </c>
      <c r="BD150" s="1180" t="str">
        <f t="shared" si="307"/>
        <v/>
      </c>
      <c r="BE150" s="1181" t="str">
        <f t="shared" si="16"/>
        <v/>
      </c>
      <c r="BF150" s="1125"/>
      <c r="BG150" s="1182" t="str">
        <f t="array" ref="BG150:BL150">IF(COLUMN(AZ150:BE150) = MIN(IF(AZ150:BE150=MAX(AZ150:BE150), COLUMN(AZ150:BE150))), 1, "")</f>
        <v/>
      </c>
      <c r="BH150" s="1182" t="s">
        <v>549</v>
      </c>
      <c r="BI150" s="1182" t="s">
        <v>549</v>
      </c>
      <c r="BJ150" s="1182" t="s">
        <v>549</v>
      </c>
      <c r="BK150" s="1174" t="s">
        <v>549</v>
      </c>
      <c r="BL150" s="1183" t="s">
        <v>549</v>
      </c>
      <c r="BM150" s="1125"/>
    </row>
  </sheetData>
  <mergeCells count="28">
    <mergeCell ref="P8:S8"/>
    <mergeCell ref="T8:T9"/>
    <mergeCell ref="P9:R9"/>
    <mergeCell ref="F2:K2"/>
    <mergeCell ref="E3:E13"/>
    <mergeCell ref="F3:K3"/>
    <mergeCell ref="P3:T3"/>
    <mergeCell ref="V3:V34"/>
    <mergeCell ref="X3:AA3"/>
    <mergeCell ref="P6:S6"/>
    <mergeCell ref="AE3:AJ3"/>
    <mergeCell ref="AL3:AQ3"/>
    <mergeCell ref="AS3:AX3"/>
    <mergeCell ref="AZ3:BE3"/>
    <mergeCell ref="BG3:BL3"/>
    <mergeCell ref="F4:F5"/>
    <mergeCell ref="G4:G5"/>
    <mergeCell ref="H4:H5"/>
    <mergeCell ref="I4:I5"/>
    <mergeCell ref="J4:J5"/>
    <mergeCell ref="K4:K5"/>
    <mergeCell ref="P4:S4"/>
    <mergeCell ref="P5:S5"/>
    <mergeCell ref="AB3:AC3"/>
    <mergeCell ref="AB6:AC6"/>
    <mergeCell ref="W13:X13"/>
    <mergeCell ref="Z13:AA13"/>
    <mergeCell ref="AB13:AC13"/>
  </mergeCells>
  <conditionalFormatting sqref="T8:T9">
    <cfRule type="cellIs" dxfId="27" priority="1" operator="equal">
      <formula>"TRUE"</formula>
    </cfRule>
  </conditionalFormatting>
  <conditionalFormatting sqref="T8:T9">
    <cfRule type="cellIs" dxfId="28" priority="2" operator="notEqual">
      <formula>"TRUE"</formula>
    </cfRule>
  </conditionalFormatting>
  <conditionalFormatting sqref="T8:T11">
    <cfRule type="containsText" dxfId="27" priority="3" operator="containsText" text="TRUE">
      <formula>NOT(ISERROR(SEARCH(("TRUE"),(T8))))</formula>
    </cfRule>
  </conditionalFormatting>
  <conditionalFormatting sqref="T8:T11">
    <cfRule type="notContainsText" dxfId="28" priority="4" operator="notContains" text="TRUE">
      <formula>ISERROR(SEARCH(("TRUE"),(T8)))</formula>
    </cfRule>
  </conditionalFormatting>
  <conditionalFormatting sqref="X14">
    <cfRule type="cellIs" dxfId="29" priority="5" operator="equal">
      <formula>MAX($AG$8:$AG$12)</formula>
    </cfRule>
  </conditionalFormatting>
  <conditionalFormatting sqref="AB14">
    <cfRule type="cellIs" dxfId="29" priority="6" operator="equal">
      <formula>MAX($AL$8:$AL$12)</formula>
    </cfRule>
  </conditionalFormatting>
  <conditionalFormatting sqref="AC14">
    <cfRule type="expression" dxfId="30" priority="7">
      <formula>Z14=5%</formula>
    </cfRule>
  </conditionalFormatting>
  <conditionalFormatting sqref="AC14">
    <cfRule type="expression" dxfId="31" priority="8">
      <formula>Z14=8%</formula>
    </cfRule>
  </conditionalFormatting>
  <conditionalFormatting sqref="AC14">
    <cfRule type="expression" dxfId="32" priority="9">
      <formula>Z14=11%</formula>
    </cfRule>
  </conditionalFormatting>
  <conditionalFormatting sqref="AC14">
    <cfRule type="expression" dxfId="33" priority="10">
      <formula>Z14=15%</formula>
    </cfRule>
  </conditionalFormatting>
  <conditionalFormatting sqref="F6:K150">
    <cfRule type="expression" dxfId="34" priority="11">
      <formula>$F6=$C$3</formula>
    </cfRule>
  </conditionalFormatting>
  <conditionalFormatting sqref="F6:K150">
    <cfRule type="expression" dxfId="35" priority="12">
      <formula>$F6=$C$4</formula>
    </cfRule>
  </conditionalFormatting>
  <conditionalFormatting sqref="F6:K150">
    <cfRule type="expression" dxfId="15" priority="13">
      <formula>$F6=$C$5</formula>
    </cfRule>
  </conditionalFormatting>
  <conditionalFormatting sqref="F6:K150">
    <cfRule type="expression" dxfId="36" priority="14">
      <formula>$F6=$C$6</formula>
    </cfRule>
  </conditionalFormatting>
  <conditionalFormatting sqref="F6:K150">
    <cfRule type="expression" dxfId="37" priority="15">
      <formula>ISNUMBER(SEARCH("Mastery",$F6))</formula>
    </cfRule>
  </conditionalFormatting>
  <conditionalFormatting sqref="F6:K150">
    <cfRule type="expression" dxfId="38" priority="16">
      <formula>$F6=$C$8</formula>
    </cfRule>
  </conditionalFormatting>
  <conditionalFormatting sqref="F6:K150">
    <cfRule type="containsBlanks" dxfId="39" priority="17">
      <formula>LEN(TRIM(F6))=0</formula>
    </cfRule>
  </conditionalFormatting>
  <dataValidations>
    <dataValidation type="list" allowBlank="1" showDropDown="1" showErrorMessage="1" sqref="Y14">
      <formula1>"0%,5%,8%,11%,15%"</formula1>
    </dataValidation>
    <dataValidation type="list" allowBlank="1" showErrorMessage="1" sqref="L5">
      <formula1>"x1,x1.5,x2,x3,x4,x5,x6"</formula1>
    </dataValidation>
    <dataValidation type="decimal" allowBlank="1" showDropDown="1" showInputMessage="1" prompt="Between 0 and Max Level" sqref="X11">
      <formula1>0.0</formula1>
      <formula2>Z11</formula2>
    </dataValidation>
    <dataValidation type="list" allowBlank="1" showDropDown="1" showErrorMessage="1" sqref="Q10">
      <formula1>"Lvl 1,Lvl 2,Lvl 3,Lvl 4,Lvl 5,Lvl 6,Lvl 7"</formula1>
    </dataValidation>
    <dataValidation type="list" allowBlank="1" showErrorMessage="1" sqref="S9">
      <formula1>"Lvl 0,Lvl 1,Lvl 2,Lvl 3,Lvl 4,Lvl 5,Lvl 6,Lvl 7,Lvl 8,Lvl 9"</formula1>
    </dataValidation>
    <dataValidation type="decimal" allowBlank="1" showDropDown="1" sqref="X5:X6">
      <formula1>0.0</formula1>
      <formula2>Z5</formula2>
    </dataValidation>
  </dataValidations>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75"/>
  <cols>
    <col customWidth="1" min="1" max="1" width="3.14"/>
    <col customWidth="1" min="2" max="2" width="25.14"/>
    <col customWidth="1" min="3" max="3" width="9.29"/>
    <col customWidth="1" min="4" max="4" width="57.0"/>
    <col customWidth="1" min="5" max="8" width="10.86"/>
    <col customWidth="1" min="9" max="9" width="4.43"/>
    <col customWidth="1" min="10" max="10" width="25.14"/>
    <col customWidth="1" min="11" max="11" width="9.29"/>
    <col customWidth="1" min="12" max="12" width="57.0"/>
    <col customWidth="1" min="13" max="16" width="10.86"/>
    <col customWidth="1" min="17" max="17" width="3.14"/>
  </cols>
  <sheetData>
    <row r="1" ht="15.75" customHeight="1">
      <c r="A1" s="1"/>
      <c r="B1" s="1"/>
      <c r="C1" s="1"/>
      <c r="D1" s="1"/>
      <c r="E1" s="1"/>
      <c r="F1" s="1"/>
      <c r="G1" s="1"/>
      <c r="H1" s="1"/>
      <c r="I1" s="1"/>
      <c r="J1" s="47"/>
      <c r="Q1" s="1"/>
    </row>
    <row r="2" ht="45.0" customHeight="1">
      <c r="A2" s="1"/>
      <c r="B2" s="1253" t="s">
        <v>662</v>
      </c>
      <c r="C2" s="1254"/>
      <c r="D2" s="1254"/>
      <c r="E2" s="1254"/>
      <c r="F2" s="1254"/>
      <c r="G2" s="1254"/>
      <c r="H2" s="1254"/>
      <c r="I2" s="1254"/>
      <c r="J2" s="1254"/>
      <c r="K2" s="1254"/>
      <c r="L2" s="1254"/>
      <c r="M2" s="1254"/>
      <c r="N2" s="1254"/>
      <c r="O2" s="1254"/>
      <c r="P2" s="1254"/>
      <c r="Q2" s="1255"/>
    </row>
    <row r="3" ht="15.75" customHeight="1">
      <c r="A3" s="1"/>
      <c r="B3" s="1"/>
      <c r="C3" s="1"/>
      <c r="D3" s="1"/>
      <c r="E3" s="1"/>
      <c r="F3" s="1"/>
      <c r="G3" s="1"/>
      <c r="H3" s="1"/>
      <c r="I3" s="1"/>
      <c r="J3" s="1256"/>
      <c r="K3" s="20"/>
      <c r="L3" s="1257" t="s">
        <v>663</v>
      </c>
      <c r="M3" s="1258"/>
      <c r="N3" s="1258"/>
      <c r="O3" s="1258"/>
      <c r="P3" s="1259"/>
      <c r="Q3" s="1"/>
    </row>
    <row r="4" ht="27.0" customHeight="1">
      <c r="A4" s="1"/>
      <c r="B4" s="1260" t="s">
        <v>664</v>
      </c>
      <c r="C4" s="1261"/>
      <c r="D4" s="1261"/>
      <c r="E4" s="1261"/>
      <c r="F4" s="1261"/>
      <c r="G4" s="1261"/>
      <c r="H4" s="1262"/>
      <c r="I4" s="1"/>
      <c r="J4" s="1260" t="s">
        <v>665</v>
      </c>
      <c r="K4" s="1261"/>
      <c r="L4" s="1261"/>
      <c r="M4" s="1261"/>
      <c r="N4" s="1261"/>
      <c r="O4" s="1261"/>
      <c r="P4" s="1262"/>
      <c r="Q4" s="1"/>
    </row>
    <row r="5">
      <c r="A5" s="1"/>
      <c r="B5" s="1263"/>
      <c r="C5" s="1264"/>
      <c r="D5" s="1265" t="s">
        <v>666</v>
      </c>
      <c r="E5" s="1266" t="s">
        <v>176</v>
      </c>
      <c r="F5" s="1267" t="s">
        <v>175</v>
      </c>
      <c r="G5" s="1268" t="s">
        <v>180</v>
      </c>
      <c r="H5" s="1269" t="s">
        <v>174</v>
      </c>
      <c r="I5" s="1"/>
      <c r="J5" s="1263"/>
      <c r="K5" s="1264"/>
      <c r="L5" s="1265" t="s">
        <v>666</v>
      </c>
      <c r="M5" s="1266" t="s">
        <v>176</v>
      </c>
      <c r="N5" s="1267" t="s">
        <v>175</v>
      </c>
      <c r="O5" s="1268" t="s">
        <v>180</v>
      </c>
      <c r="P5" s="1269" t="s">
        <v>174</v>
      </c>
      <c r="Q5" s="1"/>
    </row>
    <row r="6" ht="44.25" customHeight="1">
      <c r="A6" s="1"/>
      <c r="B6" s="1270" t="s">
        <v>667</v>
      </c>
      <c r="C6" s="1271"/>
      <c r="D6" s="1271" t="s">
        <v>668</v>
      </c>
      <c r="E6" s="1272">
        <v>0.2</v>
      </c>
      <c r="F6" s="1267">
        <v>0.4</v>
      </c>
      <c r="G6" s="1268">
        <v>0.6</v>
      </c>
      <c r="H6" s="1269">
        <v>0.8</v>
      </c>
      <c r="I6" s="1"/>
      <c r="J6" s="1270" t="s">
        <v>669</v>
      </c>
      <c r="K6" s="1271"/>
      <c r="L6" s="1271" t="s">
        <v>670</v>
      </c>
      <c r="M6" s="1266">
        <v>5.0</v>
      </c>
      <c r="N6" s="1273">
        <v>8.0</v>
      </c>
      <c r="O6" s="1274">
        <v>11.0</v>
      </c>
      <c r="P6" s="1275">
        <v>15.0</v>
      </c>
      <c r="Q6" s="1"/>
    </row>
    <row r="7" ht="44.25" customHeight="1">
      <c r="A7" s="1"/>
      <c r="B7" s="1276" t="s">
        <v>671</v>
      </c>
      <c r="C7" s="1277"/>
      <c r="D7" s="1277" t="s">
        <v>672</v>
      </c>
      <c r="E7" s="1266">
        <v>3.0</v>
      </c>
      <c r="F7" s="1273">
        <v>4.0</v>
      </c>
      <c r="G7" s="1274">
        <v>5.0</v>
      </c>
      <c r="H7" s="1275">
        <v>6.0</v>
      </c>
      <c r="I7" s="1"/>
      <c r="J7" s="1276" t="s">
        <v>673</v>
      </c>
      <c r="K7" s="1277"/>
      <c r="L7" s="1277" t="s">
        <v>674</v>
      </c>
      <c r="M7" s="1266" t="s">
        <v>675</v>
      </c>
      <c r="N7" s="1273" t="s">
        <v>676</v>
      </c>
      <c r="O7" s="1274" t="s">
        <v>677</v>
      </c>
      <c r="P7" s="1275" t="s">
        <v>678</v>
      </c>
      <c r="Q7" s="1"/>
    </row>
    <row r="8" ht="44.25" customHeight="1">
      <c r="A8" s="1"/>
      <c r="B8" s="1278" t="s">
        <v>679</v>
      </c>
      <c r="C8" s="1279"/>
      <c r="D8" s="1279" t="s">
        <v>680</v>
      </c>
      <c r="E8" s="1280">
        <v>0.05</v>
      </c>
      <c r="F8" s="1281">
        <v>0.08</v>
      </c>
      <c r="G8" s="1282">
        <v>0.11</v>
      </c>
      <c r="H8" s="1283">
        <v>0.15</v>
      </c>
      <c r="I8" s="1"/>
      <c r="J8" s="1278" t="s">
        <v>681</v>
      </c>
      <c r="K8" s="1279"/>
      <c r="L8" s="1279" t="s">
        <v>682</v>
      </c>
      <c r="M8" s="1284">
        <v>0.01</v>
      </c>
      <c r="N8" s="1285">
        <v>0.015</v>
      </c>
      <c r="O8" s="1286">
        <v>0.02</v>
      </c>
      <c r="P8" s="1287">
        <v>0.025</v>
      </c>
      <c r="Q8" s="1"/>
    </row>
    <row r="9" ht="44.25" customHeight="1">
      <c r="A9" s="1"/>
      <c r="B9" s="1270" t="s">
        <v>683</v>
      </c>
      <c r="C9" s="1271"/>
      <c r="D9" s="1271" t="s">
        <v>684</v>
      </c>
      <c r="E9" s="1280">
        <v>0.1</v>
      </c>
      <c r="F9" s="1281">
        <v>0.13</v>
      </c>
      <c r="G9" s="1282">
        <v>0.15</v>
      </c>
      <c r="H9" s="1283">
        <v>0.2</v>
      </c>
      <c r="I9" s="1"/>
      <c r="J9" s="1270" t="s">
        <v>685</v>
      </c>
      <c r="K9" s="1271"/>
      <c r="L9" s="1271" t="s">
        <v>686</v>
      </c>
      <c r="M9" s="1280">
        <v>0.03</v>
      </c>
      <c r="N9" s="1281">
        <v>0.05</v>
      </c>
      <c r="O9" s="1282">
        <v>0.07</v>
      </c>
      <c r="P9" s="1283">
        <v>0.1</v>
      </c>
      <c r="Q9" s="1"/>
    </row>
    <row r="10" ht="44.25" customHeight="1">
      <c r="A10" s="1"/>
      <c r="B10" s="1270" t="s">
        <v>687</v>
      </c>
      <c r="C10" s="1271"/>
      <c r="D10" s="1271" t="s">
        <v>688</v>
      </c>
      <c r="E10" s="1280">
        <v>0.1</v>
      </c>
      <c r="F10" s="1281">
        <v>0.2</v>
      </c>
      <c r="G10" s="1282">
        <v>0.3</v>
      </c>
      <c r="H10" s="1283">
        <v>0.4</v>
      </c>
      <c r="I10" s="1"/>
      <c r="J10" s="1270" t="s">
        <v>689</v>
      </c>
      <c r="K10" s="1271"/>
      <c r="L10" s="1271" t="s">
        <v>690</v>
      </c>
      <c r="M10" s="1280">
        <v>0.125</v>
      </c>
      <c r="N10" s="1281">
        <v>0.25</v>
      </c>
      <c r="O10" s="1282">
        <v>0.5</v>
      </c>
      <c r="P10" s="1283">
        <v>1.0</v>
      </c>
      <c r="Q10" s="1"/>
    </row>
    <row r="11" ht="44.25" customHeight="1">
      <c r="A11" s="110"/>
      <c r="B11" s="1288" t="s">
        <v>691</v>
      </c>
      <c r="C11" s="1289"/>
      <c r="D11" s="1290" t="s">
        <v>692</v>
      </c>
      <c r="E11" s="1291" t="s">
        <v>693</v>
      </c>
      <c r="F11" s="1292" t="s">
        <v>694</v>
      </c>
      <c r="G11" s="1293" t="s">
        <v>695</v>
      </c>
      <c r="H11" s="1294" t="s">
        <v>696</v>
      </c>
      <c r="I11" s="110"/>
      <c r="J11" s="1295" t="s">
        <v>697</v>
      </c>
      <c r="K11" s="1296"/>
      <c r="L11" s="1297" t="s">
        <v>698</v>
      </c>
      <c r="M11" s="1298" t="s">
        <v>699</v>
      </c>
      <c r="N11" s="1299" t="s">
        <v>678</v>
      </c>
      <c r="O11" s="1300" t="s">
        <v>700</v>
      </c>
      <c r="P11" s="1301" t="s">
        <v>701</v>
      </c>
      <c r="Q11" s="110"/>
    </row>
    <row r="12" ht="22.5" customHeight="1">
      <c r="A12" s="1"/>
      <c r="B12" s="1"/>
      <c r="C12" s="1"/>
      <c r="D12" s="1"/>
      <c r="E12" s="1"/>
      <c r="F12" s="1"/>
      <c r="G12" s="1"/>
      <c r="H12" s="1"/>
      <c r="I12" s="1"/>
      <c r="J12" s="1"/>
      <c r="K12" s="1"/>
      <c r="L12" s="1"/>
      <c r="M12" s="1"/>
      <c r="N12" s="1"/>
      <c r="O12" s="1"/>
      <c r="P12" s="1"/>
      <c r="Q12" s="1"/>
    </row>
    <row r="13">
      <c r="A13" s="1"/>
      <c r="B13" s="1260" t="s">
        <v>702</v>
      </c>
      <c r="C13" s="1261"/>
      <c r="D13" s="1261"/>
      <c r="E13" s="1261"/>
      <c r="F13" s="1261"/>
      <c r="G13" s="1261"/>
      <c r="H13" s="1262"/>
      <c r="I13" s="1"/>
      <c r="J13" s="1260" t="s">
        <v>703</v>
      </c>
      <c r="K13" s="1261"/>
      <c r="L13" s="1261"/>
      <c r="M13" s="1261"/>
      <c r="N13" s="1261"/>
      <c r="O13" s="1261"/>
      <c r="P13" s="1262"/>
      <c r="Q13" s="1"/>
    </row>
    <row r="14">
      <c r="A14" s="1"/>
      <c r="B14" s="1263"/>
      <c r="C14" s="1264"/>
      <c r="D14" s="1265" t="s">
        <v>666</v>
      </c>
      <c r="E14" s="1266" t="s">
        <v>176</v>
      </c>
      <c r="F14" s="1267" t="s">
        <v>175</v>
      </c>
      <c r="G14" s="1268" t="s">
        <v>180</v>
      </c>
      <c r="H14" s="1269" t="s">
        <v>174</v>
      </c>
      <c r="I14" s="1"/>
      <c r="J14" s="1263"/>
      <c r="K14" s="1264"/>
      <c r="L14" s="1265" t="s">
        <v>666</v>
      </c>
      <c r="M14" s="1266" t="s">
        <v>176</v>
      </c>
      <c r="N14" s="1267" t="s">
        <v>175</v>
      </c>
      <c r="O14" s="1268" t="s">
        <v>180</v>
      </c>
      <c r="P14" s="1269" t="s">
        <v>174</v>
      </c>
      <c r="Q14" s="1"/>
    </row>
    <row r="15" ht="44.25" customHeight="1">
      <c r="A15" s="1"/>
      <c r="B15" s="1270" t="s">
        <v>704</v>
      </c>
      <c r="C15" s="1271"/>
      <c r="D15" s="1271" t="s">
        <v>705</v>
      </c>
      <c r="E15" s="1266" t="s">
        <v>706</v>
      </c>
      <c r="F15" s="1273" t="s">
        <v>707</v>
      </c>
      <c r="G15" s="1274" t="s">
        <v>708</v>
      </c>
      <c r="H15" s="1275" t="s">
        <v>709</v>
      </c>
      <c r="I15" s="1"/>
      <c r="J15" s="1270" t="s">
        <v>710</v>
      </c>
      <c r="K15" s="1271"/>
      <c r="L15" s="1271" t="s">
        <v>711</v>
      </c>
      <c r="M15" s="1266">
        <v>2.0</v>
      </c>
      <c r="N15" s="1273">
        <v>4.0</v>
      </c>
      <c r="O15" s="1274">
        <v>7.0</v>
      </c>
      <c r="P15" s="1275">
        <v>15.0</v>
      </c>
      <c r="Q15" s="1"/>
    </row>
    <row r="16" ht="44.25" customHeight="1">
      <c r="A16" s="1"/>
      <c r="B16" s="1276" t="s">
        <v>712</v>
      </c>
      <c r="C16" s="1277"/>
      <c r="D16" s="1277" t="s">
        <v>713</v>
      </c>
      <c r="E16" s="1284">
        <v>0.01</v>
      </c>
      <c r="F16" s="1285">
        <v>0.015</v>
      </c>
      <c r="G16" s="1286">
        <v>0.02</v>
      </c>
      <c r="H16" s="1287">
        <v>0.025</v>
      </c>
      <c r="I16" s="1"/>
      <c r="J16" s="1276" t="s">
        <v>714</v>
      </c>
      <c r="K16" s="1277"/>
      <c r="L16" s="1277" t="s">
        <v>715</v>
      </c>
      <c r="M16" s="1280">
        <v>0.15</v>
      </c>
      <c r="N16" s="1281">
        <v>0.2</v>
      </c>
      <c r="O16" s="1282">
        <v>0.25</v>
      </c>
      <c r="P16" s="1283">
        <v>0.3</v>
      </c>
      <c r="Q16" s="1"/>
    </row>
    <row r="17" ht="44.25" customHeight="1">
      <c r="A17" s="1"/>
      <c r="B17" s="1278" t="s">
        <v>716</v>
      </c>
      <c r="C17" s="1279"/>
      <c r="D17" s="1279" t="s">
        <v>717</v>
      </c>
      <c r="E17" s="1280">
        <v>0.25</v>
      </c>
      <c r="F17" s="1281">
        <v>0.5</v>
      </c>
      <c r="G17" s="1282">
        <v>0.75</v>
      </c>
      <c r="H17" s="1283">
        <v>1.0</v>
      </c>
      <c r="I17" s="1"/>
      <c r="J17" s="1278" t="s">
        <v>718</v>
      </c>
      <c r="K17" s="1279"/>
      <c r="L17" s="1302" t="s">
        <v>719</v>
      </c>
      <c r="M17" s="1266">
        <v>5.0</v>
      </c>
      <c r="N17" s="1273">
        <v>10.0</v>
      </c>
      <c r="O17" s="1274">
        <v>15.0</v>
      </c>
      <c r="P17" s="1275">
        <v>20.0</v>
      </c>
      <c r="Q17" s="1"/>
    </row>
    <row r="18" ht="44.25" customHeight="1">
      <c r="A18" s="1"/>
      <c r="B18" s="1270" t="s">
        <v>720</v>
      </c>
      <c r="C18" s="1271"/>
      <c r="D18" s="1271" t="s">
        <v>721</v>
      </c>
      <c r="E18" s="1280">
        <v>0.15</v>
      </c>
      <c r="F18" s="1281">
        <v>0.2</v>
      </c>
      <c r="G18" s="1282">
        <v>0.25</v>
      </c>
      <c r="H18" s="1283">
        <v>0.3</v>
      </c>
      <c r="I18" s="1"/>
      <c r="J18" s="1270" t="s">
        <v>722</v>
      </c>
      <c r="K18" s="1271"/>
      <c r="L18" s="1271" t="s">
        <v>723</v>
      </c>
      <c r="M18" s="1266" t="s">
        <v>678</v>
      </c>
      <c r="N18" s="1273" t="s">
        <v>675</v>
      </c>
      <c r="O18" s="1274" t="s">
        <v>724</v>
      </c>
      <c r="P18" s="1275" t="s">
        <v>725</v>
      </c>
      <c r="Q18" s="1"/>
    </row>
    <row r="19" ht="44.25" customHeight="1">
      <c r="A19" s="1"/>
      <c r="B19" s="1270" t="s">
        <v>726</v>
      </c>
      <c r="C19" s="1271"/>
      <c r="D19" s="1271" t="s">
        <v>727</v>
      </c>
      <c r="E19" s="1280" t="s">
        <v>728</v>
      </c>
      <c r="F19" s="1281" t="s">
        <v>729</v>
      </c>
      <c r="G19" s="1282" t="s">
        <v>730</v>
      </c>
      <c r="H19" s="1283" t="s">
        <v>731</v>
      </c>
      <c r="I19" s="1"/>
      <c r="J19" s="1270" t="s">
        <v>732</v>
      </c>
      <c r="K19" s="1271"/>
      <c r="L19" s="1271" t="s">
        <v>733</v>
      </c>
      <c r="M19" s="1266">
        <v>1.0</v>
      </c>
      <c r="N19" s="1273">
        <v>2.0</v>
      </c>
      <c r="O19" s="1274">
        <v>3.0</v>
      </c>
      <c r="P19" s="1275">
        <v>4.0</v>
      </c>
      <c r="Q19" s="1"/>
    </row>
    <row r="20" ht="44.25" customHeight="1">
      <c r="A20" s="1"/>
      <c r="B20" s="1303" t="s">
        <v>734</v>
      </c>
      <c r="C20" s="1304"/>
      <c r="D20" s="1305" t="s">
        <v>735</v>
      </c>
      <c r="E20" s="1298">
        <v>2.0</v>
      </c>
      <c r="F20" s="1299">
        <v>4.0</v>
      </c>
      <c r="G20" s="1300">
        <v>6.0</v>
      </c>
      <c r="H20" s="1301">
        <v>8.0</v>
      </c>
      <c r="I20" s="1"/>
      <c r="J20" s="1303" t="s">
        <v>736</v>
      </c>
      <c r="K20" s="1304"/>
      <c r="L20" s="1306" t="s">
        <v>737</v>
      </c>
      <c r="M20" s="1307">
        <v>0.5</v>
      </c>
      <c r="N20" s="1308">
        <v>0.55</v>
      </c>
      <c r="O20" s="1309">
        <v>0.65</v>
      </c>
      <c r="P20" s="1310">
        <v>0.8</v>
      </c>
      <c r="Q20" s="1"/>
    </row>
    <row r="21" ht="15.75" customHeight="1">
      <c r="A21" s="1"/>
      <c r="B21" s="1"/>
      <c r="C21" s="1"/>
      <c r="D21" s="1"/>
      <c r="E21" s="1"/>
      <c r="F21" s="1"/>
      <c r="G21" s="1"/>
      <c r="H21" s="1"/>
      <c r="I21" s="1"/>
      <c r="J21" s="1"/>
      <c r="K21" s="1"/>
      <c r="L21" s="1311" t="s">
        <v>738</v>
      </c>
      <c r="M21" s="1312"/>
      <c r="N21" s="1312"/>
      <c r="O21" s="1312"/>
      <c r="P21" s="1313"/>
      <c r="Q21" s="1"/>
    </row>
  </sheetData>
  <mergeCells count="8">
    <mergeCell ref="J1:P1"/>
    <mergeCell ref="B2:P2"/>
    <mergeCell ref="L3:P3"/>
    <mergeCell ref="B4:H4"/>
    <mergeCell ref="J4:P4"/>
    <mergeCell ref="B13:H13"/>
    <mergeCell ref="J13:P13"/>
    <mergeCell ref="L21:P21"/>
  </mergeCells>
  <hyperlinks>
    <hyperlink r:id="rId1" ref="L21"/>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75"/>
  <cols>
    <col customWidth="1" min="1" max="1" width="5.71"/>
    <col customWidth="1" min="2" max="2" width="25.0"/>
    <col customWidth="1" min="3" max="5" width="8.71"/>
    <col customWidth="1" min="6" max="7" width="9.29"/>
    <col customWidth="1" min="8" max="8" width="9.43"/>
    <col customWidth="1" min="9" max="9" width="10.71"/>
    <col customWidth="1" min="10" max="10" width="30.57"/>
    <col customWidth="1" min="11" max="14" width="8.14"/>
    <col customWidth="1" min="15" max="15" width="9.29"/>
    <col customWidth="1" min="16" max="16" width="9.43"/>
    <col customWidth="1" min="17" max="17" width="5.71"/>
    <col customWidth="1" min="18" max="18" width="55.14"/>
  </cols>
  <sheetData>
    <row r="1">
      <c r="A1" s="1"/>
      <c r="B1" s="1"/>
      <c r="C1" s="1"/>
      <c r="D1" s="1"/>
      <c r="E1" s="1"/>
      <c r="F1" s="1"/>
      <c r="G1" s="1"/>
      <c r="H1" s="1"/>
      <c r="I1" s="1"/>
      <c r="J1" s="1"/>
      <c r="K1" s="1"/>
      <c r="L1" s="1"/>
      <c r="M1" s="1"/>
      <c r="N1" s="1"/>
      <c r="O1" s="1"/>
      <c r="P1" s="1"/>
      <c r="Q1" s="1"/>
      <c r="R1" s="1"/>
    </row>
    <row r="2" ht="45.0" customHeight="1">
      <c r="A2" s="1"/>
      <c r="B2" s="1314" t="s">
        <v>739</v>
      </c>
      <c r="C2" s="1254"/>
      <c r="D2" s="1254"/>
      <c r="E2" s="1254"/>
      <c r="F2" s="1254"/>
      <c r="G2" s="1254"/>
      <c r="H2" s="1254"/>
      <c r="I2" s="1254"/>
      <c r="J2" s="1254"/>
      <c r="K2" s="1254"/>
      <c r="L2" s="1254"/>
      <c r="M2" s="1254"/>
      <c r="N2" s="1254"/>
      <c r="O2" s="1254"/>
      <c r="P2" s="1315"/>
      <c r="Q2" s="1"/>
      <c r="R2" s="1"/>
    </row>
    <row r="3" ht="28.5" customHeight="1">
      <c r="A3" s="1"/>
      <c r="B3" s="1"/>
      <c r="C3" s="1"/>
      <c r="D3" s="1"/>
      <c r="E3" s="1"/>
      <c r="F3" s="1"/>
      <c r="G3" s="1"/>
      <c r="H3" s="1"/>
      <c r="I3" s="1"/>
      <c r="J3" s="1316" t="s">
        <v>740</v>
      </c>
      <c r="K3" s="1254"/>
      <c r="L3" s="1254"/>
      <c r="M3" s="1254"/>
      <c r="N3" s="1254"/>
      <c r="O3" s="1254"/>
      <c r="P3" s="1315"/>
      <c r="Q3" s="1"/>
      <c r="R3" s="1"/>
    </row>
    <row r="4" ht="6.75" customHeight="1">
      <c r="A4" s="1"/>
      <c r="B4" s="1"/>
      <c r="C4" s="1"/>
      <c r="D4" s="1"/>
      <c r="E4" s="1"/>
      <c r="F4" s="1"/>
      <c r="G4" s="1"/>
      <c r="H4" s="1"/>
      <c r="I4" s="1"/>
      <c r="J4" s="1256"/>
      <c r="K4" s="1256"/>
      <c r="L4" s="1256"/>
      <c r="M4" s="1256"/>
      <c r="N4" s="1256"/>
      <c r="O4" s="1256"/>
      <c r="P4" s="1256"/>
      <c r="Q4" s="1"/>
      <c r="R4" s="1"/>
    </row>
    <row r="5" ht="27.0" customHeight="1">
      <c r="A5" s="1"/>
      <c r="B5" s="1317" t="s">
        <v>741</v>
      </c>
      <c r="C5" s="1261"/>
      <c r="D5" s="1261"/>
      <c r="E5" s="1261"/>
      <c r="F5" s="1261"/>
      <c r="G5" s="1261"/>
      <c r="H5" s="1262"/>
      <c r="I5" s="1"/>
      <c r="J5" s="1317" t="s">
        <v>742</v>
      </c>
      <c r="K5" s="1261"/>
      <c r="L5" s="1261"/>
      <c r="M5" s="1261"/>
      <c r="N5" s="1261"/>
      <c r="O5" s="1261"/>
      <c r="P5" s="1262"/>
      <c r="Q5" s="1"/>
      <c r="R5" s="1"/>
    </row>
    <row r="6">
      <c r="A6" s="1"/>
      <c r="B6" s="1318" t="s">
        <v>179</v>
      </c>
      <c r="C6" s="1319" t="str">
        <f t="shared" ref="C6:C22" si="1">MOD_SUBSTAT_LOOKUP(B6,"common",1)</f>
        <v>+0.3</v>
      </c>
      <c r="D6" s="1320" t="str">
        <f t="shared" ref="D6:D22" si="2">MOD_SUBSTAT_LOOKUP(B6,"rare",1)</f>
        <v>+0.5</v>
      </c>
      <c r="E6" s="1321" t="str">
        <f t="shared" ref="E6:E22" si="3">MOD_SUBSTAT_LOOKUP(B6,"epic",1)</f>
        <v>+0.7</v>
      </c>
      <c r="F6" s="1322" t="str">
        <f t="shared" ref="F6:F22" si="4">MOD_SUBSTAT_LOOKUP(B6,"legendary",1)</f>
        <v>+1</v>
      </c>
      <c r="G6" s="1323" t="str">
        <f t="shared" ref="G6:G22" si="5">MOD_SUBSTAT_LOOKUP(B6,"mythic",1)</f>
        <v>+3</v>
      </c>
      <c r="H6" s="1324" t="str">
        <f t="shared" ref="H6:H22" si="6">MOD_SUBSTAT_LOOKUP(B6,"ancestral",1)</f>
        <v>+5</v>
      </c>
      <c r="I6" s="1"/>
      <c r="J6" s="1318" t="s">
        <v>339</v>
      </c>
      <c r="K6" s="1319" t="str">
        <f t="shared" ref="K6:K18" si="7">MOD_SUBSTAT_LOOKUP(J6,"common",1)</f>
        <v>+0.1x</v>
      </c>
      <c r="L6" s="1325" t="str">
        <f t="shared" ref="L6:L18" si="8">MOD_SUBSTAT_LOOKUP(J6,"rare",1)</f>
        <v>+0.2x</v>
      </c>
      <c r="M6" s="1326" t="str">
        <f t="shared" ref="M6:M18" si="9">MOD_SUBSTAT_LOOKUP(J6,"epic",1)</f>
        <v>+0.3x</v>
      </c>
      <c r="N6" s="1322" t="str">
        <f t="shared" ref="N6:N18" si="10">MOD_SUBSTAT_LOOKUP(J6,"legendary",1)</f>
        <v>+0.5x</v>
      </c>
      <c r="O6" s="1323" t="str">
        <f t="shared" ref="O6:O18" si="11">MOD_SUBSTAT_LOOKUP(J6,"mythic",1)</f>
        <v>+1.2x</v>
      </c>
      <c r="P6" s="1324" t="str">
        <f t="shared" ref="P6:P18" si="12">MOD_SUBSTAT_LOOKUP(J6,"ancestral",1)</f>
        <v>+2.5x</v>
      </c>
      <c r="Q6" s="1"/>
      <c r="R6" s="1"/>
    </row>
    <row r="7">
      <c r="A7" s="1"/>
      <c r="B7" s="1327" t="s">
        <v>288</v>
      </c>
      <c r="C7" s="1328" t="str">
        <f t="shared" si="1"/>
        <v>+2%</v>
      </c>
      <c r="D7" s="1329" t="str">
        <f t="shared" si="2"/>
        <v>+3%</v>
      </c>
      <c r="E7" s="1330" t="str">
        <f t="shared" si="3"/>
        <v>+4%</v>
      </c>
      <c r="F7" s="1331" t="str">
        <f t="shared" si="4"/>
        <v>+6%</v>
      </c>
      <c r="G7" s="1332" t="str">
        <f t="shared" si="5"/>
        <v>+8%</v>
      </c>
      <c r="H7" s="1333" t="str">
        <f t="shared" si="6"/>
        <v>+10%</v>
      </c>
      <c r="I7" s="1"/>
      <c r="J7" s="1318" t="s">
        <v>291</v>
      </c>
      <c r="K7" s="1334" t="str">
        <f t="shared" si="7"/>
        <v>+30</v>
      </c>
      <c r="L7" s="1325" t="str">
        <f t="shared" si="8"/>
        <v>+50</v>
      </c>
      <c r="M7" s="1326" t="str">
        <f t="shared" si="9"/>
        <v>+100</v>
      </c>
      <c r="N7" s="1322" t="str">
        <f t="shared" si="10"/>
        <v>+200</v>
      </c>
      <c r="O7" s="1323" t="str">
        <f t="shared" si="11"/>
        <v>+500</v>
      </c>
      <c r="P7" s="1324" t="str">
        <f t="shared" si="12"/>
        <v>+1000</v>
      </c>
      <c r="Q7" s="1"/>
      <c r="R7" s="1"/>
    </row>
    <row r="8">
      <c r="A8" s="1"/>
      <c r="B8" s="1318" t="s">
        <v>184</v>
      </c>
      <c r="C8" s="1319" t="str">
        <f t="shared" si="1"/>
        <v>+2x</v>
      </c>
      <c r="D8" s="1320" t="str">
        <f t="shared" si="2"/>
        <v>+4x</v>
      </c>
      <c r="E8" s="1321" t="str">
        <f t="shared" si="3"/>
        <v>+6x</v>
      </c>
      <c r="F8" s="1335" t="str">
        <f t="shared" si="4"/>
        <v>+8x</v>
      </c>
      <c r="G8" s="1336" t="str">
        <f t="shared" si="5"/>
        <v>+12x</v>
      </c>
      <c r="H8" s="1337" t="str">
        <f t="shared" si="6"/>
        <v>+15x</v>
      </c>
      <c r="I8" s="1"/>
      <c r="J8" s="1327" t="s">
        <v>213</v>
      </c>
      <c r="K8" s="1338" t="str">
        <f t="shared" si="7"/>
        <v>+0.1x</v>
      </c>
      <c r="L8" s="1339" t="str">
        <f t="shared" si="8"/>
        <v>+0.2x</v>
      </c>
      <c r="M8" s="1340" t="str">
        <f t="shared" si="9"/>
        <v>+0.3x</v>
      </c>
      <c r="N8" s="1341" t="str">
        <f t="shared" si="10"/>
        <v>+0.4x</v>
      </c>
      <c r="O8" s="1342" t="str">
        <f t="shared" si="11"/>
        <v>+0.5x</v>
      </c>
      <c r="P8" s="1343" t="str">
        <f t="shared" si="12"/>
        <v>+0.6x</v>
      </c>
      <c r="Q8" s="1"/>
      <c r="R8" s="1"/>
    </row>
    <row r="9">
      <c r="A9" s="1"/>
      <c r="B9" s="1327" t="s">
        <v>296</v>
      </c>
      <c r="C9" s="1344" t="str">
        <f t="shared" si="1"/>
        <v>+2.00m</v>
      </c>
      <c r="D9" s="1345" t="str">
        <f t="shared" si="2"/>
        <v>+4.00m</v>
      </c>
      <c r="E9" s="1346" t="str">
        <f t="shared" si="3"/>
        <v>+8.00m</v>
      </c>
      <c r="F9" s="1347" t="str">
        <f t="shared" si="4"/>
        <v>+12.00m</v>
      </c>
      <c r="G9" s="1348" t="str">
        <f t="shared" si="5"/>
        <v>+20.00m</v>
      </c>
      <c r="H9" s="1349" t="str">
        <f t="shared" si="6"/>
        <v>+30.00m</v>
      </c>
      <c r="I9" s="1"/>
      <c r="J9" s="1318" t="s">
        <v>299</v>
      </c>
      <c r="K9" s="1334" t="str">
        <f t="shared" si="7"/>
        <v>+20</v>
      </c>
      <c r="L9" s="1325" t="str">
        <f t="shared" si="8"/>
        <v>+35</v>
      </c>
      <c r="M9" s="1326" t="str">
        <f t="shared" si="9"/>
        <v>+60</v>
      </c>
      <c r="N9" s="1322" t="str">
        <f t="shared" si="10"/>
        <v>+120</v>
      </c>
      <c r="O9" s="1323" t="str">
        <f t="shared" si="11"/>
        <v>+200</v>
      </c>
      <c r="P9" s="1324" t="str">
        <f t="shared" si="12"/>
        <v>+350</v>
      </c>
      <c r="Q9" s="1"/>
      <c r="R9" s="1"/>
    </row>
    <row r="10">
      <c r="A10" s="1"/>
      <c r="B10" s="1327" t="s">
        <v>300</v>
      </c>
      <c r="C10" s="1344" t="str">
        <f t="shared" si="1"/>
        <v>+0.005x</v>
      </c>
      <c r="D10" s="1345" t="str">
        <f t="shared" si="2"/>
        <v>+0.010x</v>
      </c>
      <c r="E10" s="1346" t="str">
        <f t="shared" si="3"/>
        <v>+0.025x</v>
      </c>
      <c r="F10" s="1347" t="str">
        <f t="shared" si="4"/>
        <v>+0.040x</v>
      </c>
      <c r="G10" s="1348" t="str">
        <f t="shared" si="5"/>
        <v>+0.075x</v>
      </c>
      <c r="H10" s="1349" t="str">
        <f t="shared" si="6"/>
        <v>+0.150x</v>
      </c>
      <c r="I10" s="1"/>
      <c r="J10" s="1327" t="s">
        <v>219</v>
      </c>
      <c r="K10" s="1328" t="str">
        <f t="shared" si="7"/>
        <v>+2%</v>
      </c>
      <c r="L10" s="1329" t="str">
        <f t="shared" si="8"/>
        <v>+4%</v>
      </c>
      <c r="M10" s="1330" t="str">
        <f t="shared" si="9"/>
        <v>+6%</v>
      </c>
      <c r="N10" s="1331" t="str">
        <f t="shared" si="10"/>
        <v>+8%</v>
      </c>
      <c r="O10" s="1332" t="str">
        <f t="shared" si="11"/>
        <v>+10%</v>
      </c>
      <c r="P10" s="1333" t="str">
        <f t="shared" si="12"/>
        <v>+12%</v>
      </c>
      <c r="Q10" s="1"/>
      <c r="R10" s="1"/>
    </row>
    <row r="11">
      <c r="A11" s="1"/>
      <c r="B11" s="1327" t="s">
        <v>743</v>
      </c>
      <c r="C11" s="1344" t="str">
        <f t="shared" si="1"/>
        <v/>
      </c>
      <c r="D11" s="1329" t="str">
        <f t="shared" si="2"/>
        <v>+3%</v>
      </c>
      <c r="E11" s="1330" t="str">
        <f t="shared" si="3"/>
        <v>+5%</v>
      </c>
      <c r="F11" s="1331" t="str">
        <f t="shared" si="4"/>
        <v>+7%</v>
      </c>
      <c r="G11" s="1332" t="str">
        <f t="shared" si="5"/>
        <v>+10%</v>
      </c>
      <c r="H11" s="1333" t="str">
        <f t="shared" si="6"/>
        <v>+13%</v>
      </c>
      <c r="I11" s="1"/>
      <c r="J11" s="1318" t="s">
        <v>218</v>
      </c>
      <c r="K11" s="1350" t="str">
        <f t="shared" si="7"/>
        <v>+2%</v>
      </c>
      <c r="L11" s="1351" t="str">
        <f t="shared" si="8"/>
        <v>+4%</v>
      </c>
      <c r="M11" s="1352" t="str">
        <f t="shared" si="9"/>
        <v>+6%</v>
      </c>
      <c r="N11" s="1353" t="str">
        <f t="shared" si="10"/>
        <v>+8%</v>
      </c>
      <c r="O11" s="1354" t="str">
        <f t="shared" si="11"/>
        <v>+10%</v>
      </c>
      <c r="P11" s="1355" t="str">
        <f t="shared" si="12"/>
        <v>+12%</v>
      </c>
      <c r="Q11" s="1"/>
      <c r="R11" s="1"/>
    </row>
    <row r="12">
      <c r="A12" s="1"/>
      <c r="B12" s="1318" t="s">
        <v>183</v>
      </c>
      <c r="C12" s="1319" t="str">
        <f t="shared" si="1"/>
        <v/>
      </c>
      <c r="D12" s="1320" t="str">
        <f t="shared" si="2"/>
        <v/>
      </c>
      <c r="E12" s="1326" t="str">
        <f t="shared" si="3"/>
        <v>+1</v>
      </c>
      <c r="F12" s="1322" t="str">
        <f t="shared" si="4"/>
        <v>+2</v>
      </c>
      <c r="G12" s="1323" t="str">
        <f t="shared" si="5"/>
        <v>+3</v>
      </c>
      <c r="H12" s="1324" t="str">
        <f t="shared" si="6"/>
        <v>+4</v>
      </c>
      <c r="I12" s="1"/>
      <c r="J12" s="1318" t="s">
        <v>215</v>
      </c>
      <c r="K12" s="1350" t="str">
        <f t="shared" si="7"/>
        <v>+2%</v>
      </c>
      <c r="L12" s="1351" t="str">
        <f t="shared" si="8"/>
        <v>+4%</v>
      </c>
      <c r="M12" s="1352" t="str">
        <f t="shared" si="9"/>
        <v>+6%</v>
      </c>
      <c r="N12" s="1353" t="str">
        <f t="shared" si="10"/>
        <v>+8%</v>
      </c>
      <c r="O12" s="1354" t="str">
        <f t="shared" si="11"/>
        <v>+10%</v>
      </c>
      <c r="P12" s="1355" t="str">
        <f t="shared" si="12"/>
        <v>+12%</v>
      </c>
      <c r="Q12" s="1"/>
      <c r="R12" s="1"/>
    </row>
    <row r="13">
      <c r="A13" s="1"/>
      <c r="B13" s="1356" t="s">
        <v>305</v>
      </c>
      <c r="C13" s="1344" t="str">
        <f t="shared" si="1"/>
        <v/>
      </c>
      <c r="D13" s="1329" t="str">
        <f t="shared" si="2"/>
        <v>+2%</v>
      </c>
      <c r="E13" s="1330" t="str">
        <f t="shared" si="3"/>
        <v>+4%</v>
      </c>
      <c r="F13" s="1331" t="str">
        <f t="shared" si="4"/>
        <v>+6%</v>
      </c>
      <c r="G13" s="1332" t="str">
        <f t="shared" si="5"/>
        <v>+9%</v>
      </c>
      <c r="H13" s="1333" t="str">
        <f t="shared" si="6"/>
        <v>+12%</v>
      </c>
      <c r="I13" s="1"/>
      <c r="J13" s="1327" t="s">
        <v>306</v>
      </c>
      <c r="K13" s="1338" t="str">
        <f t="shared" si="7"/>
        <v/>
      </c>
      <c r="L13" s="1339" t="str">
        <f t="shared" si="8"/>
        <v/>
      </c>
      <c r="M13" s="1330" t="str">
        <f t="shared" si="9"/>
        <v>+2%</v>
      </c>
      <c r="N13" s="1331" t="str">
        <f t="shared" si="10"/>
        <v>+4%</v>
      </c>
      <c r="O13" s="1332" t="str">
        <f t="shared" si="11"/>
        <v>+6%</v>
      </c>
      <c r="P13" s="1333" t="str">
        <f t="shared" si="12"/>
        <v>+8%</v>
      </c>
      <c r="Q13" s="1"/>
      <c r="R13" s="1"/>
    </row>
    <row r="14">
      <c r="A14" s="1"/>
      <c r="B14" s="1357" t="s">
        <v>307</v>
      </c>
      <c r="C14" s="1319" t="str">
        <f t="shared" si="1"/>
        <v/>
      </c>
      <c r="D14" s="1320" t="str">
        <f t="shared" si="2"/>
        <v>+0.4s</v>
      </c>
      <c r="E14" s="1321" t="str">
        <f t="shared" si="3"/>
        <v>+0.8s</v>
      </c>
      <c r="F14" s="1335" t="str">
        <f t="shared" si="4"/>
        <v>+1.4s</v>
      </c>
      <c r="G14" s="1336" t="str">
        <f t="shared" si="5"/>
        <v>+2.5s</v>
      </c>
      <c r="H14" s="1337" t="str">
        <f t="shared" si="6"/>
        <v>+3.5s</v>
      </c>
      <c r="I14" s="1"/>
      <c r="J14" s="1327" t="s">
        <v>310</v>
      </c>
      <c r="K14" s="1338" t="str">
        <f t="shared" si="7"/>
        <v/>
      </c>
      <c r="L14" s="1339" t="str">
        <f t="shared" si="8"/>
        <v/>
      </c>
      <c r="M14" s="1330" t="str">
        <f t="shared" si="9"/>
        <v>+3%</v>
      </c>
      <c r="N14" s="1331" t="str">
        <f t="shared" si="10"/>
        <v>+5%</v>
      </c>
      <c r="O14" s="1332" t="str">
        <f t="shared" si="11"/>
        <v>+7%</v>
      </c>
      <c r="P14" s="1333" t="str">
        <f t="shared" si="12"/>
        <v>+10%</v>
      </c>
      <c r="Q14" s="1"/>
      <c r="R14" s="1"/>
    </row>
    <row r="15">
      <c r="A15" s="1"/>
      <c r="B15" s="1327" t="s">
        <v>182</v>
      </c>
      <c r="C15" s="1344" t="str">
        <f t="shared" si="1"/>
        <v/>
      </c>
      <c r="D15" s="1329" t="str">
        <f t="shared" si="2"/>
        <v>+2%</v>
      </c>
      <c r="E15" s="1330" t="str">
        <f t="shared" si="3"/>
        <v>+3%</v>
      </c>
      <c r="F15" s="1331" t="str">
        <f t="shared" si="4"/>
        <v>+5%</v>
      </c>
      <c r="G15" s="1332" t="str">
        <f t="shared" si="5"/>
        <v>+9%</v>
      </c>
      <c r="H15" s="1333" t="str">
        <f t="shared" si="6"/>
        <v>+12%</v>
      </c>
      <c r="I15" s="1"/>
      <c r="J15" s="1318" t="s">
        <v>312</v>
      </c>
      <c r="K15" s="1334" t="str">
        <f t="shared" si="7"/>
        <v/>
      </c>
      <c r="L15" s="1325" t="str">
        <f t="shared" si="8"/>
        <v/>
      </c>
      <c r="M15" s="1326" t="str">
        <f t="shared" si="9"/>
        <v>+0.4x</v>
      </c>
      <c r="N15" s="1322" t="str">
        <f t="shared" si="10"/>
        <v>+0.7x</v>
      </c>
      <c r="O15" s="1323" t="str">
        <f t="shared" si="11"/>
        <v>+1x</v>
      </c>
      <c r="P15" s="1324" t="str">
        <f t="shared" si="12"/>
        <v>+1.5x</v>
      </c>
      <c r="Q15" s="1"/>
      <c r="R15" s="1"/>
    </row>
    <row r="16">
      <c r="A16" s="1"/>
      <c r="B16" s="1318" t="s">
        <v>185</v>
      </c>
      <c r="C16" s="1319" t="str">
        <f t="shared" si="1"/>
        <v/>
      </c>
      <c r="D16" s="1320" t="str">
        <f t="shared" si="2"/>
        <v/>
      </c>
      <c r="E16" s="1326" t="str">
        <f t="shared" si="3"/>
        <v>+1</v>
      </c>
      <c r="F16" s="1322" t="str">
        <f t="shared" si="4"/>
        <v>+2</v>
      </c>
      <c r="G16" s="1323" t="str">
        <f t="shared" si="5"/>
        <v>+3</v>
      </c>
      <c r="H16" s="1324" t="str">
        <f t="shared" si="6"/>
        <v>+4</v>
      </c>
      <c r="I16" s="1"/>
      <c r="J16" s="1318" t="s">
        <v>214</v>
      </c>
      <c r="K16" s="1334" t="str">
        <f t="shared" si="7"/>
        <v/>
      </c>
      <c r="L16" s="1325" t="str">
        <f t="shared" si="8"/>
        <v/>
      </c>
      <c r="M16" s="1352" t="str">
        <f t="shared" si="9"/>
        <v>+5%</v>
      </c>
      <c r="N16" s="1353" t="str">
        <f t="shared" si="10"/>
        <v>+8%</v>
      </c>
      <c r="O16" s="1354" t="str">
        <f t="shared" si="11"/>
        <v>+11%</v>
      </c>
      <c r="P16" s="1355" t="str">
        <f t="shared" si="12"/>
        <v>+15%</v>
      </c>
      <c r="Q16" s="1"/>
      <c r="R16" s="1"/>
    </row>
    <row r="17">
      <c r="A17" s="1"/>
      <c r="B17" s="1318" t="s">
        <v>315</v>
      </c>
      <c r="C17" s="1319" t="str">
        <f t="shared" si="1"/>
        <v/>
      </c>
      <c r="D17" s="1320" t="str">
        <f t="shared" si="2"/>
        <v>+0.50m</v>
      </c>
      <c r="E17" s="1321" t="str">
        <f t="shared" si="3"/>
        <v>+0.80m</v>
      </c>
      <c r="F17" s="1335" t="str">
        <f t="shared" si="4"/>
        <v>+1.20m</v>
      </c>
      <c r="G17" s="1336" t="str">
        <f t="shared" si="5"/>
        <v>+1.80m</v>
      </c>
      <c r="H17" s="1337" t="str">
        <f t="shared" si="6"/>
        <v>+2.00m</v>
      </c>
      <c r="I17" s="1"/>
      <c r="J17" s="1327" t="s">
        <v>217</v>
      </c>
      <c r="K17" s="1338" t="str">
        <f t="shared" si="7"/>
        <v/>
      </c>
      <c r="L17" s="1339" t="str">
        <f t="shared" si="8"/>
        <v/>
      </c>
      <c r="M17" s="1330" t="str">
        <f t="shared" si="9"/>
        <v>+2%</v>
      </c>
      <c r="N17" s="1331" t="str">
        <f t="shared" si="10"/>
        <v>+4%</v>
      </c>
      <c r="O17" s="1332" t="str">
        <f t="shared" si="11"/>
        <v>+6%</v>
      </c>
      <c r="P17" s="1333" t="str">
        <f t="shared" si="12"/>
        <v>+8%</v>
      </c>
      <c r="Q17" s="1"/>
      <c r="R17" s="1"/>
    </row>
    <row r="18">
      <c r="A18" s="1"/>
      <c r="B18" s="1327" t="s">
        <v>317</v>
      </c>
      <c r="C18" s="1344" t="str">
        <f t="shared" si="1"/>
        <v/>
      </c>
      <c r="D18" s="1345" t="str">
        <f t="shared" si="2"/>
        <v/>
      </c>
      <c r="E18" s="1330" t="str">
        <f t="shared" si="3"/>
        <v>+3%</v>
      </c>
      <c r="F18" s="1331" t="str">
        <f t="shared" si="4"/>
        <v>+5%</v>
      </c>
      <c r="G18" s="1332" t="str">
        <f t="shared" si="5"/>
        <v>+7%</v>
      </c>
      <c r="H18" s="1333" t="str">
        <f t="shared" si="6"/>
        <v>+10%</v>
      </c>
      <c r="I18" s="1"/>
      <c r="J18" s="1358" t="s">
        <v>216</v>
      </c>
      <c r="K18" s="1359" t="str">
        <f t="shared" si="7"/>
        <v/>
      </c>
      <c r="L18" s="1360" t="str">
        <f t="shared" si="8"/>
        <v/>
      </c>
      <c r="M18" s="1361" t="str">
        <f t="shared" si="9"/>
        <v>+2%</v>
      </c>
      <c r="N18" s="1362" t="str">
        <f t="shared" si="10"/>
        <v>+4%</v>
      </c>
      <c r="O18" s="1363" t="str">
        <f t="shared" si="11"/>
        <v>+6%</v>
      </c>
      <c r="P18" s="1364" t="str">
        <f t="shared" si="12"/>
        <v>+8%</v>
      </c>
      <c r="Q18" s="1"/>
      <c r="R18" s="1"/>
    </row>
    <row r="19">
      <c r="A19" s="1"/>
      <c r="B19" s="1357" t="s">
        <v>186</v>
      </c>
      <c r="C19" s="1319" t="str">
        <f t="shared" si="1"/>
        <v/>
      </c>
      <c r="D19" s="1320" t="str">
        <f t="shared" si="2"/>
        <v/>
      </c>
      <c r="E19" s="1321" t="str">
        <f t="shared" si="3"/>
        <v>+2x</v>
      </c>
      <c r="F19" s="1335" t="str">
        <f t="shared" si="4"/>
        <v>+3x</v>
      </c>
      <c r="G19" s="1336" t="str">
        <f t="shared" si="5"/>
        <v>+5x</v>
      </c>
      <c r="H19" s="1337" t="str">
        <f t="shared" si="6"/>
        <v>+7x</v>
      </c>
      <c r="I19" s="1"/>
      <c r="J19" s="1"/>
      <c r="K19" s="1"/>
      <c r="L19" s="1"/>
      <c r="M19" s="1"/>
      <c r="N19" s="1"/>
      <c r="O19" s="1"/>
      <c r="P19" s="1"/>
      <c r="Q19" s="1"/>
      <c r="R19" s="1"/>
    </row>
    <row r="20">
      <c r="A20" s="1"/>
      <c r="B20" s="1327" t="s">
        <v>320</v>
      </c>
      <c r="C20" s="1344" t="str">
        <f t="shared" si="1"/>
        <v/>
      </c>
      <c r="D20" s="1345" t="str">
        <f t="shared" si="2"/>
        <v/>
      </c>
      <c r="E20" s="1346" t="str">
        <f t="shared" si="3"/>
        <v/>
      </c>
      <c r="F20" s="1331" t="str">
        <f t="shared" si="4"/>
        <v>+2%</v>
      </c>
      <c r="G20" s="1332" t="str">
        <f t="shared" si="5"/>
        <v>+5%</v>
      </c>
      <c r="H20" s="1333" t="str">
        <f t="shared" si="6"/>
        <v>+8%</v>
      </c>
      <c r="I20" s="1"/>
      <c r="J20" s="1365"/>
      <c r="K20" s="1365"/>
      <c r="L20" s="1"/>
      <c r="M20" s="1"/>
      <c r="N20" s="1365"/>
      <c r="O20" s="1"/>
      <c r="P20" s="1"/>
      <c r="Q20" s="1"/>
      <c r="R20" s="1"/>
    </row>
    <row r="21">
      <c r="A21" s="1"/>
      <c r="B21" s="1357" t="s">
        <v>322</v>
      </c>
      <c r="C21" s="1319" t="str">
        <f t="shared" si="1"/>
        <v/>
      </c>
      <c r="D21" s="1320" t="str">
        <f t="shared" si="2"/>
        <v/>
      </c>
      <c r="E21" s="1321" t="str">
        <f t="shared" si="3"/>
        <v/>
      </c>
      <c r="F21" s="1353" t="str">
        <f t="shared" si="4"/>
        <v>+2%</v>
      </c>
      <c r="G21" s="1354" t="str">
        <f t="shared" si="5"/>
        <v>+5%</v>
      </c>
      <c r="H21" s="1355" t="str">
        <f t="shared" si="6"/>
        <v>+8%</v>
      </c>
      <c r="I21" s="1"/>
      <c r="J21" s="1365"/>
      <c r="K21" s="1365"/>
      <c r="L21" s="1"/>
      <c r="M21" s="1"/>
      <c r="N21" s="1365"/>
      <c r="O21" s="1"/>
      <c r="P21" s="1"/>
      <c r="Q21" s="1"/>
      <c r="R21" s="1"/>
    </row>
    <row r="22">
      <c r="A22" s="1"/>
      <c r="B22" s="1366" t="s">
        <v>324</v>
      </c>
      <c r="C22" s="1367" t="str">
        <f t="shared" si="1"/>
        <v/>
      </c>
      <c r="D22" s="1368" t="str">
        <f t="shared" si="2"/>
        <v/>
      </c>
      <c r="E22" s="1369" t="str">
        <f t="shared" si="3"/>
        <v/>
      </c>
      <c r="F22" s="1370" t="str">
        <f t="shared" si="4"/>
        <v>+200%</v>
      </c>
      <c r="G22" s="1371" t="str">
        <f t="shared" si="5"/>
        <v>+300%</v>
      </c>
      <c r="H22" s="1372" t="str">
        <f t="shared" si="6"/>
        <v>+500%</v>
      </c>
      <c r="I22" s="1"/>
      <c r="J22" s="1365"/>
      <c r="K22" s="1365"/>
      <c r="L22" s="1"/>
      <c r="M22" s="1"/>
      <c r="N22" s="1365"/>
      <c r="O22" s="1"/>
      <c r="P22" s="1"/>
      <c r="Q22" s="1"/>
      <c r="R22" s="1"/>
    </row>
    <row r="23">
      <c r="A23" s="1"/>
      <c r="B23" s="1"/>
      <c r="C23" s="1"/>
      <c r="D23" s="1"/>
      <c r="E23" s="1"/>
      <c r="F23" s="1"/>
      <c r="G23" s="1"/>
      <c r="H23" s="1"/>
      <c r="I23" s="1"/>
      <c r="J23" s="1"/>
      <c r="K23" s="1"/>
      <c r="L23" s="1"/>
      <c r="M23" s="1"/>
      <c r="N23" s="1"/>
      <c r="O23" s="1"/>
      <c r="P23" s="1"/>
      <c r="Q23" s="1"/>
      <c r="R23" s="1"/>
    </row>
    <row r="24">
      <c r="A24" s="1"/>
      <c r="B24" s="1317" t="s">
        <v>744</v>
      </c>
      <c r="C24" s="1261"/>
      <c r="D24" s="1261"/>
      <c r="E24" s="1261"/>
      <c r="F24" s="1261"/>
      <c r="G24" s="1261"/>
      <c r="H24" s="1262"/>
      <c r="I24" s="1"/>
      <c r="J24" s="1317" t="s">
        <v>745</v>
      </c>
      <c r="K24" s="1261"/>
      <c r="L24" s="1261"/>
      <c r="M24" s="1261"/>
      <c r="N24" s="1261"/>
      <c r="O24" s="1261"/>
      <c r="P24" s="1262"/>
      <c r="Q24" s="1"/>
      <c r="R24" s="1"/>
    </row>
    <row r="25">
      <c r="A25" s="1"/>
      <c r="B25" s="1318" t="s">
        <v>199</v>
      </c>
      <c r="C25" s="1319" t="str">
        <f t="shared" ref="C25:C41" si="13">MOD_SUBSTAT_LOOKUP(B25,"common",1)</f>
        <v>+20%</v>
      </c>
      <c r="D25" s="1373" t="str">
        <f t="shared" ref="D25:D41" si="14">MOD_SUBSTAT_LOOKUP(B25,"rare",1)</f>
        <v>+40%</v>
      </c>
      <c r="E25" s="1374" t="str">
        <f t="shared" ref="E25:E41" si="15">MOD_SUBSTAT_LOOKUP(B25,"epic",1)</f>
        <v>+60%</v>
      </c>
      <c r="F25" s="1375" t="str">
        <f t="shared" ref="F25:F41" si="16">MOD_SUBSTAT_LOOKUP(B25,"legendary",1)</f>
        <v>+100%</v>
      </c>
      <c r="G25" s="1376" t="str">
        <f t="shared" ref="G25:G41" si="17">MOD_SUBSTAT_LOOKUP(B25,"mythic",1)</f>
        <v>+200%</v>
      </c>
      <c r="H25" s="1377" t="str">
        <f t="shared" ref="H25:H41" si="18">MOD_SUBSTAT_LOOKUP(B25,"ancestral",1)</f>
        <v>+400%</v>
      </c>
      <c r="I25" s="1"/>
      <c r="J25" s="1318" t="s">
        <v>240</v>
      </c>
      <c r="K25" s="1319" t="str">
        <f t="shared" ref="K25:K50" si="19">MOD_SUBSTAT_LOOKUP(J25,"common",1)</f>
        <v>+8x</v>
      </c>
      <c r="L25" s="1320" t="str">
        <f t="shared" ref="L25:L50" si="20">MOD_SUBSTAT_LOOKUP(J25,"rare",1)</f>
        <v>+15x</v>
      </c>
      <c r="M25" s="1321" t="str">
        <f t="shared" ref="M25:M50" si="21">MOD_SUBSTAT_LOOKUP(J25,"epic",1)</f>
        <v>+25x</v>
      </c>
      <c r="N25" s="1335" t="str">
        <f t="shared" ref="N25:N50" si="22">MOD_SUBSTAT_LOOKUP(J25,"legendary",1)</f>
        <v>+50x</v>
      </c>
      <c r="O25" s="1336" t="str">
        <f t="shared" ref="O25:O50" si="23">MOD_SUBSTAT_LOOKUP(J25,"mythic",1)</f>
        <v>+100x</v>
      </c>
      <c r="P25" s="1337" t="str">
        <f t="shared" ref="P25:P50" si="24">MOD_SUBSTAT_LOOKUP(J25,"ancestral",1)</f>
        <v>+250x</v>
      </c>
      <c r="Q25" s="1"/>
      <c r="R25" s="1"/>
    </row>
    <row r="26">
      <c r="A26" s="1"/>
      <c r="B26" s="1356" t="s">
        <v>198</v>
      </c>
      <c r="C26" s="1328" t="str">
        <f t="shared" si="13"/>
        <v>+1%</v>
      </c>
      <c r="D26" s="1329" t="str">
        <f t="shared" si="14"/>
        <v>+2%</v>
      </c>
      <c r="E26" s="1330" t="str">
        <f t="shared" si="15"/>
        <v>+3%</v>
      </c>
      <c r="F26" s="1331" t="str">
        <f t="shared" si="16"/>
        <v>+5%</v>
      </c>
      <c r="G26" s="1332" t="str">
        <f t="shared" si="17"/>
        <v>+6%</v>
      </c>
      <c r="H26" s="1333" t="str">
        <f t="shared" si="18"/>
        <v>+8%</v>
      </c>
      <c r="I26" s="1"/>
      <c r="J26" s="1318" t="s">
        <v>238</v>
      </c>
      <c r="K26" s="1319" t="str">
        <f t="shared" si="19"/>
        <v/>
      </c>
      <c r="L26" s="1320" t="str">
        <f t="shared" si="20"/>
        <v/>
      </c>
      <c r="M26" s="1321" t="str">
        <f t="shared" si="21"/>
        <v>+1</v>
      </c>
      <c r="N26" s="1335" t="str">
        <f t="shared" si="22"/>
        <v>+2</v>
      </c>
      <c r="O26" s="1336" t="str">
        <f t="shared" si="23"/>
        <v>+3</v>
      </c>
      <c r="P26" s="1337" t="str">
        <f t="shared" si="24"/>
        <v>+4</v>
      </c>
      <c r="Q26" s="1"/>
      <c r="R26" s="1"/>
    </row>
    <row r="27">
      <c r="A27" s="1"/>
      <c r="B27" s="1318" t="s">
        <v>294</v>
      </c>
      <c r="C27" s="1378" t="str">
        <f t="shared" si="13"/>
        <v>+15%</v>
      </c>
      <c r="D27" s="1373" t="str">
        <f t="shared" si="14"/>
        <v>+25%</v>
      </c>
      <c r="E27" s="1374" t="str">
        <f t="shared" si="15"/>
        <v>+40%</v>
      </c>
      <c r="F27" s="1375" t="str">
        <f t="shared" si="16"/>
        <v>+100%</v>
      </c>
      <c r="G27" s="1376" t="str">
        <f t="shared" si="17"/>
        <v>+500%</v>
      </c>
      <c r="H27" s="1377" t="str">
        <f t="shared" si="18"/>
        <v>+1000%</v>
      </c>
      <c r="I27" s="1"/>
      <c r="J27" s="1318" t="s">
        <v>230</v>
      </c>
      <c r="K27" s="1319" t="str">
        <f t="shared" si="19"/>
        <v>+2%</v>
      </c>
      <c r="L27" s="1320" t="str">
        <f t="shared" si="20"/>
        <v>+4%</v>
      </c>
      <c r="M27" s="1321" t="str">
        <f t="shared" si="21"/>
        <v>+6%</v>
      </c>
      <c r="N27" s="1335" t="str">
        <f t="shared" si="22"/>
        <v>+9%</v>
      </c>
      <c r="O27" s="1336" t="str">
        <f t="shared" si="23"/>
        <v>+12%</v>
      </c>
      <c r="P27" s="1337" t="str">
        <f t="shared" si="24"/>
        <v>+15%</v>
      </c>
      <c r="Q27" s="1"/>
      <c r="R27" s="1"/>
    </row>
    <row r="28">
      <c r="A28" s="1"/>
      <c r="B28" s="1327" t="s">
        <v>204</v>
      </c>
      <c r="C28" s="1344" t="str">
        <f t="shared" si="13"/>
        <v/>
      </c>
      <c r="D28" s="1345" t="str">
        <f t="shared" si="14"/>
        <v/>
      </c>
      <c r="E28" s="1330" t="str">
        <f t="shared" si="15"/>
        <v>+2%</v>
      </c>
      <c r="F28" s="1331" t="str">
        <f t="shared" si="16"/>
        <v>+4%</v>
      </c>
      <c r="G28" s="1332" t="str">
        <f t="shared" si="17"/>
        <v>+7%</v>
      </c>
      <c r="H28" s="1333" t="str">
        <f t="shared" si="18"/>
        <v>+10%</v>
      </c>
      <c r="I28" s="1"/>
      <c r="J28" s="1327" t="s">
        <v>321</v>
      </c>
      <c r="K28" s="1344" t="str">
        <f t="shared" si="19"/>
        <v>+8x</v>
      </c>
      <c r="L28" s="1345" t="str">
        <f t="shared" si="20"/>
        <v>+15x</v>
      </c>
      <c r="M28" s="1346" t="str">
        <f t="shared" si="21"/>
        <v>+25x</v>
      </c>
      <c r="N28" s="1347" t="str">
        <f t="shared" si="22"/>
        <v>+50x</v>
      </c>
      <c r="O28" s="1348" t="str">
        <f t="shared" si="23"/>
        <v>+100x</v>
      </c>
      <c r="P28" s="1349" t="str">
        <f t="shared" si="24"/>
        <v>+250x</v>
      </c>
      <c r="Q28" s="1"/>
      <c r="R28" s="1"/>
    </row>
    <row r="29">
      <c r="A29" s="1"/>
      <c r="B29" s="1327" t="s">
        <v>302</v>
      </c>
      <c r="C29" s="1344" t="str">
        <f t="shared" si="13"/>
        <v/>
      </c>
      <c r="D29" s="1345" t="str">
        <f t="shared" si="14"/>
        <v/>
      </c>
      <c r="E29" s="1346" t="str">
        <f t="shared" si="15"/>
        <v>+0.3%</v>
      </c>
      <c r="F29" s="1347" t="str">
        <f t="shared" si="16"/>
        <v>+0.5%</v>
      </c>
      <c r="G29" s="1348" t="str">
        <f t="shared" si="17"/>
        <v>+1.5%</v>
      </c>
      <c r="H29" s="1379" t="str">
        <f t="shared" si="18"/>
        <v>+2.0%</v>
      </c>
      <c r="I29" s="1"/>
      <c r="J29" s="1318" t="s">
        <v>323</v>
      </c>
      <c r="K29" s="1319" t="str">
        <f t="shared" si="19"/>
        <v/>
      </c>
      <c r="L29" s="1320" t="str">
        <f t="shared" si="20"/>
        <v/>
      </c>
      <c r="M29" s="1321" t="str">
        <f t="shared" si="21"/>
        <v>+1</v>
      </c>
      <c r="N29" s="1335" t="str">
        <f t="shared" si="22"/>
        <v>+2</v>
      </c>
      <c r="O29" s="1336" t="str">
        <f t="shared" si="23"/>
        <v>+4</v>
      </c>
      <c r="P29" s="1337" t="str">
        <f t="shared" si="24"/>
        <v>+5</v>
      </c>
      <c r="Q29" s="1"/>
      <c r="R29" s="1"/>
    </row>
    <row r="30">
      <c r="A30" s="1"/>
      <c r="B30" s="1327" t="s">
        <v>303</v>
      </c>
      <c r="C30" s="1344" t="str">
        <f t="shared" si="13"/>
        <v/>
      </c>
      <c r="D30" s="1345" t="str">
        <f t="shared" si="14"/>
        <v/>
      </c>
      <c r="E30" s="1330" t="str">
        <f t="shared" si="15"/>
        <v>+2%</v>
      </c>
      <c r="F30" s="1331" t="str">
        <f t="shared" si="16"/>
        <v>+4%</v>
      </c>
      <c r="G30" s="1332" t="str">
        <f t="shared" si="17"/>
        <v>+6%</v>
      </c>
      <c r="H30" s="1333" t="str">
        <f t="shared" si="18"/>
        <v>+9%</v>
      </c>
      <c r="I30" s="1"/>
      <c r="J30" s="1318" t="s">
        <v>327</v>
      </c>
      <c r="K30" s="1319" t="str">
        <f t="shared" si="19"/>
        <v/>
      </c>
      <c r="L30" s="1320" t="str">
        <f t="shared" si="20"/>
        <v/>
      </c>
      <c r="M30" s="1321" t="str">
        <f t="shared" si="21"/>
        <v/>
      </c>
      <c r="N30" s="1335" t="str">
        <f t="shared" si="22"/>
        <v>-2s</v>
      </c>
      <c r="O30" s="1336" t="str">
        <f t="shared" si="23"/>
        <v>-4s</v>
      </c>
      <c r="P30" s="1337" t="str">
        <f t="shared" si="24"/>
        <v>-6s</v>
      </c>
      <c r="Q30" s="1"/>
      <c r="R30" s="1"/>
    </row>
    <row r="31">
      <c r="A31" s="1"/>
      <c r="B31" s="1318" t="s">
        <v>202</v>
      </c>
      <c r="C31" s="1319" t="str">
        <f t="shared" si="13"/>
        <v/>
      </c>
      <c r="D31" s="1320" t="str">
        <f t="shared" si="14"/>
        <v/>
      </c>
      <c r="E31" s="1321" t="str">
        <f t="shared" si="15"/>
        <v>+0.1</v>
      </c>
      <c r="F31" s="1335" t="str">
        <f t="shared" si="16"/>
        <v>+0.4</v>
      </c>
      <c r="G31" s="1336" t="str">
        <f t="shared" si="17"/>
        <v>+0.9</v>
      </c>
      <c r="H31" s="1337" t="str">
        <f t="shared" si="18"/>
        <v>+1.5</v>
      </c>
      <c r="I31" s="1"/>
      <c r="J31" s="1327" t="s">
        <v>244</v>
      </c>
      <c r="K31" s="1344" t="str">
        <f t="shared" si="19"/>
        <v>+8x</v>
      </c>
      <c r="L31" s="1345" t="str">
        <f t="shared" si="20"/>
        <v>+15x</v>
      </c>
      <c r="M31" s="1346" t="str">
        <f t="shared" si="21"/>
        <v>+25x</v>
      </c>
      <c r="N31" s="1347" t="str">
        <f t="shared" si="22"/>
        <v>+50x</v>
      </c>
      <c r="O31" s="1348" t="str">
        <f t="shared" si="23"/>
        <v>+100x</v>
      </c>
      <c r="P31" s="1349" t="str">
        <f t="shared" si="24"/>
        <v>+250x</v>
      </c>
      <c r="Q31" s="1"/>
      <c r="R31" s="1"/>
    </row>
    <row r="32">
      <c r="A32" s="1"/>
      <c r="B32" s="1327" t="s">
        <v>197</v>
      </c>
      <c r="C32" s="1344" t="str">
        <f t="shared" si="13"/>
        <v/>
      </c>
      <c r="D32" s="1345" t="str">
        <f t="shared" si="14"/>
        <v/>
      </c>
      <c r="E32" s="1346" t="str">
        <f t="shared" si="15"/>
        <v>+1</v>
      </c>
      <c r="F32" s="1347" t="str">
        <f t="shared" si="16"/>
        <v>+1.5</v>
      </c>
      <c r="G32" s="1348" t="str">
        <f t="shared" si="17"/>
        <v>+2</v>
      </c>
      <c r="H32" s="1349" t="str">
        <f t="shared" si="18"/>
        <v>+3</v>
      </c>
      <c r="I32" s="1"/>
      <c r="J32" s="1318" t="s">
        <v>229</v>
      </c>
      <c r="K32" s="1319" t="str">
        <f t="shared" si="19"/>
        <v/>
      </c>
      <c r="L32" s="1320" t="str">
        <f t="shared" si="20"/>
        <v/>
      </c>
      <c r="M32" s="1321" t="str">
        <f t="shared" si="21"/>
        <v/>
      </c>
      <c r="N32" s="1322" t="str">
        <f t="shared" si="22"/>
        <v>+1</v>
      </c>
      <c r="O32" s="1323" t="str">
        <f t="shared" si="23"/>
        <v>+2</v>
      </c>
      <c r="P32" s="1324" t="str">
        <f t="shared" si="24"/>
        <v>+3</v>
      </c>
      <c r="Q32" s="1"/>
      <c r="R32" s="1"/>
    </row>
    <row r="33">
      <c r="A33" s="1"/>
      <c r="B33" s="1318" t="s">
        <v>309</v>
      </c>
      <c r="C33" s="1319" t="str">
        <f t="shared" si="13"/>
        <v/>
      </c>
      <c r="D33" s="1320" t="str">
        <f t="shared" si="14"/>
        <v/>
      </c>
      <c r="E33" s="1321" t="str">
        <f t="shared" si="15"/>
        <v/>
      </c>
      <c r="F33" s="1335" t="str">
        <f t="shared" si="16"/>
        <v/>
      </c>
      <c r="G33" s="1323" t="str">
        <f t="shared" si="17"/>
        <v>+1</v>
      </c>
      <c r="H33" s="1324" t="str">
        <f t="shared" si="18"/>
        <v>+2</v>
      </c>
      <c r="I33" s="1"/>
      <c r="J33" s="1318" t="s">
        <v>241</v>
      </c>
      <c r="K33" s="1319" t="str">
        <f t="shared" si="19"/>
        <v/>
      </c>
      <c r="L33" s="1320" t="str">
        <f t="shared" si="20"/>
        <v/>
      </c>
      <c r="M33" s="1321" t="str">
        <f t="shared" si="21"/>
        <v/>
      </c>
      <c r="N33" s="1335" t="str">
        <f t="shared" si="22"/>
        <v>-6s</v>
      </c>
      <c r="O33" s="1336" t="str">
        <f t="shared" si="23"/>
        <v>-10s</v>
      </c>
      <c r="P33" s="1337" t="str">
        <f t="shared" si="24"/>
        <v>-13s</v>
      </c>
      <c r="Q33" s="1"/>
      <c r="R33" s="1"/>
    </row>
    <row r="34">
      <c r="A34" s="1"/>
      <c r="B34" s="1327" t="s">
        <v>200</v>
      </c>
      <c r="C34" s="1344" t="str">
        <f t="shared" si="13"/>
        <v/>
      </c>
      <c r="D34" s="1345" t="str">
        <f t="shared" si="14"/>
        <v/>
      </c>
      <c r="E34" s="1346" t="str">
        <f t="shared" si="15"/>
        <v>+0.1</v>
      </c>
      <c r="F34" s="1347" t="str">
        <f t="shared" si="16"/>
        <v>+0.3</v>
      </c>
      <c r="G34" s="1342" t="str">
        <f t="shared" si="17"/>
        <v>+0.7</v>
      </c>
      <c r="H34" s="1343" t="str">
        <f t="shared" si="18"/>
        <v>+1</v>
      </c>
      <c r="I34" s="1"/>
      <c r="J34" s="1327" t="s">
        <v>231</v>
      </c>
      <c r="K34" s="1344" t="str">
        <f t="shared" si="19"/>
        <v/>
      </c>
      <c r="L34" s="1345" t="str">
        <f t="shared" si="20"/>
        <v/>
      </c>
      <c r="M34" s="1346" t="str">
        <f t="shared" si="21"/>
        <v/>
      </c>
      <c r="N34" s="1347" t="str">
        <f t="shared" si="22"/>
        <v>+4s</v>
      </c>
      <c r="O34" s="1348" t="str">
        <f t="shared" si="23"/>
        <v>+7s</v>
      </c>
      <c r="P34" s="1349" t="str">
        <f t="shared" si="24"/>
        <v>+10s</v>
      </c>
      <c r="Q34" s="1"/>
      <c r="R34" s="1"/>
    </row>
    <row r="35">
      <c r="A35" s="1"/>
      <c r="B35" s="1318" t="s">
        <v>314</v>
      </c>
      <c r="C35" s="1319" t="str">
        <f t="shared" si="13"/>
        <v/>
      </c>
      <c r="D35" s="1320" t="str">
        <f t="shared" si="14"/>
        <v/>
      </c>
      <c r="E35" s="1321" t="str">
        <f t="shared" si="15"/>
        <v>-1s</v>
      </c>
      <c r="F35" s="1335" t="str">
        <f t="shared" si="16"/>
        <v>-2s</v>
      </c>
      <c r="G35" s="1336" t="str">
        <f t="shared" si="17"/>
        <v>-3s</v>
      </c>
      <c r="H35" s="1337" t="str">
        <f t="shared" si="18"/>
        <v>-4s</v>
      </c>
      <c r="I35" s="1"/>
      <c r="J35" s="1318" t="s">
        <v>243</v>
      </c>
      <c r="K35" s="1319" t="str">
        <f t="shared" si="19"/>
        <v/>
      </c>
      <c r="L35" s="1320" t="str">
        <f t="shared" si="20"/>
        <v/>
      </c>
      <c r="M35" s="1321" t="str">
        <f t="shared" si="21"/>
        <v>+3%</v>
      </c>
      <c r="N35" s="1335" t="str">
        <f t="shared" si="22"/>
        <v>+8%</v>
      </c>
      <c r="O35" s="1336" t="str">
        <f t="shared" si="23"/>
        <v>+11%</v>
      </c>
      <c r="P35" s="1337" t="str">
        <f t="shared" si="24"/>
        <v>+15%</v>
      </c>
      <c r="Q35" s="1"/>
      <c r="R35" s="1"/>
    </row>
    <row r="36">
      <c r="A36" s="1"/>
      <c r="B36" s="1327" t="s">
        <v>316</v>
      </c>
      <c r="C36" s="1344" t="str">
        <f t="shared" si="13"/>
        <v/>
      </c>
      <c r="D36" s="1380" t="str">
        <f t="shared" si="14"/>
        <v>+30%</v>
      </c>
      <c r="E36" s="1381" t="str">
        <f t="shared" si="15"/>
        <v>+50%</v>
      </c>
      <c r="F36" s="1382" t="str">
        <f t="shared" si="16"/>
        <v>+150%</v>
      </c>
      <c r="G36" s="1383" t="str">
        <f t="shared" si="17"/>
        <v>+500%</v>
      </c>
      <c r="H36" s="1379" t="str">
        <f t="shared" si="18"/>
        <v>+800%</v>
      </c>
      <c r="I36" s="1"/>
      <c r="J36" s="1318" t="s">
        <v>242</v>
      </c>
      <c r="K36" s="1319" t="str">
        <f t="shared" si="19"/>
        <v/>
      </c>
      <c r="L36" s="1320" t="str">
        <f t="shared" si="20"/>
        <v/>
      </c>
      <c r="M36" s="1321" t="str">
        <f t="shared" si="21"/>
        <v/>
      </c>
      <c r="N36" s="1335" t="str">
        <f t="shared" si="22"/>
        <v>-4s</v>
      </c>
      <c r="O36" s="1336" t="str">
        <f t="shared" si="23"/>
        <v>-7s</v>
      </c>
      <c r="P36" s="1337" t="str">
        <f t="shared" si="24"/>
        <v>-10s</v>
      </c>
      <c r="Q36" s="1"/>
      <c r="R36" s="1"/>
    </row>
    <row r="37">
      <c r="A37" s="1"/>
      <c r="B37" s="1318" t="s">
        <v>318</v>
      </c>
      <c r="C37" s="1319" t="str">
        <f t="shared" si="13"/>
        <v/>
      </c>
      <c r="D37" s="1320" t="str">
        <f t="shared" si="14"/>
        <v>+2%</v>
      </c>
      <c r="E37" s="1374" t="str">
        <f t="shared" si="15"/>
        <v>+3%</v>
      </c>
      <c r="F37" s="1375" t="str">
        <f t="shared" si="16"/>
        <v>+6%</v>
      </c>
      <c r="G37" s="1376" t="str">
        <f t="shared" si="17"/>
        <v>+9%</v>
      </c>
      <c r="H37" s="1377" t="str">
        <f t="shared" si="18"/>
        <v>+12%</v>
      </c>
      <c r="I37" s="1"/>
      <c r="J37" s="1327" t="s">
        <v>328</v>
      </c>
      <c r="K37" s="1344" t="str">
        <f t="shared" si="19"/>
        <v>+8x</v>
      </c>
      <c r="L37" s="1345" t="str">
        <f t="shared" si="20"/>
        <v>+15x</v>
      </c>
      <c r="M37" s="1346" t="str">
        <f t="shared" si="21"/>
        <v>+25x</v>
      </c>
      <c r="N37" s="1347" t="str">
        <f t="shared" si="22"/>
        <v>+50x</v>
      </c>
      <c r="O37" s="1348" t="str">
        <f t="shared" si="23"/>
        <v>+100x</v>
      </c>
      <c r="P37" s="1349" t="str">
        <f t="shared" si="24"/>
        <v>+250x</v>
      </c>
      <c r="Q37" s="1"/>
      <c r="R37" s="1"/>
    </row>
    <row r="38">
      <c r="A38" s="1"/>
      <c r="B38" s="1318" t="s">
        <v>319</v>
      </c>
      <c r="C38" s="1319" t="str">
        <f t="shared" si="13"/>
        <v/>
      </c>
      <c r="D38" s="1320" t="str">
        <f t="shared" si="14"/>
        <v>+0.10</v>
      </c>
      <c r="E38" s="1321" t="str">
        <f t="shared" si="15"/>
        <v>+0.15</v>
      </c>
      <c r="F38" s="1335" t="str">
        <f t="shared" si="16"/>
        <v>+0.30</v>
      </c>
      <c r="G38" s="1336" t="str">
        <f t="shared" si="17"/>
        <v>+0.75</v>
      </c>
      <c r="H38" s="1324" t="str">
        <f t="shared" si="18"/>
        <v>+1</v>
      </c>
      <c r="I38" s="1"/>
      <c r="J38" s="1318" t="s">
        <v>329</v>
      </c>
      <c r="K38" s="1319" t="str">
        <f t="shared" si="19"/>
        <v/>
      </c>
      <c r="L38" s="1320" t="str">
        <f t="shared" si="20"/>
        <v/>
      </c>
      <c r="M38" s="1321" t="str">
        <f t="shared" si="21"/>
        <v/>
      </c>
      <c r="N38" s="1322" t="str">
        <f t="shared" si="22"/>
        <v>+1</v>
      </c>
      <c r="O38" s="1323" t="str">
        <f t="shared" si="23"/>
        <v>+2</v>
      </c>
      <c r="P38" s="1324" t="str">
        <f t="shared" si="24"/>
        <v>+3</v>
      </c>
      <c r="Q38" s="1"/>
      <c r="R38" s="1"/>
    </row>
    <row r="39">
      <c r="A39" s="1"/>
      <c r="B39" s="1327" t="s">
        <v>203</v>
      </c>
      <c r="C39" s="1344" t="str">
        <f t="shared" si="13"/>
        <v/>
      </c>
      <c r="D39" s="1345" t="str">
        <f t="shared" si="14"/>
        <v/>
      </c>
      <c r="E39" s="1346" t="str">
        <f t="shared" si="15"/>
        <v/>
      </c>
      <c r="F39" s="1347" t="str">
        <f t="shared" si="16"/>
        <v>+1.5%</v>
      </c>
      <c r="G39" s="1348" t="str">
        <f t="shared" si="17"/>
        <v>+3.5%</v>
      </c>
      <c r="H39" s="1379" t="str">
        <f t="shared" si="18"/>
        <v>+5%</v>
      </c>
      <c r="I39" s="1"/>
      <c r="J39" s="1318" t="s">
        <v>330</v>
      </c>
      <c r="K39" s="1319" t="str">
        <f t="shared" si="19"/>
        <v/>
      </c>
      <c r="L39" s="1320" t="str">
        <f t="shared" si="20"/>
        <v/>
      </c>
      <c r="M39" s="1321" t="str">
        <f t="shared" si="21"/>
        <v>-5s</v>
      </c>
      <c r="N39" s="1335" t="str">
        <f t="shared" si="22"/>
        <v>-8s</v>
      </c>
      <c r="O39" s="1336" t="str">
        <f t="shared" si="23"/>
        <v>-10s</v>
      </c>
      <c r="P39" s="1337" t="str">
        <f t="shared" si="24"/>
        <v>-13s</v>
      </c>
      <c r="Q39" s="1"/>
      <c r="R39" s="1"/>
    </row>
    <row r="40">
      <c r="A40" s="1"/>
      <c r="B40" s="1327" t="s">
        <v>201</v>
      </c>
      <c r="C40" s="1344" t="str">
        <f t="shared" si="13"/>
        <v/>
      </c>
      <c r="D40" s="1345" t="str">
        <f t="shared" si="14"/>
        <v/>
      </c>
      <c r="E40" s="1381" t="str">
        <f t="shared" si="15"/>
        <v>+20%</v>
      </c>
      <c r="F40" s="1382" t="str">
        <f t="shared" si="16"/>
        <v>+40%</v>
      </c>
      <c r="G40" s="1383" t="str">
        <f t="shared" si="17"/>
        <v>+90%</v>
      </c>
      <c r="H40" s="1379" t="str">
        <f t="shared" si="18"/>
        <v>+120%</v>
      </c>
      <c r="I40" s="1"/>
      <c r="J40" s="1327" t="s">
        <v>233</v>
      </c>
      <c r="K40" s="1344" t="str">
        <f t="shared" si="19"/>
        <v/>
      </c>
      <c r="L40" s="1345" t="str">
        <f t="shared" si="20"/>
        <v/>
      </c>
      <c r="M40" s="1346" t="str">
        <f t="shared" si="21"/>
        <v>+1x</v>
      </c>
      <c r="N40" s="1347" t="str">
        <f t="shared" si="22"/>
        <v>+2x</v>
      </c>
      <c r="O40" s="1348" t="str">
        <f t="shared" si="23"/>
        <v>+3x</v>
      </c>
      <c r="P40" s="1349" t="str">
        <f t="shared" si="24"/>
        <v>+4x</v>
      </c>
      <c r="Q40" s="1"/>
      <c r="R40" s="1"/>
    </row>
    <row r="41">
      <c r="A41" s="1"/>
      <c r="B41" s="1384" t="s">
        <v>326</v>
      </c>
      <c r="C41" s="1367" t="str">
        <f t="shared" si="13"/>
        <v/>
      </c>
      <c r="D41" s="1368" t="str">
        <f t="shared" si="14"/>
        <v/>
      </c>
      <c r="E41" s="1369" t="str">
        <f t="shared" si="15"/>
        <v>-20s</v>
      </c>
      <c r="F41" s="1370" t="str">
        <f t="shared" si="16"/>
        <v>-40s</v>
      </c>
      <c r="G41" s="1371" t="str">
        <f t="shared" si="17"/>
        <v>-80s</v>
      </c>
      <c r="H41" s="1372" t="str">
        <f t="shared" si="18"/>
        <v>-100s</v>
      </c>
      <c r="I41" s="1"/>
      <c r="J41" s="1318" t="s">
        <v>292</v>
      </c>
      <c r="K41" s="1319" t="str">
        <f t="shared" si="19"/>
        <v/>
      </c>
      <c r="L41" s="1320" t="str">
        <f t="shared" si="20"/>
        <v/>
      </c>
      <c r="M41" s="1321" t="str">
        <f t="shared" si="21"/>
        <v/>
      </c>
      <c r="N41" s="1322" t="str">
        <f t="shared" si="22"/>
        <v>+2s</v>
      </c>
      <c r="O41" s="1323" t="str">
        <f t="shared" si="23"/>
        <v>+4s</v>
      </c>
      <c r="P41" s="1324" t="str">
        <f t="shared" si="24"/>
        <v>+7s</v>
      </c>
      <c r="Q41" s="1"/>
      <c r="R41" s="1"/>
    </row>
    <row r="42">
      <c r="A42" s="1"/>
      <c r="B42" s="1"/>
      <c r="C42" s="1"/>
      <c r="D42" s="1"/>
      <c r="E42" s="1"/>
      <c r="F42" s="1"/>
      <c r="G42" s="1"/>
      <c r="H42" s="1"/>
      <c r="I42" s="1"/>
      <c r="J42" s="1318" t="s">
        <v>295</v>
      </c>
      <c r="K42" s="1319" t="str">
        <f t="shared" si="19"/>
        <v/>
      </c>
      <c r="L42" s="1320" t="str">
        <f t="shared" si="20"/>
        <v/>
      </c>
      <c r="M42" s="1321" t="str">
        <f t="shared" si="21"/>
        <v/>
      </c>
      <c r="N42" s="1335" t="str">
        <f t="shared" si="22"/>
        <v>-5s</v>
      </c>
      <c r="O42" s="1336" t="str">
        <f t="shared" si="23"/>
        <v>-8s</v>
      </c>
      <c r="P42" s="1337" t="str">
        <f t="shared" si="24"/>
        <v>-12s</v>
      </c>
      <c r="Q42" s="1"/>
      <c r="R42" s="1"/>
    </row>
    <row r="43">
      <c r="A43" s="1"/>
      <c r="B43" s="1385" t="s">
        <v>746</v>
      </c>
      <c r="C43" s="1386">
        <v>0.98</v>
      </c>
      <c r="D43" s="1387" t="s">
        <v>198</v>
      </c>
      <c r="E43" s="20"/>
      <c r="F43" s="1"/>
      <c r="G43" s="1"/>
      <c r="H43" s="1"/>
      <c r="I43" s="1"/>
      <c r="J43" s="1327" t="s">
        <v>331</v>
      </c>
      <c r="K43" s="1344" t="str">
        <f t="shared" si="19"/>
        <v>+8x</v>
      </c>
      <c r="L43" s="1345" t="str">
        <f t="shared" si="20"/>
        <v>+15x</v>
      </c>
      <c r="M43" s="1346" t="str">
        <f t="shared" si="21"/>
        <v>+25x</v>
      </c>
      <c r="N43" s="1347" t="str">
        <f t="shared" si="22"/>
        <v>+50x</v>
      </c>
      <c r="O43" s="1348" t="str">
        <f t="shared" si="23"/>
        <v>+100x</v>
      </c>
      <c r="P43" s="1349" t="str">
        <f t="shared" si="24"/>
        <v>+250x</v>
      </c>
      <c r="Q43" s="1"/>
      <c r="R43" s="1"/>
    </row>
    <row r="44">
      <c r="A44" s="1"/>
      <c r="B44" s="1388"/>
      <c r="C44" s="1389" t="s">
        <v>747</v>
      </c>
      <c r="D44" s="1387" t="s">
        <v>326</v>
      </c>
      <c r="E44" s="20"/>
      <c r="F44" s="1"/>
      <c r="G44" s="1"/>
      <c r="H44" s="1"/>
      <c r="I44" s="1"/>
      <c r="J44" s="1318" t="s">
        <v>332</v>
      </c>
      <c r="K44" s="1319" t="str">
        <f t="shared" si="19"/>
        <v/>
      </c>
      <c r="L44" s="1320" t="str">
        <f t="shared" si="20"/>
        <v/>
      </c>
      <c r="M44" s="1321" t="str">
        <f t="shared" si="21"/>
        <v/>
      </c>
      <c r="N44" s="1335" t="str">
        <f t="shared" si="22"/>
        <v>+2s</v>
      </c>
      <c r="O44" s="1336" t="str">
        <f t="shared" si="23"/>
        <v>+5s</v>
      </c>
      <c r="P44" s="1337" t="str">
        <f t="shared" si="24"/>
        <v>+10s</v>
      </c>
      <c r="Q44" s="1"/>
      <c r="R44" s="1"/>
    </row>
    <row r="45" ht="15.75" customHeight="1">
      <c r="A45" s="1"/>
      <c r="B45" s="1387"/>
      <c r="C45" s="1389" t="s">
        <v>748</v>
      </c>
      <c r="D45" s="1387" t="s">
        <v>314</v>
      </c>
      <c r="E45" s="20"/>
      <c r="F45" s="1"/>
      <c r="G45" s="1"/>
      <c r="H45" s="1"/>
      <c r="I45" s="1"/>
      <c r="J45" s="1357" t="s">
        <v>333</v>
      </c>
      <c r="K45" s="1319" t="str">
        <f t="shared" si="19"/>
        <v/>
      </c>
      <c r="L45" s="1351" t="str">
        <f t="shared" si="20"/>
        <v>-2s</v>
      </c>
      <c r="M45" s="1352" t="str">
        <f t="shared" si="21"/>
        <v>-4s</v>
      </c>
      <c r="N45" s="1353" t="str">
        <f t="shared" si="22"/>
        <v>-6s</v>
      </c>
      <c r="O45" s="1354" t="str">
        <f t="shared" si="23"/>
        <v>-8s</v>
      </c>
      <c r="P45" s="1355" t="str">
        <f t="shared" si="24"/>
        <v>-10s</v>
      </c>
      <c r="Q45" s="1"/>
      <c r="R45" s="1"/>
    </row>
    <row r="46">
      <c r="A46" s="1"/>
      <c r="B46" s="1387"/>
      <c r="C46" s="1389" t="s">
        <v>749</v>
      </c>
      <c r="D46" s="1387" t="s">
        <v>330</v>
      </c>
      <c r="E46" s="20"/>
      <c r="F46" s="1"/>
      <c r="G46" s="1"/>
      <c r="H46" s="1"/>
      <c r="I46" s="1"/>
      <c r="J46" s="1327" t="s">
        <v>237</v>
      </c>
      <c r="K46" s="1344" t="str">
        <f t="shared" si="19"/>
        <v>+2.00m</v>
      </c>
      <c r="L46" s="1345" t="str">
        <f t="shared" si="20"/>
        <v>+4.00m</v>
      </c>
      <c r="M46" s="1346" t="str">
        <f t="shared" si="21"/>
        <v>+6.00m</v>
      </c>
      <c r="N46" s="1347" t="str">
        <f t="shared" si="22"/>
        <v>+8.00m</v>
      </c>
      <c r="O46" s="1348" t="str">
        <f t="shared" si="23"/>
        <v>+10.00m</v>
      </c>
      <c r="P46" s="1349" t="str">
        <f t="shared" si="24"/>
        <v>+12.00m</v>
      </c>
      <c r="Q46" s="1"/>
      <c r="R46" s="1"/>
    </row>
    <row r="47">
      <c r="A47" s="1"/>
      <c r="B47" s="1387"/>
      <c r="C47" s="1386">
        <v>0.9</v>
      </c>
      <c r="D47" s="1387" t="s">
        <v>243</v>
      </c>
      <c r="E47" s="20"/>
      <c r="F47" s="1"/>
      <c r="G47" s="1"/>
      <c r="H47" s="1"/>
      <c r="I47" s="1"/>
      <c r="J47" s="1318" t="s">
        <v>232</v>
      </c>
      <c r="K47" s="1319" t="str">
        <f t="shared" si="19"/>
        <v/>
      </c>
      <c r="L47" s="1320" t="str">
        <f t="shared" si="20"/>
        <v/>
      </c>
      <c r="M47" s="1321" t="str">
        <f t="shared" si="21"/>
        <v/>
      </c>
      <c r="N47" s="1335" t="str">
        <f t="shared" si="22"/>
        <v>+2s</v>
      </c>
      <c r="O47" s="1336" t="str">
        <f t="shared" si="23"/>
        <v>+3s</v>
      </c>
      <c r="P47" s="1337" t="str">
        <f t="shared" si="24"/>
        <v>+4s</v>
      </c>
      <c r="Q47" s="1"/>
      <c r="R47" s="1"/>
    </row>
    <row r="48">
      <c r="A48" s="1"/>
      <c r="B48" s="1387"/>
      <c r="C48" s="1386">
        <v>0.4</v>
      </c>
      <c r="D48" s="1387" t="s">
        <v>203</v>
      </c>
      <c r="E48" s="1"/>
      <c r="F48" s="1"/>
      <c r="G48" s="1"/>
      <c r="H48" s="1"/>
      <c r="I48" s="1"/>
      <c r="J48" s="1390" t="s">
        <v>236</v>
      </c>
      <c r="K48" s="1319" t="str">
        <f t="shared" si="19"/>
        <v/>
      </c>
      <c r="L48" s="1351" t="str">
        <f t="shared" si="20"/>
        <v/>
      </c>
      <c r="M48" s="1352" t="str">
        <f t="shared" si="21"/>
        <v/>
      </c>
      <c r="N48" s="1353" t="str">
        <f t="shared" si="22"/>
        <v>-2s</v>
      </c>
      <c r="O48" s="1354" t="str">
        <f t="shared" si="23"/>
        <v>-3s</v>
      </c>
      <c r="P48" s="1355" t="str">
        <f t="shared" si="24"/>
        <v>-4s</v>
      </c>
      <c r="Q48" s="1"/>
      <c r="R48" s="1"/>
    </row>
    <row r="49">
      <c r="A49" s="1"/>
      <c r="B49" s="1"/>
      <c r="C49" s="1"/>
      <c r="D49" s="1"/>
      <c r="E49" s="1"/>
      <c r="F49" s="1"/>
      <c r="G49" s="1"/>
      <c r="H49" s="1"/>
      <c r="I49" s="1"/>
      <c r="J49" s="1327" t="s">
        <v>235</v>
      </c>
      <c r="K49" s="1344" t="str">
        <f t="shared" si="19"/>
        <v>+1.2x</v>
      </c>
      <c r="L49" s="1345" t="str">
        <f t="shared" si="20"/>
        <v>+2.5x</v>
      </c>
      <c r="M49" s="1346" t="str">
        <f t="shared" si="21"/>
        <v>+3.5x</v>
      </c>
      <c r="N49" s="1347" t="str">
        <f t="shared" si="22"/>
        <v>+10x</v>
      </c>
      <c r="O49" s="1348" t="str">
        <f t="shared" si="23"/>
        <v>+15x</v>
      </c>
      <c r="P49" s="1349" t="str">
        <f t="shared" si="24"/>
        <v>+20x</v>
      </c>
      <c r="Q49" s="1"/>
      <c r="R49" s="1"/>
    </row>
    <row r="50">
      <c r="A50" s="1"/>
      <c r="B50" s="1391" t="s">
        <v>750</v>
      </c>
      <c r="C50" s="1392" t="s">
        <v>751</v>
      </c>
      <c r="D50" s="1393">
        <v>0.4</v>
      </c>
      <c r="E50" s="1394">
        <v>0.1</v>
      </c>
      <c r="F50" s="1395" t="s">
        <v>752</v>
      </c>
      <c r="G50" s="1396" t="s">
        <v>753</v>
      </c>
      <c r="H50" s="1397" t="s">
        <v>754</v>
      </c>
      <c r="I50" s="1"/>
      <c r="J50" s="1358" t="s">
        <v>234</v>
      </c>
      <c r="K50" s="1398" t="str">
        <f t="shared" si="19"/>
        <v/>
      </c>
      <c r="L50" s="1399" t="str">
        <f t="shared" si="20"/>
        <v/>
      </c>
      <c r="M50" s="1361" t="str">
        <f t="shared" si="21"/>
        <v>+3°</v>
      </c>
      <c r="N50" s="1362" t="str">
        <f t="shared" si="22"/>
        <v>+6°</v>
      </c>
      <c r="O50" s="1363" t="str">
        <f t="shared" si="23"/>
        <v>+11°</v>
      </c>
      <c r="P50" s="1364" t="str">
        <f t="shared" si="24"/>
        <v>+15°</v>
      </c>
      <c r="Q50" s="1"/>
      <c r="R50" s="1"/>
    </row>
    <row r="51">
      <c r="A51" s="1"/>
      <c r="B51" s="1"/>
      <c r="C51" s="1"/>
      <c r="D51" s="1"/>
      <c r="E51" s="1"/>
      <c r="F51" s="1"/>
      <c r="G51" s="1"/>
      <c r="H51" s="1"/>
      <c r="I51" s="110"/>
      <c r="J51" s="110"/>
      <c r="K51" s="110"/>
      <c r="L51" s="110"/>
      <c r="M51" s="110"/>
      <c r="N51" s="110"/>
      <c r="O51" s="110"/>
      <c r="P51" s="110"/>
      <c r="Q51" s="1"/>
      <c r="R51" s="1"/>
    </row>
    <row r="52">
      <c r="A52" s="1"/>
      <c r="B52" s="1"/>
      <c r="C52" s="1"/>
      <c r="D52" s="1"/>
      <c r="E52" s="1"/>
      <c r="F52" s="1"/>
      <c r="G52" s="1"/>
      <c r="H52" s="1"/>
      <c r="I52" s="110"/>
      <c r="J52" s="110"/>
      <c r="K52" s="110"/>
      <c r="L52" s="110"/>
      <c r="M52" s="110"/>
      <c r="N52" s="110"/>
      <c r="O52" s="110"/>
      <c r="P52" s="110"/>
      <c r="Q52" s="1"/>
      <c r="R52" s="1"/>
    </row>
  </sheetData>
  <mergeCells count="6">
    <mergeCell ref="B2:P2"/>
    <mergeCell ref="J3:P3"/>
    <mergeCell ref="B5:H5"/>
    <mergeCell ref="J5:P5"/>
    <mergeCell ref="B24:H24"/>
    <mergeCell ref="J24:P24"/>
  </mergeCells>
  <conditionalFormatting sqref="B6:B22 B25:B41 J6:J18 J25:J50">
    <cfRule type="expression" dxfId="40" priority="1">
      <formula>ISBLANK(G6)</formula>
    </cfRule>
  </conditionalFormatting>
  <conditionalFormatting sqref="B6:B22 B25:B41 J6:J18 J25:J50">
    <cfRule type="expression" dxfId="41" priority="2">
      <formula>ISBLANK(F6)</formula>
    </cfRule>
  </conditionalFormatting>
  <conditionalFormatting sqref="B6:B22 B25:B41 J6:J18 J25:J50">
    <cfRule type="expression" dxfId="42" priority="3">
      <formula>ISBLANK(E6)</formula>
    </cfRule>
  </conditionalFormatting>
  <conditionalFormatting sqref="B6:B22 B25:B41 J6:J18 J25:J50">
    <cfRule type="expression" dxfId="43" priority="4">
      <formula>ISBLANK(D6)</formula>
    </cfRule>
  </conditionalFormatting>
  <conditionalFormatting sqref="B6:B22 B25:B41 J6:J18 J25:J50">
    <cfRule type="expression" dxfId="44" priority="5">
      <formula>ISBLANK(C6)</formula>
    </cfRule>
  </conditionalFormatting>
  <printOptions/>
  <pageMargins bottom="0.787401575" footer="0.0" header="0.0" left="0.7" right="0.7" top="0.7874015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cols>
    <col customWidth="1" min="1" max="1" width="3.43"/>
    <col hidden="1" min="3" max="3" width="14.43"/>
    <col customWidth="1" min="5" max="5" width="13.43"/>
    <col hidden="1" min="6" max="6" width="14.43"/>
    <col customWidth="1" min="8" max="8" width="13.43"/>
    <col customWidth="1" min="9" max="9" width="3.43"/>
  </cols>
  <sheetData>
    <row r="1">
      <c r="A1" s="20"/>
      <c r="B1" s="20"/>
      <c r="C1" s="1"/>
      <c r="D1" s="1"/>
      <c r="E1" s="1"/>
      <c r="F1" s="1"/>
      <c r="G1" s="1"/>
      <c r="H1" s="1"/>
      <c r="I1" s="1"/>
    </row>
    <row r="2">
      <c r="A2" s="20"/>
      <c r="B2" s="20" t="s">
        <v>755</v>
      </c>
      <c r="C2" s="20" t="s">
        <v>635</v>
      </c>
      <c r="D2" s="1400" t="s">
        <v>605</v>
      </c>
      <c r="E2" s="1401" t="s">
        <v>756</v>
      </c>
      <c r="F2" s="1" t="s">
        <v>757</v>
      </c>
      <c r="G2" s="1400" t="s">
        <v>757</v>
      </c>
      <c r="H2" s="1401" t="s">
        <v>756</v>
      </c>
      <c r="I2" s="1"/>
    </row>
    <row r="3">
      <c r="A3" s="1"/>
      <c r="B3" s="1">
        <f>1</f>
        <v>1</v>
      </c>
      <c r="C3" s="1400">
        <f t="shared" ref="C3:C302" si="1">DVT_MODULE_SHARDS_COST(B3)</f>
        <v>0</v>
      </c>
      <c r="D3" s="1402">
        <f t="shared" ref="D3:D302" si="2">FORMAT_NUMBER(C3)</f>
        <v>0</v>
      </c>
      <c r="E3" s="1403">
        <f t="shared" ref="E3:E302" si="3">FORMAT_NUMBER(SUM(C$3:C3))</f>
        <v>0</v>
      </c>
      <c r="F3" s="1404">
        <f t="shared" ref="F3:F302" si="4">DVT_MODULE_COINS_COST(B3)</f>
        <v>0</v>
      </c>
      <c r="G3" s="1402">
        <f t="shared" ref="G3:G302" si="5">FORMAT_NUMBER(F3)</f>
        <v>0</v>
      </c>
      <c r="H3" s="1403">
        <f t="shared" ref="H3:H302" si="6">FORMAT_NUMBER(SUM(F$3:F3))</f>
        <v>0</v>
      </c>
      <c r="I3" s="1"/>
    </row>
    <row r="4">
      <c r="A4" s="1"/>
      <c r="B4" s="1">
        <f t="shared" ref="B4:B302" si="7">1+B3</f>
        <v>2</v>
      </c>
      <c r="C4" s="1400">
        <f t="shared" si="1"/>
        <v>7</v>
      </c>
      <c r="D4" s="1402">
        <f t="shared" si="2"/>
        <v>7</v>
      </c>
      <c r="E4" s="1403">
        <f t="shared" si="3"/>
        <v>7</v>
      </c>
      <c r="F4" s="1404">
        <f t="shared" si="4"/>
        <v>10000</v>
      </c>
      <c r="G4" s="1402" t="str">
        <f t="shared" si="5"/>
        <v>10 K</v>
      </c>
      <c r="H4" s="1403" t="str">
        <f t="shared" si="6"/>
        <v>10 K</v>
      </c>
      <c r="I4" s="1"/>
    </row>
    <row r="5">
      <c r="A5" s="1"/>
      <c r="B5" s="1">
        <f t="shared" si="7"/>
        <v>3</v>
      </c>
      <c r="C5" s="1400">
        <f t="shared" si="1"/>
        <v>7</v>
      </c>
      <c r="D5" s="1402">
        <f t="shared" si="2"/>
        <v>7</v>
      </c>
      <c r="E5" s="1403">
        <f t="shared" si="3"/>
        <v>14</v>
      </c>
      <c r="F5" s="1404">
        <f t="shared" si="4"/>
        <v>10000</v>
      </c>
      <c r="G5" s="1402" t="str">
        <f t="shared" si="5"/>
        <v>10 K</v>
      </c>
      <c r="H5" s="1403" t="str">
        <f t="shared" si="6"/>
        <v>20 K</v>
      </c>
      <c r="I5" s="1"/>
    </row>
    <row r="6">
      <c r="A6" s="1"/>
      <c r="B6" s="1">
        <f t="shared" si="7"/>
        <v>4</v>
      </c>
      <c r="C6" s="1400">
        <f t="shared" si="1"/>
        <v>7</v>
      </c>
      <c r="D6" s="1402">
        <f t="shared" si="2"/>
        <v>7</v>
      </c>
      <c r="E6" s="1403">
        <f t="shared" si="3"/>
        <v>21</v>
      </c>
      <c r="F6" s="1404">
        <f t="shared" si="4"/>
        <v>10000</v>
      </c>
      <c r="G6" s="1402" t="str">
        <f t="shared" si="5"/>
        <v>10 K</v>
      </c>
      <c r="H6" s="1403" t="str">
        <f t="shared" si="6"/>
        <v>30 K</v>
      </c>
      <c r="I6" s="1"/>
    </row>
    <row r="7">
      <c r="A7" s="1"/>
      <c r="B7" s="1">
        <f t="shared" si="7"/>
        <v>5</v>
      </c>
      <c r="C7" s="1400">
        <f t="shared" si="1"/>
        <v>7</v>
      </c>
      <c r="D7" s="1402">
        <f t="shared" si="2"/>
        <v>7</v>
      </c>
      <c r="E7" s="1403">
        <f t="shared" si="3"/>
        <v>28</v>
      </c>
      <c r="F7" s="1404">
        <f t="shared" si="4"/>
        <v>10000</v>
      </c>
      <c r="G7" s="1402" t="str">
        <f t="shared" si="5"/>
        <v>10 K</v>
      </c>
      <c r="H7" s="1403" t="str">
        <f t="shared" si="6"/>
        <v>40 K</v>
      </c>
      <c r="I7" s="1"/>
    </row>
    <row r="8">
      <c r="A8" s="1"/>
      <c r="B8" s="1">
        <f t="shared" si="7"/>
        <v>6</v>
      </c>
      <c r="C8" s="1400">
        <f t="shared" si="1"/>
        <v>12</v>
      </c>
      <c r="D8" s="1402">
        <f t="shared" si="2"/>
        <v>12</v>
      </c>
      <c r="E8" s="1403">
        <f t="shared" si="3"/>
        <v>40</v>
      </c>
      <c r="F8" s="1404">
        <f t="shared" si="4"/>
        <v>25000</v>
      </c>
      <c r="G8" s="1402" t="str">
        <f t="shared" si="5"/>
        <v>25 K</v>
      </c>
      <c r="H8" s="1403" t="str">
        <f t="shared" si="6"/>
        <v>65 K</v>
      </c>
      <c r="I8" s="1"/>
    </row>
    <row r="9">
      <c r="A9" s="1"/>
      <c r="B9" s="1">
        <f t="shared" si="7"/>
        <v>7</v>
      </c>
      <c r="C9" s="1400">
        <f t="shared" si="1"/>
        <v>12</v>
      </c>
      <c r="D9" s="1402">
        <f t="shared" si="2"/>
        <v>12</v>
      </c>
      <c r="E9" s="1403">
        <f t="shared" si="3"/>
        <v>52</v>
      </c>
      <c r="F9" s="1404">
        <f t="shared" si="4"/>
        <v>25000</v>
      </c>
      <c r="G9" s="1402" t="str">
        <f t="shared" si="5"/>
        <v>25 K</v>
      </c>
      <c r="H9" s="1403" t="str">
        <f t="shared" si="6"/>
        <v>90 K</v>
      </c>
      <c r="I9" s="1"/>
    </row>
    <row r="10">
      <c r="A10" s="1"/>
      <c r="B10" s="1">
        <f t="shared" si="7"/>
        <v>8</v>
      </c>
      <c r="C10" s="1400">
        <f t="shared" si="1"/>
        <v>12</v>
      </c>
      <c r="D10" s="1402">
        <f t="shared" si="2"/>
        <v>12</v>
      </c>
      <c r="E10" s="1403">
        <f t="shared" si="3"/>
        <v>64</v>
      </c>
      <c r="F10" s="1404">
        <f t="shared" si="4"/>
        <v>25000</v>
      </c>
      <c r="G10" s="1402" t="str">
        <f t="shared" si="5"/>
        <v>25 K</v>
      </c>
      <c r="H10" s="1403" t="str">
        <f t="shared" si="6"/>
        <v>115 K</v>
      </c>
      <c r="I10" s="1"/>
    </row>
    <row r="11">
      <c r="A11" s="1"/>
      <c r="B11" s="1">
        <f t="shared" si="7"/>
        <v>9</v>
      </c>
      <c r="C11" s="1400">
        <f t="shared" si="1"/>
        <v>12</v>
      </c>
      <c r="D11" s="1402">
        <f t="shared" si="2"/>
        <v>12</v>
      </c>
      <c r="E11" s="1403">
        <f t="shared" si="3"/>
        <v>76</v>
      </c>
      <c r="F11" s="1404">
        <f t="shared" si="4"/>
        <v>25000</v>
      </c>
      <c r="G11" s="1402" t="str">
        <f t="shared" si="5"/>
        <v>25 K</v>
      </c>
      <c r="H11" s="1403" t="str">
        <f t="shared" si="6"/>
        <v>140 K</v>
      </c>
      <c r="I11" s="1"/>
    </row>
    <row r="12">
      <c r="A12" s="1"/>
      <c r="B12" s="1">
        <f t="shared" si="7"/>
        <v>10</v>
      </c>
      <c r="C12" s="1400">
        <f t="shared" si="1"/>
        <v>12</v>
      </c>
      <c r="D12" s="1402">
        <f t="shared" si="2"/>
        <v>12</v>
      </c>
      <c r="E12" s="1403">
        <f t="shared" si="3"/>
        <v>88</v>
      </c>
      <c r="F12" s="1404">
        <f t="shared" si="4"/>
        <v>25000</v>
      </c>
      <c r="G12" s="1402" t="str">
        <f t="shared" si="5"/>
        <v>25 K</v>
      </c>
      <c r="H12" s="1403" t="str">
        <f t="shared" si="6"/>
        <v>165 K</v>
      </c>
      <c r="I12" s="1"/>
    </row>
    <row r="13">
      <c r="A13" s="1"/>
      <c r="B13" s="1">
        <f t="shared" si="7"/>
        <v>11</v>
      </c>
      <c r="C13" s="1400">
        <f t="shared" si="1"/>
        <v>20</v>
      </c>
      <c r="D13" s="1402">
        <f t="shared" si="2"/>
        <v>20</v>
      </c>
      <c r="E13" s="1403">
        <f t="shared" si="3"/>
        <v>108</v>
      </c>
      <c r="F13" s="1404">
        <f t="shared" si="4"/>
        <v>45000</v>
      </c>
      <c r="G13" s="1402" t="str">
        <f t="shared" si="5"/>
        <v>45 K</v>
      </c>
      <c r="H13" s="1403" t="str">
        <f t="shared" si="6"/>
        <v>210 K</v>
      </c>
      <c r="I13" s="1"/>
    </row>
    <row r="14">
      <c r="A14" s="1"/>
      <c r="B14" s="1">
        <f t="shared" si="7"/>
        <v>12</v>
      </c>
      <c r="C14" s="1400">
        <f t="shared" si="1"/>
        <v>20</v>
      </c>
      <c r="D14" s="1402">
        <f t="shared" si="2"/>
        <v>20</v>
      </c>
      <c r="E14" s="1403">
        <f t="shared" si="3"/>
        <v>128</v>
      </c>
      <c r="F14" s="1404">
        <f t="shared" si="4"/>
        <v>45000</v>
      </c>
      <c r="G14" s="1402" t="str">
        <f t="shared" si="5"/>
        <v>45 K</v>
      </c>
      <c r="H14" s="1403" t="str">
        <f t="shared" si="6"/>
        <v>255 K</v>
      </c>
      <c r="I14" s="1"/>
    </row>
    <row r="15">
      <c r="A15" s="1"/>
      <c r="B15" s="1">
        <f t="shared" si="7"/>
        <v>13</v>
      </c>
      <c r="C15" s="1400">
        <f t="shared" si="1"/>
        <v>20</v>
      </c>
      <c r="D15" s="1402">
        <f t="shared" si="2"/>
        <v>20</v>
      </c>
      <c r="E15" s="1403">
        <f t="shared" si="3"/>
        <v>148</v>
      </c>
      <c r="F15" s="1404">
        <f t="shared" si="4"/>
        <v>45000</v>
      </c>
      <c r="G15" s="1402" t="str">
        <f t="shared" si="5"/>
        <v>45 K</v>
      </c>
      <c r="H15" s="1403" t="str">
        <f t="shared" si="6"/>
        <v>300 K</v>
      </c>
      <c r="I15" s="1"/>
    </row>
    <row r="16">
      <c r="A16" s="1"/>
      <c r="B16" s="1">
        <f t="shared" si="7"/>
        <v>14</v>
      </c>
      <c r="C16" s="1400">
        <f t="shared" si="1"/>
        <v>20</v>
      </c>
      <c r="D16" s="1402">
        <f t="shared" si="2"/>
        <v>20</v>
      </c>
      <c r="E16" s="1403">
        <f t="shared" si="3"/>
        <v>168</v>
      </c>
      <c r="F16" s="1404">
        <f t="shared" si="4"/>
        <v>45000</v>
      </c>
      <c r="G16" s="1402" t="str">
        <f t="shared" si="5"/>
        <v>45 K</v>
      </c>
      <c r="H16" s="1403" t="str">
        <f t="shared" si="6"/>
        <v>345 K</v>
      </c>
      <c r="I16" s="1"/>
    </row>
    <row r="17">
      <c r="A17" s="1"/>
      <c r="B17" s="1">
        <f t="shared" si="7"/>
        <v>15</v>
      </c>
      <c r="C17" s="1400">
        <f t="shared" si="1"/>
        <v>20</v>
      </c>
      <c r="D17" s="1402">
        <f t="shared" si="2"/>
        <v>20</v>
      </c>
      <c r="E17" s="1403">
        <f t="shared" si="3"/>
        <v>188</v>
      </c>
      <c r="F17" s="1404">
        <f t="shared" si="4"/>
        <v>45000</v>
      </c>
      <c r="G17" s="1402" t="str">
        <f t="shared" si="5"/>
        <v>45 K</v>
      </c>
      <c r="H17" s="1403" t="str">
        <f t="shared" si="6"/>
        <v>390 K</v>
      </c>
      <c r="I17" s="1"/>
    </row>
    <row r="18">
      <c r="A18" s="1"/>
      <c r="B18" s="1">
        <f t="shared" si="7"/>
        <v>16</v>
      </c>
      <c r="C18" s="1400">
        <f t="shared" si="1"/>
        <v>25</v>
      </c>
      <c r="D18" s="1402">
        <f t="shared" si="2"/>
        <v>25</v>
      </c>
      <c r="E18" s="1403">
        <f t="shared" si="3"/>
        <v>213</v>
      </c>
      <c r="F18" s="1404">
        <f t="shared" si="4"/>
        <v>60000</v>
      </c>
      <c r="G18" s="1402" t="str">
        <f t="shared" si="5"/>
        <v>60 K</v>
      </c>
      <c r="H18" s="1403" t="str">
        <f t="shared" si="6"/>
        <v>450 K</v>
      </c>
      <c r="I18" s="1"/>
    </row>
    <row r="19">
      <c r="A19" s="1"/>
      <c r="B19" s="1">
        <f t="shared" si="7"/>
        <v>17</v>
      </c>
      <c r="C19" s="1400">
        <f t="shared" si="1"/>
        <v>25</v>
      </c>
      <c r="D19" s="1402">
        <f t="shared" si="2"/>
        <v>25</v>
      </c>
      <c r="E19" s="1403">
        <f t="shared" si="3"/>
        <v>238</v>
      </c>
      <c r="F19" s="1404">
        <f t="shared" si="4"/>
        <v>60000</v>
      </c>
      <c r="G19" s="1402" t="str">
        <f t="shared" si="5"/>
        <v>60 K</v>
      </c>
      <c r="H19" s="1403" t="str">
        <f t="shared" si="6"/>
        <v>510 K</v>
      </c>
      <c r="I19" s="1"/>
    </row>
    <row r="20">
      <c r="A20" s="1"/>
      <c r="B20" s="1">
        <f t="shared" si="7"/>
        <v>18</v>
      </c>
      <c r="C20" s="1400">
        <f t="shared" si="1"/>
        <v>25</v>
      </c>
      <c r="D20" s="1402">
        <f t="shared" si="2"/>
        <v>25</v>
      </c>
      <c r="E20" s="1403">
        <f t="shared" si="3"/>
        <v>263</v>
      </c>
      <c r="F20" s="1404">
        <f t="shared" si="4"/>
        <v>60000</v>
      </c>
      <c r="G20" s="1402" t="str">
        <f t="shared" si="5"/>
        <v>60 K</v>
      </c>
      <c r="H20" s="1403" t="str">
        <f t="shared" si="6"/>
        <v>570 K</v>
      </c>
      <c r="I20" s="1"/>
    </row>
    <row r="21">
      <c r="A21" s="1"/>
      <c r="B21" s="1">
        <f t="shared" si="7"/>
        <v>19</v>
      </c>
      <c r="C21" s="1400">
        <f t="shared" si="1"/>
        <v>25</v>
      </c>
      <c r="D21" s="1402">
        <f t="shared" si="2"/>
        <v>25</v>
      </c>
      <c r="E21" s="1403">
        <f t="shared" si="3"/>
        <v>288</v>
      </c>
      <c r="F21" s="1404">
        <f t="shared" si="4"/>
        <v>60000</v>
      </c>
      <c r="G21" s="1402" t="str">
        <f t="shared" si="5"/>
        <v>60 K</v>
      </c>
      <c r="H21" s="1403" t="str">
        <f t="shared" si="6"/>
        <v>630 K</v>
      </c>
      <c r="I21" s="1"/>
    </row>
    <row r="22">
      <c r="A22" s="1"/>
      <c r="B22" s="1">
        <f t="shared" si="7"/>
        <v>20</v>
      </c>
      <c r="C22" s="1400">
        <f t="shared" si="1"/>
        <v>25</v>
      </c>
      <c r="D22" s="1402">
        <f t="shared" si="2"/>
        <v>25</v>
      </c>
      <c r="E22" s="1403">
        <f t="shared" si="3"/>
        <v>313</v>
      </c>
      <c r="F22" s="1404">
        <f t="shared" si="4"/>
        <v>60000</v>
      </c>
      <c r="G22" s="1402" t="str">
        <f t="shared" si="5"/>
        <v>60 K</v>
      </c>
      <c r="H22" s="1403" t="str">
        <f t="shared" si="6"/>
        <v>690 K</v>
      </c>
      <c r="I22" s="1"/>
    </row>
    <row r="23">
      <c r="A23" s="1"/>
      <c r="B23" s="1">
        <f t="shared" si="7"/>
        <v>21</v>
      </c>
      <c r="C23" s="1400">
        <f t="shared" si="1"/>
        <v>40</v>
      </c>
      <c r="D23" s="1402">
        <f t="shared" si="2"/>
        <v>40</v>
      </c>
      <c r="E23" s="1403">
        <f t="shared" si="3"/>
        <v>353</v>
      </c>
      <c r="F23" s="1404">
        <f t="shared" si="4"/>
        <v>120000</v>
      </c>
      <c r="G23" s="1402" t="str">
        <f t="shared" si="5"/>
        <v>120 K</v>
      </c>
      <c r="H23" s="1403" t="str">
        <f t="shared" si="6"/>
        <v>810 K</v>
      </c>
      <c r="I23" s="1"/>
    </row>
    <row r="24">
      <c r="A24" s="1"/>
      <c r="B24" s="1">
        <f t="shared" si="7"/>
        <v>22</v>
      </c>
      <c r="C24" s="1400">
        <f t="shared" si="1"/>
        <v>40</v>
      </c>
      <c r="D24" s="1402">
        <f t="shared" si="2"/>
        <v>40</v>
      </c>
      <c r="E24" s="1403">
        <f t="shared" si="3"/>
        <v>393</v>
      </c>
      <c r="F24" s="1404">
        <f t="shared" si="4"/>
        <v>120000</v>
      </c>
      <c r="G24" s="1402" t="str">
        <f t="shared" si="5"/>
        <v>120 K</v>
      </c>
      <c r="H24" s="1403" t="str">
        <f t="shared" si="6"/>
        <v>930 K</v>
      </c>
      <c r="I24" s="1"/>
    </row>
    <row r="25">
      <c r="A25" s="1"/>
      <c r="B25" s="1">
        <f t="shared" si="7"/>
        <v>23</v>
      </c>
      <c r="C25" s="1400">
        <f t="shared" si="1"/>
        <v>40</v>
      </c>
      <c r="D25" s="1402">
        <f t="shared" si="2"/>
        <v>40</v>
      </c>
      <c r="E25" s="1403">
        <f t="shared" si="3"/>
        <v>433</v>
      </c>
      <c r="F25" s="1404">
        <f t="shared" si="4"/>
        <v>120000</v>
      </c>
      <c r="G25" s="1402" t="str">
        <f t="shared" si="5"/>
        <v>120 K</v>
      </c>
      <c r="H25" s="1403" t="str">
        <f t="shared" si="6"/>
        <v>1.05 M</v>
      </c>
      <c r="I25" s="1"/>
    </row>
    <row r="26">
      <c r="A26" s="1"/>
      <c r="B26" s="1">
        <f t="shared" si="7"/>
        <v>24</v>
      </c>
      <c r="C26" s="1400">
        <f t="shared" si="1"/>
        <v>40</v>
      </c>
      <c r="D26" s="1402">
        <f t="shared" si="2"/>
        <v>40</v>
      </c>
      <c r="E26" s="1403">
        <f t="shared" si="3"/>
        <v>473</v>
      </c>
      <c r="F26" s="1404">
        <f t="shared" si="4"/>
        <v>120000</v>
      </c>
      <c r="G26" s="1402" t="str">
        <f t="shared" si="5"/>
        <v>120 K</v>
      </c>
      <c r="H26" s="1403" t="str">
        <f t="shared" si="6"/>
        <v>1.17 M</v>
      </c>
      <c r="I26" s="1"/>
    </row>
    <row r="27">
      <c r="A27" s="1"/>
      <c r="B27" s="1">
        <f t="shared" si="7"/>
        <v>25</v>
      </c>
      <c r="C27" s="1400">
        <f t="shared" si="1"/>
        <v>40</v>
      </c>
      <c r="D27" s="1402">
        <f t="shared" si="2"/>
        <v>40</v>
      </c>
      <c r="E27" s="1403">
        <f t="shared" si="3"/>
        <v>513</v>
      </c>
      <c r="F27" s="1404">
        <f t="shared" si="4"/>
        <v>120000</v>
      </c>
      <c r="G27" s="1402" t="str">
        <f t="shared" si="5"/>
        <v>120 K</v>
      </c>
      <c r="H27" s="1403" t="str">
        <f t="shared" si="6"/>
        <v>1.29 M</v>
      </c>
      <c r="I27" s="1"/>
    </row>
    <row r="28">
      <c r="A28" s="1"/>
      <c r="B28" s="1">
        <f t="shared" si="7"/>
        <v>26</v>
      </c>
      <c r="C28" s="1400">
        <f t="shared" si="1"/>
        <v>50</v>
      </c>
      <c r="D28" s="1402">
        <f t="shared" si="2"/>
        <v>50</v>
      </c>
      <c r="E28" s="1403">
        <f t="shared" si="3"/>
        <v>563</v>
      </c>
      <c r="F28" s="1404">
        <f t="shared" si="4"/>
        <v>180000</v>
      </c>
      <c r="G28" s="1402" t="str">
        <f t="shared" si="5"/>
        <v>180 K</v>
      </c>
      <c r="H28" s="1403" t="str">
        <f t="shared" si="6"/>
        <v>1.47 M</v>
      </c>
      <c r="I28" s="1"/>
    </row>
    <row r="29">
      <c r="A29" s="1"/>
      <c r="B29" s="1">
        <f t="shared" si="7"/>
        <v>27</v>
      </c>
      <c r="C29" s="1400">
        <f t="shared" si="1"/>
        <v>50</v>
      </c>
      <c r="D29" s="1402">
        <f t="shared" si="2"/>
        <v>50</v>
      </c>
      <c r="E29" s="1403">
        <f t="shared" si="3"/>
        <v>613</v>
      </c>
      <c r="F29" s="1404">
        <f t="shared" si="4"/>
        <v>180000</v>
      </c>
      <c r="G29" s="1402" t="str">
        <f t="shared" si="5"/>
        <v>180 K</v>
      </c>
      <c r="H29" s="1403" t="str">
        <f t="shared" si="6"/>
        <v>1.65 M</v>
      </c>
      <c r="I29" s="1"/>
    </row>
    <row r="30">
      <c r="A30" s="1"/>
      <c r="B30" s="1">
        <f t="shared" si="7"/>
        <v>28</v>
      </c>
      <c r="C30" s="1400">
        <f t="shared" si="1"/>
        <v>50</v>
      </c>
      <c r="D30" s="1402">
        <f t="shared" si="2"/>
        <v>50</v>
      </c>
      <c r="E30" s="1403">
        <f t="shared" si="3"/>
        <v>663</v>
      </c>
      <c r="F30" s="1404">
        <f t="shared" si="4"/>
        <v>180000</v>
      </c>
      <c r="G30" s="1402" t="str">
        <f t="shared" si="5"/>
        <v>180 K</v>
      </c>
      <c r="H30" s="1403" t="str">
        <f t="shared" si="6"/>
        <v>1.83 M</v>
      </c>
      <c r="I30" s="1"/>
    </row>
    <row r="31">
      <c r="A31" s="1"/>
      <c r="B31" s="1">
        <f t="shared" si="7"/>
        <v>29</v>
      </c>
      <c r="C31" s="1400">
        <f t="shared" si="1"/>
        <v>50</v>
      </c>
      <c r="D31" s="1402">
        <f t="shared" si="2"/>
        <v>50</v>
      </c>
      <c r="E31" s="1403">
        <f t="shared" si="3"/>
        <v>713</v>
      </c>
      <c r="F31" s="1404">
        <f t="shared" si="4"/>
        <v>180000</v>
      </c>
      <c r="G31" s="1402" t="str">
        <f t="shared" si="5"/>
        <v>180 K</v>
      </c>
      <c r="H31" s="1403" t="str">
        <f t="shared" si="6"/>
        <v>2.01 M</v>
      </c>
      <c r="I31" s="1"/>
    </row>
    <row r="32">
      <c r="A32" s="1"/>
      <c r="B32" s="1">
        <f t="shared" si="7"/>
        <v>30</v>
      </c>
      <c r="C32" s="1400">
        <f t="shared" si="1"/>
        <v>50</v>
      </c>
      <c r="D32" s="1402">
        <f t="shared" si="2"/>
        <v>50</v>
      </c>
      <c r="E32" s="1403">
        <f t="shared" si="3"/>
        <v>763</v>
      </c>
      <c r="F32" s="1404">
        <f t="shared" si="4"/>
        <v>180000</v>
      </c>
      <c r="G32" s="1402" t="str">
        <f t="shared" si="5"/>
        <v>180 K</v>
      </c>
      <c r="H32" s="1403" t="str">
        <f t="shared" si="6"/>
        <v>2.19 M</v>
      </c>
      <c r="I32" s="1"/>
    </row>
    <row r="33">
      <c r="A33" s="1"/>
      <c r="B33" s="1">
        <f t="shared" si="7"/>
        <v>31</v>
      </c>
      <c r="C33" s="1400">
        <f t="shared" si="1"/>
        <v>75</v>
      </c>
      <c r="D33" s="1402">
        <f t="shared" si="2"/>
        <v>75</v>
      </c>
      <c r="E33" s="1403">
        <f t="shared" si="3"/>
        <v>838</v>
      </c>
      <c r="F33" s="1404">
        <f t="shared" si="4"/>
        <v>350000</v>
      </c>
      <c r="G33" s="1402" t="str">
        <f t="shared" si="5"/>
        <v>350 K</v>
      </c>
      <c r="H33" s="1403" t="str">
        <f t="shared" si="6"/>
        <v>2.54 M</v>
      </c>
      <c r="I33" s="1"/>
    </row>
    <row r="34">
      <c r="A34" s="1"/>
      <c r="B34" s="1">
        <f t="shared" si="7"/>
        <v>32</v>
      </c>
      <c r="C34" s="1400">
        <f t="shared" si="1"/>
        <v>75</v>
      </c>
      <c r="D34" s="1402">
        <f t="shared" si="2"/>
        <v>75</v>
      </c>
      <c r="E34" s="1403">
        <f t="shared" si="3"/>
        <v>913</v>
      </c>
      <c r="F34" s="1404">
        <f t="shared" si="4"/>
        <v>350000</v>
      </c>
      <c r="G34" s="1402" t="str">
        <f t="shared" si="5"/>
        <v>350 K</v>
      </c>
      <c r="H34" s="1403" t="str">
        <f t="shared" si="6"/>
        <v>2.89 M</v>
      </c>
      <c r="I34" s="1"/>
    </row>
    <row r="35">
      <c r="A35" s="1"/>
      <c r="B35" s="1">
        <f t="shared" si="7"/>
        <v>33</v>
      </c>
      <c r="C35" s="1400">
        <f t="shared" si="1"/>
        <v>75</v>
      </c>
      <c r="D35" s="1402">
        <f t="shared" si="2"/>
        <v>75</v>
      </c>
      <c r="E35" s="1403">
        <f t="shared" si="3"/>
        <v>988</v>
      </c>
      <c r="F35" s="1404">
        <f t="shared" si="4"/>
        <v>350000</v>
      </c>
      <c r="G35" s="1402" t="str">
        <f t="shared" si="5"/>
        <v>350 K</v>
      </c>
      <c r="H35" s="1403" t="str">
        <f t="shared" si="6"/>
        <v>3.24 M</v>
      </c>
      <c r="I35" s="1"/>
    </row>
    <row r="36">
      <c r="A36" s="1"/>
      <c r="B36" s="1">
        <f t="shared" si="7"/>
        <v>34</v>
      </c>
      <c r="C36" s="1400">
        <f t="shared" si="1"/>
        <v>75</v>
      </c>
      <c r="D36" s="1402">
        <f t="shared" si="2"/>
        <v>75</v>
      </c>
      <c r="E36" s="1403" t="str">
        <f t="shared" si="3"/>
        <v>1.06 K</v>
      </c>
      <c r="F36" s="1404">
        <f t="shared" si="4"/>
        <v>350000</v>
      </c>
      <c r="G36" s="1402" t="str">
        <f t="shared" si="5"/>
        <v>350 K</v>
      </c>
      <c r="H36" s="1403" t="str">
        <f t="shared" si="6"/>
        <v>3.59 M</v>
      </c>
      <c r="I36" s="1"/>
    </row>
    <row r="37">
      <c r="A37" s="1"/>
      <c r="B37" s="1">
        <f t="shared" si="7"/>
        <v>35</v>
      </c>
      <c r="C37" s="1400">
        <f t="shared" si="1"/>
        <v>75</v>
      </c>
      <c r="D37" s="1402">
        <f t="shared" si="2"/>
        <v>75</v>
      </c>
      <c r="E37" s="1403" t="str">
        <f t="shared" si="3"/>
        <v>1.14 K</v>
      </c>
      <c r="F37" s="1404">
        <f t="shared" si="4"/>
        <v>350000</v>
      </c>
      <c r="G37" s="1402" t="str">
        <f t="shared" si="5"/>
        <v>350 K</v>
      </c>
      <c r="H37" s="1403" t="str">
        <f t="shared" si="6"/>
        <v>3.94 M</v>
      </c>
      <c r="I37" s="1"/>
    </row>
    <row r="38">
      <c r="A38" s="1"/>
      <c r="B38" s="1">
        <f t="shared" si="7"/>
        <v>36</v>
      </c>
      <c r="C38" s="1400">
        <f t="shared" si="1"/>
        <v>90</v>
      </c>
      <c r="D38" s="1402">
        <f t="shared" si="2"/>
        <v>90</v>
      </c>
      <c r="E38" s="1403" t="str">
        <f t="shared" si="3"/>
        <v>1.23 K</v>
      </c>
      <c r="F38" s="1404">
        <f t="shared" si="4"/>
        <v>500000</v>
      </c>
      <c r="G38" s="1402" t="str">
        <f t="shared" si="5"/>
        <v>500 K</v>
      </c>
      <c r="H38" s="1403" t="str">
        <f t="shared" si="6"/>
        <v>4.44 M</v>
      </c>
      <c r="I38" s="1"/>
    </row>
    <row r="39">
      <c r="A39" s="1"/>
      <c r="B39" s="1">
        <f t="shared" si="7"/>
        <v>37</v>
      </c>
      <c r="C39" s="1400">
        <f t="shared" si="1"/>
        <v>90</v>
      </c>
      <c r="D39" s="1402">
        <f t="shared" si="2"/>
        <v>90</v>
      </c>
      <c r="E39" s="1403" t="str">
        <f t="shared" si="3"/>
        <v>1.32 K</v>
      </c>
      <c r="F39" s="1404">
        <f t="shared" si="4"/>
        <v>500000</v>
      </c>
      <c r="G39" s="1402" t="str">
        <f t="shared" si="5"/>
        <v>500 K</v>
      </c>
      <c r="H39" s="1403" t="str">
        <f t="shared" si="6"/>
        <v>4.94 M</v>
      </c>
      <c r="I39" s="1"/>
    </row>
    <row r="40">
      <c r="A40" s="1"/>
      <c r="B40" s="1">
        <f t="shared" si="7"/>
        <v>38</v>
      </c>
      <c r="C40" s="1400">
        <f t="shared" si="1"/>
        <v>90</v>
      </c>
      <c r="D40" s="1402">
        <f t="shared" si="2"/>
        <v>90</v>
      </c>
      <c r="E40" s="1403" t="str">
        <f t="shared" si="3"/>
        <v>1.41 K</v>
      </c>
      <c r="F40" s="1404">
        <f t="shared" si="4"/>
        <v>500000</v>
      </c>
      <c r="G40" s="1402" t="str">
        <f t="shared" si="5"/>
        <v>500 K</v>
      </c>
      <c r="H40" s="1403" t="str">
        <f t="shared" si="6"/>
        <v>5.44 M</v>
      </c>
      <c r="I40" s="1"/>
    </row>
    <row r="41">
      <c r="A41" s="1"/>
      <c r="B41" s="1">
        <f t="shared" si="7"/>
        <v>39</v>
      </c>
      <c r="C41" s="1400">
        <f t="shared" si="1"/>
        <v>90</v>
      </c>
      <c r="D41" s="1402">
        <f t="shared" si="2"/>
        <v>90</v>
      </c>
      <c r="E41" s="1403" t="str">
        <f t="shared" si="3"/>
        <v>1.5 K</v>
      </c>
      <c r="F41" s="1404">
        <f t="shared" si="4"/>
        <v>500000</v>
      </c>
      <c r="G41" s="1402" t="str">
        <f t="shared" si="5"/>
        <v>500 K</v>
      </c>
      <c r="H41" s="1403" t="str">
        <f t="shared" si="6"/>
        <v>5.94 M</v>
      </c>
      <c r="I41" s="1"/>
    </row>
    <row r="42">
      <c r="A42" s="1"/>
      <c r="B42" s="1">
        <f t="shared" si="7"/>
        <v>40</v>
      </c>
      <c r="C42" s="1400">
        <f t="shared" si="1"/>
        <v>90</v>
      </c>
      <c r="D42" s="1402">
        <f t="shared" si="2"/>
        <v>90</v>
      </c>
      <c r="E42" s="1403" t="str">
        <f t="shared" si="3"/>
        <v>1.59 K</v>
      </c>
      <c r="F42" s="1404">
        <f t="shared" si="4"/>
        <v>500000</v>
      </c>
      <c r="G42" s="1402" t="str">
        <f t="shared" si="5"/>
        <v>500 K</v>
      </c>
      <c r="H42" s="1403" t="str">
        <f t="shared" si="6"/>
        <v>6.44 M</v>
      </c>
      <c r="I42" s="1"/>
    </row>
    <row r="43">
      <c r="A43" s="1"/>
      <c r="B43" s="1">
        <f t="shared" si="7"/>
        <v>41</v>
      </c>
      <c r="C43" s="1400">
        <f t="shared" si="1"/>
        <v>120</v>
      </c>
      <c r="D43" s="1402">
        <f t="shared" si="2"/>
        <v>120</v>
      </c>
      <c r="E43" s="1403" t="str">
        <f t="shared" si="3"/>
        <v>1.71 K</v>
      </c>
      <c r="F43" s="1404">
        <f t="shared" si="4"/>
        <v>1000000</v>
      </c>
      <c r="G43" s="1402" t="str">
        <f t="shared" si="5"/>
        <v>1 M</v>
      </c>
      <c r="H43" s="1403" t="str">
        <f t="shared" si="6"/>
        <v>7.44 M</v>
      </c>
      <c r="I43" s="1"/>
    </row>
    <row r="44">
      <c r="A44" s="1"/>
      <c r="B44" s="1">
        <f t="shared" si="7"/>
        <v>42</v>
      </c>
      <c r="C44" s="1400">
        <f t="shared" si="1"/>
        <v>120</v>
      </c>
      <c r="D44" s="1402">
        <f t="shared" si="2"/>
        <v>120</v>
      </c>
      <c r="E44" s="1403" t="str">
        <f t="shared" si="3"/>
        <v>1.83 K</v>
      </c>
      <c r="F44" s="1404">
        <f t="shared" si="4"/>
        <v>1000000</v>
      </c>
      <c r="G44" s="1402" t="str">
        <f t="shared" si="5"/>
        <v>1 M</v>
      </c>
      <c r="H44" s="1403" t="str">
        <f t="shared" si="6"/>
        <v>8.44 M</v>
      </c>
      <c r="I44" s="1"/>
    </row>
    <row r="45">
      <c r="A45" s="1"/>
      <c r="B45" s="1">
        <f t="shared" si="7"/>
        <v>43</v>
      </c>
      <c r="C45" s="1400">
        <f t="shared" si="1"/>
        <v>120</v>
      </c>
      <c r="D45" s="1402">
        <f t="shared" si="2"/>
        <v>120</v>
      </c>
      <c r="E45" s="1403" t="str">
        <f t="shared" si="3"/>
        <v>1.95 K</v>
      </c>
      <c r="F45" s="1404">
        <f t="shared" si="4"/>
        <v>1000000</v>
      </c>
      <c r="G45" s="1402" t="str">
        <f t="shared" si="5"/>
        <v>1 M</v>
      </c>
      <c r="H45" s="1403" t="str">
        <f t="shared" si="6"/>
        <v>9.44 M</v>
      </c>
      <c r="I45" s="1"/>
    </row>
    <row r="46">
      <c r="A46" s="1"/>
      <c r="B46" s="1">
        <f t="shared" si="7"/>
        <v>44</v>
      </c>
      <c r="C46" s="1400">
        <f t="shared" si="1"/>
        <v>120</v>
      </c>
      <c r="D46" s="1402">
        <f t="shared" si="2"/>
        <v>120</v>
      </c>
      <c r="E46" s="1403" t="str">
        <f t="shared" si="3"/>
        <v>2.07 K</v>
      </c>
      <c r="F46" s="1404">
        <f t="shared" si="4"/>
        <v>1000000</v>
      </c>
      <c r="G46" s="1402" t="str">
        <f t="shared" si="5"/>
        <v>1 M</v>
      </c>
      <c r="H46" s="1403" t="str">
        <f t="shared" si="6"/>
        <v>10.44 M</v>
      </c>
      <c r="I46" s="1"/>
    </row>
    <row r="47">
      <c r="A47" s="1"/>
      <c r="B47" s="1">
        <f t="shared" si="7"/>
        <v>45</v>
      </c>
      <c r="C47" s="1400">
        <f t="shared" si="1"/>
        <v>120</v>
      </c>
      <c r="D47" s="1402">
        <f t="shared" si="2"/>
        <v>120</v>
      </c>
      <c r="E47" s="1403" t="str">
        <f t="shared" si="3"/>
        <v>2.19 K</v>
      </c>
      <c r="F47" s="1404">
        <f t="shared" si="4"/>
        <v>1000000</v>
      </c>
      <c r="G47" s="1402" t="str">
        <f t="shared" si="5"/>
        <v>1 M</v>
      </c>
      <c r="H47" s="1403" t="str">
        <f t="shared" si="6"/>
        <v>11.44 M</v>
      </c>
      <c r="I47" s="1"/>
    </row>
    <row r="48">
      <c r="A48" s="1"/>
      <c r="B48" s="1">
        <f t="shared" si="7"/>
        <v>46</v>
      </c>
      <c r="C48" s="1400">
        <f t="shared" si="1"/>
        <v>120</v>
      </c>
      <c r="D48" s="1402">
        <f t="shared" si="2"/>
        <v>120</v>
      </c>
      <c r="E48" s="1403" t="str">
        <f t="shared" si="3"/>
        <v>2.31 K</v>
      </c>
      <c r="F48" s="1404">
        <f t="shared" si="4"/>
        <v>1000000</v>
      </c>
      <c r="G48" s="1402" t="str">
        <f t="shared" si="5"/>
        <v>1 M</v>
      </c>
      <c r="H48" s="1403" t="str">
        <f t="shared" si="6"/>
        <v>12.44 M</v>
      </c>
      <c r="I48" s="1"/>
    </row>
    <row r="49">
      <c r="A49" s="1"/>
      <c r="B49" s="1">
        <f t="shared" si="7"/>
        <v>47</v>
      </c>
      <c r="C49" s="1400">
        <f t="shared" si="1"/>
        <v>120</v>
      </c>
      <c r="D49" s="1402">
        <f t="shared" si="2"/>
        <v>120</v>
      </c>
      <c r="E49" s="1403" t="str">
        <f t="shared" si="3"/>
        <v>2.43 K</v>
      </c>
      <c r="F49" s="1404">
        <f t="shared" si="4"/>
        <v>1000000</v>
      </c>
      <c r="G49" s="1402" t="str">
        <f t="shared" si="5"/>
        <v>1 M</v>
      </c>
      <c r="H49" s="1403" t="str">
        <f t="shared" si="6"/>
        <v>13.44 M</v>
      </c>
      <c r="I49" s="1"/>
    </row>
    <row r="50">
      <c r="A50" s="1"/>
      <c r="B50" s="1">
        <f t="shared" si="7"/>
        <v>48</v>
      </c>
      <c r="C50" s="1400">
        <f t="shared" si="1"/>
        <v>120</v>
      </c>
      <c r="D50" s="1402">
        <f t="shared" si="2"/>
        <v>120</v>
      </c>
      <c r="E50" s="1403" t="str">
        <f t="shared" si="3"/>
        <v>2.55 K</v>
      </c>
      <c r="F50" s="1404">
        <f t="shared" si="4"/>
        <v>1000000</v>
      </c>
      <c r="G50" s="1402" t="str">
        <f t="shared" si="5"/>
        <v>1 M</v>
      </c>
      <c r="H50" s="1403" t="str">
        <f t="shared" si="6"/>
        <v>14.44 M</v>
      </c>
      <c r="I50" s="1"/>
    </row>
    <row r="51">
      <c r="A51" s="1"/>
      <c r="B51" s="1">
        <f t="shared" si="7"/>
        <v>49</v>
      </c>
      <c r="C51" s="1400">
        <f t="shared" si="1"/>
        <v>120</v>
      </c>
      <c r="D51" s="1402">
        <f t="shared" si="2"/>
        <v>120</v>
      </c>
      <c r="E51" s="1403" t="str">
        <f t="shared" si="3"/>
        <v>2.67 K</v>
      </c>
      <c r="F51" s="1404">
        <f t="shared" si="4"/>
        <v>1000000</v>
      </c>
      <c r="G51" s="1402" t="str">
        <f t="shared" si="5"/>
        <v>1 M</v>
      </c>
      <c r="H51" s="1403" t="str">
        <f t="shared" si="6"/>
        <v>15.44 M</v>
      </c>
      <c r="I51" s="1"/>
    </row>
    <row r="52">
      <c r="A52" s="1"/>
      <c r="B52" s="1">
        <f t="shared" si="7"/>
        <v>50</v>
      </c>
      <c r="C52" s="1400">
        <f t="shared" si="1"/>
        <v>120</v>
      </c>
      <c r="D52" s="1402">
        <f t="shared" si="2"/>
        <v>120</v>
      </c>
      <c r="E52" s="1403" t="str">
        <f t="shared" si="3"/>
        <v>2.79 K</v>
      </c>
      <c r="F52" s="1404">
        <f t="shared" si="4"/>
        <v>1000000</v>
      </c>
      <c r="G52" s="1402" t="str">
        <f t="shared" si="5"/>
        <v>1 M</v>
      </c>
      <c r="H52" s="1403" t="str">
        <f t="shared" si="6"/>
        <v>16.44 M</v>
      </c>
      <c r="I52" s="1"/>
    </row>
    <row r="53">
      <c r="A53" s="1"/>
      <c r="B53" s="1">
        <f t="shared" si="7"/>
        <v>51</v>
      </c>
      <c r="C53" s="1400">
        <f t="shared" si="1"/>
        <v>180</v>
      </c>
      <c r="D53" s="1402">
        <f t="shared" si="2"/>
        <v>180</v>
      </c>
      <c r="E53" s="1403" t="str">
        <f t="shared" si="3"/>
        <v>2.97 K</v>
      </c>
      <c r="F53" s="1404">
        <f t="shared" si="4"/>
        <v>3000000</v>
      </c>
      <c r="G53" s="1402" t="str">
        <f t="shared" si="5"/>
        <v>3 M</v>
      </c>
      <c r="H53" s="1403" t="str">
        <f t="shared" si="6"/>
        <v>19.44 M</v>
      </c>
      <c r="I53" s="1"/>
    </row>
    <row r="54">
      <c r="A54" s="1"/>
      <c r="B54" s="1">
        <f t="shared" si="7"/>
        <v>52</v>
      </c>
      <c r="C54" s="1400">
        <f t="shared" si="1"/>
        <v>180</v>
      </c>
      <c r="D54" s="1402">
        <f t="shared" si="2"/>
        <v>180</v>
      </c>
      <c r="E54" s="1403" t="str">
        <f t="shared" si="3"/>
        <v>3.15 K</v>
      </c>
      <c r="F54" s="1404">
        <f t="shared" si="4"/>
        <v>3000000</v>
      </c>
      <c r="G54" s="1402" t="str">
        <f t="shared" si="5"/>
        <v>3 M</v>
      </c>
      <c r="H54" s="1403" t="str">
        <f t="shared" si="6"/>
        <v>22.44 M</v>
      </c>
      <c r="I54" s="1"/>
    </row>
    <row r="55">
      <c r="A55" s="1"/>
      <c r="B55" s="1">
        <f t="shared" si="7"/>
        <v>53</v>
      </c>
      <c r="C55" s="1400">
        <f t="shared" si="1"/>
        <v>180</v>
      </c>
      <c r="D55" s="1402">
        <f t="shared" si="2"/>
        <v>180</v>
      </c>
      <c r="E55" s="1403" t="str">
        <f t="shared" si="3"/>
        <v>3.33 K</v>
      </c>
      <c r="F55" s="1404">
        <f t="shared" si="4"/>
        <v>3000000</v>
      </c>
      <c r="G55" s="1402" t="str">
        <f t="shared" si="5"/>
        <v>3 M</v>
      </c>
      <c r="H55" s="1403" t="str">
        <f t="shared" si="6"/>
        <v>25.44 M</v>
      </c>
      <c r="I55" s="1"/>
    </row>
    <row r="56">
      <c r="A56" s="1"/>
      <c r="B56" s="1">
        <f t="shared" si="7"/>
        <v>54</v>
      </c>
      <c r="C56" s="1400">
        <f t="shared" si="1"/>
        <v>180</v>
      </c>
      <c r="D56" s="1402">
        <f t="shared" si="2"/>
        <v>180</v>
      </c>
      <c r="E56" s="1403" t="str">
        <f t="shared" si="3"/>
        <v>3.51 K</v>
      </c>
      <c r="F56" s="1404">
        <f t="shared" si="4"/>
        <v>3000000</v>
      </c>
      <c r="G56" s="1402" t="str">
        <f t="shared" si="5"/>
        <v>3 M</v>
      </c>
      <c r="H56" s="1403" t="str">
        <f t="shared" si="6"/>
        <v>28.44 M</v>
      </c>
      <c r="I56" s="1"/>
    </row>
    <row r="57">
      <c r="A57" s="1"/>
      <c r="B57" s="1">
        <f t="shared" si="7"/>
        <v>55</v>
      </c>
      <c r="C57" s="1400">
        <f t="shared" si="1"/>
        <v>180</v>
      </c>
      <c r="D57" s="1402">
        <f t="shared" si="2"/>
        <v>180</v>
      </c>
      <c r="E57" s="1403" t="str">
        <f t="shared" si="3"/>
        <v>3.69 K</v>
      </c>
      <c r="F57" s="1404">
        <f t="shared" si="4"/>
        <v>3000000</v>
      </c>
      <c r="G57" s="1402" t="str">
        <f t="shared" si="5"/>
        <v>3 M</v>
      </c>
      <c r="H57" s="1403" t="str">
        <f t="shared" si="6"/>
        <v>31.44 M</v>
      </c>
      <c r="I57" s="1"/>
    </row>
    <row r="58">
      <c r="A58" s="1"/>
      <c r="B58" s="1">
        <f t="shared" si="7"/>
        <v>56</v>
      </c>
      <c r="C58" s="1400">
        <f t="shared" si="1"/>
        <v>180</v>
      </c>
      <c r="D58" s="1402">
        <f t="shared" si="2"/>
        <v>180</v>
      </c>
      <c r="E58" s="1403" t="str">
        <f t="shared" si="3"/>
        <v>3.87 K</v>
      </c>
      <c r="F58" s="1404">
        <f t="shared" si="4"/>
        <v>3000000</v>
      </c>
      <c r="G58" s="1402" t="str">
        <f t="shared" si="5"/>
        <v>3 M</v>
      </c>
      <c r="H58" s="1403" t="str">
        <f t="shared" si="6"/>
        <v>34.44 M</v>
      </c>
      <c r="I58" s="1"/>
    </row>
    <row r="59">
      <c r="A59" s="1"/>
      <c r="B59" s="1">
        <f t="shared" si="7"/>
        <v>57</v>
      </c>
      <c r="C59" s="1400">
        <f t="shared" si="1"/>
        <v>180</v>
      </c>
      <c r="D59" s="1402">
        <f t="shared" si="2"/>
        <v>180</v>
      </c>
      <c r="E59" s="1403" t="str">
        <f t="shared" si="3"/>
        <v>4.05 K</v>
      </c>
      <c r="F59" s="1404">
        <f t="shared" si="4"/>
        <v>3000000</v>
      </c>
      <c r="G59" s="1402" t="str">
        <f t="shared" si="5"/>
        <v>3 M</v>
      </c>
      <c r="H59" s="1403" t="str">
        <f t="shared" si="6"/>
        <v>37.44 M</v>
      </c>
      <c r="I59" s="1"/>
    </row>
    <row r="60">
      <c r="A60" s="1"/>
      <c r="B60" s="1">
        <f t="shared" si="7"/>
        <v>58</v>
      </c>
      <c r="C60" s="1400">
        <f t="shared" si="1"/>
        <v>180</v>
      </c>
      <c r="D60" s="1402">
        <f t="shared" si="2"/>
        <v>180</v>
      </c>
      <c r="E60" s="1403" t="str">
        <f t="shared" si="3"/>
        <v>4.23 K</v>
      </c>
      <c r="F60" s="1404">
        <f t="shared" si="4"/>
        <v>3000000</v>
      </c>
      <c r="G60" s="1402" t="str">
        <f t="shared" si="5"/>
        <v>3 M</v>
      </c>
      <c r="H60" s="1403" t="str">
        <f t="shared" si="6"/>
        <v>40.44 M</v>
      </c>
      <c r="I60" s="1"/>
    </row>
    <row r="61">
      <c r="A61" s="1"/>
      <c r="B61" s="1">
        <f t="shared" si="7"/>
        <v>59</v>
      </c>
      <c r="C61" s="1400">
        <f t="shared" si="1"/>
        <v>180</v>
      </c>
      <c r="D61" s="1402">
        <f t="shared" si="2"/>
        <v>180</v>
      </c>
      <c r="E61" s="1403" t="str">
        <f t="shared" si="3"/>
        <v>4.41 K</v>
      </c>
      <c r="F61" s="1404">
        <f t="shared" si="4"/>
        <v>3000000</v>
      </c>
      <c r="G61" s="1402" t="str">
        <f t="shared" si="5"/>
        <v>3 M</v>
      </c>
      <c r="H61" s="1403" t="str">
        <f t="shared" si="6"/>
        <v>43.44 M</v>
      </c>
      <c r="I61" s="1"/>
    </row>
    <row r="62">
      <c r="A62" s="1"/>
      <c r="B62" s="1">
        <f t="shared" si="7"/>
        <v>60</v>
      </c>
      <c r="C62" s="1400">
        <f t="shared" si="1"/>
        <v>180</v>
      </c>
      <c r="D62" s="1402">
        <f t="shared" si="2"/>
        <v>180</v>
      </c>
      <c r="E62" s="1403" t="str">
        <f t="shared" si="3"/>
        <v>4.59 K</v>
      </c>
      <c r="F62" s="1404">
        <f t="shared" si="4"/>
        <v>3000000</v>
      </c>
      <c r="G62" s="1402" t="str">
        <f t="shared" si="5"/>
        <v>3 M</v>
      </c>
      <c r="H62" s="1403" t="str">
        <f t="shared" si="6"/>
        <v>46.44 M</v>
      </c>
      <c r="I62" s="1"/>
    </row>
    <row r="63">
      <c r="A63" s="1"/>
      <c r="B63" s="1">
        <f t="shared" si="7"/>
        <v>61</v>
      </c>
      <c r="C63" s="1400">
        <f t="shared" si="1"/>
        <v>250</v>
      </c>
      <c r="D63" s="1402">
        <f t="shared" si="2"/>
        <v>250</v>
      </c>
      <c r="E63" s="1403" t="str">
        <f t="shared" si="3"/>
        <v>4.84 K</v>
      </c>
      <c r="F63" s="1404">
        <f t="shared" si="4"/>
        <v>25000000</v>
      </c>
      <c r="G63" s="1402" t="str">
        <f t="shared" si="5"/>
        <v>25 M</v>
      </c>
      <c r="H63" s="1403" t="str">
        <f t="shared" si="6"/>
        <v>71.44 M</v>
      </c>
      <c r="I63" s="1"/>
    </row>
    <row r="64">
      <c r="A64" s="1"/>
      <c r="B64" s="1">
        <f t="shared" si="7"/>
        <v>62</v>
      </c>
      <c r="C64" s="1400">
        <f t="shared" si="1"/>
        <v>250</v>
      </c>
      <c r="D64" s="1402">
        <f t="shared" si="2"/>
        <v>250</v>
      </c>
      <c r="E64" s="1403" t="str">
        <f t="shared" si="3"/>
        <v>5.09 K</v>
      </c>
      <c r="F64" s="1404">
        <f t="shared" si="4"/>
        <v>25000000</v>
      </c>
      <c r="G64" s="1402" t="str">
        <f t="shared" si="5"/>
        <v>25 M</v>
      </c>
      <c r="H64" s="1403" t="str">
        <f t="shared" si="6"/>
        <v>96.44 M</v>
      </c>
      <c r="I64" s="1"/>
    </row>
    <row r="65">
      <c r="A65" s="1"/>
      <c r="B65" s="1">
        <f t="shared" si="7"/>
        <v>63</v>
      </c>
      <c r="C65" s="1400">
        <f t="shared" si="1"/>
        <v>250</v>
      </c>
      <c r="D65" s="1402">
        <f t="shared" si="2"/>
        <v>250</v>
      </c>
      <c r="E65" s="1403" t="str">
        <f t="shared" si="3"/>
        <v>5.34 K</v>
      </c>
      <c r="F65" s="1404">
        <f t="shared" si="4"/>
        <v>25000000</v>
      </c>
      <c r="G65" s="1402" t="str">
        <f t="shared" si="5"/>
        <v>25 M</v>
      </c>
      <c r="H65" s="1403" t="str">
        <f t="shared" si="6"/>
        <v>121.44 M</v>
      </c>
      <c r="I65" s="1"/>
    </row>
    <row r="66">
      <c r="A66" s="1"/>
      <c r="B66" s="1">
        <f t="shared" si="7"/>
        <v>64</v>
      </c>
      <c r="C66" s="1400">
        <f t="shared" si="1"/>
        <v>250</v>
      </c>
      <c r="D66" s="1402">
        <f t="shared" si="2"/>
        <v>250</v>
      </c>
      <c r="E66" s="1403" t="str">
        <f t="shared" si="3"/>
        <v>5.59 K</v>
      </c>
      <c r="F66" s="1404">
        <f t="shared" si="4"/>
        <v>25000000</v>
      </c>
      <c r="G66" s="1402" t="str">
        <f t="shared" si="5"/>
        <v>25 M</v>
      </c>
      <c r="H66" s="1403" t="str">
        <f t="shared" si="6"/>
        <v>146.44 M</v>
      </c>
      <c r="I66" s="1"/>
    </row>
    <row r="67">
      <c r="A67" s="1"/>
      <c r="B67" s="1">
        <f t="shared" si="7"/>
        <v>65</v>
      </c>
      <c r="C67" s="1400">
        <f t="shared" si="1"/>
        <v>250</v>
      </c>
      <c r="D67" s="1402">
        <f t="shared" si="2"/>
        <v>250</v>
      </c>
      <c r="E67" s="1403" t="str">
        <f t="shared" si="3"/>
        <v>5.84 K</v>
      </c>
      <c r="F67" s="1404">
        <f t="shared" si="4"/>
        <v>25000000</v>
      </c>
      <c r="G67" s="1402" t="str">
        <f t="shared" si="5"/>
        <v>25 M</v>
      </c>
      <c r="H67" s="1403" t="str">
        <f t="shared" si="6"/>
        <v>171.44 M</v>
      </c>
      <c r="I67" s="1"/>
    </row>
    <row r="68">
      <c r="A68" s="1"/>
      <c r="B68" s="1">
        <f t="shared" si="7"/>
        <v>66</v>
      </c>
      <c r="C68" s="1400">
        <f t="shared" si="1"/>
        <v>250</v>
      </c>
      <c r="D68" s="1402">
        <f t="shared" si="2"/>
        <v>250</v>
      </c>
      <c r="E68" s="1403" t="str">
        <f t="shared" si="3"/>
        <v>6.09 K</v>
      </c>
      <c r="F68" s="1404">
        <f t="shared" si="4"/>
        <v>25000000</v>
      </c>
      <c r="G68" s="1402" t="str">
        <f t="shared" si="5"/>
        <v>25 M</v>
      </c>
      <c r="H68" s="1403" t="str">
        <f t="shared" si="6"/>
        <v>196.44 M</v>
      </c>
      <c r="I68" s="1"/>
    </row>
    <row r="69">
      <c r="A69" s="1"/>
      <c r="B69" s="1">
        <f t="shared" si="7"/>
        <v>67</v>
      </c>
      <c r="C69" s="1400">
        <f t="shared" si="1"/>
        <v>250</v>
      </c>
      <c r="D69" s="1402">
        <f t="shared" si="2"/>
        <v>250</v>
      </c>
      <c r="E69" s="1403" t="str">
        <f t="shared" si="3"/>
        <v>6.34 K</v>
      </c>
      <c r="F69" s="1404">
        <f t="shared" si="4"/>
        <v>25000000</v>
      </c>
      <c r="G69" s="1402" t="str">
        <f t="shared" si="5"/>
        <v>25 M</v>
      </c>
      <c r="H69" s="1403" t="str">
        <f t="shared" si="6"/>
        <v>221.44 M</v>
      </c>
      <c r="I69" s="1"/>
    </row>
    <row r="70">
      <c r="A70" s="1"/>
      <c r="B70" s="1">
        <f t="shared" si="7"/>
        <v>68</v>
      </c>
      <c r="C70" s="1400">
        <f t="shared" si="1"/>
        <v>250</v>
      </c>
      <c r="D70" s="1402">
        <f t="shared" si="2"/>
        <v>250</v>
      </c>
      <c r="E70" s="1403" t="str">
        <f t="shared" si="3"/>
        <v>6.59 K</v>
      </c>
      <c r="F70" s="1404">
        <f t="shared" si="4"/>
        <v>25000000</v>
      </c>
      <c r="G70" s="1402" t="str">
        <f t="shared" si="5"/>
        <v>25 M</v>
      </c>
      <c r="H70" s="1403" t="str">
        <f t="shared" si="6"/>
        <v>246.44 M</v>
      </c>
      <c r="I70" s="1"/>
    </row>
    <row r="71">
      <c r="A71" s="1"/>
      <c r="B71" s="1">
        <f t="shared" si="7"/>
        <v>69</v>
      </c>
      <c r="C71" s="1400">
        <f t="shared" si="1"/>
        <v>250</v>
      </c>
      <c r="D71" s="1402">
        <f t="shared" si="2"/>
        <v>250</v>
      </c>
      <c r="E71" s="1403" t="str">
        <f t="shared" si="3"/>
        <v>6.84 K</v>
      </c>
      <c r="F71" s="1404">
        <f t="shared" si="4"/>
        <v>25000000</v>
      </c>
      <c r="G71" s="1402" t="str">
        <f t="shared" si="5"/>
        <v>25 M</v>
      </c>
      <c r="H71" s="1403" t="str">
        <f t="shared" si="6"/>
        <v>271.44 M</v>
      </c>
      <c r="I71" s="1"/>
    </row>
    <row r="72">
      <c r="A72" s="1"/>
      <c r="B72" s="1">
        <f t="shared" si="7"/>
        <v>70</v>
      </c>
      <c r="C72" s="1400">
        <f t="shared" si="1"/>
        <v>250</v>
      </c>
      <c r="D72" s="1402">
        <f t="shared" si="2"/>
        <v>250</v>
      </c>
      <c r="E72" s="1403" t="str">
        <f t="shared" si="3"/>
        <v>7.09 K</v>
      </c>
      <c r="F72" s="1404">
        <f t="shared" si="4"/>
        <v>25000000</v>
      </c>
      <c r="G72" s="1402" t="str">
        <f t="shared" si="5"/>
        <v>25 M</v>
      </c>
      <c r="H72" s="1403" t="str">
        <f t="shared" si="6"/>
        <v>296.44 M</v>
      </c>
      <c r="I72" s="1"/>
    </row>
    <row r="73">
      <c r="A73" s="1"/>
      <c r="B73" s="1">
        <f t="shared" si="7"/>
        <v>71</v>
      </c>
      <c r="C73" s="1400">
        <f t="shared" si="1"/>
        <v>350</v>
      </c>
      <c r="D73" s="1402">
        <f t="shared" si="2"/>
        <v>350</v>
      </c>
      <c r="E73" s="1403" t="str">
        <f t="shared" si="3"/>
        <v>7.44 K</v>
      </c>
      <c r="F73" s="1404">
        <f t="shared" si="4"/>
        <v>100000000</v>
      </c>
      <c r="G73" s="1402" t="str">
        <f t="shared" si="5"/>
        <v>100 M</v>
      </c>
      <c r="H73" s="1403" t="str">
        <f t="shared" si="6"/>
        <v>396.44 M</v>
      </c>
      <c r="I73" s="1"/>
    </row>
    <row r="74">
      <c r="A74" s="1"/>
      <c r="B74" s="1">
        <f t="shared" si="7"/>
        <v>72</v>
      </c>
      <c r="C74" s="1400">
        <f t="shared" si="1"/>
        <v>350</v>
      </c>
      <c r="D74" s="1402">
        <f t="shared" si="2"/>
        <v>350</v>
      </c>
      <c r="E74" s="1403" t="str">
        <f t="shared" si="3"/>
        <v>7.79 K</v>
      </c>
      <c r="F74" s="1404">
        <f t="shared" si="4"/>
        <v>100000000</v>
      </c>
      <c r="G74" s="1402" t="str">
        <f t="shared" si="5"/>
        <v>100 M</v>
      </c>
      <c r="H74" s="1403" t="str">
        <f t="shared" si="6"/>
        <v>496.44 M</v>
      </c>
      <c r="I74" s="1"/>
    </row>
    <row r="75">
      <c r="A75" s="1"/>
      <c r="B75" s="1">
        <f t="shared" si="7"/>
        <v>73</v>
      </c>
      <c r="C75" s="1400">
        <f t="shared" si="1"/>
        <v>350</v>
      </c>
      <c r="D75" s="1402">
        <f t="shared" si="2"/>
        <v>350</v>
      </c>
      <c r="E75" s="1403" t="str">
        <f t="shared" si="3"/>
        <v>8.14 K</v>
      </c>
      <c r="F75" s="1404">
        <f t="shared" si="4"/>
        <v>100000000</v>
      </c>
      <c r="G75" s="1402" t="str">
        <f t="shared" si="5"/>
        <v>100 M</v>
      </c>
      <c r="H75" s="1403" t="str">
        <f t="shared" si="6"/>
        <v>596.44 M</v>
      </c>
      <c r="I75" s="1"/>
    </row>
    <row r="76">
      <c r="A76" s="1"/>
      <c r="B76" s="1">
        <f t="shared" si="7"/>
        <v>74</v>
      </c>
      <c r="C76" s="1400">
        <f t="shared" si="1"/>
        <v>350</v>
      </c>
      <c r="D76" s="1402">
        <f t="shared" si="2"/>
        <v>350</v>
      </c>
      <c r="E76" s="1403" t="str">
        <f t="shared" si="3"/>
        <v>8.49 K</v>
      </c>
      <c r="F76" s="1404">
        <f t="shared" si="4"/>
        <v>100000000</v>
      </c>
      <c r="G76" s="1402" t="str">
        <f t="shared" si="5"/>
        <v>100 M</v>
      </c>
      <c r="H76" s="1403" t="str">
        <f t="shared" si="6"/>
        <v>696.44 M</v>
      </c>
      <c r="I76" s="1"/>
    </row>
    <row r="77">
      <c r="A77" s="1"/>
      <c r="B77" s="1">
        <f t="shared" si="7"/>
        <v>75</v>
      </c>
      <c r="C77" s="1400">
        <f t="shared" si="1"/>
        <v>350</v>
      </c>
      <c r="D77" s="1402">
        <f t="shared" si="2"/>
        <v>350</v>
      </c>
      <c r="E77" s="1403" t="str">
        <f t="shared" si="3"/>
        <v>8.84 K</v>
      </c>
      <c r="F77" s="1404">
        <f t="shared" si="4"/>
        <v>100000000</v>
      </c>
      <c r="G77" s="1402" t="str">
        <f t="shared" si="5"/>
        <v>100 M</v>
      </c>
      <c r="H77" s="1403" t="str">
        <f t="shared" si="6"/>
        <v>796.44 M</v>
      </c>
      <c r="I77" s="1"/>
    </row>
    <row r="78">
      <c r="A78" s="1"/>
      <c r="B78" s="1">
        <f t="shared" si="7"/>
        <v>76</v>
      </c>
      <c r="C78" s="1400">
        <f t="shared" si="1"/>
        <v>350</v>
      </c>
      <c r="D78" s="1402">
        <f t="shared" si="2"/>
        <v>350</v>
      </c>
      <c r="E78" s="1403" t="str">
        <f t="shared" si="3"/>
        <v>9.19 K</v>
      </c>
      <c r="F78" s="1404">
        <f t="shared" si="4"/>
        <v>100000000</v>
      </c>
      <c r="G78" s="1402" t="str">
        <f t="shared" si="5"/>
        <v>100 M</v>
      </c>
      <c r="H78" s="1403" t="str">
        <f t="shared" si="6"/>
        <v>896.44 M</v>
      </c>
      <c r="I78" s="1"/>
    </row>
    <row r="79">
      <c r="A79" s="1"/>
      <c r="B79" s="1">
        <f t="shared" si="7"/>
        <v>77</v>
      </c>
      <c r="C79" s="1400">
        <f t="shared" si="1"/>
        <v>350</v>
      </c>
      <c r="D79" s="1402">
        <f t="shared" si="2"/>
        <v>350</v>
      </c>
      <c r="E79" s="1403" t="str">
        <f t="shared" si="3"/>
        <v>9.54 K</v>
      </c>
      <c r="F79" s="1404">
        <f t="shared" si="4"/>
        <v>100000000</v>
      </c>
      <c r="G79" s="1402" t="str">
        <f t="shared" si="5"/>
        <v>100 M</v>
      </c>
      <c r="H79" s="1403" t="str">
        <f t="shared" si="6"/>
        <v>996.44 M</v>
      </c>
      <c r="I79" s="1"/>
    </row>
    <row r="80">
      <c r="A80" s="1"/>
      <c r="B80" s="1">
        <f t="shared" si="7"/>
        <v>78</v>
      </c>
      <c r="C80" s="1400">
        <f t="shared" si="1"/>
        <v>350</v>
      </c>
      <c r="D80" s="1402">
        <f t="shared" si="2"/>
        <v>350</v>
      </c>
      <c r="E80" s="1403" t="str">
        <f t="shared" si="3"/>
        <v>9.89 K</v>
      </c>
      <c r="F80" s="1404">
        <f t="shared" si="4"/>
        <v>100000000</v>
      </c>
      <c r="G80" s="1402" t="str">
        <f t="shared" si="5"/>
        <v>100 M</v>
      </c>
      <c r="H80" s="1403" t="str">
        <f t="shared" si="6"/>
        <v>1.1 B</v>
      </c>
      <c r="I80" s="1"/>
    </row>
    <row r="81">
      <c r="A81" s="1"/>
      <c r="B81" s="1">
        <f t="shared" si="7"/>
        <v>79</v>
      </c>
      <c r="C81" s="1400">
        <f t="shared" si="1"/>
        <v>350</v>
      </c>
      <c r="D81" s="1402">
        <f t="shared" si="2"/>
        <v>350</v>
      </c>
      <c r="E81" s="1403" t="str">
        <f t="shared" si="3"/>
        <v>10.24 K</v>
      </c>
      <c r="F81" s="1404">
        <f t="shared" si="4"/>
        <v>100000000</v>
      </c>
      <c r="G81" s="1402" t="str">
        <f t="shared" si="5"/>
        <v>100 M</v>
      </c>
      <c r="H81" s="1403" t="str">
        <f t="shared" si="6"/>
        <v>1.2 B</v>
      </c>
      <c r="I81" s="1"/>
    </row>
    <row r="82">
      <c r="A82" s="1"/>
      <c r="B82" s="1">
        <f t="shared" si="7"/>
        <v>80</v>
      </c>
      <c r="C82" s="1400">
        <f t="shared" si="1"/>
        <v>350</v>
      </c>
      <c r="D82" s="1402">
        <f t="shared" si="2"/>
        <v>350</v>
      </c>
      <c r="E82" s="1403" t="str">
        <f t="shared" si="3"/>
        <v>10.59 K</v>
      </c>
      <c r="F82" s="1404">
        <f t="shared" si="4"/>
        <v>100000000</v>
      </c>
      <c r="G82" s="1402" t="str">
        <f t="shared" si="5"/>
        <v>100 M</v>
      </c>
      <c r="H82" s="1403" t="str">
        <f t="shared" si="6"/>
        <v>1.3 B</v>
      </c>
      <c r="I82" s="1"/>
    </row>
    <row r="83">
      <c r="A83" s="1"/>
      <c r="B83" s="1">
        <f t="shared" si="7"/>
        <v>81</v>
      </c>
      <c r="C83" s="1400">
        <f t="shared" si="1"/>
        <v>500</v>
      </c>
      <c r="D83" s="1402">
        <f t="shared" si="2"/>
        <v>500</v>
      </c>
      <c r="E83" s="1403" t="str">
        <f t="shared" si="3"/>
        <v>11.09 K</v>
      </c>
      <c r="F83" s="1404">
        <f t="shared" si="4"/>
        <v>350000000</v>
      </c>
      <c r="G83" s="1402" t="str">
        <f t="shared" si="5"/>
        <v>350 M</v>
      </c>
      <c r="H83" s="1403" t="str">
        <f t="shared" si="6"/>
        <v>1.65 B</v>
      </c>
      <c r="I83" s="1"/>
    </row>
    <row r="84">
      <c r="A84" s="1"/>
      <c r="B84" s="1">
        <f t="shared" si="7"/>
        <v>82</v>
      </c>
      <c r="C84" s="1400">
        <f t="shared" si="1"/>
        <v>500</v>
      </c>
      <c r="D84" s="1402">
        <f t="shared" si="2"/>
        <v>500</v>
      </c>
      <c r="E84" s="1403" t="str">
        <f t="shared" si="3"/>
        <v>11.59 K</v>
      </c>
      <c r="F84" s="1404">
        <f t="shared" si="4"/>
        <v>350000000</v>
      </c>
      <c r="G84" s="1402" t="str">
        <f t="shared" si="5"/>
        <v>350 M</v>
      </c>
      <c r="H84" s="1403" t="str">
        <f t="shared" si="6"/>
        <v>2 B</v>
      </c>
      <c r="I84" s="1"/>
    </row>
    <row r="85">
      <c r="A85" s="1"/>
      <c r="B85" s="1">
        <f t="shared" si="7"/>
        <v>83</v>
      </c>
      <c r="C85" s="1400">
        <f t="shared" si="1"/>
        <v>500</v>
      </c>
      <c r="D85" s="1402">
        <f t="shared" si="2"/>
        <v>500</v>
      </c>
      <c r="E85" s="1403" t="str">
        <f t="shared" si="3"/>
        <v>12.09 K</v>
      </c>
      <c r="F85" s="1404">
        <f t="shared" si="4"/>
        <v>350000000</v>
      </c>
      <c r="G85" s="1402" t="str">
        <f t="shared" si="5"/>
        <v>350 M</v>
      </c>
      <c r="H85" s="1403" t="str">
        <f t="shared" si="6"/>
        <v>2.35 B</v>
      </c>
      <c r="I85" s="1"/>
    </row>
    <row r="86">
      <c r="A86" s="1"/>
      <c r="B86" s="1">
        <f t="shared" si="7"/>
        <v>84</v>
      </c>
      <c r="C86" s="1400">
        <f t="shared" si="1"/>
        <v>500</v>
      </c>
      <c r="D86" s="1402">
        <f t="shared" si="2"/>
        <v>500</v>
      </c>
      <c r="E86" s="1403" t="str">
        <f t="shared" si="3"/>
        <v>12.59 K</v>
      </c>
      <c r="F86" s="1404">
        <f t="shared" si="4"/>
        <v>350000000</v>
      </c>
      <c r="G86" s="1402" t="str">
        <f t="shared" si="5"/>
        <v>350 M</v>
      </c>
      <c r="H86" s="1403" t="str">
        <f t="shared" si="6"/>
        <v>2.7 B</v>
      </c>
      <c r="I86" s="1"/>
    </row>
    <row r="87">
      <c r="A87" s="1"/>
      <c r="B87" s="1">
        <f t="shared" si="7"/>
        <v>85</v>
      </c>
      <c r="C87" s="1400">
        <f t="shared" si="1"/>
        <v>500</v>
      </c>
      <c r="D87" s="1402">
        <f t="shared" si="2"/>
        <v>500</v>
      </c>
      <c r="E87" s="1403" t="str">
        <f t="shared" si="3"/>
        <v>13.09 K</v>
      </c>
      <c r="F87" s="1404">
        <f t="shared" si="4"/>
        <v>350000000</v>
      </c>
      <c r="G87" s="1402" t="str">
        <f t="shared" si="5"/>
        <v>350 M</v>
      </c>
      <c r="H87" s="1403" t="str">
        <f t="shared" si="6"/>
        <v>3.05 B</v>
      </c>
      <c r="I87" s="1"/>
    </row>
    <row r="88">
      <c r="A88" s="1"/>
      <c r="B88" s="1">
        <f t="shared" si="7"/>
        <v>86</v>
      </c>
      <c r="C88" s="1400">
        <f t="shared" si="1"/>
        <v>500</v>
      </c>
      <c r="D88" s="1402">
        <f t="shared" si="2"/>
        <v>500</v>
      </c>
      <c r="E88" s="1403" t="str">
        <f t="shared" si="3"/>
        <v>13.59 K</v>
      </c>
      <c r="F88" s="1404">
        <f t="shared" si="4"/>
        <v>350000000</v>
      </c>
      <c r="G88" s="1402" t="str">
        <f t="shared" si="5"/>
        <v>350 M</v>
      </c>
      <c r="H88" s="1403" t="str">
        <f t="shared" si="6"/>
        <v>3.4 B</v>
      </c>
      <c r="I88" s="1"/>
    </row>
    <row r="89">
      <c r="A89" s="1"/>
      <c r="B89" s="1">
        <f t="shared" si="7"/>
        <v>87</v>
      </c>
      <c r="C89" s="1400">
        <f t="shared" si="1"/>
        <v>500</v>
      </c>
      <c r="D89" s="1402">
        <f t="shared" si="2"/>
        <v>500</v>
      </c>
      <c r="E89" s="1403" t="str">
        <f t="shared" si="3"/>
        <v>14.09 K</v>
      </c>
      <c r="F89" s="1404">
        <f t="shared" si="4"/>
        <v>350000000</v>
      </c>
      <c r="G89" s="1402" t="str">
        <f t="shared" si="5"/>
        <v>350 M</v>
      </c>
      <c r="H89" s="1403" t="str">
        <f t="shared" si="6"/>
        <v>3.75 B</v>
      </c>
      <c r="I89" s="1"/>
    </row>
    <row r="90">
      <c r="A90" s="1"/>
      <c r="B90" s="1">
        <f t="shared" si="7"/>
        <v>88</v>
      </c>
      <c r="C90" s="1400">
        <f t="shared" si="1"/>
        <v>500</v>
      </c>
      <c r="D90" s="1402">
        <f t="shared" si="2"/>
        <v>500</v>
      </c>
      <c r="E90" s="1403" t="str">
        <f t="shared" si="3"/>
        <v>14.59 K</v>
      </c>
      <c r="F90" s="1404">
        <f t="shared" si="4"/>
        <v>350000000</v>
      </c>
      <c r="G90" s="1402" t="str">
        <f t="shared" si="5"/>
        <v>350 M</v>
      </c>
      <c r="H90" s="1403" t="str">
        <f t="shared" si="6"/>
        <v>4.1 B</v>
      </c>
      <c r="I90" s="1"/>
    </row>
    <row r="91">
      <c r="A91" s="1"/>
      <c r="B91" s="1">
        <f t="shared" si="7"/>
        <v>89</v>
      </c>
      <c r="C91" s="1400">
        <f t="shared" si="1"/>
        <v>500</v>
      </c>
      <c r="D91" s="1402">
        <f t="shared" si="2"/>
        <v>500</v>
      </c>
      <c r="E91" s="1403" t="str">
        <f t="shared" si="3"/>
        <v>15.09 K</v>
      </c>
      <c r="F91" s="1404">
        <f t="shared" si="4"/>
        <v>350000000</v>
      </c>
      <c r="G91" s="1402" t="str">
        <f t="shared" si="5"/>
        <v>350 M</v>
      </c>
      <c r="H91" s="1403" t="str">
        <f t="shared" si="6"/>
        <v>4.45 B</v>
      </c>
      <c r="I91" s="1"/>
    </row>
    <row r="92">
      <c r="A92" s="1"/>
      <c r="B92" s="1">
        <f t="shared" si="7"/>
        <v>90</v>
      </c>
      <c r="C92" s="1400">
        <f t="shared" si="1"/>
        <v>500</v>
      </c>
      <c r="D92" s="1402">
        <f t="shared" si="2"/>
        <v>500</v>
      </c>
      <c r="E92" s="1403" t="str">
        <f t="shared" si="3"/>
        <v>15.59 K</v>
      </c>
      <c r="F92" s="1404">
        <f t="shared" si="4"/>
        <v>350000000</v>
      </c>
      <c r="G92" s="1402" t="str">
        <f t="shared" si="5"/>
        <v>350 M</v>
      </c>
      <c r="H92" s="1403" t="str">
        <f t="shared" si="6"/>
        <v>4.8 B</v>
      </c>
      <c r="I92" s="1"/>
    </row>
    <row r="93">
      <c r="A93" s="1"/>
      <c r="B93" s="1">
        <f t="shared" si="7"/>
        <v>91</v>
      </c>
      <c r="C93" s="1400">
        <f t="shared" si="1"/>
        <v>700</v>
      </c>
      <c r="D93" s="1402">
        <f t="shared" si="2"/>
        <v>700</v>
      </c>
      <c r="E93" s="1403" t="str">
        <f t="shared" si="3"/>
        <v>16.29 K</v>
      </c>
      <c r="F93" s="1404">
        <f t="shared" si="4"/>
        <v>350000000</v>
      </c>
      <c r="G93" s="1402" t="str">
        <f t="shared" si="5"/>
        <v>350 M</v>
      </c>
      <c r="H93" s="1403" t="str">
        <f t="shared" si="6"/>
        <v>5.15 B</v>
      </c>
      <c r="I93" s="1"/>
    </row>
    <row r="94">
      <c r="A94" s="1"/>
      <c r="B94" s="1">
        <f t="shared" si="7"/>
        <v>92</v>
      </c>
      <c r="C94" s="1400">
        <f t="shared" si="1"/>
        <v>700</v>
      </c>
      <c r="D94" s="1402">
        <f t="shared" si="2"/>
        <v>700</v>
      </c>
      <c r="E94" s="1403" t="str">
        <f t="shared" si="3"/>
        <v>16.99 K</v>
      </c>
      <c r="F94" s="1404">
        <f t="shared" si="4"/>
        <v>350000000</v>
      </c>
      <c r="G94" s="1402" t="str">
        <f t="shared" si="5"/>
        <v>350 M</v>
      </c>
      <c r="H94" s="1403" t="str">
        <f t="shared" si="6"/>
        <v>5.5 B</v>
      </c>
      <c r="I94" s="1"/>
    </row>
    <row r="95">
      <c r="A95" s="1"/>
      <c r="B95" s="1">
        <f t="shared" si="7"/>
        <v>93</v>
      </c>
      <c r="C95" s="1400">
        <f t="shared" si="1"/>
        <v>700</v>
      </c>
      <c r="D95" s="1402">
        <f t="shared" si="2"/>
        <v>700</v>
      </c>
      <c r="E95" s="1403" t="str">
        <f t="shared" si="3"/>
        <v>17.69 K</v>
      </c>
      <c r="F95" s="1404">
        <f t="shared" si="4"/>
        <v>350000000</v>
      </c>
      <c r="G95" s="1402" t="str">
        <f t="shared" si="5"/>
        <v>350 M</v>
      </c>
      <c r="H95" s="1403" t="str">
        <f t="shared" si="6"/>
        <v>5.85 B</v>
      </c>
      <c r="I95" s="1"/>
    </row>
    <row r="96">
      <c r="A96" s="1"/>
      <c r="B96" s="1">
        <f t="shared" si="7"/>
        <v>94</v>
      </c>
      <c r="C96" s="1400">
        <f t="shared" si="1"/>
        <v>700</v>
      </c>
      <c r="D96" s="1402">
        <f t="shared" si="2"/>
        <v>700</v>
      </c>
      <c r="E96" s="1403" t="str">
        <f t="shared" si="3"/>
        <v>18.39 K</v>
      </c>
      <c r="F96" s="1404">
        <f t="shared" si="4"/>
        <v>350000000</v>
      </c>
      <c r="G96" s="1402" t="str">
        <f t="shared" si="5"/>
        <v>350 M</v>
      </c>
      <c r="H96" s="1403" t="str">
        <f t="shared" si="6"/>
        <v>6.2 B</v>
      </c>
      <c r="I96" s="1"/>
    </row>
    <row r="97">
      <c r="A97" s="1"/>
      <c r="B97" s="1">
        <f t="shared" si="7"/>
        <v>95</v>
      </c>
      <c r="C97" s="1400">
        <f t="shared" si="1"/>
        <v>700</v>
      </c>
      <c r="D97" s="1402">
        <f t="shared" si="2"/>
        <v>700</v>
      </c>
      <c r="E97" s="1403" t="str">
        <f t="shared" si="3"/>
        <v>19.09 K</v>
      </c>
      <c r="F97" s="1404">
        <f t="shared" si="4"/>
        <v>350000000</v>
      </c>
      <c r="G97" s="1402" t="str">
        <f t="shared" si="5"/>
        <v>350 M</v>
      </c>
      <c r="H97" s="1403" t="str">
        <f t="shared" si="6"/>
        <v>6.55 B</v>
      </c>
      <c r="I97" s="1"/>
    </row>
    <row r="98">
      <c r="A98" s="1"/>
      <c r="B98" s="1">
        <f t="shared" si="7"/>
        <v>96</v>
      </c>
      <c r="C98" s="1400">
        <f t="shared" si="1"/>
        <v>700</v>
      </c>
      <c r="D98" s="1402">
        <f t="shared" si="2"/>
        <v>700</v>
      </c>
      <c r="E98" s="1403" t="str">
        <f t="shared" si="3"/>
        <v>19.79 K</v>
      </c>
      <c r="F98" s="1404">
        <f t="shared" si="4"/>
        <v>350000000</v>
      </c>
      <c r="G98" s="1402" t="str">
        <f t="shared" si="5"/>
        <v>350 M</v>
      </c>
      <c r="H98" s="1403" t="str">
        <f t="shared" si="6"/>
        <v>6.9 B</v>
      </c>
      <c r="I98" s="1"/>
    </row>
    <row r="99">
      <c r="A99" s="1"/>
      <c r="B99" s="1">
        <f t="shared" si="7"/>
        <v>97</v>
      </c>
      <c r="C99" s="1400">
        <f t="shared" si="1"/>
        <v>700</v>
      </c>
      <c r="D99" s="1402">
        <f t="shared" si="2"/>
        <v>700</v>
      </c>
      <c r="E99" s="1403" t="str">
        <f t="shared" si="3"/>
        <v>20.49 K</v>
      </c>
      <c r="F99" s="1404">
        <f t="shared" si="4"/>
        <v>350000000</v>
      </c>
      <c r="G99" s="1402" t="str">
        <f t="shared" si="5"/>
        <v>350 M</v>
      </c>
      <c r="H99" s="1403" t="str">
        <f t="shared" si="6"/>
        <v>7.25 B</v>
      </c>
      <c r="I99" s="1"/>
    </row>
    <row r="100">
      <c r="A100" s="1"/>
      <c r="B100" s="1">
        <f t="shared" si="7"/>
        <v>98</v>
      </c>
      <c r="C100" s="1400">
        <f t="shared" si="1"/>
        <v>700</v>
      </c>
      <c r="D100" s="1402">
        <f t="shared" si="2"/>
        <v>700</v>
      </c>
      <c r="E100" s="1403" t="str">
        <f t="shared" si="3"/>
        <v>21.19 K</v>
      </c>
      <c r="F100" s="1404">
        <f t="shared" si="4"/>
        <v>350000000</v>
      </c>
      <c r="G100" s="1402" t="str">
        <f t="shared" si="5"/>
        <v>350 M</v>
      </c>
      <c r="H100" s="1403" t="str">
        <f t="shared" si="6"/>
        <v>7.6 B</v>
      </c>
      <c r="I100" s="1"/>
    </row>
    <row r="101">
      <c r="A101" s="1"/>
      <c r="B101" s="1">
        <f t="shared" si="7"/>
        <v>99</v>
      </c>
      <c r="C101" s="1400">
        <f t="shared" si="1"/>
        <v>700</v>
      </c>
      <c r="D101" s="1402">
        <f t="shared" si="2"/>
        <v>700</v>
      </c>
      <c r="E101" s="1403" t="str">
        <f t="shared" si="3"/>
        <v>21.89 K</v>
      </c>
      <c r="F101" s="1404">
        <f t="shared" si="4"/>
        <v>350000000</v>
      </c>
      <c r="G101" s="1402" t="str">
        <f t="shared" si="5"/>
        <v>350 M</v>
      </c>
      <c r="H101" s="1403" t="str">
        <f t="shared" si="6"/>
        <v>7.95 B</v>
      </c>
      <c r="I101" s="1"/>
    </row>
    <row r="102">
      <c r="A102" s="1"/>
      <c r="B102" s="1">
        <f t="shared" si="7"/>
        <v>100</v>
      </c>
      <c r="C102" s="1400">
        <f t="shared" si="1"/>
        <v>700</v>
      </c>
      <c r="D102" s="1402">
        <f t="shared" si="2"/>
        <v>700</v>
      </c>
      <c r="E102" s="1403" t="str">
        <f t="shared" si="3"/>
        <v>22.59 K</v>
      </c>
      <c r="F102" s="1404">
        <f t="shared" si="4"/>
        <v>350000000</v>
      </c>
      <c r="G102" s="1402" t="str">
        <f t="shared" si="5"/>
        <v>350 M</v>
      </c>
      <c r="H102" s="1403" t="str">
        <f t="shared" si="6"/>
        <v>8.3 B</v>
      </c>
      <c r="I102" s="1"/>
    </row>
    <row r="103">
      <c r="A103" s="1"/>
      <c r="B103" s="1">
        <f t="shared" si="7"/>
        <v>101</v>
      </c>
      <c r="C103" s="1400">
        <f t="shared" si="1"/>
        <v>1000</v>
      </c>
      <c r="D103" s="1402" t="str">
        <f t="shared" si="2"/>
        <v>1 K</v>
      </c>
      <c r="E103" s="1403" t="str">
        <f t="shared" si="3"/>
        <v>23.59 K</v>
      </c>
      <c r="F103" s="1404">
        <f t="shared" si="4"/>
        <v>8000000000</v>
      </c>
      <c r="G103" s="1402" t="str">
        <f t="shared" si="5"/>
        <v>8 B</v>
      </c>
      <c r="H103" s="1403" t="str">
        <f t="shared" si="6"/>
        <v>16.3 B</v>
      </c>
      <c r="I103" s="1"/>
    </row>
    <row r="104">
      <c r="A104" s="1"/>
      <c r="B104" s="1">
        <f t="shared" si="7"/>
        <v>102</v>
      </c>
      <c r="C104" s="1400">
        <f t="shared" si="1"/>
        <v>1000</v>
      </c>
      <c r="D104" s="1402" t="str">
        <f t="shared" si="2"/>
        <v>1 K</v>
      </c>
      <c r="E104" s="1403" t="str">
        <f t="shared" si="3"/>
        <v>24.59 K</v>
      </c>
      <c r="F104" s="1404">
        <f t="shared" si="4"/>
        <v>8000000000</v>
      </c>
      <c r="G104" s="1402" t="str">
        <f t="shared" si="5"/>
        <v>8 B</v>
      </c>
      <c r="H104" s="1403" t="str">
        <f t="shared" si="6"/>
        <v>24.3 B</v>
      </c>
      <c r="I104" s="1"/>
    </row>
    <row r="105">
      <c r="A105" s="1"/>
      <c r="B105" s="1">
        <f t="shared" si="7"/>
        <v>103</v>
      </c>
      <c r="C105" s="1400">
        <f t="shared" si="1"/>
        <v>1000</v>
      </c>
      <c r="D105" s="1402" t="str">
        <f t="shared" si="2"/>
        <v>1 K</v>
      </c>
      <c r="E105" s="1403" t="str">
        <f t="shared" si="3"/>
        <v>25.59 K</v>
      </c>
      <c r="F105" s="1404">
        <f t="shared" si="4"/>
        <v>8000000000</v>
      </c>
      <c r="G105" s="1402" t="str">
        <f t="shared" si="5"/>
        <v>8 B</v>
      </c>
      <c r="H105" s="1403" t="str">
        <f t="shared" si="6"/>
        <v>32.3 B</v>
      </c>
      <c r="I105" s="1"/>
    </row>
    <row r="106">
      <c r="A106" s="1"/>
      <c r="B106" s="1">
        <f t="shared" si="7"/>
        <v>104</v>
      </c>
      <c r="C106" s="1400">
        <f t="shared" si="1"/>
        <v>1000</v>
      </c>
      <c r="D106" s="1402" t="str">
        <f t="shared" si="2"/>
        <v>1 K</v>
      </c>
      <c r="E106" s="1403" t="str">
        <f t="shared" si="3"/>
        <v>26.59 K</v>
      </c>
      <c r="F106" s="1404">
        <f t="shared" si="4"/>
        <v>8000000000</v>
      </c>
      <c r="G106" s="1402" t="str">
        <f t="shared" si="5"/>
        <v>8 B</v>
      </c>
      <c r="H106" s="1403" t="str">
        <f t="shared" si="6"/>
        <v>40.3 B</v>
      </c>
      <c r="I106" s="1"/>
    </row>
    <row r="107">
      <c r="A107" s="1"/>
      <c r="B107" s="1">
        <f t="shared" si="7"/>
        <v>105</v>
      </c>
      <c r="C107" s="1400">
        <f t="shared" si="1"/>
        <v>1000</v>
      </c>
      <c r="D107" s="1402" t="str">
        <f t="shared" si="2"/>
        <v>1 K</v>
      </c>
      <c r="E107" s="1403" t="str">
        <f t="shared" si="3"/>
        <v>27.59 K</v>
      </c>
      <c r="F107" s="1404">
        <f t="shared" si="4"/>
        <v>8000000000</v>
      </c>
      <c r="G107" s="1402" t="str">
        <f t="shared" si="5"/>
        <v>8 B</v>
      </c>
      <c r="H107" s="1403" t="str">
        <f t="shared" si="6"/>
        <v>48.3 B</v>
      </c>
      <c r="I107" s="1"/>
    </row>
    <row r="108">
      <c r="A108" s="1"/>
      <c r="B108" s="1">
        <f t="shared" si="7"/>
        <v>106</v>
      </c>
      <c r="C108" s="1400">
        <f t="shared" si="1"/>
        <v>1000</v>
      </c>
      <c r="D108" s="1402" t="str">
        <f t="shared" si="2"/>
        <v>1 K</v>
      </c>
      <c r="E108" s="1403" t="str">
        <f t="shared" si="3"/>
        <v>28.59 K</v>
      </c>
      <c r="F108" s="1404">
        <f t="shared" si="4"/>
        <v>8000000000</v>
      </c>
      <c r="G108" s="1402" t="str">
        <f t="shared" si="5"/>
        <v>8 B</v>
      </c>
      <c r="H108" s="1403" t="str">
        <f t="shared" si="6"/>
        <v>56.3 B</v>
      </c>
      <c r="I108" s="1"/>
    </row>
    <row r="109">
      <c r="A109" s="1"/>
      <c r="B109" s="1">
        <f t="shared" si="7"/>
        <v>107</v>
      </c>
      <c r="C109" s="1400">
        <f t="shared" si="1"/>
        <v>1000</v>
      </c>
      <c r="D109" s="1402" t="str">
        <f t="shared" si="2"/>
        <v>1 K</v>
      </c>
      <c r="E109" s="1403" t="str">
        <f t="shared" si="3"/>
        <v>29.59 K</v>
      </c>
      <c r="F109" s="1404">
        <f t="shared" si="4"/>
        <v>8000000000</v>
      </c>
      <c r="G109" s="1402" t="str">
        <f t="shared" si="5"/>
        <v>8 B</v>
      </c>
      <c r="H109" s="1403" t="str">
        <f t="shared" si="6"/>
        <v>64.3 B</v>
      </c>
      <c r="I109" s="1"/>
    </row>
    <row r="110">
      <c r="A110" s="1"/>
      <c r="B110" s="1">
        <f t="shared" si="7"/>
        <v>108</v>
      </c>
      <c r="C110" s="1400">
        <f t="shared" si="1"/>
        <v>1000</v>
      </c>
      <c r="D110" s="1402" t="str">
        <f t="shared" si="2"/>
        <v>1 K</v>
      </c>
      <c r="E110" s="1403" t="str">
        <f t="shared" si="3"/>
        <v>30.59 K</v>
      </c>
      <c r="F110" s="1404">
        <f t="shared" si="4"/>
        <v>8000000000</v>
      </c>
      <c r="G110" s="1402" t="str">
        <f t="shared" si="5"/>
        <v>8 B</v>
      </c>
      <c r="H110" s="1403" t="str">
        <f t="shared" si="6"/>
        <v>72.3 B</v>
      </c>
      <c r="I110" s="1"/>
    </row>
    <row r="111">
      <c r="A111" s="1"/>
      <c r="B111" s="1">
        <f t="shared" si="7"/>
        <v>109</v>
      </c>
      <c r="C111" s="1400">
        <f t="shared" si="1"/>
        <v>1000</v>
      </c>
      <c r="D111" s="1402" t="str">
        <f t="shared" si="2"/>
        <v>1 K</v>
      </c>
      <c r="E111" s="1403" t="str">
        <f t="shared" si="3"/>
        <v>31.59 K</v>
      </c>
      <c r="F111" s="1404">
        <f t="shared" si="4"/>
        <v>8000000000</v>
      </c>
      <c r="G111" s="1402" t="str">
        <f t="shared" si="5"/>
        <v>8 B</v>
      </c>
      <c r="H111" s="1403" t="str">
        <f t="shared" si="6"/>
        <v>80.3 B</v>
      </c>
      <c r="I111" s="1"/>
    </row>
    <row r="112">
      <c r="A112" s="1"/>
      <c r="B112" s="1">
        <f t="shared" si="7"/>
        <v>110</v>
      </c>
      <c r="C112" s="1400">
        <f t="shared" si="1"/>
        <v>1000</v>
      </c>
      <c r="D112" s="1402" t="str">
        <f t="shared" si="2"/>
        <v>1 K</v>
      </c>
      <c r="E112" s="1403" t="str">
        <f t="shared" si="3"/>
        <v>32.59 K</v>
      </c>
      <c r="F112" s="1404">
        <f t="shared" si="4"/>
        <v>8000000000</v>
      </c>
      <c r="G112" s="1402" t="str">
        <f t="shared" si="5"/>
        <v>8 B</v>
      </c>
      <c r="H112" s="1403" t="str">
        <f t="shared" si="6"/>
        <v>88.3 B</v>
      </c>
      <c r="I112" s="1"/>
    </row>
    <row r="113">
      <c r="A113" s="1"/>
      <c r="B113" s="1">
        <f t="shared" si="7"/>
        <v>111</v>
      </c>
      <c r="C113" s="1400">
        <f t="shared" si="1"/>
        <v>1300</v>
      </c>
      <c r="D113" s="1402" t="str">
        <f t="shared" si="2"/>
        <v>1.3 K</v>
      </c>
      <c r="E113" s="1403" t="str">
        <f t="shared" si="3"/>
        <v>33.89 K</v>
      </c>
      <c r="F113" s="1404">
        <f t="shared" si="4"/>
        <v>8000000000</v>
      </c>
      <c r="G113" s="1402" t="str">
        <f t="shared" si="5"/>
        <v>8 B</v>
      </c>
      <c r="H113" s="1403" t="str">
        <f t="shared" si="6"/>
        <v>96.3 B</v>
      </c>
      <c r="I113" s="1"/>
    </row>
    <row r="114">
      <c r="A114" s="1"/>
      <c r="B114" s="1">
        <f t="shared" si="7"/>
        <v>112</v>
      </c>
      <c r="C114" s="1400">
        <f t="shared" si="1"/>
        <v>1300</v>
      </c>
      <c r="D114" s="1402" t="str">
        <f t="shared" si="2"/>
        <v>1.3 K</v>
      </c>
      <c r="E114" s="1403" t="str">
        <f t="shared" si="3"/>
        <v>35.19 K</v>
      </c>
      <c r="F114" s="1404">
        <f t="shared" si="4"/>
        <v>8000000000</v>
      </c>
      <c r="G114" s="1402" t="str">
        <f t="shared" si="5"/>
        <v>8 B</v>
      </c>
      <c r="H114" s="1403" t="str">
        <f t="shared" si="6"/>
        <v>104.3 B</v>
      </c>
      <c r="I114" s="1"/>
    </row>
    <row r="115">
      <c r="A115" s="1"/>
      <c r="B115" s="1">
        <f t="shared" si="7"/>
        <v>113</v>
      </c>
      <c r="C115" s="1400">
        <f t="shared" si="1"/>
        <v>1300</v>
      </c>
      <c r="D115" s="1402" t="str">
        <f t="shared" si="2"/>
        <v>1.3 K</v>
      </c>
      <c r="E115" s="1403" t="str">
        <f t="shared" si="3"/>
        <v>36.49 K</v>
      </c>
      <c r="F115" s="1404">
        <f t="shared" si="4"/>
        <v>8000000000</v>
      </c>
      <c r="G115" s="1402" t="str">
        <f t="shared" si="5"/>
        <v>8 B</v>
      </c>
      <c r="H115" s="1403" t="str">
        <f t="shared" si="6"/>
        <v>112.3 B</v>
      </c>
      <c r="I115" s="1"/>
    </row>
    <row r="116">
      <c r="A116" s="1"/>
      <c r="B116" s="1">
        <f t="shared" si="7"/>
        <v>114</v>
      </c>
      <c r="C116" s="1400">
        <f t="shared" si="1"/>
        <v>1300</v>
      </c>
      <c r="D116" s="1402" t="str">
        <f t="shared" si="2"/>
        <v>1.3 K</v>
      </c>
      <c r="E116" s="1403" t="str">
        <f t="shared" si="3"/>
        <v>37.79 K</v>
      </c>
      <c r="F116" s="1404">
        <f t="shared" si="4"/>
        <v>8000000000</v>
      </c>
      <c r="G116" s="1402" t="str">
        <f t="shared" si="5"/>
        <v>8 B</v>
      </c>
      <c r="H116" s="1403" t="str">
        <f t="shared" si="6"/>
        <v>120.3 B</v>
      </c>
      <c r="I116" s="1"/>
    </row>
    <row r="117">
      <c r="A117" s="1"/>
      <c r="B117" s="1">
        <f t="shared" si="7"/>
        <v>115</v>
      </c>
      <c r="C117" s="1400">
        <f t="shared" si="1"/>
        <v>1300</v>
      </c>
      <c r="D117" s="1402" t="str">
        <f t="shared" si="2"/>
        <v>1.3 K</v>
      </c>
      <c r="E117" s="1403" t="str">
        <f t="shared" si="3"/>
        <v>39.09 K</v>
      </c>
      <c r="F117" s="1404">
        <f t="shared" si="4"/>
        <v>8000000000</v>
      </c>
      <c r="G117" s="1402" t="str">
        <f t="shared" si="5"/>
        <v>8 B</v>
      </c>
      <c r="H117" s="1403" t="str">
        <f t="shared" si="6"/>
        <v>128.3 B</v>
      </c>
      <c r="I117" s="1"/>
    </row>
    <row r="118">
      <c r="A118" s="1"/>
      <c r="B118" s="1">
        <f t="shared" si="7"/>
        <v>116</v>
      </c>
      <c r="C118" s="1400">
        <f t="shared" si="1"/>
        <v>1300</v>
      </c>
      <c r="D118" s="1402" t="str">
        <f t="shared" si="2"/>
        <v>1.3 K</v>
      </c>
      <c r="E118" s="1403" t="str">
        <f t="shared" si="3"/>
        <v>40.39 K</v>
      </c>
      <c r="F118" s="1404">
        <f t="shared" si="4"/>
        <v>8000000000</v>
      </c>
      <c r="G118" s="1402" t="str">
        <f t="shared" si="5"/>
        <v>8 B</v>
      </c>
      <c r="H118" s="1403" t="str">
        <f t="shared" si="6"/>
        <v>136.3 B</v>
      </c>
      <c r="I118" s="1"/>
    </row>
    <row r="119">
      <c r="A119" s="1"/>
      <c r="B119" s="1">
        <f t="shared" si="7"/>
        <v>117</v>
      </c>
      <c r="C119" s="1400">
        <f t="shared" si="1"/>
        <v>1300</v>
      </c>
      <c r="D119" s="1402" t="str">
        <f t="shared" si="2"/>
        <v>1.3 K</v>
      </c>
      <c r="E119" s="1403" t="str">
        <f t="shared" si="3"/>
        <v>41.69 K</v>
      </c>
      <c r="F119" s="1404">
        <f t="shared" si="4"/>
        <v>8000000000</v>
      </c>
      <c r="G119" s="1402" t="str">
        <f t="shared" si="5"/>
        <v>8 B</v>
      </c>
      <c r="H119" s="1403" t="str">
        <f t="shared" si="6"/>
        <v>144.3 B</v>
      </c>
      <c r="I119" s="1"/>
    </row>
    <row r="120">
      <c r="A120" s="1"/>
      <c r="B120" s="1">
        <f t="shared" si="7"/>
        <v>118</v>
      </c>
      <c r="C120" s="1400">
        <f t="shared" si="1"/>
        <v>1300</v>
      </c>
      <c r="D120" s="1402" t="str">
        <f t="shared" si="2"/>
        <v>1.3 K</v>
      </c>
      <c r="E120" s="1403" t="str">
        <f t="shared" si="3"/>
        <v>42.99 K</v>
      </c>
      <c r="F120" s="1404">
        <f t="shared" si="4"/>
        <v>8000000000</v>
      </c>
      <c r="G120" s="1402" t="str">
        <f t="shared" si="5"/>
        <v>8 B</v>
      </c>
      <c r="H120" s="1403" t="str">
        <f t="shared" si="6"/>
        <v>152.3 B</v>
      </c>
      <c r="I120" s="1"/>
    </row>
    <row r="121">
      <c r="A121" s="1"/>
      <c r="B121" s="1">
        <f t="shared" si="7"/>
        <v>119</v>
      </c>
      <c r="C121" s="1400">
        <f t="shared" si="1"/>
        <v>1300</v>
      </c>
      <c r="D121" s="1402" t="str">
        <f t="shared" si="2"/>
        <v>1.3 K</v>
      </c>
      <c r="E121" s="1403" t="str">
        <f t="shared" si="3"/>
        <v>44.29 K</v>
      </c>
      <c r="F121" s="1404">
        <f t="shared" si="4"/>
        <v>8000000000</v>
      </c>
      <c r="G121" s="1402" t="str">
        <f t="shared" si="5"/>
        <v>8 B</v>
      </c>
      <c r="H121" s="1403" t="str">
        <f t="shared" si="6"/>
        <v>160.3 B</v>
      </c>
      <c r="I121" s="1"/>
    </row>
    <row r="122">
      <c r="A122" s="1"/>
      <c r="B122" s="1">
        <f t="shared" si="7"/>
        <v>120</v>
      </c>
      <c r="C122" s="1400">
        <f t="shared" si="1"/>
        <v>1300</v>
      </c>
      <c r="D122" s="1402" t="str">
        <f t="shared" si="2"/>
        <v>1.3 K</v>
      </c>
      <c r="E122" s="1403" t="str">
        <f t="shared" si="3"/>
        <v>45.59 K</v>
      </c>
      <c r="F122" s="1404">
        <f t="shared" si="4"/>
        <v>8000000000</v>
      </c>
      <c r="G122" s="1402" t="str">
        <f t="shared" si="5"/>
        <v>8 B</v>
      </c>
      <c r="H122" s="1403" t="str">
        <f t="shared" si="6"/>
        <v>168.3 B</v>
      </c>
      <c r="I122" s="1"/>
    </row>
    <row r="123">
      <c r="A123" s="1"/>
      <c r="B123" s="1">
        <f t="shared" si="7"/>
        <v>121</v>
      </c>
      <c r="C123" s="1400">
        <f t="shared" si="1"/>
        <v>1800</v>
      </c>
      <c r="D123" s="1402" t="str">
        <f t="shared" si="2"/>
        <v>1.8 K</v>
      </c>
      <c r="E123" s="1403" t="str">
        <f t="shared" si="3"/>
        <v>47.39 K</v>
      </c>
      <c r="F123" s="1404">
        <f t="shared" si="4"/>
        <v>32000000000</v>
      </c>
      <c r="G123" s="1402" t="str">
        <f t="shared" si="5"/>
        <v>32 B</v>
      </c>
      <c r="H123" s="1403" t="str">
        <f t="shared" si="6"/>
        <v>200.3 B</v>
      </c>
      <c r="I123" s="1"/>
    </row>
    <row r="124">
      <c r="A124" s="1"/>
      <c r="B124" s="1">
        <f t="shared" si="7"/>
        <v>122</v>
      </c>
      <c r="C124" s="1400">
        <f t="shared" si="1"/>
        <v>1800</v>
      </c>
      <c r="D124" s="1402" t="str">
        <f t="shared" si="2"/>
        <v>1.8 K</v>
      </c>
      <c r="E124" s="1403" t="str">
        <f t="shared" si="3"/>
        <v>49.19 K</v>
      </c>
      <c r="F124" s="1404">
        <f t="shared" si="4"/>
        <v>32000000000</v>
      </c>
      <c r="G124" s="1402" t="str">
        <f t="shared" si="5"/>
        <v>32 B</v>
      </c>
      <c r="H124" s="1403" t="str">
        <f t="shared" si="6"/>
        <v>232.3 B</v>
      </c>
      <c r="I124" s="1"/>
    </row>
    <row r="125">
      <c r="A125" s="1"/>
      <c r="B125" s="1">
        <f t="shared" si="7"/>
        <v>123</v>
      </c>
      <c r="C125" s="1400">
        <f t="shared" si="1"/>
        <v>1800</v>
      </c>
      <c r="D125" s="1402" t="str">
        <f t="shared" si="2"/>
        <v>1.8 K</v>
      </c>
      <c r="E125" s="1403" t="str">
        <f t="shared" si="3"/>
        <v>50.99 K</v>
      </c>
      <c r="F125" s="1404">
        <f t="shared" si="4"/>
        <v>32000000000</v>
      </c>
      <c r="G125" s="1402" t="str">
        <f t="shared" si="5"/>
        <v>32 B</v>
      </c>
      <c r="H125" s="1403" t="str">
        <f t="shared" si="6"/>
        <v>264.3 B</v>
      </c>
      <c r="I125" s="1"/>
    </row>
    <row r="126">
      <c r="A126" s="1"/>
      <c r="B126" s="1">
        <f t="shared" si="7"/>
        <v>124</v>
      </c>
      <c r="C126" s="1400">
        <f t="shared" si="1"/>
        <v>1800</v>
      </c>
      <c r="D126" s="1402" t="str">
        <f t="shared" si="2"/>
        <v>1.8 K</v>
      </c>
      <c r="E126" s="1403" t="str">
        <f t="shared" si="3"/>
        <v>52.79 K</v>
      </c>
      <c r="F126" s="1404">
        <f t="shared" si="4"/>
        <v>32000000000</v>
      </c>
      <c r="G126" s="1402" t="str">
        <f t="shared" si="5"/>
        <v>32 B</v>
      </c>
      <c r="H126" s="1403" t="str">
        <f t="shared" si="6"/>
        <v>296.3 B</v>
      </c>
      <c r="I126" s="1"/>
    </row>
    <row r="127">
      <c r="A127" s="1"/>
      <c r="B127" s="1">
        <f t="shared" si="7"/>
        <v>125</v>
      </c>
      <c r="C127" s="1400">
        <f t="shared" si="1"/>
        <v>1800</v>
      </c>
      <c r="D127" s="1402" t="str">
        <f t="shared" si="2"/>
        <v>1.8 K</v>
      </c>
      <c r="E127" s="1403" t="str">
        <f t="shared" si="3"/>
        <v>54.59 K</v>
      </c>
      <c r="F127" s="1404">
        <f t="shared" si="4"/>
        <v>32000000000</v>
      </c>
      <c r="G127" s="1402" t="str">
        <f t="shared" si="5"/>
        <v>32 B</v>
      </c>
      <c r="H127" s="1403" t="str">
        <f t="shared" si="6"/>
        <v>328.3 B</v>
      </c>
      <c r="I127" s="1"/>
    </row>
    <row r="128">
      <c r="A128" s="1"/>
      <c r="B128" s="1">
        <f t="shared" si="7"/>
        <v>126</v>
      </c>
      <c r="C128" s="1400">
        <f t="shared" si="1"/>
        <v>1800</v>
      </c>
      <c r="D128" s="1402" t="str">
        <f t="shared" si="2"/>
        <v>1.8 K</v>
      </c>
      <c r="E128" s="1403" t="str">
        <f t="shared" si="3"/>
        <v>56.39 K</v>
      </c>
      <c r="F128" s="1404">
        <f t="shared" si="4"/>
        <v>32000000000</v>
      </c>
      <c r="G128" s="1402" t="str">
        <f t="shared" si="5"/>
        <v>32 B</v>
      </c>
      <c r="H128" s="1403" t="str">
        <f t="shared" si="6"/>
        <v>360.3 B</v>
      </c>
      <c r="I128" s="1"/>
    </row>
    <row r="129">
      <c r="A129" s="1"/>
      <c r="B129" s="1">
        <f t="shared" si="7"/>
        <v>127</v>
      </c>
      <c r="C129" s="1400">
        <f t="shared" si="1"/>
        <v>1800</v>
      </c>
      <c r="D129" s="1402" t="str">
        <f t="shared" si="2"/>
        <v>1.8 K</v>
      </c>
      <c r="E129" s="1403" t="str">
        <f t="shared" si="3"/>
        <v>58.19 K</v>
      </c>
      <c r="F129" s="1404">
        <f t="shared" si="4"/>
        <v>32000000000</v>
      </c>
      <c r="G129" s="1402" t="str">
        <f t="shared" si="5"/>
        <v>32 B</v>
      </c>
      <c r="H129" s="1403" t="str">
        <f t="shared" si="6"/>
        <v>392.3 B</v>
      </c>
      <c r="I129" s="1"/>
    </row>
    <row r="130">
      <c r="A130" s="1"/>
      <c r="B130" s="1">
        <f t="shared" si="7"/>
        <v>128</v>
      </c>
      <c r="C130" s="1400">
        <f t="shared" si="1"/>
        <v>1800</v>
      </c>
      <c r="D130" s="1402" t="str">
        <f t="shared" si="2"/>
        <v>1.8 K</v>
      </c>
      <c r="E130" s="1403" t="str">
        <f t="shared" si="3"/>
        <v>59.99 K</v>
      </c>
      <c r="F130" s="1404">
        <f t="shared" si="4"/>
        <v>32000000000</v>
      </c>
      <c r="G130" s="1402" t="str">
        <f t="shared" si="5"/>
        <v>32 B</v>
      </c>
      <c r="H130" s="1403" t="str">
        <f t="shared" si="6"/>
        <v>424.3 B</v>
      </c>
      <c r="I130" s="1"/>
    </row>
    <row r="131">
      <c r="A131" s="1"/>
      <c r="B131" s="1">
        <f t="shared" si="7"/>
        <v>129</v>
      </c>
      <c r="C131" s="1400">
        <f t="shared" si="1"/>
        <v>1800</v>
      </c>
      <c r="D131" s="1402" t="str">
        <f t="shared" si="2"/>
        <v>1.8 K</v>
      </c>
      <c r="E131" s="1403" t="str">
        <f t="shared" si="3"/>
        <v>61.79 K</v>
      </c>
      <c r="F131" s="1404">
        <f t="shared" si="4"/>
        <v>32000000000</v>
      </c>
      <c r="G131" s="1402" t="str">
        <f t="shared" si="5"/>
        <v>32 B</v>
      </c>
      <c r="H131" s="1403" t="str">
        <f t="shared" si="6"/>
        <v>456.3 B</v>
      </c>
      <c r="I131" s="1"/>
    </row>
    <row r="132">
      <c r="A132" s="1"/>
      <c r="B132" s="1">
        <f t="shared" si="7"/>
        <v>130</v>
      </c>
      <c r="C132" s="1400">
        <f t="shared" si="1"/>
        <v>1800</v>
      </c>
      <c r="D132" s="1402" t="str">
        <f t="shared" si="2"/>
        <v>1.8 K</v>
      </c>
      <c r="E132" s="1403" t="str">
        <f t="shared" si="3"/>
        <v>63.59 K</v>
      </c>
      <c r="F132" s="1404">
        <f t="shared" si="4"/>
        <v>32000000000</v>
      </c>
      <c r="G132" s="1402" t="str">
        <f t="shared" si="5"/>
        <v>32 B</v>
      </c>
      <c r="H132" s="1403" t="str">
        <f t="shared" si="6"/>
        <v>488.3 B</v>
      </c>
      <c r="I132" s="1"/>
    </row>
    <row r="133">
      <c r="A133" s="1"/>
      <c r="B133" s="1">
        <f t="shared" si="7"/>
        <v>131</v>
      </c>
      <c r="C133" s="1400">
        <f t="shared" si="1"/>
        <v>2500</v>
      </c>
      <c r="D133" s="1402" t="str">
        <f t="shared" si="2"/>
        <v>2.5 K</v>
      </c>
      <c r="E133" s="1403" t="str">
        <f t="shared" si="3"/>
        <v>66.09 K</v>
      </c>
      <c r="F133" s="1404">
        <f t="shared" si="4"/>
        <v>32000000000</v>
      </c>
      <c r="G133" s="1402" t="str">
        <f t="shared" si="5"/>
        <v>32 B</v>
      </c>
      <c r="H133" s="1403" t="str">
        <f t="shared" si="6"/>
        <v>520.3 B</v>
      </c>
      <c r="I133" s="1"/>
    </row>
    <row r="134">
      <c r="A134" s="1"/>
      <c r="B134" s="1">
        <f t="shared" si="7"/>
        <v>132</v>
      </c>
      <c r="C134" s="1400">
        <f t="shared" si="1"/>
        <v>2500</v>
      </c>
      <c r="D134" s="1402" t="str">
        <f t="shared" si="2"/>
        <v>2.5 K</v>
      </c>
      <c r="E134" s="1403" t="str">
        <f t="shared" si="3"/>
        <v>68.59 K</v>
      </c>
      <c r="F134" s="1404">
        <f t="shared" si="4"/>
        <v>32000000000</v>
      </c>
      <c r="G134" s="1402" t="str">
        <f t="shared" si="5"/>
        <v>32 B</v>
      </c>
      <c r="H134" s="1403" t="str">
        <f t="shared" si="6"/>
        <v>552.3 B</v>
      </c>
      <c r="I134" s="1"/>
    </row>
    <row r="135">
      <c r="A135" s="1"/>
      <c r="B135" s="1">
        <f t="shared" si="7"/>
        <v>133</v>
      </c>
      <c r="C135" s="1400">
        <f t="shared" si="1"/>
        <v>2500</v>
      </c>
      <c r="D135" s="1402" t="str">
        <f t="shared" si="2"/>
        <v>2.5 K</v>
      </c>
      <c r="E135" s="1403" t="str">
        <f t="shared" si="3"/>
        <v>71.09 K</v>
      </c>
      <c r="F135" s="1404">
        <f t="shared" si="4"/>
        <v>32000000000</v>
      </c>
      <c r="G135" s="1402" t="str">
        <f t="shared" si="5"/>
        <v>32 B</v>
      </c>
      <c r="H135" s="1403" t="str">
        <f t="shared" si="6"/>
        <v>584.3 B</v>
      </c>
      <c r="I135" s="1"/>
    </row>
    <row r="136">
      <c r="A136" s="1"/>
      <c r="B136" s="1">
        <f t="shared" si="7"/>
        <v>134</v>
      </c>
      <c r="C136" s="1400">
        <f t="shared" si="1"/>
        <v>2500</v>
      </c>
      <c r="D136" s="1402" t="str">
        <f t="shared" si="2"/>
        <v>2.5 K</v>
      </c>
      <c r="E136" s="1403" t="str">
        <f t="shared" si="3"/>
        <v>73.59 K</v>
      </c>
      <c r="F136" s="1404">
        <f t="shared" si="4"/>
        <v>32000000000</v>
      </c>
      <c r="G136" s="1402" t="str">
        <f t="shared" si="5"/>
        <v>32 B</v>
      </c>
      <c r="H136" s="1403" t="str">
        <f t="shared" si="6"/>
        <v>616.3 B</v>
      </c>
      <c r="I136" s="1"/>
    </row>
    <row r="137">
      <c r="A137" s="1"/>
      <c r="B137" s="1">
        <f t="shared" si="7"/>
        <v>135</v>
      </c>
      <c r="C137" s="1400">
        <f t="shared" si="1"/>
        <v>2500</v>
      </c>
      <c r="D137" s="1402" t="str">
        <f t="shared" si="2"/>
        <v>2.5 K</v>
      </c>
      <c r="E137" s="1403" t="str">
        <f t="shared" si="3"/>
        <v>76.09 K</v>
      </c>
      <c r="F137" s="1404">
        <f t="shared" si="4"/>
        <v>32000000000</v>
      </c>
      <c r="G137" s="1402" t="str">
        <f t="shared" si="5"/>
        <v>32 B</v>
      </c>
      <c r="H137" s="1403" t="str">
        <f t="shared" si="6"/>
        <v>648.3 B</v>
      </c>
      <c r="I137" s="1"/>
    </row>
    <row r="138">
      <c r="A138" s="1"/>
      <c r="B138" s="1">
        <f t="shared" si="7"/>
        <v>136</v>
      </c>
      <c r="C138" s="1400">
        <f t="shared" si="1"/>
        <v>2500</v>
      </c>
      <c r="D138" s="1402" t="str">
        <f t="shared" si="2"/>
        <v>2.5 K</v>
      </c>
      <c r="E138" s="1403" t="str">
        <f t="shared" si="3"/>
        <v>78.59 K</v>
      </c>
      <c r="F138" s="1404">
        <f t="shared" si="4"/>
        <v>32000000000</v>
      </c>
      <c r="G138" s="1402" t="str">
        <f t="shared" si="5"/>
        <v>32 B</v>
      </c>
      <c r="H138" s="1403" t="str">
        <f t="shared" si="6"/>
        <v>680.3 B</v>
      </c>
      <c r="I138" s="1"/>
    </row>
    <row r="139">
      <c r="A139" s="1"/>
      <c r="B139" s="1">
        <f t="shared" si="7"/>
        <v>137</v>
      </c>
      <c r="C139" s="1400">
        <f t="shared" si="1"/>
        <v>2500</v>
      </c>
      <c r="D139" s="1402" t="str">
        <f t="shared" si="2"/>
        <v>2.5 K</v>
      </c>
      <c r="E139" s="1403" t="str">
        <f t="shared" si="3"/>
        <v>81.09 K</v>
      </c>
      <c r="F139" s="1404">
        <f t="shared" si="4"/>
        <v>32000000000</v>
      </c>
      <c r="G139" s="1402" t="str">
        <f t="shared" si="5"/>
        <v>32 B</v>
      </c>
      <c r="H139" s="1403" t="str">
        <f t="shared" si="6"/>
        <v>712.3 B</v>
      </c>
      <c r="I139" s="1"/>
    </row>
    <row r="140">
      <c r="A140" s="1"/>
      <c r="B140" s="1">
        <f t="shared" si="7"/>
        <v>138</v>
      </c>
      <c r="C140" s="1400">
        <f t="shared" si="1"/>
        <v>2500</v>
      </c>
      <c r="D140" s="1402" t="str">
        <f t="shared" si="2"/>
        <v>2.5 K</v>
      </c>
      <c r="E140" s="1403" t="str">
        <f t="shared" si="3"/>
        <v>83.59 K</v>
      </c>
      <c r="F140" s="1404">
        <f t="shared" si="4"/>
        <v>32000000000</v>
      </c>
      <c r="G140" s="1402" t="str">
        <f t="shared" si="5"/>
        <v>32 B</v>
      </c>
      <c r="H140" s="1403" t="str">
        <f t="shared" si="6"/>
        <v>744.3 B</v>
      </c>
      <c r="I140" s="1"/>
    </row>
    <row r="141">
      <c r="A141" s="1"/>
      <c r="B141" s="1">
        <f t="shared" si="7"/>
        <v>139</v>
      </c>
      <c r="C141" s="1400">
        <f t="shared" si="1"/>
        <v>2500</v>
      </c>
      <c r="D141" s="1402" t="str">
        <f t="shared" si="2"/>
        <v>2.5 K</v>
      </c>
      <c r="E141" s="1403" t="str">
        <f t="shared" si="3"/>
        <v>86.09 K</v>
      </c>
      <c r="F141" s="1404">
        <f t="shared" si="4"/>
        <v>32000000000</v>
      </c>
      <c r="G141" s="1402" t="str">
        <f t="shared" si="5"/>
        <v>32 B</v>
      </c>
      <c r="H141" s="1403" t="str">
        <f t="shared" si="6"/>
        <v>776.3 B</v>
      </c>
      <c r="I141" s="1"/>
    </row>
    <row r="142">
      <c r="A142" s="1"/>
      <c r="B142" s="1">
        <f t="shared" si="7"/>
        <v>140</v>
      </c>
      <c r="C142" s="1400">
        <f t="shared" si="1"/>
        <v>2500</v>
      </c>
      <c r="D142" s="1402" t="str">
        <f t="shared" si="2"/>
        <v>2.5 K</v>
      </c>
      <c r="E142" s="1403" t="str">
        <f t="shared" si="3"/>
        <v>88.59 K</v>
      </c>
      <c r="F142" s="1404">
        <f t="shared" si="4"/>
        <v>32000000000</v>
      </c>
      <c r="G142" s="1402" t="str">
        <f t="shared" si="5"/>
        <v>32 B</v>
      </c>
      <c r="H142" s="1403" t="str">
        <f t="shared" si="6"/>
        <v>808.3 B</v>
      </c>
      <c r="I142" s="1"/>
    </row>
    <row r="143">
      <c r="A143" s="1"/>
      <c r="B143" s="1">
        <f t="shared" si="7"/>
        <v>141</v>
      </c>
      <c r="C143" s="1400">
        <f t="shared" si="1"/>
        <v>3000</v>
      </c>
      <c r="D143" s="1402" t="str">
        <f t="shared" si="2"/>
        <v>3 K</v>
      </c>
      <c r="E143" s="1403" t="str">
        <f t="shared" si="3"/>
        <v>91.59 K</v>
      </c>
      <c r="F143" s="1404">
        <f t="shared" si="4"/>
        <v>500000000000</v>
      </c>
      <c r="G143" s="1402" t="str">
        <f t="shared" si="5"/>
        <v>500 B</v>
      </c>
      <c r="H143" s="1403" t="str">
        <f t="shared" si="6"/>
        <v>1.31 T</v>
      </c>
      <c r="I143" s="1"/>
    </row>
    <row r="144">
      <c r="A144" s="1"/>
      <c r="B144" s="1">
        <f t="shared" si="7"/>
        <v>142</v>
      </c>
      <c r="C144" s="1400">
        <f t="shared" si="1"/>
        <v>3000</v>
      </c>
      <c r="D144" s="1402" t="str">
        <f t="shared" si="2"/>
        <v>3 K</v>
      </c>
      <c r="E144" s="1403" t="str">
        <f t="shared" si="3"/>
        <v>94.59 K</v>
      </c>
      <c r="F144" s="1404">
        <f t="shared" si="4"/>
        <v>500000000000</v>
      </c>
      <c r="G144" s="1402" t="str">
        <f t="shared" si="5"/>
        <v>500 B</v>
      </c>
      <c r="H144" s="1403" t="str">
        <f t="shared" si="6"/>
        <v>1.81 T</v>
      </c>
      <c r="I144" s="1"/>
    </row>
    <row r="145">
      <c r="A145" s="1"/>
      <c r="B145" s="1">
        <f t="shared" si="7"/>
        <v>143</v>
      </c>
      <c r="C145" s="1400">
        <f t="shared" si="1"/>
        <v>3000</v>
      </c>
      <c r="D145" s="1402" t="str">
        <f t="shared" si="2"/>
        <v>3 K</v>
      </c>
      <c r="E145" s="1403" t="str">
        <f t="shared" si="3"/>
        <v>97.59 K</v>
      </c>
      <c r="F145" s="1404">
        <f t="shared" si="4"/>
        <v>500000000000</v>
      </c>
      <c r="G145" s="1402" t="str">
        <f t="shared" si="5"/>
        <v>500 B</v>
      </c>
      <c r="H145" s="1403" t="str">
        <f t="shared" si="6"/>
        <v>2.31 T</v>
      </c>
      <c r="I145" s="1"/>
    </row>
    <row r="146">
      <c r="A146" s="1"/>
      <c r="B146" s="1">
        <f t="shared" si="7"/>
        <v>144</v>
      </c>
      <c r="C146" s="1400">
        <f t="shared" si="1"/>
        <v>3000</v>
      </c>
      <c r="D146" s="1402" t="str">
        <f t="shared" si="2"/>
        <v>3 K</v>
      </c>
      <c r="E146" s="1403" t="str">
        <f t="shared" si="3"/>
        <v>100.59 K</v>
      </c>
      <c r="F146" s="1404">
        <f t="shared" si="4"/>
        <v>500000000000</v>
      </c>
      <c r="G146" s="1402" t="str">
        <f t="shared" si="5"/>
        <v>500 B</v>
      </c>
      <c r="H146" s="1403" t="str">
        <f t="shared" si="6"/>
        <v>2.81 T</v>
      </c>
      <c r="I146" s="1"/>
    </row>
    <row r="147">
      <c r="A147" s="1"/>
      <c r="B147" s="1">
        <f t="shared" si="7"/>
        <v>145</v>
      </c>
      <c r="C147" s="1400">
        <f t="shared" si="1"/>
        <v>3000</v>
      </c>
      <c r="D147" s="1402" t="str">
        <f t="shared" si="2"/>
        <v>3 K</v>
      </c>
      <c r="E147" s="1403" t="str">
        <f t="shared" si="3"/>
        <v>103.59 K</v>
      </c>
      <c r="F147" s="1404">
        <f t="shared" si="4"/>
        <v>500000000000</v>
      </c>
      <c r="G147" s="1402" t="str">
        <f t="shared" si="5"/>
        <v>500 B</v>
      </c>
      <c r="H147" s="1403" t="str">
        <f t="shared" si="6"/>
        <v>3.31 T</v>
      </c>
      <c r="I147" s="1"/>
    </row>
    <row r="148">
      <c r="A148" s="1"/>
      <c r="B148" s="1">
        <f t="shared" si="7"/>
        <v>146</v>
      </c>
      <c r="C148" s="1400">
        <f t="shared" si="1"/>
        <v>3000</v>
      </c>
      <c r="D148" s="1402" t="str">
        <f t="shared" si="2"/>
        <v>3 K</v>
      </c>
      <c r="E148" s="1403" t="str">
        <f t="shared" si="3"/>
        <v>106.59 K</v>
      </c>
      <c r="F148" s="1404">
        <f t="shared" si="4"/>
        <v>500000000000</v>
      </c>
      <c r="G148" s="1402" t="str">
        <f t="shared" si="5"/>
        <v>500 B</v>
      </c>
      <c r="H148" s="1403" t="str">
        <f t="shared" si="6"/>
        <v>3.81 T</v>
      </c>
      <c r="I148" s="1"/>
    </row>
    <row r="149">
      <c r="A149" s="1"/>
      <c r="B149" s="1">
        <f t="shared" si="7"/>
        <v>147</v>
      </c>
      <c r="C149" s="1400">
        <f t="shared" si="1"/>
        <v>3000</v>
      </c>
      <c r="D149" s="1402" t="str">
        <f t="shared" si="2"/>
        <v>3 K</v>
      </c>
      <c r="E149" s="1403" t="str">
        <f t="shared" si="3"/>
        <v>109.59 K</v>
      </c>
      <c r="F149" s="1404">
        <f t="shared" si="4"/>
        <v>500000000000</v>
      </c>
      <c r="G149" s="1402" t="str">
        <f t="shared" si="5"/>
        <v>500 B</v>
      </c>
      <c r="H149" s="1403" t="str">
        <f t="shared" si="6"/>
        <v>4.31 T</v>
      </c>
      <c r="I149" s="1"/>
    </row>
    <row r="150">
      <c r="A150" s="1"/>
      <c r="B150" s="1">
        <f t="shared" si="7"/>
        <v>148</v>
      </c>
      <c r="C150" s="1400">
        <f t="shared" si="1"/>
        <v>3000</v>
      </c>
      <c r="D150" s="1402" t="str">
        <f t="shared" si="2"/>
        <v>3 K</v>
      </c>
      <c r="E150" s="1403" t="str">
        <f t="shared" si="3"/>
        <v>112.59 K</v>
      </c>
      <c r="F150" s="1404">
        <f t="shared" si="4"/>
        <v>500000000000</v>
      </c>
      <c r="G150" s="1402" t="str">
        <f t="shared" si="5"/>
        <v>500 B</v>
      </c>
      <c r="H150" s="1403" t="str">
        <f t="shared" si="6"/>
        <v>4.81 T</v>
      </c>
      <c r="I150" s="1"/>
    </row>
    <row r="151">
      <c r="A151" s="1"/>
      <c r="B151" s="1">
        <f t="shared" si="7"/>
        <v>149</v>
      </c>
      <c r="C151" s="1400">
        <f t="shared" si="1"/>
        <v>3000</v>
      </c>
      <c r="D151" s="1402" t="str">
        <f t="shared" si="2"/>
        <v>3 K</v>
      </c>
      <c r="E151" s="1403" t="str">
        <f t="shared" si="3"/>
        <v>115.59 K</v>
      </c>
      <c r="F151" s="1404">
        <f t="shared" si="4"/>
        <v>500000000000</v>
      </c>
      <c r="G151" s="1402" t="str">
        <f t="shared" si="5"/>
        <v>500 B</v>
      </c>
      <c r="H151" s="1403" t="str">
        <f t="shared" si="6"/>
        <v>5.31 T</v>
      </c>
      <c r="I151" s="1"/>
    </row>
    <row r="152">
      <c r="A152" s="1"/>
      <c r="B152" s="1">
        <f t="shared" si="7"/>
        <v>150</v>
      </c>
      <c r="C152" s="1400">
        <f t="shared" si="1"/>
        <v>3000</v>
      </c>
      <c r="D152" s="1402" t="str">
        <f t="shared" si="2"/>
        <v>3 K</v>
      </c>
      <c r="E152" s="1403" t="str">
        <f t="shared" si="3"/>
        <v>118.59 K</v>
      </c>
      <c r="F152" s="1404">
        <f t="shared" si="4"/>
        <v>500000000000</v>
      </c>
      <c r="G152" s="1402" t="str">
        <f t="shared" si="5"/>
        <v>500 B</v>
      </c>
      <c r="H152" s="1403" t="str">
        <f t="shared" si="6"/>
        <v>5.81 T</v>
      </c>
      <c r="I152" s="1"/>
    </row>
    <row r="153">
      <c r="A153" s="1"/>
      <c r="B153" s="1">
        <f t="shared" si="7"/>
        <v>151</v>
      </c>
      <c r="C153" s="1400">
        <f t="shared" si="1"/>
        <v>4000</v>
      </c>
      <c r="D153" s="1402" t="str">
        <f t="shared" si="2"/>
        <v>4 K</v>
      </c>
      <c r="E153" s="1403" t="str">
        <f t="shared" si="3"/>
        <v>122.59 K</v>
      </c>
      <c r="F153" s="1404">
        <f t="shared" si="4"/>
        <v>500000000000</v>
      </c>
      <c r="G153" s="1402" t="str">
        <f t="shared" si="5"/>
        <v>500 B</v>
      </c>
      <c r="H153" s="1403" t="str">
        <f t="shared" si="6"/>
        <v>6.31 T</v>
      </c>
      <c r="I153" s="1"/>
    </row>
    <row r="154">
      <c r="A154" s="1"/>
      <c r="B154" s="1">
        <f t="shared" si="7"/>
        <v>152</v>
      </c>
      <c r="C154" s="1400">
        <f t="shared" si="1"/>
        <v>4000</v>
      </c>
      <c r="D154" s="1402" t="str">
        <f t="shared" si="2"/>
        <v>4 K</v>
      </c>
      <c r="E154" s="1403" t="str">
        <f t="shared" si="3"/>
        <v>126.59 K</v>
      </c>
      <c r="F154" s="1404">
        <f t="shared" si="4"/>
        <v>500000000000</v>
      </c>
      <c r="G154" s="1402" t="str">
        <f t="shared" si="5"/>
        <v>500 B</v>
      </c>
      <c r="H154" s="1403" t="str">
        <f t="shared" si="6"/>
        <v>6.81 T</v>
      </c>
      <c r="I154" s="1"/>
    </row>
    <row r="155">
      <c r="A155" s="1"/>
      <c r="B155" s="1">
        <f t="shared" si="7"/>
        <v>153</v>
      </c>
      <c r="C155" s="1400">
        <f t="shared" si="1"/>
        <v>4000</v>
      </c>
      <c r="D155" s="1402" t="str">
        <f t="shared" si="2"/>
        <v>4 K</v>
      </c>
      <c r="E155" s="1403" t="str">
        <f t="shared" si="3"/>
        <v>130.59 K</v>
      </c>
      <c r="F155" s="1404">
        <f t="shared" si="4"/>
        <v>500000000000</v>
      </c>
      <c r="G155" s="1402" t="str">
        <f t="shared" si="5"/>
        <v>500 B</v>
      </c>
      <c r="H155" s="1403" t="str">
        <f t="shared" si="6"/>
        <v>7.31 T</v>
      </c>
      <c r="I155" s="1"/>
    </row>
    <row r="156">
      <c r="A156" s="1"/>
      <c r="B156" s="1">
        <f t="shared" si="7"/>
        <v>154</v>
      </c>
      <c r="C156" s="1400">
        <f t="shared" si="1"/>
        <v>4000</v>
      </c>
      <c r="D156" s="1402" t="str">
        <f t="shared" si="2"/>
        <v>4 K</v>
      </c>
      <c r="E156" s="1403" t="str">
        <f t="shared" si="3"/>
        <v>134.59 K</v>
      </c>
      <c r="F156" s="1404">
        <f t="shared" si="4"/>
        <v>500000000000</v>
      </c>
      <c r="G156" s="1402" t="str">
        <f t="shared" si="5"/>
        <v>500 B</v>
      </c>
      <c r="H156" s="1403" t="str">
        <f t="shared" si="6"/>
        <v>7.81 T</v>
      </c>
      <c r="I156" s="1"/>
    </row>
    <row r="157">
      <c r="A157" s="1"/>
      <c r="B157" s="1">
        <f t="shared" si="7"/>
        <v>155</v>
      </c>
      <c r="C157" s="1400">
        <f t="shared" si="1"/>
        <v>4000</v>
      </c>
      <c r="D157" s="1402" t="str">
        <f t="shared" si="2"/>
        <v>4 K</v>
      </c>
      <c r="E157" s="1403" t="str">
        <f t="shared" si="3"/>
        <v>138.59 K</v>
      </c>
      <c r="F157" s="1404">
        <f t="shared" si="4"/>
        <v>500000000000</v>
      </c>
      <c r="G157" s="1402" t="str">
        <f t="shared" si="5"/>
        <v>500 B</v>
      </c>
      <c r="H157" s="1403" t="str">
        <f t="shared" si="6"/>
        <v>8.31 T</v>
      </c>
      <c r="I157" s="1"/>
    </row>
    <row r="158">
      <c r="A158" s="1"/>
      <c r="B158" s="1">
        <f t="shared" si="7"/>
        <v>156</v>
      </c>
      <c r="C158" s="1400">
        <f t="shared" si="1"/>
        <v>4000</v>
      </c>
      <c r="D158" s="1402" t="str">
        <f t="shared" si="2"/>
        <v>4 K</v>
      </c>
      <c r="E158" s="1403" t="str">
        <f t="shared" si="3"/>
        <v>142.59 K</v>
      </c>
      <c r="F158" s="1404">
        <f t="shared" si="4"/>
        <v>500000000000</v>
      </c>
      <c r="G158" s="1402" t="str">
        <f t="shared" si="5"/>
        <v>500 B</v>
      </c>
      <c r="H158" s="1403" t="str">
        <f t="shared" si="6"/>
        <v>8.81 T</v>
      </c>
      <c r="I158" s="1"/>
    </row>
    <row r="159">
      <c r="A159" s="1"/>
      <c r="B159" s="1">
        <f t="shared" si="7"/>
        <v>157</v>
      </c>
      <c r="C159" s="1400">
        <f t="shared" si="1"/>
        <v>4000</v>
      </c>
      <c r="D159" s="1402" t="str">
        <f t="shared" si="2"/>
        <v>4 K</v>
      </c>
      <c r="E159" s="1403" t="str">
        <f t="shared" si="3"/>
        <v>146.59 K</v>
      </c>
      <c r="F159" s="1404">
        <f t="shared" si="4"/>
        <v>500000000000</v>
      </c>
      <c r="G159" s="1402" t="str">
        <f t="shared" si="5"/>
        <v>500 B</v>
      </c>
      <c r="H159" s="1403" t="str">
        <f t="shared" si="6"/>
        <v>9.31 T</v>
      </c>
      <c r="I159" s="1"/>
    </row>
    <row r="160">
      <c r="A160" s="1"/>
      <c r="B160" s="1">
        <f t="shared" si="7"/>
        <v>158</v>
      </c>
      <c r="C160" s="1400">
        <f t="shared" si="1"/>
        <v>4000</v>
      </c>
      <c r="D160" s="1402" t="str">
        <f t="shared" si="2"/>
        <v>4 K</v>
      </c>
      <c r="E160" s="1403" t="str">
        <f t="shared" si="3"/>
        <v>150.59 K</v>
      </c>
      <c r="F160" s="1404">
        <f t="shared" si="4"/>
        <v>500000000000</v>
      </c>
      <c r="G160" s="1402" t="str">
        <f t="shared" si="5"/>
        <v>500 B</v>
      </c>
      <c r="H160" s="1403" t="str">
        <f t="shared" si="6"/>
        <v>9.81 T</v>
      </c>
      <c r="I160" s="1"/>
    </row>
    <row r="161">
      <c r="A161" s="1"/>
      <c r="B161" s="1">
        <f t="shared" si="7"/>
        <v>159</v>
      </c>
      <c r="C161" s="1400">
        <f t="shared" si="1"/>
        <v>4000</v>
      </c>
      <c r="D161" s="1402" t="str">
        <f t="shared" si="2"/>
        <v>4 K</v>
      </c>
      <c r="E161" s="1403" t="str">
        <f t="shared" si="3"/>
        <v>154.59 K</v>
      </c>
      <c r="F161" s="1404">
        <f t="shared" si="4"/>
        <v>500000000000</v>
      </c>
      <c r="G161" s="1402" t="str">
        <f t="shared" si="5"/>
        <v>500 B</v>
      </c>
      <c r="H161" s="1403" t="str">
        <f t="shared" si="6"/>
        <v>10.31 T</v>
      </c>
      <c r="I161" s="1"/>
    </row>
    <row r="162">
      <c r="A162" s="1"/>
      <c r="B162" s="1">
        <f t="shared" si="7"/>
        <v>160</v>
      </c>
      <c r="C162" s="1400">
        <f t="shared" si="1"/>
        <v>4000</v>
      </c>
      <c r="D162" s="1402" t="str">
        <f t="shared" si="2"/>
        <v>4 K</v>
      </c>
      <c r="E162" s="1403" t="str">
        <f t="shared" si="3"/>
        <v>158.59 K</v>
      </c>
      <c r="F162" s="1404">
        <f t="shared" si="4"/>
        <v>500000000000</v>
      </c>
      <c r="G162" s="1402" t="str">
        <f t="shared" si="5"/>
        <v>500 B</v>
      </c>
      <c r="H162" s="1403" t="str">
        <f t="shared" si="6"/>
        <v>10.81 T</v>
      </c>
      <c r="I162" s="1"/>
    </row>
    <row r="163">
      <c r="A163" s="1"/>
      <c r="B163" s="1">
        <f t="shared" si="7"/>
        <v>161</v>
      </c>
      <c r="C163" s="1400">
        <f t="shared" si="1"/>
        <v>5000</v>
      </c>
      <c r="D163" s="1402" t="str">
        <f t="shared" si="2"/>
        <v>5 K</v>
      </c>
      <c r="E163" s="1403" t="str">
        <f t="shared" si="3"/>
        <v>163.59 K</v>
      </c>
      <c r="F163" s="1404">
        <f t="shared" si="4"/>
        <v>10000000000000</v>
      </c>
      <c r="G163" s="1402" t="str">
        <f t="shared" si="5"/>
        <v>10 T</v>
      </c>
      <c r="H163" s="1403" t="str">
        <f t="shared" si="6"/>
        <v>20.81 T</v>
      </c>
      <c r="I163" s="1"/>
    </row>
    <row r="164">
      <c r="A164" s="1"/>
      <c r="B164" s="1">
        <f t="shared" si="7"/>
        <v>162</v>
      </c>
      <c r="C164" s="1400">
        <f t="shared" si="1"/>
        <v>5125</v>
      </c>
      <c r="D164" s="1402" t="str">
        <f t="shared" si="2"/>
        <v>5.13 K</v>
      </c>
      <c r="E164" s="1403" t="str">
        <f t="shared" si="3"/>
        <v>168.71 K</v>
      </c>
      <c r="F164" s="1404">
        <f t="shared" si="4"/>
        <v>60000000000000</v>
      </c>
      <c r="G164" s="1402" t="str">
        <f t="shared" si="5"/>
        <v>60 T</v>
      </c>
      <c r="H164" s="1403" t="str">
        <f t="shared" si="6"/>
        <v>80.81 T</v>
      </c>
      <c r="I164" s="1"/>
    </row>
    <row r="165">
      <c r="A165" s="1"/>
      <c r="B165" s="1">
        <f t="shared" si="7"/>
        <v>163</v>
      </c>
      <c r="C165" s="1400">
        <f t="shared" si="1"/>
        <v>5250</v>
      </c>
      <c r="D165" s="1402" t="str">
        <f t="shared" si="2"/>
        <v>5.25 K</v>
      </c>
      <c r="E165" s="1403" t="str">
        <f t="shared" si="3"/>
        <v>173.96 K</v>
      </c>
      <c r="F165" s="1404">
        <f t="shared" si="4"/>
        <v>110000000000000</v>
      </c>
      <c r="G165" s="1402" t="str">
        <f t="shared" si="5"/>
        <v>110 T</v>
      </c>
      <c r="H165" s="1403" t="str">
        <f t="shared" si="6"/>
        <v>190.81 T</v>
      </c>
      <c r="I165" s="1"/>
    </row>
    <row r="166">
      <c r="A166" s="1"/>
      <c r="B166" s="1">
        <f t="shared" si="7"/>
        <v>164</v>
      </c>
      <c r="C166" s="1400">
        <f t="shared" si="1"/>
        <v>5375</v>
      </c>
      <c r="D166" s="1402" t="str">
        <f t="shared" si="2"/>
        <v>5.38 K</v>
      </c>
      <c r="E166" s="1403" t="str">
        <f t="shared" si="3"/>
        <v>179.34 K</v>
      </c>
      <c r="F166" s="1404">
        <f t="shared" si="4"/>
        <v>160000000000000</v>
      </c>
      <c r="G166" s="1402" t="str">
        <f t="shared" si="5"/>
        <v>160 T</v>
      </c>
      <c r="H166" s="1403" t="str">
        <f t="shared" si="6"/>
        <v>350.81 T</v>
      </c>
      <c r="I166" s="1"/>
    </row>
    <row r="167">
      <c r="A167" s="1"/>
      <c r="B167" s="1">
        <f t="shared" si="7"/>
        <v>165</v>
      </c>
      <c r="C167" s="1400">
        <f t="shared" si="1"/>
        <v>5500</v>
      </c>
      <c r="D167" s="1402" t="str">
        <f t="shared" si="2"/>
        <v>5.5 K</v>
      </c>
      <c r="E167" s="1403" t="str">
        <f t="shared" si="3"/>
        <v>184.84 K</v>
      </c>
      <c r="F167" s="1404">
        <f t="shared" si="4"/>
        <v>210000000000000</v>
      </c>
      <c r="G167" s="1402" t="str">
        <f t="shared" si="5"/>
        <v>210 T</v>
      </c>
      <c r="H167" s="1403" t="str">
        <f t="shared" si="6"/>
        <v>560.81 T</v>
      </c>
      <c r="I167" s="1"/>
    </row>
    <row r="168">
      <c r="A168" s="1"/>
      <c r="B168" s="1">
        <f t="shared" si="7"/>
        <v>166</v>
      </c>
      <c r="C168" s="1400">
        <f t="shared" si="1"/>
        <v>5625</v>
      </c>
      <c r="D168" s="1402" t="str">
        <f t="shared" si="2"/>
        <v>5.63 K</v>
      </c>
      <c r="E168" s="1403" t="str">
        <f t="shared" si="3"/>
        <v>190.46 K</v>
      </c>
      <c r="F168" s="1404">
        <f t="shared" si="4"/>
        <v>260000000000000</v>
      </c>
      <c r="G168" s="1402" t="str">
        <f t="shared" si="5"/>
        <v>260 T</v>
      </c>
      <c r="H168" s="1403" t="str">
        <f t="shared" si="6"/>
        <v>820.81 T</v>
      </c>
      <c r="I168" s="1"/>
    </row>
    <row r="169">
      <c r="A169" s="1"/>
      <c r="B169" s="1">
        <f t="shared" si="7"/>
        <v>167</v>
      </c>
      <c r="C169" s="1400">
        <f t="shared" si="1"/>
        <v>5750</v>
      </c>
      <c r="D169" s="1402" t="str">
        <f t="shared" si="2"/>
        <v>5.75 K</v>
      </c>
      <c r="E169" s="1403" t="str">
        <f t="shared" si="3"/>
        <v>196.21 K</v>
      </c>
      <c r="F169" s="1404">
        <f t="shared" si="4"/>
        <v>310000000000000</v>
      </c>
      <c r="G169" s="1402" t="str">
        <f t="shared" si="5"/>
        <v>310 T</v>
      </c>
      <c r="H169" s="1403" t="str">
        <f t="shared" si="6"/>
        <v>1.13 q</v>
      </c>
      <c r="I169" s="1"/>
    </row>
    <row r="170">
      <c r="A170" s="1"/>
      <c r="B170" s="1">
        <f t="shared" si="7"/>
        <v>168</v>
      </c>
      <c r="C170" s="1400">
        <f t="shared" si="1"/>
        <v>5875</v>
      </c>
      <c r="D170" s="1402" t="str">
        <f t="shared" si="2"/>
        <v>5.88 K</v>
      </c>
      <c r="E170" s="1403" t="str">
        <f t="shared" si="3"/>
        <v>202.09 K</v>
      </c>
      <c r="F170" s="1404">
        <f t="shared" si="4"/>
        <v>360000000000000</v>
      </c>
      <c r="G170" s="1402" t="str">
        <f t="shared" si="5"/>
        <v>360 T</v>
      </c>
      <c r="H170" s="1403" t="str">
        <f t="shared" si="6"/>
        <v>1.49 q</v>
      </c>
      <c r="I170" s="1"/>
    </row>
    <row r="171">
      <c r="A171" s="1"/>
      <c r="B171" s="1">
        <f t="shared" si="7"/>
        <v>169</v>
      </c>
      <c r="C171" s="1400">
        <f t="shared" si="1"/>
        <v>6000</v>
      </c>
      <c r="D171" s="1402" t="str">
        <f t="shared" si="2"/>
        <v>6 K</v>
      </c>
      <c r="E171" s="1403" t="str">
        <f t="shared" si="3"/>
        <v>208.09 K</v>
      </c>
      <c r="F171" s="1404">
        <f t="shared" si="4"/>
        <v>410000000000000</v>
      </c>
      <c r="G171" s="1402" t="str">
        <f t="shared" si="5"/>
        <v>410 T</v>
      </c>
      <c r="H171" s="1403" t="str">
        <f t="shared" si="6"/>
        <v>1.9 q</v>
      </c>
      <c r="I171" s="1"/>
    </row>
    <row r="172">
      <c r="A172" s="1"/>
      <c r="B172" s="1">
        <f t="shared" si="7"/>
        <v>170</v>
      </c>
      <c r="C172" s="1400">
        <f t="shared" si="1"/>
        <v>6125</v>
      </c>
      <c r="D172" s="1402" t="str">
        <f t="shared" si="2"/>
        <v>6.13 K</v>
      </c>
      <c r="E172" s="1403" t="str">
        <f t="shared" si="3"/>
        <v>214.21 K</v>
      </c>
      <c r="F172" s="1404">
        <f t="shared" si="4"/>
        <v>460000000000000</v>
      </c>
      <c r="G172" s="1402" t="str">
        <f t="shared" si="5"/>
        <v>460 T</v>
      </c>
      <c r="H172" s="1403" t="str">
        <f t="shared" si="6"/>
        <v>2.36 q</v>
      </c>
      <c r="I172" s="1"/>
    </row>
    <row r="173">
      <c r="A173" s="1"/>
      <c r="B173" s="1">
        <f t="shared" si="7"/>
        <v>171</v>
      </c>
      <c r="C173" s="1400">
        <f t="shared" si="1"/>
        <v>6250</v>
      </c>
      <c r="D173" s="1402" t="str">
        <f t="shared" si="2"/>
        <v>6.25 K</v>
      </c>
      <c r="E173" s="1403" t="str">
        <f t="shared" si="3"/>
        <v>220.46 K</v>
      </c>
      <c r="F173" s="1404">
        <f t="shared" si="4"/>
        <v>510000000000000</v>
      </c>
      <c r="G173" s="1402" t="str">
        <f t="shared" si="5"/>
        <v>510 T</v>
      </c>
      <c r="H173" s="1403" t="str">
        <f t="shared" si="6"/>
        <v>2.87 q</v>
      </c>
      <c r="I173" s="1"/>
    </row>
    <row r="174">
      <c r="A174" s="1"/>
      <c r="B174" s="1">
        <f t="shared" si="7"/>
        <v>172</v>
      </c>
      <c r="C174" s="1400">
        <f t="shared" si="1"/>
        <v>6375</v>
      </c>
      <c r="D174" s="1402" t="str">
        <f t="shared" si="2"/>
        <v>6.38 K</v>
      </c>
      <c r="E174" s="1403" t="str">
        <f t="shared" si="3"/>
        <v>226.84 K</v>
      </c>
      <c r="F174" s="1404">
        <f t="shared" si="4"/>
        <v>560000000000000</v>
      </c>
      <c r="G174" s="1402" t="str">
        <f t="shared" si="5"/>
        <v>560 T</v>
      </c>
      <c r="H174" s="1403" t="str">
        <f t="shared" si="6"/>
        <v>3.43 q</v>
      </c>
      <c r="I174" s="1"/>
    </row>
    <row r="175">
      <c r="A175" s="1"/>
      <c r="B175" s="1">
        <f t="shared" si="7"/>
        <v>173</v>
      </c>
      <c r="C175" s="1400">
        <f t="shared" si="1"/>
        <v>6500</v>
      </c>
      <c r="D175" s="1402" t="str">
        <f t="shared" si="2"/>
        <v>6.5 K</v>
      </c>
      <c r="E175" s="1403" t="str">
        <f t="shared" si="3"/>
        <v>233.34 K</v>
      </c>
      <c r="F175" s="1404">
        <f t="shared" si="4"/>
        <v>610000000000000</v>
      </c>
      <c r="G175" s="1402" t="str">
        <f t="shared" si="5"/>
        <v>610 T</v>
      </c>
      <c r="H175" s="1403" t="str">
        <f t="shared" si="6"/>
        <v>4.04 q</v>
      </c>
      <c r="I175" s="1"/>
    </row>
    <row r="176">
      <c r="A176" s="1"/>
      <c r="B176" s="1">
        <f t="shared" si="7"/>
        <v>174</v>
      </c>
      <c r="C176" s="1400">
        <f t="shared" si="1"/>
        <v>6625</v>
      </c>
      <c r="D176" s="1402" t="str">
        <f t="shared" si="2"/>
        <v>6.63 K</v>
      </c>
      <c r="E176" s="1403" t="str">
        <f t="shared" si="3"/>
        <v>239.96 K</v>
      </c>
      <c r="F176" s="1404">
        <f t="shared" si="4"/>
        <v>660000000000000</v>
      </c>
      <c r="G176" s="1402" t="str">
        <f t="shared" si="5"/>
        <v>660 T</v>
      </c>
      <c r="H176" s="1403" t="str">
        <f t="shared" si="6"/>
        <v>4.7 q</v>
      </c>
      <c r="I176" s="1"/>
    </row>
    <row r="177">
      <c r="A177" s="1"/>
      <c r="B177" s="1">
        <f t="shared" si="7"/>
        <v>175</v>
      </c>
      <c r="C177" s="1400">
        <f t="shared" si="1"/>
        <v>6750</v>
      </c>
      <c r="D177" s="1402" t="str">
        <f t="shared" si="2"/>
        <v>6.75 K</v>
      </c>
      <c r="E177" s="1403" t="str">
        <f t="shared" si="3"/>
        <v>246.71 K</v>
      </c>
      <c r="F177" s="1404">
        <f t="shared" si="4"/>
        <v>710000000000000</v>
      </c>
      <c r="G177" s="1402" t="str">
        <f t="shared" si="5"/>
        <v>710 T</v>
      </c>
      <c r="H177" s="1403" t="str">
        <f t="shared" si="6"/>
        <v>5.41 q</v>
      </c>
      <c r="I177" s="1"/>
    </row>
    <row r="178">
      <c r="A178" s="1"/>
      <c r="B178" s="1">
        <f t="shared" si="7"/>
        <v>176</v>
      </c>
      <c r="C178" s="1400">
        <f t="shared" si="1"/>
        <v>6875</v>
      </c>
      <c r="D178" s="1402" t="str">
        <f t="shared" si="2"/>
        <v>6.88 K</v>
      </c>
      <c r="E178" s="1403" t="str">
        <f t="shared" si="3"/>
        <v>253.59 K</v>
      </c>
      <c r="F178" s="1404">
        <f t="shared" si="4"/>
        <v>760000000000000</v>
      </c>
      <c r="G178" s="1402" t="str">
        <f t="shared" si="5"/>
        <v>760 T</v>
      </c>
      <c r="H178" s="1403" t="str">
        <f t="shared" si="6"/>
        <v>6.17 q</v>
      </c>
      <c r="I178" s="1"/>
    </row>
    <row r="179">
      <c r="A179" s="1"/>
      <c r="B179" s="1">
        <f t="shared" si="7"/>
        <v>177</v>
      </c>
      <c r="C179" s="1400">
        <f t="shared" si="1"/>
        <v>7000</v>
      </c>
      <c r="D179" s="1402" t="str">
        <f t="shared" si="2"/>
        <v>7 K</v>
      </c>
      <c r="E179" s="1403" t="str">
        <f t="shared" si="3"/>
        <v>260.59 K</v>
      </c>
      <c r="F179" s="1404">
        <f t="shared" si="4"/>
        <v>810000000000000</v>
      </c>
      <c r="G179" s="1402" t="str">
        <f t="shared" si="5"/>
        <v>810 T</v>
      </c>
      <c r="H179" s="1403" t="str">
        <f t="shared" si="6"/>
        <v>6.98 q</v>
      </c>
      <c r="I179" s="1"/>
    </row>
    <row r="180">
      <c r="A180" s="1"/>
      <c r="B180" s="1">
        <f t="shared" si="7"/>
        <v>178</v>
      </c>
      <c r="C180" s="1400">
        <f t="shared" si="1"/>
        <v>7125</v>
      </c>
      <c r="D180" s="1402" t="str">
        <f t="shared" si="2"/>
        <v>7.13 K</v>
      </c>
      <c r="E180" s="1403" t="str">
        <f t="shared" si="3"/>
        <v>267.71 K</v>
      </c>
      <c r="F180" s="1404">
        <f t="shared" si="4"/>
        <v>860000000000000</v>
      </c>
      <c r="G180" s="1402" t="str">
        <f t="shared" si="5"/>
        <v>860 T</v>
      </c>
      <c r="H180" s="1403" t="str">
        <f t="shared" si="6"/>
        <v>7.84 q</v>
      </c>
      <c r="I180" s="1"/>
    </row>
    <row r="181">
      <c r="A181" s="1"/>
      <c r="B181" s="1">
        <f t="shared" si="7"/>
        <v>179</v>
      </c>
      <c r="C181" s="1400">
        <f t="shared" si="1"/>
        <v>7250</v>
      </c>
      <c r="D181" s="1402" t="str">
        <f t="shared" si="2"/>
        <v>7.25 K</v>
      </c>
      <c r="E181" s="1403" t="str">
        <f t="shared" si="3"/>
        <v>274.96 K</v>
      </c>
      <c r="F181" s="1404">
        <f t="shared" si="4"/>
        <v>910000000000000</v>
      </c>
      <c r="G181" s="1402" t="str">
        <f t="shared" si="5"/>
        <v>910 T</v>
      </c>
      <c r="H181" s="1403" t="str">
        <f t="shared" si="6"/>
        <v>8.75 q</v>
      </c>
      <c r="I181" s="1"/>
    </row>
    <row r="182">
      <c r="A182" s="1"/>
      <c r="B182" s="1">
        <f t="shared" si="7"/>
        <v>180</v>
      </c>
      <c r="C182" s="1400">
        <f t="shared" si="1"/>
        <v>7375</v>
      </c>
      <c r="D182" s="1402" t="str">
        <f t="shared" si="2"/>
        <v>7.38 K</v>
      </c>
      <c r="E182" s="1403" t="str">
        <f t="shared" si="3"/>
        <v>282.34 K</v>
      </c>
      <c r="F182" s="1404">
        <f t="shared" si="4"/>
        <v>960000000000000</v>
      </c>
      <c r="G182" s="1402" t="str">
        <f t="shared" si="5"/>
        <v>960 T</v>
      </c>
      <c r="H182" s="1403" t="str">
        <f t="shared" si="6"/>
        <v>9.71 q</v>
      </c>
      <c r="I182" s="1"/>
    </row>
    <row r="183">
      <c r="A183" s="1"/>
      <c r="B183" s="1">
        <f t="shared" si="7"/>
        <v>181</v>
      </c>
      <c r="C183" s="1400">
        <f t="shared" si="1"/>
        <v>7500</v>
      </c>
      <c r="D183" s="1402" t="str">
        <f t="shared" si="2"/>
        <v>7.5 K</v>
      </c>
      <c r="E183" s="1403" t="str">
        <f t="shared" si="3"/>
        <v>289.84 K</v>
      </c>
      <c r="F183" s="1404">
        <f t="shared" si="4"/>
        <v>1.01E+15</v>
      </c>
      <c r="G183" s="1402" t="str">
        <f t="shared" si="5"/>
        <v>1.01 q</v>
      </c>
      <c r="H183" s="1403" t="str">
        <f t="shared" si="6"/>
        <v>10.72 q</v>
      </c>
      <c r="I183" s="1"/>
    </row>
    <row r="184">
      <c r="A184" s="1"/>
      <c r="B184" s="1">
        <f t="shared" si="7"/>
        <v>182</v>
      </c>
      <c r="C184" s="1400">
        <f t="shared" si="1"/>
        <v>7625</v>
      </c>
      <c r="D184" s="1402" t="str">
        <f t="shared" si="2"/>
        <v>7.63 K</v>
      </c>
      <c r="E184" s="1403" t="str">
        <f t="shared" si="3"/>
        <v>297.46 K</v>
      </c>
      <c r="F184" s="1404">
        <f t="shared" si="4"/>
        <v>1.06E+15</v>
      </c>
      <c r="G184" s="1402" t="str">
        <f t="shared" si="5"/>
        <v>1.06 q</v>
      </c>
      <c r="H184" s="1403" t="str">
        <f t="shared" si="6"/>
        <v>11.78 q</v>
      </c>
      <c r="I184" s="1"/>
    </row>
    <row r="185">
      <c r="A185" s="1"/>
      <c r="B185" s="1">
        <f t="shared" si="7"/>
        <v>183</v>
      </c>
      <c r="C185" s="1400">
        <f t="shared" si="1"/>
        <v>7750</v>
      </c>
      <c r="D185" s="1402" t="str">
        <f t="shared" si="2"/>
        <v>7.75 K</v>
      </c>
      <c r="E185" s="1403" t="str">
        <f t="shared" si="3"/>
        <v>305.21 K</v>
      </c>
      <c r="F185" s="1404">
        <f t="shared" si="4"/>
        <v>1.11E+15</v>
      </c>
      <c r="G185" s="1402" t="str">
        <f t="shared" si="5"/>
        <v>1.11 q</v>
      </c>
      <c r="H185" s="1403" t="str">
        <f t="shared" si="6"/>
        <v>12.89 q</v>
      </c>
      <c r="I185" s="1"/>
    </row>
    <row r="186">
      <c r="A186" s="1"/>
      <c r="B186" s="1">
        <f t="shared" si="7"/>
        <v>184</v>
      </c>
      <c r="C186" s="1400">
        <f t="shared" si="1"/>
        <v>7875</v>
      </c>
      <c r="D186" s="1402" t="str">
        <f t="shared" si="2"/>
        <v>7.88 K</v>
      </c>
      <c r="E186" s="1403" t="str">
        <f t="shared" si="3"/>
        <v>313.09 K</v>
      </c>
      <c r="F186" s="1404">
        <f t="shared" si="4"/>
        <v>1.16E+15</v>
      </c>
      <c r="G186" s="1402" t="str">
        <f t="shared" si="5"/>
        <v>1.16 q</v>
      </c>
      <c r="H186" s="1403" t="str">
        <f t="shared" si="6"/>
        <v>14.05 q</v>
      </c>
      <c r="I186" s="1"/>
    </row>
    <row r="187">
      <c r="A187" s="1"/>
      <c r="B187" s="1">
        <f t="shared" si="7"/>
        <v>185</v>
      </c>
      <c r="C187" s="1400">
        <f t="shared" si="1"/>
        <v>8000</v>
      </c>
      <c r="D187" s="1402" t="str">
        <f t="shared" si="2"/>
        <v>8 K</v>
      </c>
      <c r="E187" s="1403" t="str">
        <f t="shared" si="3"/>
        <v>321.09 K</v>
      </c>
      <c r="F187" s="1404">
        <f t="shared" si="4"/>
        <v>1.21E+15</v>
      </c>
      <c r="G187" s="1402" t="str">
        <f t="shared" si="5"/>
        <v>1.21 q</v>
      </c>
      <c r="H187" s="1403" t="str">
        <f t="shared" si="6"/>
        <v>15.26 q</v>
      </c>
      <c r="I187" s="1"/>
    </row>
    <row r="188">
      <c r="A188" s="1"/>
      <c r="B188" s="1">
        <f t="shared" si="7"/>
        <v>186</v>
      </c>
      <c r="C188" s="1400">
        <f t="shared" si="1"/>
        <v>8125</v>
      </c>
      <c r="D188" s="1402" t="str">
        <f t="shared" si="2"/>
        <v>8.13 K</v>
      </c>
      <c r="E188" s="1403" t="str">
        <f t="shared" si="3"/>
        <v>329.21 K</v>
      </c>
      <c r="F188" s="1404">
        <f t="shared" si="4"/>
        <v>1.26E+15</v>
      </c>
      <c r="G188" s="1402" t="str">
        <f t="shared" si="5"/>
        <v>1.26 q</v>
      </c>
      <c r="H188" s="1403" t="str">
        <f t="shared" si="6"/>
        <v>16.52 q</v>
      </c>
      <c r="I188" s="1"/>
    </row>
    <row r="189">
      <c r="A189" s="1"/>
      <c r="B189" s="1">
        <f t="shared" si="7"/>
        <v>187</v>
      </c>
      <c r="C189" s="1400">
        <f t="shared" si="1"/>
        <v>8250</v>
      </c>
      <c r="D189" s="1402" t="str">
        <f t="shared" si="2"/>
        <v>8.25 K</v>
      </c>
      <c r="E189" s="1403" t="str">
        <f t="shared" si="3"/>
        <v>337.46 K</v>
      </c>
      <c r="F189" s="1404">
        <f t="shared" si="4"/>
        <v>1.31E+15</v>
      </c>
      <c r="G189" s="1402" t="str">
        <f t="shared" si="5"/>
        <v>1.31 q</v>
      </c>
      <c r="H189" s="1403" t="str">
        <f t="shared" si="6"/>
        <v>17.83 q</v>
      </c>
      <c r="I189" s="1"/>
    </row>
    <row r="190">
      <c r="A190" s="1"/>
      <c r="B190" s="1">
        <f t="shared" si="7"/>
        <v>188</v>
      </c>
      <c r="C190" s="1400">
        <f t="shared" si="1"/>
        <v>8375</v>
      </c>
      <c r="D190" s="1402" t="str">
        <f t="shared" si="2"/>
        <v>8.38 K</v>
      </c>
      <c r="E190" s="1403" t="str">
        <f t="shared" si="3"/>
        <v>345.84 K</v>
      </c>
      <c r="F190" s="1404">
        <f t="shared" si="4"/>
        <v>1.36E+15</v>
      </c>
      <c r="G190" s="1402" t="str">
        <f t="shared" si="5"/>
        <v>1.36 q</v>
      </c>
      <c r="H190" s="1403" t="str">
        <f t="shared" si="6"/>
        <v>19.19 q</v>
      </c>
      <c r="I190" s="1"/>
    </row>
    <row r="191">
      <c r="A191" s="1"/>
      <c r="B191" s="1">
        <f t="shared" si="7"/>
        <v>189</v>
      </c>
      <c r="C191" s="1400">
        <f t="shared" si="1"/>
        <v>8500</v>
      </c>
      <c r="D191" s="1402" t="str">
        <f t="shared" si="2"/>
        <v>8.5 K</v>
      </c>
      <c r="E191" s="1403" t="str">
        <f t="shared" si="3"/>
        <v>354.34 K</v>
      </c>
      <c r="F191" s="1404">
        <f t="shared" si="4"/>
        <v>1.41E+15</v>
      </c>
      <c r="G191" s="1402" t="str">
        <f t="shared" si="5"/>
        <v>1.41 q</v>
      </c>
      <c r="H191" s="1403" t="str">
        <f t="shared" si="6"/>
        <v>20.6 q</v>
      </c>
      <c r="I191" s="1"/>
    </row>
    <row r="192">
      <c r="A192" s="1"/>
      <c r="B192" s="1">
        <f t="shared" si="7"/>
        <v>190</v>
      </c>
      <c r="C192" s="1400">
        <f t="shared" si="1"/>
        <v>8625</v>
      </c>
      <c r="D192" s="1402" t="str">
        <f t="shared" si="2"/>
        <v>8.63 K</v>
      </c>
      <c r="E192" s="1403" t="str">
        <f t="shared" si="3"/>
        <v>362.96 K</v>
      </c>
      <c r="F192" s="1404">
        <f t="shared" si="4"/>
        <v>1.46E+15</v>
      </c>
      <c r="G192" s="1402" t="str">
        <f t="shared" si="5"/>
        <v>1.46 q</v>
      </c>
      <c r="H192" s="1403" t="str">
        <f t="shared" si="6"/>
        <v>22.06 q</v>
      </c>
      <c r="I192" s="1"/>
    </row>
    <row r="193">
      <c r="A193" s="1"/>
      <c r="B193" s="1">
        <f t="shared" si="7"/>
        <v>191</v>
      </c>
      <c r="C193" s="1400">
        <f t="shared" si="1"/>
        <v>8750</v>
      </c>
      <c r="D193" s="1402" t="str">
        <f t="shared" si="2"/>
        <v>8.75 K</v>
      </c>
      <c r="E193" s="1403" t="str">
        <f t="shared" si="3"/>
        <v>371.71 K</v>
      </c>
      <c r="F193" s="1404">
        <f t="shared" si="4"/>
        <v>1.51E+15</v>
      </c>
      <c r="G193" s="1402" t="str">
        <f t="shared" si="5"/>
        <v>1.51 q</v>
      </c>
      <c r="H193" s="1403" t="str">
        <f t="shared" si="6"/>
        <v>23.57 q</v>
      </c>
      <c r="I193" s="1"/>
    </row>
    <row r="194">
      <c r="A194" s="1"/>
      <c r="B194" s="1">
        <f t="shared" si="7"/>
        <v>192</v>
      </c>
      <c r="C194" s="1400">
        <f t="shared" si="1"/>
        <v>8875</v>
      </c>
      <c r="D194" s="1402" t="str">
        <f t="shared" si="2"/>
        <v>8.88 K</v>
      </c>
      <c r="E194" s="1403" t="str">
        <f t="shared" si="3"/>
        <v>380.59 K</v>
      </c>
      <c r="F194" s="1404">
        <f t="shared" si="4"/>
        <v>1.56E+15</v>
      </c>
      <c r="G194" s="1402" t="str">
        <f t="shared" si="5"/>
        <v>1.56 q</v>
      </c>
      <c r="H194" s="1403" t="str">
        <f t="shared" si="6"/>
        <v>25.13 q</v>
      </c>
      <c r="I194" s="1"/>
    </row>
    <row r="195">
      <c r="A195" s="1"/>
      <c r="B195" s="1">
        <f t="shared" si="7"/>
        <v>193</v>
      </c>
      <c r="C195" s="1400">
        <f t="shared" si="1"/>
        <v>9000</v>
      </c>
      <c r="D195" s="1402" t="str">
        <f t="shared" si="2"/>
        <v>9 K</v>
      </c>
      <c r="E195" s="1403" t="str">
        <f t="shared" si="3"/>
        <v>389.59 K</v>
      </c>
      <c r="F195" s="1404">
        <f t="shared" si="4"/>
        <v>1.61E+15</v>
      </c>
      <c r="G195" s="1402" t="str">
        <f t="shared" si="5"/>
        <v>1.61 q</v>
      </c>
      <c r="H195" s="1403" t="str">
        <f t="shared" si="6"/>
        <v>26.74 q</v>
      </c>
      <c r="I195" s="1"/>
    </row>
    <row r="196">
      <c r="A196" s="1"/>
      <c r="B196" s="1">
        <f t="shared" si="7"/>
        <v>194</v>
      </c>
      <c r="C196" s="1400">
        <f t="shared" si="1"/>
        <v>9125</v>
      </c>
      <c r="D196" s="1402" t="str">
        <f t="shared" si="2"/>
        <v>9.13 K</v>
      </c>
      <c r="E196" s="1403" t="str">
        <f t="shared" si="3"/>
        <v>398.71 K</v>
      </c>
      <c r="F196" s="1404">
        <f t="shared" si="4"/>
        <v>1.66E+15</v>
      </c>
      <c r="G196" s="1402" t="str">
        <f t="shared" si="5"/>
        <v>1.66 q</v>
      </c>
      <c r="H196" s="1403" t="str">
        <f t="shared" si="6"/>
        <v>28.4 q</v>
      </c>
      <c r="I196" s="1"/>
    </row>
    <row r="197">
      <c r="A197" s="1"/>
      <c r="B197" s="1">
        <f t="shared" si="7"/>
        <v>195</v>
      </c>
      <c r="C197" s="1400">
        <f t="shared" si="1"/>
        <v>9250</v>
      </c>
      <c r="D197" s="1402" t="str">
        <f t="shared" si="2"/>
        <v>9.25 K</v>
      </c>
      <c r="E197" s="1403" t="str">
        <f t="shared" si="3"/>
        <v>407.96 K</v>
      </c>
      <c r="F197" s="1404">
        <f t="shared" si="4"/>
        <v>1.71E+15</v>
      </c>
      <c r="G197" s="1402" t="str">
        <f t="shared" si="5"/>
        <v>1.71 q</v>
      </c>
      <c r="H197" s="1403" t="str">
        <f t="shared" si="6"/>
        <v>30.11 q</v>
      </c>
      <c r="I197" s="1"/>
    </row>
    <row r="198">
      <c r="A198" s="1"/>
      <c r="B198" s="1">
        <f t="shared" si="7"/>
        <v>196</v>
      </c>
      <c r="C198" s="1400">
        <f t="shared" si="1"/>
        <v>9375</v>
      </c>
      <c r="D198" s="1402" t="str">
        <f t="shared" si="2"/>
        <v>9.38 K</v>
      </c>
      <c r="E198" s="1403" t="str">
        <f t="shared" si="3"/>
        <v>417.34 K</v>
      </c>
      <c r="F198" s="1404">
        <f t="shared" si="4"/>
        <v>1.76E+15</v>
      </c>
      <c r="G198" s="1402" t="str">
        <f t="shared" si="5"/>
        <v>1.76 q</v>
      </c>
      <c r="H198" s="1403" t="str">
        <f t="shared" si="6"/>
        <v>31.87 q</v>
      </c>
      <c r="I198" s="1"/>
    </row>
    <row r="199">
      <c r="A199" s="1"/>
      <c r="B199" s="1">
        <f t="shared" si="7"/>
        <v>197</v>
      </c>
      <c r="C199" s="1400">
        <f t="shared" si="1"/>
        <v>9500</v>
      </c>
      <c r="D199" s="1402" t="str">
        <f t="shared" si="2"/>
        <v>9.5 K</v>
      </c>
      <c r="E199" s="1403" t="str">
        <f t="shared" si="3"/>
        <v>426.84 K</v>
      </c>
      <c r="F199" s="1404">
        <f t="shared" si="4"/>
        <v>1.81E+15</v>
      </c>
      <c r="G199" s="1402" t="str">
        <f t="shared" si="5"/>
        <v>1.81 q</v>
      </c>
      <c r="H199" s="1403" t="str">
        <f t="shared" si="6"/>
        <v>33.68 q</v>
      </c>
      <c r="I199" s="1"/>
    </row>
    <row r="200">
      <c r="A200" s="1"/>
      <c r="B200" s="1">
        <f t="shared" si="7"/>
        <v>198</v>
      </c>
      <c r="C200" s="1400">
        <f t="shared" si="1"/>
        <v>9625</v>
      </c>
      <c r="D200" s="1402" t="str">
        <f t="shared" si="2"/>
        <v>9.63 K</v>
      </c>
      <c r="E200" s="1403" t="str">
        <f t="shared" si="3"/>
        <v>436.46 K</v>
      </c>
      <c r="F200" s="1404">
        <f t="shared" si="4"/>
        <v>1.86E+15</v>
      </c>
      <c r="G200" s="1402" t="str">
        <f t="shared" si="5"/>
        <v>1.86 q</v>
      </c>
      <c r="H200" s="1403" t="str">
        <f t="shared" si="6"/>
        <v>35.54 q</v>
      </c>
      <c r="I200" s="1"/>
    </row>
    <row r="201">
      <c r="A201" s="1"/>
      <c r="B201" s="1">
        <f t="shared" si="7"/>
        <v>199</v>
      </c>
      <c r="C201" s="1400">
        <f t="shared" si="1"/>
        <v>9750</v>
      </c>
      <c r="D201" s="1402" t="str">
        <f t="shared" si="2"/>
        <v>9.75 K</v>
      </c>
      <c r="E201" s="1403" t="str">
        <f t="shared" si="3"/>
        <v>446.21 K</v>
      </c>
      <c r="F201" s="1404">
        <f t="shared" si="4"/>
        <v>1.91E+15</v>
      </c>
      <c r="G201" s="1402" t="str">
        <f t="shared" si="5"/>
        <v>1.91 q</v>
      </c>
      <c r="H201" s="1403" t="str">
        <f t="shared" si="6"/>
        <v>37.45 q</v>
      </c>
      <c r="I201" s="1"/>
    </row>
    <row r="202">
      <c r="A202" s="1"/>
      <c r="B202" s="1">
        <f t="shared" si="7"/>
        <v>200</v>
      </c>
      <c r="C202" s="1400">
        <f t="shared" si="1"/>
        <v>9875</v>
      </c>
      <c r="D202" s="1402" t="str">
        <f t="shared" si="2"/>
        <v>9.88 K</v>
      </c>
      <c r="E202" s="1403" t="str">
        <f t="shared" si="3"/>
        <v>456.09 K</v>
      </c>
      <c r="F202" s="1404">
        <f t="shared" si="4"/>
        <v>1.96E+15</v>
      </c>
      <c r="G202" s="1402" t="str">
        <f t="shared" si="5"/>
        <v>1.96 q</v>
      </c>
      <c r="H202" s="1403" t="str">
        <f t="shared" si="6"/>
        <v>39.41 q</v>
      </c>
      <c r="I202" s="1"/>
    </row>
    <row r="203">
      <c r="A203" s="1"/>
      <c r="B203" s="1">
        <f t="shared" si="7"/>
        <v>201</v>
      </c>
      <c r="C203" s="1400">
        <f t="shared" si="1"/>
        <v>10000</v>
      </c>
      <c r="D203" s="1402" t="str">
        <f t="shared" si="2"/>
        <v>10 K</v>
      </c>
      <c r="E203" s="1403" t="str">
        <f t="shared" si="3"/>
        <v>466.09 K</v>
      </c>
      <c r="F203" s="1404">
        <f t="shared" si="4"/>
        <v>2.5E+15</v>
      </c>
      <c r="G203" s="1402" t="str">
        <f t="shared" si="5"/>
        <v>2.5 q</v>
      </c>
      <c r="H203" s="1403" t="str">
        <f t="shared" si="6"/>
        <v>41.91 q</v>
      </c>
      <c r="I203" s="1"/>
    </row>
    <row r="204">
      <c r="A204" s="1"/>
      <c r="B204" s="1">
        <f t="shared" si="7"/>
        <v>202</v>
      </c>
      <c r="C204" s="1400">
        <f t="shared" si="1"/>
        <v>10250</v>
      </c>
      <c r="D204" s="1402" t="str">
        <f t="shared" si="2"/>
        <v>10.25 K</v>
      </c>
      <c r="E204" s="1403" t="str">
        <f t="shared" si="3"/>
        <v>476.34 K</v>
      </c>
      <c r="F204" s="1404">
        <f t="shared" si="4"/>
        <v>3.75E+15</v>
      </c>
      <c r="G204" s="1402" t="str">
        <f t="shared" si="5"/>
        <v>3.75 q</v>
      </c>
      <c r="H204" s="1403" t="str">
        <f t="shared" si="6"/>
        <v>45.66 q</v>
      </c>
      <c r="I204" s="1"/>
    </row>
    <row r="205">
      <c r="A205" s="1"/>
      <c r="B205" s="1">
        <f t="shared" si="7"/>
        <v>203</v>
      </c>
      <c r="C205" s="1400">
        <f t="shared" si="1"/>
        <v>10500</v>
      </c>
      <c r="D205" s="1402" t="str">
        <f t="shared" si="2"/>
        <v>10.5 K</v>
      </c>
      <c r="E205" s="1403" t="str">
        <f t="shared" si="3"/>
        <v>486.84 K</v>
      </c>
      <c r="F205" s="1404">
        <f t="shared" si="4"/>
        <v>6.25E+15</v>
      </c>
      <c r="G205" s="1402" t="str">
        <f t="shared" si="5"/>
        <v>6.25 q</v>
      </c>
      <c r="H205" s="1403" t="str">
        <f t="shared" si="6"/>
        <v>51.91 q</v>
      </c>
      <c r="I205" s="1"/>
    </row>
    <row r="206">
      <c r="A206" s="1"/>
      <c r="B206" s="1">
        <f t="shared" si="7"/>
        <v>204</v>
      </c>
      <c r="C206" s="1400">
        <f t="shared" si="1"/>
        <v>10750</v>
      </c>
      <c r="D206" s="1402" t="str">
        <f t="shared" si="2"/>
        <v>10.75 K</v>
      </c>
      <c r="E206" s="1403" t="str">
        <f t="shared" si="3"/>
        <v>497.59 K</v>
      </c>
      <c r="F206" s="1404">
        <f t="shared" si="4"/>
        <v>1E+16</v>
      </c>
      <c r="G206" s="1402" t="str">
        <f t="shared" si="5"/>
        <v>10 q</v>
      </c>
      <c r="H206" s="1403" t="str">
        <f t="shared" si="6"/>
        <v>61.91 q</v>
      </c>
      <c r="I206" s="1"/>
    </row>
    <row r="207">
      <c r="A207" s="1"/>
      <c r="B207" s="1">
        <f t="shared" si="7"/>
        <v>205</v>
      </c>
      <c r="C207" s="1400">
        <f t="shared" si="1"/>
        <v>11000</v>
      </c>
      <c r="D207" s="1402" t="str">
        <f t="shared" si="2"/>
        <v>11 K</v>
      </c>
      <c r="E207" s="1403" t="str">
        <f t="shared" si="3"/>
        <v>508.59 K</v>
      </c>
      <c r="F207" s="1404">
        <f t="shared" si="4"/>
        <v>1.5E+16</v>
      </c>
      <c r="G207" s="1402" t="str">
        <f t="shared" si="5"/>
        <v>15 q</v>
      </c>
      <c r="H207" s="1403" t="str">
        <f t="shared" si="6"/>
        <v>76.91 q</v>
      </c>
      <c r="I207" s="1"/>
    </row>
    <row r="208">
      <c r="A208" s="1"/>
      <c r="B208" s="1">
        <f t="shared" si="7"/>
        <v>206</v>
      </c>
      <c r="C208" s="1400">
        <f t="shared" si="1"/>
        <v>11250</v>
      </c>
      <c r="D208" s="1402" t="str">
        <f t="shared" si="2"/>
        <v>11.25 K</v>
      </c>
      <c r="E208" s="1403" t="str">
        <f t="shared" si="3"/>
        <v>519.84 K</v>
      </c>
      <c r="F208" s="1404">
        <f t="shared" si="4"/>
        <v>2.125E+16</v>
      </c>
      <c r="G208" s="1402" t="str">
        <f t="shared" si="5"/>
        <v>21.25 q</v>
      </c>
      <c r="H208" s="1403" t="str">
        <f t="shared" si="6"/>
        <v>98.16 q</v>
      </c>
      <c r="I208" s="1"/>
    </row>
    <row r="209">
      <c r="A209" s="1"/>
      <c r="B209" s="1">
        <f t="shared" si="7"/>
        <v>207</v>
      </c>
      <c r="C209" s="1400">
        <f t="shared" si="1"/>
        <v>11500</v>
      </c>
      <c r="D209" s="1402" t="str">
        <f t="shared" si="2"/>
        <v>11.5 K</v>
      </c>
      <c r="E209" s="1403" t="str">
        <f t="shared" si="3"/>
        <v>531.34 K</v>
      </c>
      <c r="F209" s="1404">
        <f t="shared" si="4"/>
        <v>2.875E+16</v>
      </c>
      <c r="G209" s="1402" t="str">
        <f t="shared" si="5"/>
        <v>28.75 q</v>
      </c>
      <c r="H209" s="1403" t="str">
        <f t="shared" si="6"/>
        <v>126.91 q</v>
      </c>
      <c r="I209" s="1"/>
    </row>
    <row r="210">
      <c r="A210" s="1"/>
      <c r="B210" s="1">
        <f t="shared" si="7"/>
        <v>208</v>
      </c>
      <c r="C210" s="1400">
        <f t="shared" si="1"/>
        <v>11750</v>
      </c>
      <c r="D210" s="1402" t="str">
        <f t="shared" si="2"/>
        <v>11.75 K</v>
      </c>
      <c r="E210" s="1403" t="str">
        <f t="shared" si="3"/>
        <v>543.09 K</v>
      </c>
      <c r="F210" s="1404">
        <f t="shared" si="4"/>
        <v>3.75E+16</v>
      </c>
      <c r="G210" s="1402" t="str">
        <f t="shared" si="5"/>
        <v>37.5 q</v>
      </c>
      <c r="H210" s="1403" t="str">
        <f t="shared" si="6"/>
        <v>164.41 q</v>
      </c>
      <c r="I210" s="1"/>
    </row>
    <row r="211">
      <c r="A211" s="1"/>
      <c r="B211" s="1">
        <f t="shared" si="7"/>
        <v>209</v>
      </c>
      <c r="C211" s="1400">
        <f t="shared" si="1"/>
        <v>12000</v>
      </c>
      <c r="D211" s="1402" t="str">
        <f t="shared" si="2"/>
        <v>12 K</v>
      </c>
      <c r="E211" s="1403" t="str">
        <f t="shared" si="3"/>
        <v>555.09 K</v>
      </c>
      <c r="F211" s="1404">
        <f t="shared" si="4"/>
        <v>4.75E+16</v>
      </c>
      <c r="G211" s="1402" t="str">
        <f t="shared" si="5"/>
        <v>47.5 q</v>
      </c>
      <c r="H211" s="1403" t="str">
        <f t="shared" si="6"/>
        <v>211.91 q</v>
      </c>
      <c r="I211" s="1"/>
    </row>
    <row r="212">
      <c r="A212" s="1"/>
      <c r="B212" s="1">
        <f t="shared" si="7"/>
        <v>210</v>
      </c>
      <c r="C212" s="1400">
        <f t="shared" si="1"/>
        <v>12250</v>
      </c>
      <c r="D212" s="1402" t="str">
        <f t="shared" si="2"/>
        <v>12.25 K</v>
      </c>
      <c r="E212" s="1403" t="str">
        <f t="shared" si="3"/>
        <v>567.34 K</v>
      </c>
      <c r="F212" s="1404">
        <f t="shared" si="4"/>
        <v>5.875E+16</v>
      </c>
      <c r="G212" s="1402" t="str">
        <f t="shared" si="5"/>
        <v>58.75 q</v>
      </c>
      <c r="H212" s="1403" t="str">
        <f t="shared" si="6"/>
        <v>270.66 q</v>
      </c>
      <c r="I212" s="1"/>
    </row>
    <row r="213">
      <c r="A213" s="1"/>
      <c r="B213" s="1">
        <f t="shared" si="7"/>
        <v>211</v>
      </c>
      <c r="C213" s="1400">
        <f t="shared" si="1"/>
        <v>12500</v>
      </c>
      <c r="D213" s="1402" t="str">
        <f t="shared" si="2"/>
        <v>12.5 K</v>
      </c>
      <c r="E213" s="1403" t="str">
        <f t="shared" si="3"/>
        <v>579.84 K</v>
      </c>
      <c r="F213" s="1404">
        <f t="shared" si="4"/>
        <v>7.125E+16</v>
      </c>
      <c r="G213" s="1402" t="str">
        <f t="shared" si="5"/>
        <v>71.25 q</v>
      </c>
      <c r="H213" s="1403" t="str">
        <f t="shared" si="6"/>
        <v>341.91 q</v>
      </c>
      <c r="I213" s="1"/>
    </row>
    <row r="214">
      <c r="A214" s="1"/>
      <c r="B214" s="1">
        <f t="shared" si="7"/>
        <v>212</v>
      </c>
      <c r="C214" s="1400">
        <f t="shared" si="1"/>
        <v>12750</v>
      </c>
      <c r="D214" s="1402" t="str">
        <f t="shared" si="2"/>
        <v>12.75 K</v>
      </c>
      <c r="E214" s="1403" t="str">
        <f t="shared" si="3"/>
        <v>592.59 K</v>
      </c>
      <c r="F214" s="1404">
        <f t="shared" si="4"/>
        <v>8.5E+16</v>
      </c>
      <c r="G214" s="1402" t="str">
        <f t="shared" si="5"/>
        <v>85 q</v>
      </c>
      <c r="H214" s="1403" t="str">
        <f t="shared" si="6"/>
        <v>426.91 q</v>
      </c>
      <c r="I214" s="1"/>
    </row>
    <row r="215">
      <c r="A215" s="1"/>
      <c r="B215" s="1">
        <f t="shared" si="7"/>
        <v>213</v>
      </c>
      <c r="C215" s="1400">
        <f t="shared" si="1"/>
        <v>13000</v>
      </c>
      <c r="D215" s="1402" t="str">
        <f t="shared" si="2"/>
        <v>13 K</v>
      </c>
      <c r="E215" s="1403" t="str">
        <f t="shared" si="3"/>
        <v>605.59 K</v>
      </c>
      <c r="F215" s="1404">
        <f t="shared" si="4"/>
        <v>1E+17</v>
      </c>
      <c r="G215" s="1402" t="str">
        <f t="shared" si="5"/>
        <v>100 q</v>
      </c>
      <c r="H215" s="1403" t="str">
        <f t="shared" si="6"/>
        <v>526.91 q</v>
      </c>
      <c r="I215" s="1"/>
    </row>
    <row r="216">
      <c r="A216" s="1"/>
      <c r="B216" s="1">
        <f t="shared" si="7"/>
        <v>214</v>
      </c>
      <c r="C216" s="1400">
        <f t="shared" si="1"/>
        <v>13250</v>
      </c>
      <c r="D216" s="1402" t="str">
        <f t="shared" si="2"/>
        <v>13.25 K</v>
      </c>
      <c r="E216" s="1403" t="str">
        <f t="shared" si="3"/>
        <v>618.84 K</v>
      </c>
      <c r="F216" s="1404">
        <f t="shared" si="4"/>
        <v>1.1625E+17</v>
      </c>
      <c r="G216" s="1402" t="str">
        <f t="shared" si="5"/>
        <v>116.25 q</v>
      </c>
      <c r="H216" s="1403" t="str">
        <f t="shared" si="6"/>
        <v>643.16 q</v>
      </c>
      <c r="I216" s="1"/>
    </row>
    <row r="217">
      <c r="A217" s="1"/>
      <c r="B217" s="1">
        <f t="shared" si="7"/>
        <v>215</v>
      </c>
      <c r="C217" s="1400">
        <f t="shared" si="1"/>
        <v>13500</v>
      </c>
      <c r="D217" s="1402" t="str">
        <f t="shared" si="2"/>
        <v>13.5 K</v>
      </c>
      <c r="E217" s="1403" t="str">
        <f t="shared" si="3"/>
        <v>632.34 K</v>
      </c>
      <c r="F217" s="1404">
        <f t="shared" si="4"/>
        <v>1.3375E+17</v>
      </c>
      <c r="G217" s="1402" t="str">
        <f t="shared" si="5"/>
        <v>133.75 q</v>
      </c>
      <c r="H217" s="1403" t="str">
        <f t="shared" si="6"/>
        <v>776.91 q</v>
      </c>
      <c r="I217" s="1"/>
    </row>
    <row r="218">
      <c r="A218" s="1"/>
      <c r="B218" s="1">
        <f t="shared" si="7"/>
        <v>216</v>
      </c>
      <c r="C218" s="1400">
        <f t="shared" si="1"/>
        <v>13750</v>
      </c>
      <c r="D218" s="1402" t="str">
        <f t="shared" si="2"/>
        <v>13.75 K</v>
      </c>
      <c r="E218" s="1403" t="str">
        <f t="shared" si="3"/>
        <v>646.09 K</v>
      </c>
      <c r="F218" s="1404">
        <f t="shared" si="4"/>
        <v>1.525E+17</v>
      </c>
      <c r="G218" s="1402" t="str">
        <f t="shared" si="5"/>
        <v>152.5 q</v>
      </c>
      <c r="H218" s="1403" t="str">
        <f t="shared" si="6"/>
        <v>929.41 q</v>
      </c>
      <c r="I218" s="1"/>
    </row>
    <row r="219">
      <c r="A219" s="1"/>
      <c r="B219" s="1">
        <f t="shared" si="7"/>
        <v>217</v>
      </c>
      <c r="C219" s="1400">
        <f t="shared" si="1"/>
        <v>14000</v>
      </c>
      <c r="D219" s="1402" t="str">
        <f t="shared" si="2"/>
        <v>14 K</v>
      </c>
      <c r="E219" s="1403" t="str">
        <f t="shared" si="3"/>
        <v>660.09 K</v>
      </c>
      <c r="F219" s="1404">
        <f t="shared" si="4"/>
        <v>1.725E+17</v>
      </c>
      <c r="G219" s="1402" t="str">
        <f t="shared" si="5"/>
        <v>172.5 q</v>
      </c>
      <c r="H219" s="1403" t="str">
        <f t="shared" si="6"/>
        <v>1.1 Q</v>
      </c>
      <c r="I219" s="1"/>
    </row>
    <row r="220">
      <c r="A220" s="1"/>
      <c r="B220" s="1">
        <f t="shared" si="7"/>
        <v>218</v>
      </c>
      <c r="C220" s="1400">
        <f t="shared" si="1"/>
        <v>14250</v>
      </c>
      <c r="D220" s="1402" t="str">
        <f t="shared" si="2"/>
        <v>14.25 K</v>
      </c>
      <c r="E220" s="1403" t="str">
        <f t="shared" si="3"/>
        <v>674.34 K</v>
      </c>
      <c r="F220" s="1404">
        <f t="shared" si="4"/>
        <v>1.9375E+17</v>
      </c>
      <c r="G220" s="1402" t="str">
        <f t="shared" si="5"/>
        <v>193.75 q</v>
      </c>
      <c r="H220" s="1403" t="str">
        <f t="shared" si="6"/>
        <v>1.3 Q</v>
      </c>
      <c r="I220" s="1"/>
    </row>
    <row r="221">
      <c r="A221" s="1"/>
      <c r="B221" s="1">
        <f t="shared" si="7"/>
        <v>219</v>
      </c>
      <c r="C221" s="1400">
        <f t="shared" si="1"/>
        <v>14500</v>
      </c>
      <c r="D221" s="1402" t="str">
        <f t="shared" si="2"/>
        <v>14.5 K</v>
      </c>
      <c r="E221" s="1403" t="str">
        <f t="shared" si="3"/>
        <v>688.84 K</v>
      </c>
      <c r="F221" s="1404">
        <f t="shared" si="4"/>
        <v>2.1625E+17</v>
      </c>
      <c r="G221" s="1402" t="str">
        <f t="shared" si="5"/>
        <v>216.25 q</v>
      </c>
      <c r="H221" s="1403" t="str">
        <f t="shared" si="6"/>
        <v>1.51 Q</v>
      </c>
      <c r="I221" s="1"/>
    </row>
    <row r="222">
      <c r="A222" s="1"/>
      <c r="B222" s="1">
        <f t="shared" si="7"/>
        <v>220</v>
      </c>
      <c r="C222" s="1400">
        <f t="shared" si="1"/>
        <v>14750</v>
      </c>
      <c r="D222" s="1402" t="str">
        <f t="shared" si="2"/>
        <v>14.75 K</v>
      </c>
      <c r="E222" s="1403" t="str">
        <f t="shared" si="3"/>
        <v>703.59 K</v>
      </c>
      <c r="F222" s="1404">
        <f t="shared" si="4"/>
        <v>2.4E+17</v>
      </c>
      <c r="G222" s="1402" t="str">
        <f t="shared" si="5"/>
        <v>240 q</v>
      </c>
      <c r="H222" s="1403" t="str">
        <f t="shared" si="6"/>
        <v>1.75 Q</v>
      </c>
      <c r="I222" s="1"/>
    </row>
    <row r="223">
      <c r="A223" s="1"/>
      <c r="B223" s="1">
        <f t="shared" si="7"/>
        <v>221</v>
      </c>
      <c r="C223" s="1400">
        <f t="shared" si="1"/>
        <v>15000</v>
      </c>
      <c r="D223" s="1402" t="str">
        <f t="shared" si="2"/>
        <v>15 K</v>
      </c>
      <c r="E223" s="1403" t="str">
        <f t="shared" si="3"/>
        <v>718.59 K</v>
      </c>
      <c r="F223" s="1404">
        <f t="shared" si="4"/>
        <v>2.65E+17</v>
      </c>
      <c r="G223" s="1402" t="str">
        <f t="shared" si="5"/>
        <v>265 q</v>
      </c>
      <c r="H223" s="1403" t="str">
        <f t="shared" si="6"/>
        <v>2.02 Q</v>
      </c>
      <c r="I223" s="1"/>
    </row>
    <row r="224">
      <c r="A224" s="1"/>
      <c r="B224" s="1">
        <f t="shared" si="7"/>
        <v>222</v>
      </c>
      <c r="C224" s="1400">
        <f t="shared" si="1"/>
        <v>15250</v>
      </c>
      <c r="D224" s="1402" t="str">
        <f t="shared" si="2"/>
        <v>15.25 K</v>
      </c>
      <c r="E224" s="1403" t="str">
        <f t="shared" si="3"/>
        <v>733.84 K</v>
      </c>
      <c r="F224" s="1404">
        <f t="shared" si="4"/>
        <v>2.9125E+17</v>
      </c>
      <c r="G224" s="1402" t="str">
        <f t="shared" si="5"/>
        <v>291.25 q</v>
      </c>
      <c r="H224" s="1403" t="str">
        <f t="shared" si="6"/>
        <v>2.31 Q</v>
      </c>
      <c r="I224" s="1"/>
    </row>
    <row r="225">
      <c r="A225" s="1"/>
      <c r="B225" s="1">
        <f t="shared" si="7"/>
        <v>223</v>
      </c>
      <c r="C225" s="1400">
        <f t="shared" si="1"/>
        <v>15500</v>
      </c>
      <c r="D225" s="1402" t="str">
        <f t="shared" si="2"/>
        <v>15.5 K</v>
      </c>
      <c r="E225" s="1403" t="str">
        <f t="shared" si="3"/>
        <v>749.34 K</v>
      </c>
      <c r="F225" s="1404">
        <f t="shared" si="4"/>
        <v>3.1875E+17</v>
      </c>
      <c r="G225" s="1402" t="str">
        <f t="shared" si="5"/>
        <v>318.75 q</v>
      </c>
      <c r="H225" s="1403" t="str">
        <f t="shared" si="6"/>
        <v>2.63 Q</v>
      </c>
      <c r="I225" s="1"/>
    </row>
    <row r="226">
      <c r="A226" s="1"/>
      <c r="B226" s="1">
        <f t="shared" si="7"/>
        <v>224</v>
      </c>
      <c r="C226" s="1400">
        <f t="shared" si="1"/>
        <v>15750</v>
      </c>
      <c r="D226" s="1402" t="str">
        <f t="shared" si="2"/>
        <v>15.75 K</v>
      </c>
      <c r="E226" s="1403" t="str">
        <f t="shared" si="3"/>
        <v>765.09 K</v>
      </c>
      <c r="F226" s="1404">
        <f t="shared" si="4"/>
        <v>3.475E+17</v>
      </c>
      <c r="G226" s="1402" t="str">
        <f t="shared" si="5"/>
        <v>347.5 q</v>
      </c>
      <c r="H226" s="1403" t="str">
        <f t="shared" si="6"/>
        <v>2.97 Q</v>
      </c>
      <c r="I226" s="1"/>
    </row>
    <row r="227">
      <c r="A227" s="1"/>
      <c r="B227" s="1">
        <f t="shared" si="7"/>
        <v>225</v>
      </c>
      <c r="C227" s="1400">
        <f t="shared" si="1"/>
        <v>16000</v>
      </c>
      <c r="D227" s="1402" t="str">
        <f t="shared" si="2"/>
        <v>16 K</v>
      </c>
      <c r="E227" s="1403" t="str">
        <f t="shared" si="3"/>
        <v>781.09 K</v>
      </c>
      <c r="F227" s="1404">
        <f t="shared" si="4"/>
        <v>3.775E+17</v>
      </c>
      <c r="G227" s="1402" t="str">
        <f t="shared" si="5"/>
        <v>377.5 q</v>
      </c>
      <c r="H227" s="1403" t="str">
        <f t="shared" si="6"/>
        <v>3.35 Q</v>
      </c>
      <c r="I227" s="1"/>
    </row>
    <row r="228">
      <c r="A228" s="1"/>
      <c r="B228" s="1">
        <f t="shared" si="7"/>
        <v>226</v>
      </c>
      <c r="C228" s="1400">
        <f t="shared" si="1"/>
        <v>16250</v>
      </c>
      <c r="D228" s="1402" t="str">
        <f t="shared" si="2"/>
        <v>16.25 K</v>
      </c>
      <c r="E228" s="1403" t="str">
        <f t="shared" si="3"/>
        <v>797.34 K</v>
      </c>
      <c r="F228" s="1404">
        <f t="shared" si="4"/>
        <v>4.0875E+17</v>
      </c>
      <c r="G228" s="1402" t="str">
        <f t="shared" si="5"/>
        <v>408.75 q</v>
      </c>
      <c r="H228" s="1403" t="str">
        <f t="shared" si="6"/>
        <v>3.76 Q</v>
      </c>
      <c r="I228" s="1"/>
    </row>
    <row r="229">
      <c r="A229" s="1"/>
      <c r="B229" s="1">
        <f t="shared" si="7"/>
        <v>227</v>
      </c>
      <c r="C229" s="1400">
        <f t="shared" si="1"/>
        <v>16500</v>
      </c>
      <c r="D229" s="1402" t="str">
        <f t="shared" si="2"/>
        <v>16.5 K</v>
      </c>
      <c r="E229" s="1403" t="str">
        <f t="shared" si="3"/>
        <v>813.84 K</v>
      </c>
      <c r="F229" s="1404">
        <f t="shared" si="4"/>
        <v>4.4125E+17</v>
      </c>
      <c r="G229" s="1402" t="str">
        <f t="shared" si="5"/>
        <v>441.25 q</v>
      </c>
      <c r="H229" s="1403" t="str">
        <f t="shared" si="6"/>
        <v>4.2 Q</v>
      </c>
      <c r="I229" s="1"/>
    </row>
    <row r="230">
      <c r="A230" s="1"/>
      <c r="B230" s="1">
        <f t="shared" si="7"/>
        <v>228</v>
      </c>
      <c r="C230" s="1400">
        <f t="shared" si="1"/>
        <v>16750</v>
      </c>
      <c r="D230" s="1402" t="str">
        <f t="shared" si="2"/>
        <v>16.75 K</v>
      </c>
      <c r="E230" s="1403" t="str">
        <f t="shared" si="3"/>
        <v>830.59 K</v>
      </c>
      <c r="F230" s="1404">
        <f t="shared" si="4"/>
        <v>4.75E+17</v>
      </c>
      <c r="G230" s="1402" t="str">
        <f t="shared" si="5"/>
        <v>475 q</v>
      </c>
      <c r="H230" s="1403" t="str">
        <f t="shared" si="6"/>
        <v>4.68 Q</v>
      </c>
      <c r="I230" s="1"/>
    </row>
    <row r="231">
      <c r="A231" s="1"/>
      <c r="B231" s="1">
        <f t="shared" si="7"/>
        <v>229</v>
      </c>
      <c r="C231" s="1400">
        <f t="shared" si="1"/>
        <v>17000</v>
      </c>
      <c r="D231" s="1402" t="str">
        <f t="shared" si="2"/>
        <v>17 K</v>
      </c>
      <c r="E231" s="1403" t="str">
        <f t="shared" si="3"/>
        <v>847.59 K</v>
      </c>
      <c r="F231" s="1404">
        <f t="shared" si="4"/>
        <v>5.1E+17</v>
      </c>
      <c r="G231" s="1402" t="str">
        <f t="shared" si="5"/>
        <v>510 q</v>
      </c>
      <c r="H231" s="1403" t="str">
        <f t="shared" si="6"/>
        <v>5.19 Q</v>
      </c>
      <c r="I231" s="1"/>
    </row>
    <row r="232">
      <c r="A232" s="1"/>
      <c r="B232" s="1">
        <f t="shared" si="7"/>
        <v>230</v>
      </c>
      <c r="C232" s="1400">
        <f t="shared" si="1"/>
        <v>17250</v>
      </c>
      <c r="D232" s="1402" t="str">
        <f t="shared" si="2"/>
        <v>17.25 K</v>
      </c>
      <c r="E232" s="1403" t="str">
        <f t="shared" si="3"/>
        <v>864.84 K</v>
      </c>
      <c r="F232" s="1404">
        <f t="shared" si="4"/>
        <v>5.4625E+17</v>
      </c>
      <c r="G232" s="1402" t="str">
        <f t="shared" si="5"/>
        <v>546.25 q</v>
      </c>
      <c r="H232" s="1403" t="str">
        <f t="shared" si="6"/>
        <v>5.73 Q</v>
      </c>
      <c r="I232" s="1"/>
    </row>
    <row r="233">
      <c r="A233" s="1"/>
      <c r="B233" s="1">
        <f t="shared" si="7"/>
        <v>231</v>
      </c>
      <c r="C233" s="1400">
        <f t="shared" si="1"/>
        <v>17500</v>
      </c>
      <c r="D233" s="1402" t="str">
        <f t="shared" si="2"/>
        <v>17.5 K</v>
      </c>
      <c r="E233" s="1403" t="str">
        <f t="shared" si="3"/>
        <v>882.34 K</v>
      </c>
      <c r="F233" s="1404">
        <f t="shared" si="4"/>
        <v>5.8375E+17</v>
      </c>
      <c r="G233" s="1402" t="str">
        <f t="shared" si="5"/>
        <v>583.75 q</v>
      </c>
      <c r="H233" s="1403" t="str">
        <f t="shared" si="6"/>
        <v>6.32 Q</v>
      </c>
      <c r="I233" s="1"/>
    </row>
    <row r="234">
      <c r="A234" s="1"/>
      <c r="B234" s="1">
        <f t="shared" si="7"/>
        <v>232</v>
      </c>
      <c r="C234" s="1400">
        <f t="shared" si="1"/>
        <v>17750</v>
      </c>
      <c r="D234" s="1402" t="str">
        <f t="shared" si="2"/>
        <v>17.75 K</v>
      </c>
      <c r="E234" s="1403" t="str">
        <f t="shared" si="3"/>
        <v>900.09 K</v>
      </c>
      <c r="F234" s="1404">
        <f t="shared" si="4"/>
        <v>6.225E+17</v>
      </c>
      <c r="G234" s="1402" t="str">
        <f t="shared" si="5"/>
        <v>622.5 q</v>
      </c>
      <c r="H234" s="1403" t="str">
        <f t="shared" si="6"/>
        <v>6.94 Q</v>
      </c>
      <c r="I234" s="1"/>
    </row>
    <row r="235">
      <c r="A235" s="1"/>
      <c r="B235" s="1">
        <f t="shared" si="7"/>
        <v>233</v>
      </c>
      <c r="C235" s="1400">
        <f t="shared" si="1"/>
        <v>18000</v>
      </c>
      <c r="D235" s="1402" t="str">
        <f t="shared" si="2"/>
        <v>18 K</v>
      </c>
      <c r="E235" s="1403" t="str">
        <f t="shared" si="3"/>
        <v>918.09 K</v>
      </c>
      <c r="F235" s="1404">
        <f t="shared" si="4"/>
        <v>6.625E+17</v>
      </c>
      <c r="G235" s="1402" t="str">
        <f t="shared" si="5"/>
        <v>662.5 q</v>
      </c>
      <c r="H235" s="1403" t="str">
        <f t="shared" si="6"/>
        <v>7.6 Q</v>
      </c>
      <c r="I235" s="1"/>
    </row>
    <row r="236">
      <c r="A236" s="1"/>
      <c r="B236" s="1">
        <f t="shared" si="7"/>
        <v>234</v>
      </c>
      <c r="C236" s="1400">
        <f t="shared" si="1"/>
        <v>18250</v>
      </c>
      <c r="D236" s="1402" t="str">
        <f t="shared" si="2"/>
        <v>18.25 K</v>
      </c>
      <c r="E236" s="1403" t="str">
        <f t="shared" si="3"/>
        <v>936.34 K</v>
      </c>
      <c r="F236" s="1404">
        <f t="shared" si="4"/>
        <v>7.0375E+17</v>
      </c>
      <c r="G236" s="1402" t="str">
        <f t="shared" si="5"/>
        <v>703.75 q</v>
      </c>
      <c r="H236" s="1403" t="str">
        <f t="shared" si="6"/>
        <v>8.31 Q</v>
      </c>
      <c r="I236" s="1"/>
    </row>
    <row r="237">
      <c r="A237" s="1"/>
      <c r="B237" s="1">
        <f t="shared" si="7"/>
        <v>235</v>
      </c>
      <c r="C237" s="1400">
        <f t="shared" si="1"/>
        <v>18500</v>
      </c>
      <c r="D237" s="1402" t="str">
        <f t="shared" si="2"/>
        <v>18.5 K</v>
      </c>
      <c r="E237" s="1403" t="str">
        <f t="shared" si="3"/>
        <v>954.84 K</v>
      </c>
      <c r="F237" s="1404">
        <f t="shared" si="4"/>
        <v>7.4625E+17</v>
      </c>
      <c r="G237" s="1402" t="str">
        <f t="shared" si="5"/>
        <v>746.25 q</v>
      </c>
      <c r="H237" s="1403" t="str">
        <f t="shared" si="6"/>
        <v>9.05 Q</v>
      </c>
      <c r="I237" s="1"/>
    </row>
    <row r="238">
      <c r="A238" s="1"/>
      <c r="B238" s="1">
        <f t="shared" si="7"/>
        <v>236</v>
      </c>
      <c r="C238" s="1400">
        <f t="shared" si="1"/>
        <v>18750</v>
      </c>
      <c r="D238" s="1402" t="str">
        <f t="shared" si="2"/>
        <v>18.75 K</v>
      </c>
      <c r="E238" s="1403" t="str">
        <f t="shared" si="3"/>
        <v>973.59 K</v>
      </c>
      <c r="F238" s="1404">
        <f t="shared" si="4"/>
        <v>7.9E+17</v>
      </c>
      <c r="G238" s="1402" t="str">
        <f t="shared" si="5"/>
        <v>790 q</v>
      </c>
      <c r="H238" s="1403" t="str">
        <f t="shared" si="6"/>
        <v>9.84 Q</v>
      </c>
      <c r="I238" s="1"/>
    </row>
    <row r="239">
      <c r="A239" s="1"/>
      <c r="B239" s="1">
        <f t="shared" si="7"/>
        <v>237</v>
      </c>
      <c r="C239" s="1400">
        <f t="shared" si="1"/>
        <v>19000</v>
      </c>
      <c r="D239" s="1402" t="str">
        <f t="shared" si="2"/>
        <v>19 K</v>
      </c>
      <c r="E239" s="1403" t="str">
        <f t="shared" si="3"/>
        <v>992.59 K</v>
      </c>
      <c r="F239" s="1404">
        <f t="shared" si="4"/>
        <v>8.35E+17</v>
      </c>
      <c r="G239" s="1402" t="str">
        <f t="shared" si="5"/>
        <v>835 q</v>
      </c>
      <c r="H239" s="1403" t="str">
        <f t="shared" si="6"/>
        <v>10.68 Q</v>
      </c>
      <c r="I239" s="1"/>
    </row>
    <row r="240">
      <c r="A240" s="1"/>
      <c r="B240" s="1">
        <f t="shared" si="7"/>
        <v>238</v>
      </c>
      <c r="C240" s="1400">
        <f t="shared" si="1"/>
        <v>19250</v>
      </c>
      <c r="D240" s="1402" t="str">
        <f t="shared" si="2"/>
        <v>19.25 K</v>
      </c>
      <c r="E240" s="1403" t="str">
        <f t="shared" si="3"/>
        <v>1.01 M</v>
      </c>
      <c r="F240" s="1404">
        <f t="shared" si="4"/>
        <v>8.8125E+17</v>
      </c>
      <c r="G240" s="1402" t="str">
        <f t="shared" si="5"/>
        <v>881.25 q</v>
      </c>
      <c r="H240" s="1403" t="str">
        <f t="shared" si="6"/>
        <v>11.56 Q</v>
      </c>
      <c r="I240" s="1"/>
    </row>
    <row r="241">
      <c r="A241" s="1"/>
      <c r="B241" s="1">
        <f t="shared" si="7"/>
        <v>239</v>
      </c>
      <c r="C241" s="1400">
        <f t="shared" si="1"/>
        <v>19500</v>
      </c>
      <c r="D241" s="1402" t="str">
        <f t="shared" si="2"/>
        <v>19.5 K</v>
      </c>
      <c r="E241" s="1403" t="str">
        <f t="shared" si="3"/>
        <v>1.03 M</v>
      </c>
      <c r="F241" s="1404">
        <f t="shared" si="4"/>
        <v>9.2875E+17</v>
      </c>
      <c r="G241" s="1402" t="str">
        <f t="shared" si="5"/>
        <v>928.75 q</v>
      </c>
      <c r="H241" s="1403" t="str">
        <f t="shared" si="6"/>
        <v>12.49 Q</v>
      </c>
      <c r="I241" s="1"/>
    </row>
    <row r="242">
      <c r="A242" s="1"/>
      <c r="B242" s="1">
        <f t="shared" si="7"/>
        <v>240</v>
      </c>
      <c r="C242" s="1400">
        <f t="shared" si="1"/>
        <v>19750</v>
      </c>
      <c r="D242" s="1402" t="str">
        <f t="shared" si="2"/>
        <v>19.75 K</v>
      </c>
      <c r="E242" s="1403" t="str">
        <f t="shared" si="3"/>
        <v>1.05 M</v>
      </c>
      <c r="F242" s="1404">
        <f t="shared" si="4"/>
        <v>9.775E+17</v>
      </c>
      <c r="G242" s="1402" t="str">
        <f t="shared" si="5"/>
        <v>977.5 q</v>
      </c>
      <c r="H242" s="1403" t="str">
        <f t="shared" si="6"/>
        <v>13.46 Q</v>
      </c>
      <c r="I242" s="1"/>
    </row>
    <row r="243">
      <c r="A243" s="1"/>
      <c r="B243" s="1">
        <f t="shared" si="7"/>
        <v>241</v>
      </c>
      <c r="C243" s="1400">
        <f t="shared" si="1"/>
        <v>20000</v>
      </c>
      <c r="D243" s="1402" t="str">
        <f t="shared" si="2"/>
        <v>20 K</v>
      </c>
      <c r="E243" s="1403" t="str">
        <f t="shared" si="3"/>
        <v>1.07 M</v>
      </c>
      <c r="F243" s="1404">
        <f t="shared" si="4"/>
        <v>1E+18</v>
      </c>
      <c r="G243" s="1402" t="str">
        <f t="shared" si="5"/>
        <v>1 Q</v>
      </c>
      <c r="H243" s="1403" t="str">
        <f t="shared" si="6"/>
        <v>14.46 Q</v>
      </c>
      <c r="I243" s="1"/>
    </row>
    <row r="244">
      <c r="A244" s="1"/>
      <c r="B244" s="1">
        <f t="shared" si="7"/>
        <v>242</v>
      </c>
      <c r="C244" s="1400">
        <f t="shared" si="1"/>
        <v>20250</v>
      </c>
      <c r="D244" s="1402" t="str">
        <f t="shared" si="2"/>
        <v>20.25 K</v>
      </c>
      <c r="E244" s="1403" t="str">
        <f t="shared" si="3"/>
        <v>1.09 M</v>
      </c>
      <c r="F244" s="1404">
        <f t="shared" si="4"/>
        <v>1.5E+18</v>
      </c>
      <c r="G244" s="1402" t="str">
        <f t="shared" si="5"/>
        <v>1.5 Q</v>
      </c>
      <c r="H244" s="1403" t="str">
        <f t="shared" si="6"/>
        <v>15.96 Q</v>
      </c>
      <c r="I244" s="1"/>
    </row>
    <row r="245">
      <c r="A245" s="1"/>
      <c r="B245" s="1">
        <f t="shared" si="7"/>
        <v>243</v>
      </c>
      <c r="C245" s="1400">
        <f t="shared" si="1"/>
        <v>20500</v>
      </c>
      <c r="D245" s="1402" t="str">
        <f t="shared" si="2"/>
        <v>20.5 K</v>
      </c>
      <c r="E245" s="1403" t="str">
        <f t="shared" si="3"/>
        <v>1.11 M</v>
      </c>
      <c r="F245" s="1404">
        <f t="shared" si="4"/>
        <v>2.5E+18</v>
      </c>
      <c r="G245" s="1402" t="str">
        <f t="shared" si="5"/>
        <v>2.5 Q</v>
      </c>
      <c r="H245" s="1403" t="str">
        <f t="shared" si="6"/>
        <v>18.46 Q</v>
      </c>
      <c r="I245" s="1"/>
    </row>
    <row r="246">
      <c r="A246" s="1"/>
      <c r="B246" s="1">
        <f t="shared" si="7"/>
        <v>244</v>
      </c>
      <c r="C246" s="1400">
        <f t="shared" si="1"/>
        <v>20750</v>
      </c>
      <c r="D246" s="1402" t="str">
        <f t="shared" si="2"/>
        <v>20.75 K</v>
      </c>
      <c r="E246" s="1403" t="str">
        <f t="shared" si="3"/>
        <v>1.13 M</v>
      </c>
      <c r="F246" s="1404">
        <f t="shared" si="4"/>
        <v>4E+18</v>
      </c>
      <c r="G246" s="1402" t="str">
        <f t="shared" si="5"/>
        <v>4 Q</v>
      </c>
      <c r="H246" s="1403" t="str">
        <f t="shared" si="6"/>
        <v>22.46 Q</v>
      </c>
      <c r="I246" s="1"/>
    </row>
    <row r="247">
      <c r="A247" s="1"/>
      <c r="B247" s="1">
        <f t="shared" si="7"/>
        <v>245</v>
      </c>
      <c r="C247" s="1400">
        <f t="shared" si="1"/>
        <v>21000</v>
      </c>
      <c r="D247" s="1402" t="str">
        <f t="shared" si="2"/>
        <v>21 K</v>
      </c>
      <c r="E247" s="1403" t="str">
        <f t="shared" si="3"/>
        <v>1.15 M</v>
      </c>
      <c r="F247" s="1404">
        <f t="shared" si="4"/>
        <v>6E+18</v>
      </c>
      <c r="G247" s="1402" t="str">
        <f t="shared" si="5"/>
        <v>6 Q</v>
      </c>
      <c r="H247" s="1403" t="str">
        <f t="shared" si="6"/>
        <v>28.46 Q</v>
      </c>
      <c r="I247" s="1"/>
    </row>
    <row r="248">
      <c r="A248" s="1"/>
      <c r="B248" s="1">
        <f t="shared" si="7"/>
        <v>246</v>
      </c>
      <c r="C248" s="1400">
        <f t="shared" si="1"/>
        <v>21250</v>
      </c>
      <c r="D248" s="1402" t="str">
        <f t="shared" si="2"/>
        <v>21.25 K</v>
      </c>
      <c r="E248" s="1403" t="str">
        <f t="shared" si="3"/>
        <v>1.17 M</v>
      </c>
      <c r="F248" s="1404">
        <f t="shared" si="4"/>
        <v>8.5E+18</v>
      </c>
      <c r="G248" s="1402" t="str">
        <f t="shared" si="5"/>
        <v>8.5 Q</v>
      </c>
      <c r="H248" s="1403" t="str">
        <f t="shared" si="6"/>
        <v>36.96 Q</v>
      </c>
      <c r="I248" s="1"/>
    </row>
    <row r="249">
      <c r="A249" s="1"/>
      <c r="B249" s="1">
        <f t="shared" si="7"/>
        <v>247</v>
      </c>
      <c r="C249" s="1400">
        <f t="shared" si="1"/>
        <v>21500</v>
      </c>
      <c r="D249" s="1402" t="str">
        <f t="shared" si="2"/>
        <v>21.5 K</v>
      </c>
      <c r="E249" s="1403" t="str">
        <f t="shared" si="3"/>
        <v>1.2 M</v>
      </c>
      <c r="F249" s="1404">
        <f t="shared" si="4"/>
        <v>1.15E+19</v>
      </c>
      <c r="G249" s="1402" t="str">
        <f t="shared" si="5"/>
        <v>11.5 Q</v>
      </c>
      <c r="H249" s="1403" t="str">
        <f t="shared" si="6"/>
        <v>48.46 Q</v>
      </c>
      <c r="I249" s="1"/>
    </row>
    <row r="250">
      <c r="A250" s="1"/>
      <c r="B250" s="1">
        <f t="shared" si="7"/>
        <v>248</v>
      </c>
      <c r="C250" s="1400">
        <f t="shared" si="1"/>
        <v>21750</v>
      </c>
      <c r="D250" s="1402" t="str">
        <f t="shared" si="2"/>
        <v>21.75 K</v>
      </c>
      <c r="E250" s="1403" t="str">
        <f t="shared" si="3"/>
        <v>1.22 M</v>
      </c>
      <c r="F250" s="1404">
        <f t="shared" si="4"/>
        <v>1.5E+19</v>
      </c>
      <c r="G250" s="1402" t="str">
        <f t="shared" si="5"/>
        <v>15 Q</v>
      </c>
      <c r="H250" s="1403" t="str">
        <f t="shared" si="6"/>
        <v>63.46 Q</v>
      </c>
      <c r="I250" s="1"/>
    </row>
    <row r="251">
      <c r="A251" s="1"/>
      <c r="B251" s="1">
        <f t="shared" si="7"/>
        <v>249</v>
      </c>
      <c r="C251" s="1400">
        <f t="shared" si="1"/>
        <v>22000</v>
      </c>
      <c r="D251" s="1402" t="str">
        <f t="shared" si="2"/>
        <v>22 K</v>
      </c>
      <c r="E251" s="1403" t="str">
        <f t="shared" si="3"/>
        <v>1.24 M</v>
      </c>
      <c r="F251" s="1404">
        <f t="shared" si="4"/>
        <v>1.9E+19</v>
      </c>
      <c r="G251" s="1402" t="str">
        <f t="shared" si="5"/>
        <v>19 Q</v>
      </c>
      <c r="H251" s="1403" t="str">
        <f t="shared" si="6"/>
        <v>82.46 Q</v>
      </c>
      <c r="I251" s="1"/>
    </row>
    <row r="252">
      <c r="A252" s="1"/>
      <c r="B252" s="1">
        <f t="shared" si="7"/>
        <v>250</v>
      </c>
      <c r="C252" s="1400">
        <f t="shared" si="1"/>
        <v>22250</v>
      </c>
      <c r="D252" s="1402" t="str">
        <f t="shared" si="2"/>
        <v>22.25 K</v>
      </c>
      <c r="E252" s="1403" t="str">
        <f t="shared" si="3"/>
        <v>1.26 M</v>
      </c>
      <c r="F252" s="1404">
        <f t="shared" si="4"/>
        <v>2.35E+19</v>
      </c>
      <c r="G252" s="1402" t="str">
        <f t="shared" si="5"/>
        <v>23.5 Q</v>
      </c>
      <c r="H252" s="1403" t="str">
        <f t="shared" si="6"/>
        <v>105.96 Q</v>
      </c>
      <c r="I252" s="1"/>
    </row>
    <row r="253">
      <c r="A253" s="1"/>
      <c r="B253" s="1">
        <f t="shared" si="7"/>
        <v>251</v>
      </c>
      <c r="C253" s="1400">
        <f t="shared" si="1"/>
        <v>22500</v>
      </c>
      <c r="D253" s="1402" t="str">
        <f t="shared" si="2"/>
        <v>22.5 K</v>
      </c>
      <c r="E253" s="1403" t="str">
        <f t="shared" si="3"/>
        <v>1.28 M</v>
      </c>
      <c r="F253" s="1404">
        <f t="shared" si="4"/>
        <v>2.85E+19</v>
      </c>
      <c r="G253" s="1402" t="str">
        <f t="shared" si="5"/>
        <v>28.5 Q</v>
      </c>
      <c r="H253" s="1403" t="str">
        <f t="shared" si="6"/>
        <v>134.46 Q</v>
      </c>
      <c r="I253" s="1"/>
    </row>
    <row r="254">
      <c r="A254" s="1"/>
      <c r="B254" s="1">
        <f t="shared" si="7"/>
        <v>252</v>
      </c>
      <c r="C254" s="1400">
        <f t="shared" si="1"/>
        <v>22750</v>
      </c>
      <c r="D254" s="1402" t="str">
        <f t="shared" si="2"/>
        <v>22.75 K</v>
      </c>
      <c r="E254" s="1403" t="str">
        <f t="shared" si="3"/>
        <v>1.31 M</v>
      </c>
      <c r="F254" s="1404">
        <f t="shared" si="4"/>
        <v>3.4E+19</v>
      </c>
      <c r="G254" s="1402" t="str">
        <f t="shared" si="5"/>
        <v>34 Q</v>
      </c>
      <c r="H254" s="1403" t="str">
        <f t="shared" si="6"/>
        <v>168.46 Q</v>
      </c>
      <c r="I254" s="1"/>
    </row>
    <row r="255">
      <c r="A255" s="1"/>
      <c r="B255" s="1">
        <f t="shared" si="7"/>
        <v>253</v>
      </c>
      <c r="C255" s="1400">
        <f t="shared" si="1"/>
        <v>23000</v>
      </c>
      <c r="D255" s="1402" t="str">
        <f t="shared" si="2"/>
        <v>23 K</v>
      </c>
      <c r="E255" s="1403" t="str">
        <f t="shared" si="3"/>
        <v>1.33 M</v>
      </c>
      <c r="F255" s="1404">
        <f t="shared" si="4"/>
        <v>4E+19</v>
      </c>
      <c r="G255" s="1402" t="str">
        <f t="shared" si="5"/>
        <v>40 Q</v>
      </c>
      <c r="H255" s="1403" t="str">
        <f t="shared" si="6"/>
        <v>208.46 Q</v>
      </c>
      <c r="I255" s="1"/>
    </row>
    <row r="256">
      <c r="A256" s="1"/>
      <c r="B256" s="1">
        <f t="shared" si="7"/>
        <v>254</v>
      </c>
      <c r="C256" s="1400">
        <f t="shared" si="1"/>
        <v>23250</v>
      </c>
      <c r="D256" s="1402" t="str">
        <f t="shared" si="2"/>
        <v>23.25 K</v>
      </c>
      <c r="E256" s="1403" t="str">
        <f t="shared" si="3"/>
        <v>1.35 M</v>
      </c>
      <c r="F256" s="1404">
        <f t="shared" si="4"/>
        <v>4.65E+19</v>
      </c>
      <c r="G256" s="1402" t="str">
        <f t="shared" si="5"/>
        <v>46.5 Q</v>
      </c>
      <c r="H256" s="1403" t="str">
        <f t="shared" si="6"/>
        <v>254.96 Q</v>
      </c>
      <c r="I256" s="1"/>
    </row>
    <row r="257">
      <c r="A257" s="1"/>
      <c r="B257" s="1">
        <f t="shared" si="7"/>
        <v>255</v>
      </c>
      <c r="C257" s="1400">
        <f t="shared" si="1"/>
        <v>23500</v>
      </c>
      <c r="D257" s="1402" t="str">
        <f t="shared" si="2"/>
        <v>23.5 K</v>
      </c>
      <c r="E257" s="1403" t="str">
        <f t="shared" si="3"/>
        <v>1.38 M</v>
      </c>
      <c r="F257" s="1404">
        <f t="shared" si="4"/>
        <v>5.35E+19</v>
      </c>
      <c r="G257" s="1402" t="str">
        <f t="shared" si="5"/>
        <v>53.5 Q</v>
      </c>
      <c r="H257" s="1403" t="str">
        <f t="shared" si="6"/>
        <v>308.46 Q</v>
      </c>
      <c r="I257" s="1"/>
    </row>
    <row r="258">
      <c r="A258" s="1"/>
      <c r="B258" s="1">
        <f t="shared" si="7"/>
        <v>256</v>
      </c>
      <c r="C258" s="1400">
        <f t="shared" si="1"/>
        <v>23750</v>
      </c>
      <c r="D258" s="1402" t="str">
        <f t="shared" si="2"/>
        <v>23.75 K</v>
      </c>
      <c r="E258" s="1403" t="str">
        <f t="shared" si="3"/>
        <v>1.4 M</v>
      </c>
      <c r="F258" s="1404">
        <f t="shared" si="4"/>
        <v>6.1E+19</v>
      </c>
      <c r="G258" s="1402" t="str">
        <f t="shared" si="5"/>
        <v>61 Q</v>
      </c>
      <c r="H258" s="1403" t="str">
        <f t="shared" si="6"/>
        <v>369.46 Q</v>
      </c>
      <c r="I258" s="1"/>
    </row>
    <row r="259">
      <c r="A259" s="1"/>
      <c r="B259" s="1">
        <f t="shared" si="7"/>
        <v>257</v>
      </c>
      <c r="C259" s="1400">
        <f t="shared" si="1"/>
        <v>24000</v>
      </c>
      <c r="D259" s="1402" t="str">
        <f t="shared" si="2"/>
        <v>24 K</v>
      </c>
      <c r="E259" s="1403" t="str">
        <f t="shared" si="3"/>
        <v>1.43 M</v>
      </c>
      <c r="F259" s="1404">
        <f t="shared" si="4"/>
        <v>6.9E+19</v>
      </c>
      <c r="G259" s="1402" t="str">
        <f t="shared" si="5"/>
        <v>69 Q</v>
      </c>
      <c r="H259" s="1403" t="str">
        <f t="shared" si="6"/>
        <v>438.46 Q</v>
      </c>
      <c r="I259" s="1"/>
    </row>
    <row r="260">
      <c r="A260" s="1"/>
      <c r="B260" s="1">
        <f t="shared" si="7"/>
        <v>258</v>
      </c>
      <c r="C260" s="1400">
        <f t="shared" si="1"/>
        <v>24250</v>
      </c>
      <c r="D260" s="1402" t="str">
        <f t="shared" si="2"/>
        <v>24.25 K</v>
      </c>
      <c r="E260" s="1403" t="str">
        <f t="shared" si="3"/>
        <v>1.45 M</v>
      </c>
      <c r="F260" s="1404">
        <f t="shared" si="4"/>
        <v>7.75E+19</v>
      </c>
      <c r="G260" s="1402" t="str">
        <f t="shared" si="5"/>
        <v>77.5 Q</v>
      </c>
      <c r="H260" s="1403" t="str">
        <f t="shared" si="6"/>
        <v>515.96 Q</v>
      </c>
      <c r="I260" s="1"/>
    </row>
    <row r="261">
      <c r="A261" s="1"/>
      <c r="B261" s="1">
        <f t="shared" si="7"/>
        <v>259</v>
      </c>
      <c r="C261" s="1400">
        <f t="shared" si="1"/>
        <v>24500</v>
      </c>
      <c r="D261" s="1402" t="str">
        <f t="shared" si="2"/>
        <v>24.5 K</v>
      </c>
      <c r="E261" s="1403" t="str">
        <f t="shared" si="3"/>
        <v>1.47 M</v>
      </c>
      <c r="F261" s="1404">
        <f t="shared" si="4"/>
        <v>8.65E+19</v>
      </c>
      <c r="G261" s="1402" t="str">
        <f t="shared" si="5"/>
        <v>86.5 Q</v>
      </c>
      <c r="H261" s="1403" t="str">
        <f t="shared" si="6"/>
        <v>602.46 Q</v>
      </c>
      <c r="I261" s="1"/>
    </row>
    <row r="262">
      <c r="A262" s="1"/>
      <c r="B262" s="1">
        <f t="shared" si="7"/>
        <v>260</v>
      </c>
      <c r="C262" s="1400">
        <f t="shared" si="1"/>
        <v>24750</v>
      </c>
      <c r="D262" s="1402" t="str">
        <f t="shared" si="2"/>
        <v>24.75 K</v>
      </c>
      <c r="E262" s="1403" t="str">
        <f t="shared" si="3"/>
        <v>1.5 M</v>
      </c>
      <c r="F262" s="1404">
        <f t="shared" si="4"/>
        <v>9.6E+19</v>
      </c>
      <c r="G262" s="1402" t="str">
        <f t="shared" si="5"/>
        <v>96 Q</v>
      </c>
      <c r="H262" s="1403" t="str">
        <f t="shared" si="6"/>
        <v>698.46 Q</v>
      </c>
      <c r="I262" s="1"/>
    </row>
    <row r="263">
      <c r="A263" s="1"/>
      <c r="B263" s="1">
        <f t="shared" si="7"/>
        <v>261</v>
      </c>
      <c r="C263" s="1400">
        <f t="shared" si="1"/>
        <v>25000</v>
      </c>
      <c r="D263" s="1402" t="str">
        <f t="shared" si="2"/>
        <v>25 K</v>
      </c>
      <c r="E263" s="1403" t="str">
        <f t="shared" si="3"/>
        <v>1.52 M</v>
      </c>
      <c r="F263" s="1404">
        <f t="shared" si="4"/>
        <v>1.06E+20</v>
      </c>
      <c r="G263" s="1402" t="str">
        <f t="shared" si="5"/>
        <v>106 Q</v>
      </c>
      <c r="H263" s="1403" t="str">
        <f t="shared" si="6"/>
        <v>804.46 Q</v>
      </c>
      <c r="I263" s="1"/>
    </row>
    <row r="264">
      <c r="A264" s="1"/>
      <c r="B264" s="1">
        <f t="shared" si="7"/>
        <v>262</v>
      </c>
      <c r="C264" s="1400">
        <f t="shared" si="1"/>
        <v>25250</v>
      </c>
      <c r="D264" s="1402" t="str">
        <f t="shared" si="2"/>
        <v>25.25 K</v>
      </c>
      <c r="E264" s="1403" t="str">
        <f t="shared" si="3"/>
        <v>1.55 M</v>
      </c>
      <c r="F264" s="1404">
        <f t="shared" si="4"/>
        <v>1.165E+20</v>
      </c>
      <c r="G264" s="1402" t="str">
        <f t="shared" si="5"/>
        <v>116.5 Q</v>
      </c>
      <c r="H264" s="1403" t="str">
        <f t="shared" si="6"/>
        <v>920.96 Q</v>
      </c>
      <c r="I264" s="1"/>
    </row>
    <row r="265">
      <c r="A265" s="1"/>
      <c r="B265" s="1">
        <f t="shared" si="7"/>
        <v>263</v>
      </c>
      <c r="C265" s="1400">
        <f t="shared" si="1"/>
        <v>25500</v>
      </c>
      <c r="D265" s="1402" t="str">
        <f t="shared" si="2"/>
        <v>25.5 K</v>
      </c>
      <c r="E265" s="1403" t="str">
        <f t="shared" si="3"/>
        <v>1.57 M</v>
      </c>
      <c r="F265" s="1404">
        <f t="shared" si="4"/>
        <v>1.275E+20</v>
      </c>
      <c r="G265" s="1402" t="str">
        <f t="shared" si="5"/>
        <v>127.5 Q</v>
      </c>
      <c r="H265" s="1403" t="str">
        <f t="shared" si="6"/>
        <v>1.05 s</v>
      </c>
      <c r="I265" s="1"/>
    </row>
    <row r="266">
      <c r="A266" s="1"/>
      <c r="B266" s="1">
        <f t="shared" si="7"/>
        <v>264</v>
      </c>
      <c r="C266" s="1400">
        <f t="shared" si="1"/>
        <v>25750</v>
      </c>
      <c r="D266" s="1402" t="str">
        <f t="shared" si="2"/>
        <v>25.75 K</v>
      </c>
      <c r="E266" s="1403" t="str">
        <f t="shared" si="3"/>
        <v>1.6 M</v>
      </c>
      <c r="F266" s="1404">
        <f t="shared" si="4"/>
        <v>1.39E+20</v>
      </c>
      <c r="G266" s="1402" t="str">
        <f t="shared" si="5"/>
        <v>139 Q</v>
      </c>
      <c r="H266" s="1403" t="str">
        <f t="shared" si="6"/>
        <v>1.19 s</v>
      </c>
      <c r="I266" s="1"/>
    </row>
    <row r="267">
      <c r="A267" s="1"/>
      <c r="B267" s="1">
        <f t="shared" si="7"/>
        <v>265</v>
      </c>
      <c r="C267" s="1400">
        <f t="shared" si="1"/>
        <v>26000</v>
      </c>
      <c r="D267" s="1402" t="str">
        <f t="shared" si="2"/>
        <v>26 K</v>
      </c>
      <c r="E267" s="1403" t="str">
        <f t="shared" si="3"/>
        <v>1.63 M</v>
      </c>
      <c r="F267" s="1404">
        <f t="shared" si="4"/>
        <v>1.51E+20</v>
      </c>
      <c r="G267" s="1402" t="str">
        <f t="shared" si="5"/>
        <v>151 Q</v>
      </c>
      <c r="H267" s="1403" t="str">
        <f t="shared" si="6"/>
        <v>1.34 s</v>
      </c>
      <c r="I267" s="1"/>
    </row>
    <row r="268">
      <c r="A268" s="1"/>
      <c r="B268" s="1">
        <f t="shared" si="7"/>
        <v>266</v>
      </c>
      <c r="C268" s="1400">
        <f t="shared" si="1"/>
        <v>26250</v>
      </c>
      <c r="D268" s="1402" t="str">
        <f t="shared" si="2"/>
        <v>26.25 K</v>
      </c>
      <c r="E268" s="1403" t="str">
        <f t="shared" si="3"/>
        <v>1.65 M</v>
      </c>
      <c r="F268" s="1404">
        <f t="shared" si="4"/>
        <v>1.635E+20</v>
      </c>
      <c r="G268" s="1402" t="str">
        <f t="shared" si="5"/>
        <v>163.5 Q</v>
      </c>
      <c r="H268" s="1403" t="str">
        <f t="shared" si="6"/>
        <v>1.5 s</v>
      </c>
      <c r="I268" s="1"/>
    </row>
    <row r="269">
      <c r="A269" s="1"/>
      <c r="B269" s="1">
        <f t="shared" si="7"/>
        <v>267</v>
      </c>
      <c r="C269" s="1400">
        <f t="shared" si="1"/>
        <v>26500</v>
      </c>
      <c r="D269" s="1402" t="str">
        <f t="shared" si="2"/>
        <v>26.5 K</v>
      </c>
      <c r="E269" s="1403" t="str">
        <f t="shared" si="3"/>
        <v>1.68 M</v>
      </c>
      <c r="F269" s="1404">
        <f t="shared" si="4"/>
        <v>1.765E+20</v>
      </c>
      <c r="G269" s="1402" t="str">
        <f t="shared" si="5"/>
        <v>176.5 Q</v>
      </c>
      <c r="H269" s="1403" t="str">
        <f t="shared" si="6"/>
        <v>1.68 s</v>
      </c>
      <c r="I269" s="1"/>
    </row>
    <row r="270">
      <c r="A270" s="1"/>
      <c r="B270" s="1">
        <f t="shared" si="7"/>
        <v>268</v>
      </c>
      <c r="C270" s="1400">
        <f t="shared" si="1"/>
        <v>26750</v>
      </c>
      <c r="D270" s="1402" t="str">
        <f t="shared" si="2"/>
        <v>26.75 K</v>
      </c>
      <c r="E270" s="1403" t="str">
        <f t="shared" si="3"/>
        <v>1.71 M</v>
      </c>
      <c r="F270" s="1404">
        <f t="shared" si="4"/>
        <v>1.9E+20</v>
      </c>
      <c r="G270" s="1402" t="str">
        <f t="shared" si="5"/>
        <v>190 Q</v>
      </c>
      <c r="H270" s="1403" t="str">
        <f t="shared" si="6"/>
        <v>1.87 s</v>
      </c>
      <c r="I270" s="1"/>
    </row>
    <row r="271">
      <c r="A271" s="1"/>
      <c r="B271" s="1">
        <f t="shared" si="7"/>
        <v>269</v>
      </c>
      <c r="C271" s="1400">
        <f t="shared" si="1"/>
        <v>27000</v>
      </c>
      <c r="D271" s="1402" t="str">
        <f t="shared" si="2"/>
        <v>27 K</v>
      </c>
      <c r="E271" s="1403" t="str">
        <f t="shared" si="3"/>
        <v>1.73 M</v>
      </c>
      <c r="F271" s="1404">
        <f t="shared" si="4"/>
        <v>2.04E+20</v>
      </c>
      <c r="G271" s="1402" t="str">
        <f t="shared" si="5"/>
        <v>204 Q</v>
      </c>
      <c r="H271" s="1403" t="str">
        <f t="shared" si="6"/>
        <v>2.07 s</v>
      </c>
      <c r="I271" s="1"/>
    </row>
    <row r="272">
      <c r="A272" s="1"/>
      <c r="B272" s="1">
        <f t="shared" si="7"/>
        <v>270</v>
      </c>
      <c r="C272" s="1400">
        <f t="shared" si="1"/>
        <v>27250</v>
      </c>
      <c r="D272" s="1402" t="str">
        <f t="shared" si="2"/>
        <v>27.25 K</v>
      </c>
      <c r="E272" s="1403" t="str">
        <f t="shared" si="3"/>
        <v>1.76 M</v>
      </c>
      <c r="F272" s="1404">
        <f t="shared" si="4"/>
        <v>2.185E+20</v>
      </c>
      <c r="G272" s="1402" t="str">
        <f t="shared" si="5"/>
        <v>218.5 Q</v>
      </c>
      <c r="H272" s="1403" t="str">
        <f t="shared" si="6"/>
        <v>2.29 s</v>
      </c>
      <c r="I272" s="1"/>
    </row>
    <row r="273">
      <c r="A273" s="1"/>
      <c r="B273" s="1">
        <f t="shared" si="7"/>
        <v>271</v>
      </c>
      <c r="C273" s="1400">
        <f t="shared" si="1"/>
        <v>27500</v>
      </c>
      <c r="D273" s="1402" t="str">
        <f t="shared" si="2"/>
        <v>27.5 K</v>
      </c>
      <c r="E273" s="1403" t="str">
        <f t="shared" si="3"/>
        <v>1.79 M</v>
      </c>
      <c r="F273" s="1404">
        <f t="shared" si="4"/>
        <v>2.335E+20</v>
      </c>
      <c r="G273" s="1402" t="str">
        <f t="shared" si="5"/>
        <v>233.5 Q</v>
      </c>
      <c r="H273" s="1403" t="str">
        <f t="shared" si="6"/>
        <v>2.52 s</v>
      </c>
      <c r="I273" s="1"/>
    </row>
    <row r="274">
      <c r="A274" s="1"/>
      <c r="B274" s="1">
        <f t="shared" si="7"/>
        <v>272</v>
      </c>
      <c r="C274" s="1400">
        <f t="shared" si="1"/>
        <v>27750</v>
      </c>
      <c r="D274" s="1402" t="str">
        <f t="shared" si="2"/>
        <v>27.75 K</v>
      </c>
      <c r="E274" s="1403" t="str">
        <f t="shared" si="3"/>
        <v>1.82 M</v>
      </c>
      <c r="F274" s="1404">
        <f t="shared" si="4"/>
        <v>2.49E+20</v>
      </c>
      <c r="G274" s="1402" t="str">
        <f t="shared" si="5"/>
        <v>249 Q</v>
      </c>
      <c r="H274" s="1403" t="str">
        <f t="shared" si="6"/>
        <v>2.77 s</v>
      </c>
      <c r="I274" s="1"/>
    </row>
    <row r="275">
      <c r="A275" s="1"/>
      <c r="B275" s="1">
        <f t="shared" si="7"/>
        <v>273</v>
      </c>
      <c r="C275" s="1400">
        <f t="shared" si="1"/>
        <v>28000</v>
      </c>
      <c r="D275" s="1402" t="str">
        <f t="shared" si="2"/>
        <v>28 K</v>
      </c>
      <c r="E275" s="1403" t="str">
        <f t="shared" si="3"/>
        <v>1.84 M</v>
      </c>
      <c r="F275" s="1404">
        <f t="shared" si="4"/>
        <v>2.65E+20</v>
      </c>
      <c r="G275" s="1402" t="str">
        <f t="shared" si="5"/>
        <v>265 Q</v>
      </c>
      <c r="H275" s="1403" t="str">
        <f t="shared" si="6"/>
        <v>3.04 s</v>
      </c>
      <c r="I275" s="1"/>
    </row>
    <row r="276">
      <c r="A276" s="1"/>
      <c r="B276" s="1">
        <f t="shared" si="7"/>
        <v>274</v>
      </c>
      <c r="C276" s="1400">
        <f t="shared" si="1"/>
        <v>28250</v>
      </c>
      <c r="D276" s="1402" t="str">
        <f t="shared" si="2"/>
        <v>28.25 K</v>
      </c>
      <c r="E276" s="1403" t="str">
        <f t="shared" si="3"/>
        <v>1.87 M</v>
      </c>
      <c r="F276" s="1404">
        <f t="shared" si="4"/>
        <v>2.815E+20</v>
      </c>
      <c r="G276" s="1402" t="str">
        <f t="shared" si="5"/>
        <v>281.5 Q</v>
      </c>
      <c r="H276" s="1403" t="str">
        <f t="shared" si="6"/>
        <v>3.32 s</v>
      </c>
      <c r="I276" s="1"/>
    </row>
    <row r="277">
      <c r="A277" s="1"/>
      <c r="B277" s="1">
        <f t="shared" si="7"/>
        <v>275</v>
      </c>
      <c r="C277" s="1400">
        <f t="shared" si="1"/>
        <v>28500</v>
      </c>
      <c r="D277" s="1402" t="str">
        <f t="shared" si="2"/>
        <v>28.5 K</v>
      </c>
      <c r="E277" s="1403" t="str">
        <f t="shared" si="3"/>
        <v>1.9 M</v>
      </c>
      <c r="F277" s="1404">
        <f t="shared" si="4"/>
        <v>2.985E+20</v>
      </c>
      <c r="G277" s="1402" t="str">
        <f t="shared" si="5"/>
        <v>298.5 Q</v>
      </c>
      <c r="H277" s="1403" t="str">
        <f t="shared" si="6"/>
        <v>3.62 s</v>
      </c>
      <c r="I277" s="1"/>
    </row>
    <row r="278">
      <c r="A278" s="1"/>
      <c r="B278" s="1">
        <f t="shared" si="7"/>
        <v>276</v>
      </c>
      <c r="C278" s="1400">
        <f t="shared" si="1"/>
        <v>28750</v>
      </c>
      <c r="D278" s="1402" t="str">
        <f t="shared" si="2"/>
        <v>28.75 K</v>
      </c>
      <c r="E278" s="1403" t="str">
        <f t="shared" si="3"/>
        <v>1.93 M</v>
      </c>
      <c r="F278" s="1404">
        <f t="shared" si="4"/>
        <v>3.16E+20</v>
      </c>
      <c r="G278" s="1402" t="str">
        <f t="shared" si="5"/>
        <v>316 Q</v>
      </c>
      <c r="H278" s="1403" t="str">
        <f t="shared" si="6"/>
        <v>3.93 s</v>
      </c>
      <c r="I278" s="1"/>
    </row>
    <row r="279">
      <c r="A279" s="1"/>
      <c r="B279" s="1">
        <f t="shared" si="7"/>
        <v>277</v>
      </c>
      <c r="C279" s="1400">
        <f t="shared" si="1"/>
        <v>29000</v>
      </c>
      <c r="D279" s="1402" t="str">
        <f t="shared" si="2"/>
        <v>29 K</v>
      </c>
      <c r="E279" s="1403" t="str">
        <f t="shared" si="3"/>
        <v>1.96 M</v>
      </c>
      <c r="F279" s="1404">
        <f t="shared" si="4"/>
        <v>3.34E+20</v>
      </c>
      <c r="G279" s="1402" t="str">
        <f t="shared" si="5"/>
        <v>334 Q</v>
      </c>
      <c r="H279" s="1403" t="str">
        <f t="shared" si="6"/>
        <v>4.27 s</v>
      </c>
      <c r="I279" s="1"/>
    </row>
    <row r="280">
      <c r="A280" s="1"/>
      <c r="B280" s="1">
        <f t="shared" si="7"/>
        <v>278</v>
      </c>
      <c r="C280" s="1400">
        <f t="shared" si="1"/>
        <v>29250</v>
      </c>
      <c r="D280" s="1402" t="str">
        <f t="shared" si="2"/>
        <v>29.25 K</v>
      </c>
      <c r="E280" s="1403" t="str">
        <f t="shared" si="3"/>
        <v>1.99 M</v>
      </c>
      <c r="F280" s="1404">
        <f t="shared" si="4"/>
        <v>3.525E+20</v>
      </c>
      <c r="G280" s="1402" t="str">
        <f t="shared" si="5"/>
        <v>352.5 Q</v>
      </c>
      <c r="H280" s="1403" t="str">
        <f t="shared" si="6"/>
        <v>4.62 s</v>
      </c>
      <c r="I280" s="1"/>
    </row>
    <row r="281">
      <c r="A281" s="1"/>
      <c r="B281" s="1">
        <f t="shared" si="7"/>
        <v>279</v>
      </c>
      <c r="C281" s="1400">
        <f t="shared" si="1"/>
        <v>29500</v>
      </c>
      <c r="D281" s="1402" t="str">
        <f t="shared" si="2"/>
        <v>29.5 K</v>
      </c>
      <c r="E281" s="1403" t="str">
        <f t="shared" si="3"/>
        <v>2.02 M</v>
      </c>
      <c r="F281" s="1404">
        <f t="shared" si="4"/>
        <v>3.715E+20</v>
      </c>
      <c r="G281" s="1402" t="str">
        <f t="shared" si="5"/>
        <v>371.5 Q</v>
      </c>
      <c r="H281" s="1403" t="str">
        <f t="shared" si="6"/>
        <v>4.99 s</v>
      </c>
      <c r="I281" s="1"/>
    </row>
    <row r="282">
      <c r="A282" s="1"/>
      <c r="B282" s="1">
        <f t="shared" si="7"/>
        <v>280</v>
      </c>
      <c r="C282" s="1400">
        <f t="shared" si="1"/>
        <v>29750</v>
      </c>
      <c r="D282" s="1402" t="str">
        <f t="shared" si="2"/>
        <v>29.75 K</v>
      </c>
      <c r="E282" s="1403" t="str">
        <f t="shared" si="3"/>
        <v>2.05 M</v>
      </c>
      <c r="F282" s="1404">
        <f t="shared" si="4"/>
        <v>3.91E+20</v>
      </c>
      <c r="G282" s="1402" t="str">
        <f t="shared" si="5"/>
        <v>391 Q</v>
      </c>
      <c r="H282" s="1403" t="str">
        <f t="shared" si="6"/>
        <v>5.38 s</v>
      </c>
      <c r="I282" s="1"/>
    </row>
    <row r="283">
      <c r="A283" s="1"/>
      <c r="B283" s="1">
        <f t="shared" si="7"/>
        <v>281</v>
      </c>
      <c r="C283" s="1400">
        <f t="shared" si="1"/>
        <v>30000</v>
      </c>
      <c r="D283" s="1402" t="str">
        <f t="shared" si="2"/>
        <v>30 K</v>
      </c>
      <c r="E283" s="1403" t="str">
        <f t="shared" si="3"/>
        <v>2.08 M</v>
      </c>
      <c r="F283" s="1404">
        <f t="shared" si="4"/>
        <v>4.11E+20</v>
      </c>
      <c r="G283" s="1402" t="str">
        <f t="shared" si="5"/>
        <v>411 Q</v>
      </c>
      <c r="H283" s="1403" t="str">
        <f t="shared" si="6"/>
        <v>5.79 s</v>
      </c>
      <c r="I283" s="1"/>
    </row>
    <row r="284">
      <c r="A284" s="1"/>
      <c r="B284" s="1">
        <f t="shared" si="7"/>
        <v>282</v>
      </c>
      <c r="C284" s="1400">
        <f t="shared" si="1"/>
        <v>30250</v>
      </c>
      <c r="D284" s="1402" t="str">
        <f t="shared" si="2"/>
        <v>30.25 K</v>
      </c>
      <c r="E284" s="1403" t="str">
        <f t="shared" si="3"/>
        <v>2.11 M</v>
      </c>
      <c r="F284" s="1404">
        <f t="shared" si="4"/>
        <v>4.315E+20</v>
      </c>
      <c r="G284" s="1402" t="str">
        <f t="shared" si="5"/>
        <v>431.5 Q</v>
      </c>
      <c r="H284" s="1403" t="str">
        <f t="shared" si="6"/>
        <v>6.23 s</v>
      </c>
      <c r="I284" s="1"/>
    </row>
    <row r="285">
      <c r="A285" s="1"/>
      <c r="B285" s="1">
        <f t="shared" si="7"/>
        <v>283</v>
      </c>
      <c r="C285" s="1400">
        <f t="shared" si="1"/>
        <v>30500</v>
      </c>
      <c r="D285" s="1402" t="str">
        <f t="shared" si="2"/>
        <v>30.5 K</v>
      </c>
      <c r="E285" s="1403" t="str">
        <f t="shared" si="3"/>
        <v>2.14 M</v>
      </c>
      <c r="F285" s="1404">
        <f t="shared" si="4"/>
        <v>4.525E+20</v>
      </c>
      <c r="G285" s="1402" t="str">
        <f t="shared" si="5"/>
        <v>452.5 Q</v>
      </c>
      <c r="H285" s="1403" t="str">
        <f t="shared" si="6"/>
        <v>6.68 s</v>
      </c>
      <c r="I285" s="1"/>
    </row>
    <row r="286">
      <c r="A286" s="1"/>
      <c r="B286" s="1">
        <f t="shared" si="7"/>
        <v>284</v>
      </c>
      <c r="C286" s="1400">
        <f t="shared" si="1"/>
        <v>30750</v>
      </c>
      <c r="D286" s="1402" t="str">
        <f t="shared" si="2"/>
        <v>30.75 K</v>
      </c>
      <c r="E286" s="1403" t="str">
        <f t="shared" si="3"/>
        <v>2.17 M</v>
      </c>
      <c r="F286" s="1404">
        <f t="shared" si="4"/>
        <v>4.74E+20</v>
      </c>
      <c r="G286" s="1402" t="str">
        <f t="shared" si="5"/>
        <v>474 Q</v>
      </c>
      <c r="H286" s="1403" t="str">
        <f t="shared" si="6"/>
        <v>7.15 s</v>
      </c>
      <c r="I286" s="1"/>
    </row>
    <row r="287">
      <c r="A287" s="1"/>
      <c r="B287" s="1">
        <f t="shared" si="7"/>
        <v>285</v>
      </c>
      <c r="C287" s="1400">
        <f t="shared" si="1"/>
        <v>31000</v>
      </c>
      <c r="D287" s="1402" t="str">
        <f t="shared" si="2"/>
        <v>31 K</v>
      </c>
      <c r="E287" s="1403" t="str">
        <f t="shared" si="3"/>
        <v>2.2 M</v>
      </c>
      <c r="F287" s="1404">
        <f t="shared" si="4"/>
        <v>4.96E+20</v>
      </c>
      <c r="G287" s="1402" t="str">
        <f t="shared" si="5"/>
        <v>496 Q</v>
      </c>
      <c r="H287" s="1403" t="str">
        <f t="shared" si="6"/>
        <v>7.65 s</v>
      </c>
      <c r="I287" s="1"/>
    </row>
    <row r="288">
      <c r="A288" s="1"/>
      <c r="B288" s="1">
        <f t="shared" si="7"/>
        <v>286</v>
      </c>
      <c r="C288" s="1400">
        <f t="shared" si="1"/>
        <v>31250</v>
      </c>
      <c r="D288" s="1402" t="str">
        <f t="shared" si="2"/>
        <v>31.25 K</v>
      </c>
      <c r="E288" s="1403" t="str">
        <f t="shared" si="3"/>
        <v>2.23 M</v>
      </c>
      <c r="F288" s="1404">
        <f t="shared" si="4"/>
        <v>5.185E+20</v>
      </c>
      <c r="G288" s="1402" t="str">
        <f t="shared" si="5"/>
        <v>518.5 Q</v>
      </c>
      <c r="H288" s="1403" t="str">
        <f t="shared" si="6"/>
        <v>8.17 s</v>
      </c>
      <c r="I288" s="1"/>
    </row>
    <row r="289">
      <c r="A289" s="1"/>
      <c r="B289" s="1">
        <f t="shared" si="7"/>
        <v>287</v>
      </c>
      <c r="C289" s="1400">
        <f t="shared" si="1"/>
        <v>31500</v>
      </c>
      <c r="D289" s="1402" t="str">
        <f t="shared" si="2"/>
        <v>31.5 K</v>
      </c>
      <c r="E289" s="1403" t="str">
        <f t="shared" si="3"/>
        <v>2.26 M</v>
      </c>
      <c r="F289" s="1404">
        <f t="shared" si="4"/>
        <v>5.415E+20</v>
      </c>
      <c r="G289" s="1402" t="str">
        <f t="shared" si="5"/>
        <v>541.5 Q</v>
      </c>
      <c r="H289" s="1403" t="str">
        <f t="shared" si="6"/>
        <v>8.71 s</v>
      </c>
      <c r="I289" s="1"/>
    </row>
    <row r="290">
      <c r="A290" s="1"/>
      <c r="B290" s="1">
        <f t="shared" si="7"/>
        <v>288</v>
      </c>
      <c r="C290" s="1400">
        <f t="shared" si="1"/>
        <v>31750</v>
      </c>
      <c r="D290" s="1402" t="str">
        <f t="shared" si="2"/>
        <v>31.75 K</v>
      </c>
      <c r="E290" s="1403" t="str">
        <f t="shared" si="3"/>
        <v>2.29 M</v>
      </c>
      <c r="F290" s="1404">
        <f t="shared" si="4"/>
        <v>5.65E+20</v>
      </c>
      <c r="G290" s="1402" t="str">
        <f t="shared" si="5"/>
        <v>565 Q</v>
      </c>
      <c r="H290" s="1403" t="str">
        <f t="shared" si="6"/>
        <v>9.27 s</v>
      </c>
      <c r="I290" s="1"/>
    </row>
    <row r="291">
      <c r="A291" s="1"/>
      <c r="B291" s="1">
        <f t="shared" si="7"/>
        <v>289</v>
      </c>
      <c r="C291" s="1400">
        <f t="shared" si="1"/>
        <v>32000</v>
      </c>
      <c r="D291" s="1402" t="str">
        <f t="shared" si="2"/>
        <v>32 K</v>
      </c>
      <c r="E291" s="1403" t="str">
        <f t="shared" si="3"/>
        <v>2.33 M</v>
      </c>
      <c r="F291" s="1404">
        <f t="shared" si="4"/>
        <v>5.89E+20</v>
      </c>
      <c r="G291" s="1402" t="str">
        <f t="shared" si="5"/>
        <v>589 Q</v>
      </c>
      <c r="H291" s="1403" t="str">
        <f t="shared" si="6"/>
        <v>9.86 s</v>
      </c>
      <c r="I291" s="1"/>
    </row>
    <row r="292">
      <c r="A292" s="1"/>
      <c r="B292" s="1">
        <f t="shared" si="7"/>
        <v>290</v>
      </c>
      <c r="C292" s="1400">
        <f t="shared" si="1"/>
        <v>32250</v>
      </c>
      <c r="D292" s="1402" t="str">
        <f t="shared" si="2"/>
        <v>32.25 K</v>
      </c>
      <c r="E292" s="1403" t="str">
        <f t="shared" si="3"/>
        <v>2.36 M</v>
      </c>
      <c r="F292" s="1404">
        <f t="shared" si="4"/>
        <v>6.135E+20</v>
      </c>
      <c r="G292" s="1402" t="str">
        <f t="shared" si="5"/>
        <v>613.5 Q</v>
      </c>
      <c r="H292" s="1403" t="str">
        <f t="shared" si="6"/>
        <v>10.48 s</v>
      </c>
      <c r="I292" s="1"/>
    </row>
    <row r="293">
      <c r="A293" s="1"/>
      <c r="B293" s="1">
        <f t="shared" si="7"/>
        <v>291</v>
      </c>
      <c r="C293" s="1400">
        <f t="shared" si="1"/>
        <v>32500</v>
      </c>
      <c r="D293" s="1402" t="str">
        <f t="shared" si="2"/>
        <v>32.5 K</v>
      </c>
      <c r="E293" s="1403" t="str">
        <f t="shared" si="3"/>
        <v>2.39 M</v>
      </c>
      <c r="F293" s="1404">
        <f t="shared" si="4"/>
        <v>6.385E+20</v>
      </c>
      <c r="G293" s="1402" t="str">
        <f t="shared" si="5"/>
        <v>638.5 Q</v>
      </c>
      <c r="H293" s="1403" t="str">
        <f t="shared" si="6"/>
        <v>11.11 s</v>
      </c>
      <c r="I293" s="1"/>
    </row>
    <row r="294">
      <c r="A294" s="1"/>
      <c r="B294" s="1">
        <f t="shared" si="7"/>
        <v>292</v>
      </c>
      <c r="C294" s="1400">
        <f t="shared" si="1"/>
        <v>32750</v>
      </c>
      <c r="D294" s="1402" t="str">
        <f t="shared" si="2"/>
        <v>32.75 K</v>
      </c>
      <c r="E294" s="1403" t="str">
        <f t="shared" si="3"/>
        <v>2.42 M</v>
      </c>
      <c r="F294" s="1404">
        <f t="shared" si="4"/>
        <v>6.64E+20</v>
      </c>
      <c r="G294" s="1402" t="str">
        <f t="shared" si="5"/>
        <v>664 Q</v>
      </c>
      <c r="H294" s="1403" t="str">
        <f t="shared" si="6"/>
        <v>11.78 s</v>
      </c>
      <c r="I294" s="1"/>
    </row>
    <row r="295">
      <c r="A295" s="1"/>
      <c r="B295" s="1">
        <f t="shared" si="7"/>
        <v>293</v>
      </c>
      <c r="C295" s="1400">
        <f t="shared" si="1"/>
        <v>33000</v>
      </c>
      <c r="D295" s="1402" t="str">
        <f t="shared" si="2"/>
        <v>33 K</v>
      </c>
      <c r="E295" s="1403" t="str">
        <f t="shared" si="3"/>
        <v>2.46 M</v>
      </c>
      <c r="F295" s="1404">
        <f t="shared" si="4"/>
        <v>6.9E+20</v>
      </c>
      <c r="G295" s="1402" t="str">
        <f t="shared" si="5"/>
        <v>690 Q</v>
      </c>
      <c r="H295" s="1403" t="str">
        <f t="shared" si="6"/>
        <v>12.47 s</v>
      </c>
      <c r="I295" s="1"/>
    </row>
    <row r="296">
      <c r="A296" s="1"/>
      <c r="B296" s="1">
        <f t="shared" si="7"/>
        <v>294</v>
      </c>
      <c r="C296" s="1400">
        <f t="shared" si="1"/>
        <v>33250</v>
      </c>
      <c r="D296" s="1402" t="str">
        <f t="shared" si="2"/>
        <v>33.25 K</v>
      </c>
      <c r="E296" s="1403" t="str">
        <f t="shared" si="3"/>
        <v>2.49 M</v>
      </c>
      <c r="F296" s="1404">
        <f t="shared" si="4"/>
        <v>7.165E+20</v>
      </c>
      <c r="G296" s="1402" t="str">
        <f t="shared" si="5"/>
        <v>716.5 Q</v>
      </c>
      <c r="H296" s="1403" t="str">
        <f t="shared" si="6"/>
        <v>13.18 s</v>
      </c>
      <c r="I296" s="1"/>
    </row>
    <row r="297">
      <c r="A297" s="1"/>
      <c r="B297" s="1">
        <f t="shared" si="7"/>
        <v>295</v>
      </c>
      <c r="C297" s="1400">
        <f t="shared" si="1"/>
        <v>33500</v>
      </c>
      <c r="D297" s="1402" t="str">
        <f t="shared" si="2"/>
        <v>33.5 K</v>
      </c>
      <c r="E297" s="1403" t="str">
        <f t="shared" si="3"/>
        <v>2.52 M</v>
      </c>
      <c r="F297" s="1404">
        <f t="shared" si="4"/>
        <v>7.435E+20</v>
      </c>
      <c r="G297" s="1402" t="str">
        <f t="shared" si="5"/>
        <v>743.5 Q</v>
      </c>
      <c r="H297" s="1403" t="str">
        <f t="shared" si="6"/>
        <v>13.93 s</v>
      </c>
      <c r="I297" s="1"/>
    </row>
    <row r="298">
      <c r="A298" s="1"/>
      <c r="B298" s="1">
        <f t="shared" si="7"/>
        <v>296</v>
      </c>
      <c r="C298" s="1400">
        <f t="shared" si="1"/>
        <v>33750</v>
      </c>
      <c r="D298" s="1402" t="str">
        <f t="shared" si="2"/>
        <v>33.75 K</v>
      </c>
      <c r="E298" s="1403" t="str">
        <f t="shared" si="3"/>
        <v>2.56 M</v>
      </c>
      <c r="F298" s="1404">
        <f t="shared" si="4"/>
        <v>7.71E+20</v>
      </c>
      <c r="G298" s="1402" t="str">
        <f t="shared" si="5"/>
        <v>771 Q</v>
      </c>
      <c r="H298" s="1403" t="str">
        <f t="shared" si="6"/>
        <v>14.7 s</v>
      </c>
      <c r="I298" s="1"/>
    </row>
    <row r="299">
      <c r="A299" s="1"/>
      <c r="B299" s="1">
        <f t="shared" si="7"/>
        <v>297</v>
      </c>
      <c r="C299" s="1400">
        <f t="shared" si="1"/>
        <v>34000</v>
      </c>
      <c r="D299" s="1402" t="str">
        <f t="shared" si="2"/>
        <v>34 K</v>
      </c>
      <c r="E299" s="1403" t="str">
        <f t="shared" si="3"/>
        <v>2.59 M</v>
      </c>
      <c r="F299" s="1404">
        <f t="shared" si="4"/>
        <v>7.99E+20</v>
      </c>
      <c r="G299" s="1402" t="str">
        <f t="shared" si="5"/>
        <v>799 Q</v>
      </c>
      <c r="H299" s="1403" t="str">
        <f t="shared" si="6"/>
        <v>15.5 s</v>
      </c>
      <c r="I299" s="1"/>
    </row>
    <row r="300">
      <c r="A300" s="1"/>
      <c r="B300" s="1">
        <f t="shared" si="7"/>
        <v>298</v>
      </c>
      <c r="C300" s="1400">
        <f t="shared" si="1"/>
        <v>34250</v>
      </c>
      <c r="D300" s="1402" t="str">
        <f t="shared" si="2"/>
        <v>34.25 K</v>
      </c>
      <c r="E300" s="1403" t="str">
        <f t="shared" si="3"/>
        <v>2.62 M</v>
      </c>
      <c r="F300" s="1404">
        <f t="shared" si="4"/>
        <v>8.275E+20</v>
      </c>
      <c r="G300" s="1402" t="str">
        <f t="shared" si="5"/>
        <v>827.5 Q</v>
      </c>
      <c r="H300" s="1403" t="str">
        <f t="shared" si="6"/>
        <v>16.33 s</v>
      </c>
      <c r="I300" s="1"/>
    </row>
    <row r="301">
      <c r="A301" s="1"/>
      <c r="B301" s="1">
        <f t="shared" si="7"/>
        <v>299</v>
      </c>
      <c r="C301" s="1400">
        <f t="shared" si="1"/>
        <v>34500</v>
      </c>
      <c r="D301" s="1402" t="str">
        <f t="shared" si="2"/>
        <v>34.5 K</v>
      </c>
      <c r="E301" s="1403" t="str">
        <f t="shared" si="3"/>
        <v>2.66 M</v>
      </c>
      <c r="F301" s="1404">
        <f t="shared" si="4"/>
        <v>8.565E+20</v>
      </c>
      <c r="G301" s="1402" t="str">
        <f t="shared" si="5"/>
        <v>856.5 Q</v>
      </c>
      <c r="H301" s="1403" t="str">
        <f t="shared" si="6"/>
        <v>17.18 s</v>
      </c>
      <c r="I301" s="1"/>
    </row>
    <row r="302">
      <c r="A302" s="1"/>
      <c r="B302" s="1">
        <f t="shared" si="7"/>
        <v>300</v>
      </c>
      <c r="C302" s="1400">
        <f t="shared" si="1"/>
        <v>34750</v>
      </c>
      <c r="D302" s="1402" t="str">
        <f t="shared" si="2"/>
        <v>34.75 K</v>
      </c>
      <c r="E302" s="1403" t="str">
        <f t="shared" si="3"/>
        <v>2.69 M</v>
      </c>
      <c r="F302" s="1404">
        <f t="shared" si="4"/>
        <v>8.86E+20</v>
      </c>
      <c r="G302" s="1402" t="str">
        <f t="shared" si="5"/>
        <v>886 Q</v>
      </c>
      <c r="H302" s="1403" t="str">
        <f t="shared" si="6"/>
        <v>18.07 s</v>
      </c>
      <c r="I302" s="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67" width="7.29"/>
    <col customWidth="1" min="168" max="168" width="9.57"/>
    <col customWidth="1" min="169" max="169" width="6.86"/>
    <col customWidth="1" min="170" max="269" width="7.29"/>
    <col customWidth="1" min="270" max="284" width="10.0"/>
    <col customWidth="1" min="285" max="363" width="7.29"/>
  </cols>
  <sheetData>
    <row r="1">
      <c r="A1" s="1405" t="str">
        <f>IFERROR(__xludf.DUMMYFUNCTION("IMPORTRANGE(""165-JujisYPpKi3RWew9O5gptDJ6rgr-71BbyoQafoaU"", ""DVT_Laboratory!A1:ZZ103"")"),"")</f>
        <v/>
      </c>
      <c r="B1" s="1406" t="str">
        <f>IFERROR(__xludf.DUMMYFUNCTION("""COMPUTED_VALUE"""),"Game Speed")</f>
        <v>Game Speed</v>
      </c>
      <c r="C1" s="1407"/>
      <c r="D1" s="1406" t="str">
        <f>IFERROR(__xludf.DUMMYFUNCTION("""COMPUTED_VALUE"""),"Starting Cash")</f>
        <v>Starting Cash</v>
      </c>
      <c r="E1" s="1407"/>
      <c r="F1" s="1406" t="str">
        <f>IFERROR(__xludf.DUMMYFUNCTION("""COMPUTED_VALUE"""),"Workshop Attack Discount")</f>
        <v>Workshop Attack Discount</v>
      </c>
      <c r="G1" s="1408"/>
      <c r="H1" s="1406" t="str">
        <f>IFERROR(__xludf.DUMMYFUNCTION("""COMPUTED_VALUE"""),"Workshop Defense Discount")</f>
        <v>Workshop Defense Discount</v>
      </c>
      <c r="I1" s="1407"/>
      <c r="J1" s="1406" t="str">
        <f>IFERROR(__xludf.DUMMYFUNCTION("""COMPUTED_VALUE"""),"Workshop Utility Discount")</f>
        <v>Workshop Utility Discount</v>
      </c>
      <c r="K1" s="1407"/>
      <c r="L1" s="1406" t="str">
        <f>IFERROR(__xludf.DUMMYFUNCTION("""COMPUTED_VALUE"""),"Labs Coin Discount")</f>
        <v>Labs Coin Discount</v>
      </c>
      <c r="M1" s="1407"/>
      <c r="N1" s="1409" t="str">
        <f>IFERROR(__xludf.DUMMYFUNCTION("""COMPUTED_VALUE"""),"Labs Speed")</f>
        <v>Labs Speed</v>
      </c>
      <c r="O1" s="1407"/>
      <c r="P1" s="1406" t="str">
        <f>IFERROR(__xludf.DUMMYFUNCTION("""COMPUTED_VALUE"""),"Buy Multiplier")</f>
        <v>Buy Multiplier</v>
      </c>
      <c r="Q1" s="1407"/>
      <c r="R1" s="1406" t="str">
        <f>IFERROR(__xludf.DUMMYFUNCTION("""COMPUTED_VALUE"""),"More Round Stats")</f>
        <v>More Round Stats</v>
      </c>
      <c r="S1" s="1407"/>
      <c r="T1" s="1406" t="str">
        <f>IFERROR(__xludf.DUMMYFUNCTION("""COMPUTED_VALUE"""),"Target Priority")</f>
        <v>Target Priority</v>
      </c>
      <c r="U1" s="1407"/>
      <c r="V1" s="1406" t="str">
        <f>IFERROR(__xludf.DUMMYFUNCTION("""COMPUTED_VALUE"""),"Card Presets")</f>
        <v>Card Presets</v>
      </c>
      <c r="W1" s="1407"/>
      <c r="X1" s="1406" t="str">
        <f>IFERROR(__xludf.DUMMYFUNCTION("""COMPUTED_VALUE"""),"Workshop Respec")</f>
        <v>Workshop Respec</v>
      </c>
      <c r="Y1" s="1407"/>
      <c r="Z1" s="1406" t="str">
        <f>IFERROR(__xludf.DUMMYFUNCTION("""COMPUTED_VALUE"""),"Reroll Daily Mission")</f>
        <v>Reroll Daily Mission</v>
      </c>
      <c r="AA1" s="1407"/>
      <c r="AB1" s="1406" t="str">
        <f>IFERROR(__xludf.DUMMYFUNCTION("""COMPUTED_VALUE"""),"Workshop Enhancements")</f>
        <v>Workshop Enhancements</v>
      </c>
      <c r="AC1" s="1407"/>
      <c r="AD1" s="1406" t="str">
        <f>IFERROR(__xludf.DUMMYFUNCTION("""COMPUTED_VALUE"""),"Enhancement Attack - Coin Discount")</f>
        <v>Enhancement Attack - Coin Discount</v>
      </c>
      <c r="AE1" s="1407"/>
      <c r="AF1" s="1406" t="str">
        <f>IFERROR(__xludf.DUMMYFUNCTION("""COMPUTED_VALUE"""),"Enhancement Defense - Coin Discount")</f>
        <v>Enhancement Defense - Coin Discount</v>
      </c>
      <c r="AG1" s="1407"/>
      <c r="AH1" s="1406" t="str">
        <f>IFERROR(__xludf.DUMMYFUNCTION("""COMPUTED_VALUE"""),"Enhancement Utility - Coin Discount")</f>
        <v>Enhancement Utility - Coin Discount</v>
      </c>
      <c r="AI1" s="1407"/>
      <c r="AJ1" s="1410" t="str">
        <f>IFERROR(__xludf.DUMMYFUNCTION("""COMPUTED_VALUE"""),"Damage")</f>
        <v>Damage</v>
      </c>
      <c r="AK1" s="1407"/>
      <c r="AL1" s="1410" t="str">
        <f>IFERROR(__xludf.DUMMYFUNCTION("""COMPUTED_VALUE"""),"Attack Speed")</f>
        <v>Attack Speed</v>
      </c>
      <c r="AM1" s="1407"/>
      <c r="AN1" s="1410" t="str">
        <f>IFERROR(__xludf.DUMMYFUNCTION("""COMPUTED_VALUE"""),"Critical Factor")</f>
        <v>Critical Factor</v>
      </c>
      <c r="AO1" s="1407"/>
      <c r="AP1" s="1410" t="str">
        <f>IFERROR(__xludf.DUMMYFUNCTION("""COMPUTED_VALUE"""),"Range")</f>
        <v>Range</v>
      </c>
      <c r="AQ1" s="1407"/>
      <c r="AR1" s="1410" t="str">
        <f>IFERROR(__xludf.DUMMYFUNCTION("""COMPUTED_VALUE"""),"Damage / Meter")</f>
        <v>Damage / Meter</v>
      </c>
      <c r="AS1" s="1407"/>
      <c r="AT1" s="1410" t="str">
        <f>IFERROR(__xludf.DUMMYFUNCTION("""COMPUTED_VALUE"""),"Super Crit Chance")</f>
        <v>Super Crit Chance</v>
      </c>
      <c r="AU1" s="1407"/>
      <c r="AV1" s="1410" t="str">
        <f>IFERROR(__xludf.DUMMYFUNCTION("""COMPUTED_VALUE"""),"Super Crit Multi")</f>
        <v>Super Crit Multi</v>
      </c>
      <c r="AW1" s="1407"/>
      <c r="AX1" s="1410" t="str">
        <f>IFERROR(__xludf.DUMMYFUNCTION("""COMPUTED_VALUE"""),"Max Rend Armor Multiplier")</f>
        <v>Max Rend Armor Multiplier</v>
      </c>
      <c r="AY1" s="1407"/>
      <c r="AZ1" s="1410" t="str">
        <f>IFERROR(__xludf.DUMMYFUNCTION("""COMPUTED_VALUE"""),"Light Speed Shots")</f>
        <v>Light Speed Shots</v>
      </c>
      <c r="BA1" s="1407"/>
      <c r="BB1" s="1411" t="str">
        <f>IFERROR(__xludf.DUMMYFUNCTION("""COMPUTED_VALUE"""),"Health")</f>
        <v>Health</v>
      </c>
      <c r="BC1" s="1407"/>
      <c r="BD1" s="1411" t="str">
        <f>IFERROR(__xludf.DUMMYFUNCTION("""COMPUTED_VALUE"""),"Health Regen")</f>
        <v>Health Regen</v>
      </c>
      <c r="BE1" s="1407"/>
      <c r="BF1" s="1411" t="str">
        <f>IFERROR(__xludf.DUMMYFUNCTION("""COMPUTED_VALUE"""),"Defense Absolute")</f>
        <v>Defense Absolute</v>
      </c>
      <c r="BG1" s="1407"/>
      <c r="BH1" s="1411" t="str">
        <f>IFERROR(__xludf.DUMMYFUNCTION("""COMPUTED_VALUE"""),"Defense %")</f>
        <v>Defense %</v>
      </c>
      <c r="BI1" s="1407"/>
      <c r="BJ1" s="1411" t="str">
        <f>IFERROR(__xludf.DUMMYFUNCTION("""COMPUTED_VALUE"""),"Orbs Speed")</f>
        <v>Orbs Speed</v>
      </c>
      <c r="BK1" s="1407"/>
      <c r="BL1" s="1411" t="str">
        <f>IFERROR(__xludf.DUMMYFUNCTION("""COMPUTED_VALUE"""),"Land Mine Damage")</f>
        <v>Land Mine Damage</v>
      </c>
      <c r="BM1" s="1407"/>
      <c r="BN1" s="1411" t="str">
        <f>IFERROR(__xludf.DUMMYFUNCTION("""COMPUTED_VALUE"""),"Land Mine Decay")</f>
        <v>Land Mine Decay</v>
      </c>
      <c r="BO1" s="1407"/>
      <c r="BP1" s="1411" t="str">
        <f>IFERROR(__xludf.DUMMYFUNCTION("""COMPUTED_VALUE"""),"Shockwave Size")</f>
        <v>Shockwave Size</v>
      </c>
      <c r="BQ1" s="1407"/>
      <c r="BR1" s="1411" t="str">
        <f>IFERROR(__xludf.DUMMYFUNCTION("""COMPUTED_VALUE"""),"Orb Boss Hit")</f>
        <v>Orb Boss Hit</v>
      </c>
      <c r="BS1" s="1407"/>
      <c r="BT1" s="1411" t="str">
        <f>IFERROR(__xludf.DUMMYFUNCTION("""COMPUTED_VALUE"""),"Wall Health")</f>
        <v>Wall Health</v>
      </c>
      <c r="BU1" s="1407"/>
      <c r="BV1" s="1411" t="str">
        <f>IFERROR(__xludf.DUMMYFUNCTION("""COMPUTED_VALUE"""),"Wall Rebuild")</f>
        <v>Wall Rebuild</v>
      </c>
      <c r="BW1" s="1407"/>
      <c r="BX1" s="1411" t="str">
        <f>IFERROR(__xludf.DUMMYFUNCTION("""COMPUTED_VALUE"""),"Wall Regen")</f>
        <v>Wall Regen</v>
      </c>
      <c r="BY1" s="1407"/>
      <c r="BZ1" s="1411" t="str">
        <f>IFERROR(__xludf.DUMMYFUNCTION("""COMPUTED_VALUE"""),"Wall Thorns")</f>
        <v>Wall Thorns</v>
      </c>
      <c r="CA1" s="1407"/>
      <c r="CB1" s="1411" t="str">
        <f>IFERROR(__xludf.DUMMYFUNCTION("""COMPUTED_VALUE"""),"Wall Invincibility")</f>
        <v>Wall Invincibility</v>
      </c>
      <c r="CC1" s="1407"/>
      <c r="CD1" s="1412" t="str">
        <f>IFERROR(__xludf.DUMMYFUNCTION("""COMPUTED_VALUE"""),"Wall Fortification")</f>
        <v>Wall Fortification</v>
      </c>
      <c r="CE1" s="1407"/>
      <c r="CF1" s="1411" t="str">
        <f>IFERROR(__xludf.DUMMYFUNCTION("""COMPUTED_VALUE"""),"Garlic Thorns")</f>
        <v>Garlic Thorns</v>
      </c>
      <c r="CG1" s="1407"/>
      <c r="CH1" s="1413" t="str">
        <f>IFERROR(__xludf.DUMMYFUNCTION("""COMPUTED_VALUE"""),"Cash Bonus")</f>
        <v>Cash Bonus</v>
      </c>
      <c r="CI1" s="1407"/>
      <c r="CJ1" s="1413" t="str">
        <f>IFERROR(__xludf.DUMMYFUNCTION("""COMPUTED_VALUE"""),"Cash / Wave")</f>
        <v>Cash / Wave</v>
      </c>
      <c r="CK1" s="1407"/>
      <c r="CL1" s="1413" t="str">
        <f>IFERROR(__xludf.DUMMYFUNCTION("""COMPUTED_VALUE"""),"Coins / Kill Bonus")</f>
        <v>Coins / Kill Bonus</v>
      </c>
      <c r="CM1" s="1407"/>
      <c r="CN1" s="1413" t="str">
        <f>IFERROR(__xludf.DUMMYFUNCTION("""COMPUTED_VALUE"""),"Coins / Wave")</f>
        <v>Coins / Wave</v>
      </c>
      <c r="CO1" s="1407"/>
      <c r="CP1" s="1413" t="str">
        <f>IFERROR(__xludf.DUMMYFUNCTION("""COMPUTED_VALUE"""),"Interest")</f>
        <v>Interest</v>
      </c>
      <c r="CQ1" s="1407"/>
      <c r="CR1" s="1413" t="str">
        <f>IFERROR(__xludf.DUMMYFUNCTION("""COMPUTED_VALUE"""),"Max Interest")</f>
        <v>Max Interest</v>
      </c>
      <c r="CS1" s="1407"/>
      <c r="CT1" s="1413" t="str">
        <f>IFERROR(__xludf.DUMMYFUNCTION("""COMPUTED_VALUE"""),"Package After Boss")</f>
        <v>Package After Boss</v>
      </c>
      <c r="CU1" s="1407"/>
      <c r="CV1" s="1413" t="str">
        <f>IFERROR(__xludf.DUMMYFUNCTION("""COMPUTED_VALUE"""),"Recovery Package Amount")</f>
        <v>Recovery Package Amount</v>
      </c>
      <c r="CW1" s="1407"/>
      <c r="CX1" s="1413" t="str">
        <f>IFERROR(__xludf.DUMMYFUNCTION("""COMPUTED_VALUE"""),"Recovery Package Max")</f>
        <v>Recovery Package Max</v>
      </c>
      <c r="CY1" s="1407"/>
      <c r="CZ1" s="1413" t="str">
        <f>IFERROR(__xludf.DUMMYFUNCTION("""COMPUTED_VALUE"""),"Recovery Package Chance")</f>
        <v>Recovery Package Chance</v>
      </c>
      <c r="DA1" s="1407"/>
      <c r="DB1" s="1413" t="str">
        <f>IFERROR(__xludf.DUMMYFUNCTION("""COMPUTED_VALUE"""),"Enemy Attack Level Skip")</f>
        <v>Enemy Attack Level Skip</v>
      </c>
      <c r="DC1" s="1407"/>
      <c r="DD1" s="1413" t="str">
        <f>IFERROR(__xludf.DUMMYFUNCTION("""COMPUTED_VALUE"""),"Enemy Health Level Skip")</f>
        <v>Enemy Health Level Skip</v>
      </c>
      <c r="DE1" s="1407"/>
      <c r="DF1" s="1414" t="str">
        <f>IFERROR(__xludf.DUMMYFUNCTION("""COMPUTED_VALUE"""),"Missile Despawn Time")</f>
        <v>Missile Despawn Time</v>
      </c>
      <c r="DG1" s="1407"/>
      <c r="DH1" s="1414" t="str">
        <f>IFERROR(__xludf.DUMMYFUNCTION("""COMPUTED_VALUE"""),"Missiles Explosion")</f>
        <v>Missiles Explosion</v>
      </c>
      <c r="DI1" s="1407"/>
      <c r="DJ1" s="1414" t="str">
        <f>IFERROR(__xludf.DUMMYFUNCTION("""COMPUTED_VALUE"""),"Missile Radius")</f>
        <v>Missile Radius</v>
      </c>
      <c r="DK1" s="1407"/>
      <c r="DL1" s="1414" t="str">
        <f>IFERROR(__xludf.DUMMYFUNCTION("""COMPUTED_VALUE"""),"Chrono Field Duration")</f>
        <v>Chrono Field Duration</v>
      </c>
      <c r="DM1" s="1407"/>
      <c r="DN1" s="1414" t="str">
        <f>IFERROR(__xludf.DUMMYFUNCTION("""COMPUTED_VALUE"""),"Chrono Field Damage Reduction")</f>
        <v>Chrono Field Damage Reduction</v>
      </c>
      <c r="DO1" s="1407"/>
      <c r="DP1" s="1414" t="str">
        <f>IFERROR(__xludf.DUMMYFUNCTION("""COMPUTED_VALUE"""),"Chrono Field Reduction %")</f>
        <v>Chrono Field Reduction %</v>
      </c>
      <c r="DQ1" s="1407"/>
      <c r="DR1" s="1414" t="str">
        <f>IFERROR(__xludf.DUMMYFUNCTION("""COMPUTED_VALUE"""),"Swamp Radius")</f>
        <v>Swamp Radius</v>
      </c>
      <c r="DS1" s="1407"/>
      <c r="DT1" s="1414" t="str">
        <f>IFERROR(__xludf.DUMMYFUNCTION("""COMPUTED_VALUE"""),"Swamp Stun")</f>
        <v>Swamp Stun</v>
      </c>
      <c r="DU1" s="1407"/>
      <c r="DV1" s="1414" t="str">
        <f>IFERROR(__xludf.DUMMYFUNCTION("""COMPUTED_VALUE"""),"Swamp Stun Chance")</f>
        <v>Swamp Stun Chance</v>
      </c>
      <c r="DW1" s="1407"/>
      <c r="DX1" s="1414" t="str">
        <f>IFERROR(__xludf.DUMMYFUNCTION("""COMPUTED_VALUE"""),"Swamp Stun Time")</f>
        <v>Swamp Stun Time</v>
      </c>
      <c r="DY1" s="1407"/>
      <c r="DZ1" s="1414" t="str">
        <f>IFERROR(__xludf.DUMMYFUNCTION("""COMPUTED_VALUE"""),"Golden Tower Bonus")</f>
        <v>Golden Tower Bonus</v>
      </c>
      <c r="EA1" s="1407"/>
      <c r="EB1" s="1414" t="str">
        <f>IFERROR(__xludf.DUMMYFUNCTION("""COMPUTED_VALUE"""),"Golden Tower Duration")</f>
        <v>Golden Tower Duration</v>
      </c>
      <c r="EC1" s="1407"/>
      <c r="ED1" s="1414" t="str">
        <f>IFERROR(__xludf.DUMMYFUNCTION("""COMPUTED_VALUE"""),"Chain Lightning Shock")</f>
        <v>Chain Lightning Shock</v>
      </c>
      <c r="EE1" s="1407"/>
      <c r="EF1" s="1414" t="str">
        <f>IFERROR(__xludf.DUMMYFUNCTION("""COMPUTED_VALUE"""),"Shock Chance")</f>
        <v>Shock Chance</v>
      </c>
      <c r="EG1" s="1407"/>
      <c r="EH1" s="1414" t="str">
        <f>IFERROR(__xludf.DUMMYFUNCTION("""COMPUTED_VALUE"""),"Shock Multiplier")</f>
        <v>Shock Multiplier</v>
      </c>
      <c r="EI1" s="1407"/>
      <c r="EJ1" s="1414" t="str">
        <f>IFERROR(__xludf.DUMMYFUNCTION("""COMPUTED_VALUE"""),"Death Wave Health")</f>
        <v>Death Wave Health</v>
      </c>
      <c r="EK1" s="1407"/>
      <c r="EL1" s="1414" t="str">
        <f>IFERROR(__xludf.DUMMYFUNCTION("""COMPUTED_VALUE"""),"Death Wave Coin bonus")</f>
        <v>Death Wave Coin bonus</v>
      </c>
      <c r="EM1" s="1407"/>
      <c r="EN1" s="1414" t="str">
        <f>IFERROR(__xludf.DUMMYFUNCTION("""COMPUTED_VALUE"""),"Inner Mine Blast Radius")</f>
        <v>Inner Mine Blast Radius</v>
      </c>
      <c r="EO1" s="1407"/>
      <c r="EP1" s="1414" t="str">
        <f>IFERROR(__xludf.DUMMYFUNCTION("""COMPUTED_VALUE"""),"Inner Mine Rotation Speed")</f>
        <v>Inner Mine Rotation Speed</v>
      </c>
      <c r="EQ1" s="1407"/>
      <c r="ER1" s="1414" t="str">
        <f>IFERROR(__xludf.DUMMYFUNCTION("""COMPUTED_VALUE"""),"Chrono Field Range")</f>
        <v>Chrono Field Range</v>
      </c>
      <c r="ES1" s="1407"/>
      <c r="ET1" s="1414" t="str">
        <f>IFERROR(__xludf.DUMMYFUNCTION("""COMPUTED_VALUE"""),"Missile Amplifier")</f>
        <v>Missile Amplifier</v>
      </c>
      <c r="EU1" s="1407"/>
      <c r="EV1" s="1414" t="str">
        <f>IFERROR(__xludf.DUMMYFUNCTION("""COMPUTED_VALUE"""),"Missile Barrage")</f>
        <v>Missile Barrage</v>
      </c>
      <c r="EW1" s="1407"/>
      <c r="EX1" s="1414" t="str">
        <f>IFERROR(__xludf.DUMMYFUNCTION("""COMPUTED_VALUE"""),"Missile Barrage Quantity")</f>
        <v>Missile Barrage Quantity</v>
      </c>
      <c r="EY1" s="1407"/>
      <c r="EZ1" s="1414" t="str">
        <f>IFERROR(__xludf.DUMMYFUNCTION("""COMPUTED_VALUE"""),"Inner Mine Stun")</f>
        <v>Inner Mine Stun</v>
      </c>
      <c r="FA1" s="1407"/>
      <c r="FB1" s="1414" t="str">
        <f>IFERROR(__xludf.DUMMYFUNCTION("""COMPUTED_VALUE"""),"Black Hole Damage")</f>
        <v>Black Hole Damage</v>
      </c>
      <c r="FC1" s="1407"/>
      <c r="FD1" s="1414" t="str">
        <f>IFERROR(__xludf.DUMMYFUNCTION("""COMPUTED_VALUE"""),"Extra Black Hole")</f>
        <v>Extra Black Hole</v>
      </c>
      <c r="FE1" s="1407"/>
      <c r="FF1" s="1414" t="str">
        <f>IFERROR(__xludf.DUMMYFUNCTION("""COMPUTED_VALUE"""),"Black Hole Coin Bonus")</f>
        <v>Black Hole Coin Bonus</v>
      </c>
      <c r="FG1" s="1407"/>
      <c r="FH1" s="1414" t="str">
        <f>IFERROR(__xludf.DUMMYFUNCTION("""COMPUTED_VALUE"""),"Spotlight Coin Bonus")</f>
        <v>Spotlight Coin Bonus</v>
      </c>
      <c r="FI1" s="1407"/>
      <c r="FJ1" s="1414" t="str">
        <f>IFERROR(__xludf.DUMMYFUNCTION("""COMPUTED_VALUE"""),"Spotlight Missiles")</f>
        <v>Spotlight Missiles</v>
      </c>
      <c r="FK1" s="1407"/>
      <c r="FL1" s="1415" t="str">
        <f>IFERROR(__xludf.DUMMYFUNCTION("""COMPUTED_VALUE"""),"Black Hole Disable Ranged Enemies")</f>
        <v>Black Hole Disable Ranged Enemies</v>
      </c>
      <c r="FM1" s="1407"/>
      <c r="FN1" s="1416" t="str">
        <f>IFERROR(__xludf.DUMMYFUNCTION("""COMPUTED_VALUE"""),"Recharge Missile Barrage")</f>
        <v>Recharge Missile Barrage</v>
      </c>
      <c r="FO1" s="1407"/>
      <c r="FP1" s="1417" t="str">
        <f>IFERROR(__xludf.DUMMYFUNCTION("""COMPUTED_VALUE"""),"Swamp Rend")</f>
        <v>Swamp Rend</v>
      </c>
      <c r="FQ1" s="1407"/>
      <c r="FR1" s="1417" t="str">
        <f>IFERROR(__xludf.DUMMYFUNCTION("""COMPUTED_VALUE"""),"Swamp Rend - Additional Enemies")</f>
        <v>Swamp Rend - Additional Enemies</v>
      </c>
      <c r="FS1" s="1407"/>
      <c r="FT1" s="1417" t="str">
        <f>IFERROR(__xludf.DUMMYFUNCTION("""COMPUTED_VALUE"""),"Chain Thunder")</f>
        <v>Chain Thunder</v>
      </c>
      <c r="FU1" s="1407"/>
      <c r="FV1" s="1416" t="str">
        <f>IFERROR(__xludf.DUMMYFUNCTION("""COMPUTED_VALUE"""),"Lightning Amplifier - Scatter")</f>
        <v>Lightning Amplifier - Scatter</v>
      </c>
      <c r="FW1" s="1407"/>
      <c r="FX1" s="1414" t="str">
        <f>IFERROR(__xludf.DUMMYFUNCTION("""COMPUTED_VALUE"""),"Death Wave Cells Bonus")</f>
        <v>Death Wave Cells Bonus</v>
      </c>
      <c r="FY1" s="1407"/>
      <c r="FZ1" s="1414" t="str">
        <f>IFERROR(__xludf.DUMMYFUNCTION("""COMPUTED_VALUE"""),"Death Wave Damage Amplifier")</f>
        <v>Death Wave Damage Amplifier</v>
      </c>
      <c r="GA1" s="1407"/>
      <c r="GB1" s="1414" t="str">
        <f>IFERROR(__xludf.DUMMYFUNCTION("""COMPUTED_VALUE"""),"Death Wave Armor Stripping")</f>
        <v>Death Wave Armor Stripping</v>
      </c>
      <c r="GC1" s="1407"/>
      <c r="GD1" s="1414" t="str">
        <f>IFERROR(__xludf.DUMMYFUNCTION("""COMPUTED_VALUE"""),"Inner Land Mine - Chrono Jump")</f>
        <v>Inner Land Mine - Chrono Jump</v>
      </c>
      <c r="GE1" s="1407"/>
      <c r="GF1" s="1418" t="str">
        <f>IFERROR(__xludf.DUMMYFUNCTION("""COMPUTED_VALUE"""),"Second Wind Blast")</f>
        <v>Second Wind Blast</v>
      </c>
      <c r="GG1" s="1407"/>
      <c r="GH1" s="1418" t="str">
        <f>IFERROR(__xludf.DUMMYFUNCTION("""COMPUTED_VALUE"""),"Double Death Ray")</f>
        <v>Double Death Ray</v>
      </c>
      <c r="GI1" s="1407"/>
      <c r="GJ1" s="1418" t="str">
        <f>IFERROR(__xludf.DUMMYFUNCTION("""COMPUTED_VALUE"""),"Extra Orb Adjuster")</f>
        <v>Extra Orb Adjuster</v>
      </c>
      <c r="GK1" s="1407"/>
      <c r="GL1" s="1418" t="str">
        <f>IFERROR(__xludf.DUMMYFUNCTION("""COMPUTED_VALUE"""),"Extra Extra Orbs")</f>
        <v>Extra Extra Orbs</v>
      </c>
      <c r="GM1" s="1407"/>
      <c r="GN1" s="1418" t="str">
        <f>IFERROR(__xludf.DUMMYFUNCTION("""COMPUTED_VALUE"""),"Energy Shield Extra Hit")</f>
        <v>Energy Shield Extra Hit</v>
      </c>
      <c r="GO1" s="1407"/>
      <c r="GP1" s="1418" t="str">
        <f>IFERROR(__xludf.DUMMYFUNCTION("""COMPUTED_VALUE"""),"Super Tower Bonus")</f>
        <v>Super Tower Bonus</v>
      </c>
      <c r="GQ1" s="1407"/>
      <c r="GR1" s="1418" t="str">
        <f>IFERROR(__xludf.DUMMYFUNCTION("""COMPUTED_VALUE"""),"Recharge Second Wind")</f>
        <v>Recharge Second Wind</v>
      </c>
      <c r="GS1" s="1407"/>
      <c r="GT1" s="1418" t="str">
        <f>IFERROR(__xludf.DUMMYFUNCTION("""COMPUTED_VALUE"""),"Recharge Demon Mode")</f>
        <v>Recharge Demon Mode</v>
      </c>
      <c r="GU1" s="1407"/>
      <c r="GV1" s="1418" t="str">
        <f>IFERROR(__xludf.DUMMYFUNCTION("""COMPUTED_VALUE"""),"Recharge Nuke")</f>
        <v>Recharge Nuke</v>
      </c>
      <c r="GW1" s="1407"/>
      <c r="GX1" s="1419" t="str">
        <f>IFERROR(__xludf.DUMMYFUNCTION("""COMPUTED_VALUE"""),"Card Mastery")</f>
        <v>Card Mastery</v>
      </c>
      <c r="GY1" s="1420"/>
      <c r="GZ1" s="1421" t="str">
        <f>IFERROR(__xludf.DUMMYFUNCTION("""COMPUTED_VALUE"""),"Unlock Perks")</f>
        <v>Unlock Perks</v>
      </c>
      <c r="HA1" s="1407"/>
      <c r="HB1" s="1421" t="str">
        <f>IFERROR(__xludf.DUMMYFUNCTION("""COMPUTED_VALUE"""),"Waves Required")</f>
        <v>Waves Required</v>
      </c>
      <c r="HC1" s="1407"/>
      <c r="HD1" s="1421" t="str">
        <f>IFERROR(__xludf.DUMMYFUNCTION("""COMPUTED_VALUE"""),"Auto Pick Perks")</f>
        <v>Auto Pick Perks</v>
      </c>
      <c r="HE1" s="1407"/>
      <c r="HF1" s="1421" t="str">
        <f>IFERROR(__xludf.DUMMYFUNCTION("""COMPUTED_VALUE"""),"Standard Perks Bonus")</f>
        <v>Standard Perks Bonus</v>
      </c>
      <c r="HG1" s="1407"/>
      <c r="HH1" s="1421" t="str">
        <f>IFERROR(__xludf.DUMMYFUNCTION("""COMPUTED_VALUE"""),"Perk Option Quantity")</f>
        <v>Perk Option Quantity</v>
      </c>
      <c r="HI1" s="1407"/>
      <c r="HJ1" s="1421" t="str">
        <f>IFERROR(__xludf.DUMMYFUNCTION("""COMPUTED_VALUE"""),"First Perk Choice")</f>
        <v>First Perk Choice</v>
      </c>
      <c r="HK1" s="1407"/>
      <c r="HL1" s="1421" t="str">
        <f>IFERROR(__xludf.DUMMYFUNCTION("""COMPUTED_VALUE"""),"Ban Perks")</f>
        <v>Ban Perks</v>
      </c>
      <c r="HM1" s="1407"/>
      <c r="HN1" s="1421" t="str">
        <f>IFERROR(__xludf.DUMMYFUNCTION("""COMPUTED_VALUE"""),"Improve Trade-off Perks")</f>
        <v>Improve Trade-off Perks</v>
      </c>
      <c r="HO1" s="1407"/>
      <c r="HP1" s="1421" t="str">
        <f>IFERROR(__xludf.DUMMYFUNCTION("""COMPUTED_VALUE"""),"Auto Pick Ranking")</f>
        <v>Auto Pick Ranking</v>
      </c>
      <c r="HQ1" s="1407"/>
      <c r="HR1" s="1422" t="str">
        <f>IFERROR(__xludf.DUMMYFUNCTION("""COMPUTED_VALUE"""),"Flame Bot - Cooldown")</f>
        <v>Flame Bot - Cooldown</v>
      </c>
      <c r="HS1" s="1407"/>
      <c r="HT1" s="1422" t="str">
        <f>IFERROR(__xludf.DUMMYFUNCTION("""COMPUTED_VALUE"""),"Thunder Bot - Cooldown")</f>
        <v>Thunder Bot - Cooldown</v>
      </c>
      <c r="HU1" s="1407"/>
      <c r="HV1" s="1422" t="str">
        <f>IFERROR(__xludf.DUMMYFUNCTION("""COMPUTED_VALUE"""),"Gold Bot - Cooldown")</f>
        <v>Gold Bot - Cooldown</v>
      </c>
      <c r="HW1" s="1407"/>
      <c r="HX1" s="1422" t="str">
        <f>IFERROR(__xludf.DUMMYFUNCTION("""COMPUTED_VALUE"""),"Amp Bot - Cooldown")</f>
        <v>Amp Bot - Cooldown</v>
      </c>
      <c r="HY1" s="1407"/>
      <c r="HZ1" s="1423" t="str">
        <f>IFERROR(__xludf.DUMMYFUNCTION("""COMPUTED_VALUE"""),"Flame Bot - Burn Stack")</f>
        <v>Flame Bot - Burn Stack</v>
      </c>
      <c r="IA1" s="1407"/>
      <c r="IB1" s="1422" t="str">
        <f>IFERROR(__xludf.DUMMYFUNCTION("""COMPUTED_VALUE"""),"Thunder Bot - Linger Time")</f>
        <v>Thunder Bot - Linger Time</v>
      </c>
      <c r="IC1" s="1407"/>
      <c r="ID1" s="1422" t="str">
        <f>IFERROR(__xludf.DUMMYFUNCTION("""COMPUTED_VALUE"""),"Gold Bot - Duration")</f>
        <v>Gold Bot - Duration</v>
      </c>
      <c r="IE1" s="1407"/>
      <c r="IF1" s="1424" t="str">
        <f>IFERROR(__xludf.DUMMYFUNCTION("""COMPUTED_VALUE"""),"Amp Bot - Duration")</f>
        <v>Amp Bot - Duration</v>
      </c>
      <c r="IG1" s="1407"/>
      <c r="IH1" s="1425" t="str">
        <f>IFERROR(__xludf.DUMMYFUNCTION("""COMPUTED_VALUE"""),"Common Enemy Health")</f>
        <v>Common Enemy Health</v>
      </c>
      <c r="II1" s="1407"/>
      <c r="IJ1" s="1425" t="str">
        <f>IFERROR(__xludf.DUMMYFUNCTION("""COMPUTED_VALUE"""),"Common Enemy Attack")</f>
        <v>Common Enemy Attack</v>
      </c>
      <c r="IK1" s="1407"/>
      <c r="IL1" s="1425" t="str">
        <f>IFERROR(__xludf.DUMMYFUNCTION("""COMPUTED_VALUE"""),"Fast Enemy Health")</f>
        <v>Fast Enemy Health</v>
      </c>
      <c r="IM1" s="1407"/>
      <c r="IN1" s="1425" t="str">
        <f>IFERROR(__xludf.DUMMYFUNCTION("""COMPUTED_VALUE"""),"Fast Enemy Attack")</f>
        <v>Fast Enemy Attack</v>
      </c>
      <c r="IO1" s="1407"/>
      <c r="IP1" s="1425" t="str">
        <f>IFERROR(__xludf.DUMMYFUNCTION("""COMPUTED_VALUE"""),"Fast Enemy Speed")</f>
        <v>Fast Enemy Speed</v>
      </c>
      <c r="IQ1" s="1407"/>
      <c r="IR1" s="1425" t="str">
        <f>IFERROR(__xludf.DUMMYFUNCTION("""COMPUTED_VALUE"""),"Tank Enemy Health")</f>
        <v>Tank Enemy Health</v>
      </c>
      <c r="IS1" s="1407"/>
      <c r="IT1" s="1425" t="str">
        <f>IFERROR(__xludf.DUMMYFUNCTION("""COMPUTED_VALUE"""),"Tank Enemy Attack")</f>
        <v>Tank Enemy Attack</v>
      </c>
      <c r="IU1" s="1407"/>
      <c r="IV1" s="1425" t="str">
        <f>IFERROR(__xludf.DUMMYFUNCTION("""COMPUTED_VALUE"""),"Ranged Enemy Health")</f>
        <v>Ranged Enemy Health</v>
      </c>
      <c r="IW1" s="1407"/>
      <c r="IX1" s="1425" t="str">
        <f>IFERROR(__xludf.DUMMYFUNCTION("""COMPUTED_VALUE"""),"Ranged Enemy Attack")</f>
        <v>Ranged Enemy Attack</v>
      </c>
      <c r="IY1" s="1407"/>
      <c r="IZ1" s="1425" t="str">
        <f>IFERROR(__xludf.DUMMYFUNCTION("""COMPUTED_VALUE"""),"Boss Health")</f>
        <v>Boss Health</v>
      </c>
      <c r="JA1" s="1407"/>
      <c r="JB1" s="1425" t="str">
        <f>IFERROR(__xludf.DUMMYFUNCTION("""COMPUTED_VALUE"""),"Boss Attack")</f>
        <v>Boss Attack</v>
      </c>
      <c r="JC1" s="1407"/>
      <c r="JD1" s="1425" t="str">
        <f>IFERROR(__xludf.DUMMYFUNCTION("""COMPUTED_VALUE"""),"Protector Health")</f>
        <v>Protector Health</v>
      </c>
      <c r="JE1" s="1407"/>
      <c r="JF1" s="1425" t="str">
        <f>IFERROR(__xludf.DUMMYFUNCTION("""COMPUTED_VALUE"""),"Protector Radius")</f>
        <v>Protector Radius</v>
      </c>
      <c r="JG1" s="1407"/>
      <c r="JH1" s="1425" t="str">
        <f>IFERROR(__xludf.DUMMYFUNCTION("""COMPUTED_VALUE"""),"Protector Damage Reduction")</f>
        <v>Protector Damage Reduction</v>
      </c>
      <c r="JI1" s="1407"/>
      <c r="JJ1" s="1426" t="str">
        <f>IFERROR(__xludf.DUMMYFUNCTION("""COMPUTED_VALUE"""),"Ray Enemy Attack")</f>
        <v>Ray Enemy Attack</v>
      </c>
      <c r="JK1" s="1407"/>
      <c r="JL1" s="1427" t="str">
        <f>IFERROR(__xludf.DUMMYFUNCTION("""COMPUTED_VALUE"""),"Ray Enemy Health")</f>
        <v>Ray Enemy Health</v>
      </c>
      <c r="JM1" s="1407"/>
      <c r="JN1" s="1425" t="str">
        <f>IFERROR(__xludf.DUMMYFUNCTION("""COMPUTED_VALUE"""),"Vampire Enemy Attack")</f>
        <v>Vampire Enemy Attack</v>
      </c>
      <c r="JO1" s="1407"/>
      <c r="JP1" s="1427" t="str">
        <f>IFERROR(__xludf.DUMMYFUNCTION("""COMPUTED_VALUE"""),"Vampire Enemy Health")</f>
        <v>Vampire Enemy Health</v>
      </c>
      <c r="JQ1" s="1407"/>
      <c r="JR1" s="1425" t="str">
        <f>IFERROR(__xludf.DUMMYFUNCTION("""COMPUTED_VALUE"""),"Scatter Enemy Attack")</f>
        <v>Scatter Enemy Attack</v>
      </c>
      <c r="JS1" s="1407"/>
      <c r="JT1" s="1427" t="str">
        <f>IFERROR(__xludf.DUMMYFUNCTION("""COMPUTED_VALUE"""),"Scatter Enemy Health")</f>
        <v>Scatter Enemy Health</v>
      </c>
      <c r="JU1" s="1407"/>
      <c r="JV1" s="1425" t="str">
        <f>IFERROR(__xludf.DUMMYFUNCTION("""COMPUTED_VALUE"""),"Ranged Enemy Range")</f>
        <v>Ranged Enemy Range</v>
      </c>
      <c r="JW1" s="1407"/>
      <c r="JX1" s="1428" t="str">
        <f>IFERROR(__xludf.DUMMYFUNCTION("""COMPUTED_VALUE"""),"Common Drop Chance")</f>
        <v>Common Drop Chance</v>
      </c>
      <c r="JZ1" s="1429" t="str">
        <f>IFERROR(__xludf.DUMMYFUNCTION("""COMPUTED_VALUE"""),"Reroll Shards")</f>
        <v>Reroll Shards</v>
      </c>
      <c r="KB1" s="1428" t="str">
        <f>IFERROR(__xludf.DUMMYFUNCTION("""COMPUTED_VALUE"""),"Daily Mission shards")</f>
        <v>Daily Mission shards</v>
      </c>
      <c r="KD1" s="1428" t="str">
        <f>IFERROR(__xludf.DUMMYFUNCTION("""COMPUTED_VALUE"""),"Module Shards Cost")</f>
        <v>Module Shards Cost</v>
      </c>
      <c r="KF1" s="1429" t="str">
        <f>IFERROR(__xludf.DUMMYFUNCTION("""COMPUTED_VALUE"""),"Module Coin Cost")</f>
        <v>Module Coin Cost</v>
      </c>
      <c r="KH1" s="1429" t="str">
        <f>IFERROR(__xludf.DUMMYFUNCTION("""COMPUTED_VALUE"""),"Rare Drop Chance")</f>
        <v>Rare Drop Chance</v>
      </c>
      <c r="KJ1" s="1429" t="str">
        <f>IFERROR(__xludf.DUMMYFUNCTION("""COMPUTED_VALUE"""),"Unmerge Module")</f>
        <v>Unmerge Module</v>
      </c>
      <c r="KL1" s="1429" t="str">
        <f>IFERROR(__xludf.DUMMYFUNCTION("""COMPUTED_VALUE"""),"Shatter Shards")</f>
        <v>Shatter Shards</v>
      </c>
      <c r="KN1" s="1429" t="str">
        <f>IFERROR(__xludf.DUMMYFUNCTION("""COMPUTED_VALUE"""),"Cannon Effect Bans")</f>
        <v>Cannon Effect Bans</v>
      </c>
      <c r="KP1" s="1429" t="str">
        <f>IFERROR(__xludf.DUMMYFUNCTION("""COMPUTED_VALUE"""),"Armor Effect Bans")</f>
        <v>Armor Effect Bans</v>
      </c>
      <c r="KR1" s="1429" t="str">
        <f>IFERROR(__xludf.DUMMYFUNCTION("""COMPUTED_VALUE"""),"Generator Effect Bans")</f>
        <v>Generator Effect Bans</v>
      </c>
      <c r="KT1" s="1429" t="str">
        <f>IFERROR(__xludf.DUMMYFUNCTION("""COMPUTED_VALUE"""),"Core Effect Bans")</f>
        <v>Core Effect Bans</v>
      </c>
      <c r="KV1" s="1429" t="str">
        <f>IFERROR(__xludf.DUMMYFUNCTION("""COMPUTED_VALUE"""),"Assist Module Substats - Cannon")</f>
        <v>Assist Module Substats - Cannon</v>
      </c>
      <c r="KX1" s="1429" t="str">
        <f>IFERROR(__xludf.DUMMYFUNCTION("""COMPUTED_VALUE"""),"Assist Module Substats - Armor")</f>
        <v>Assist Module Substats - Armor</v>
      </c>
      <c r="KZ1" s="1429" t="str">
        <f>IFERROR(__xludf.DUMMYFUNCTION("""COMPUTED_VALUE"""),"Assist Module Substats - Generator")</f>
        <v>Assist Module Substats - Generator</v>
      </c>
      <c r="LB1" s="1429" t="str">
        <f>IFERROR(__xludf.DUMMYFUNCTION("""COMPUTED_VALUE"""),"Assist Module Substats - Core")</f>
        <v>Assist Module Substats - Core</v>
      </c>
      <c r="LD1" s="1429" t="str">
        <f>IFERROR(__xludf.DUMMYFUNCTION("""COMPUTED_VALUE"""),"Assist Module Bonus - Cannon")</f>
        <v>Assist Module Bonus - Cannon</v>
      </c>
      <c r="LF1" s="1429" t="str">
        <f>IFERROR(__xludf.DUMMYFUNCTION("""COMPUTED_VALUE"""),"Assist Module Bonus - Armor")</f>
        <v>Assist Module Bonus - Armor</v>
      </c>
      <c r="LH1" s="1429" t="str">
        <f>IFERROR(__xludf.DUMMYFUNCTION("""COMPUTED_VALUE"""),"Assist Module Bonus - Generator")</f>
        <v>Assist Module Bonus - Generator</v>
      </c>
      <c r="LJ1" s="1429" t="str">
        <f>IFERROR(__xludf.DUMMYFUNCTION("""COMPUTED_VALUE"""),"Assist Module Bonus - Core")</f>
        <v>Assist Module Bonus - Core</v>
      </c>
      <c r="LL1" s="1418" t="str">
        <f>IFERROR(__xludf.DUMMYFUNCTION("""COMPUTED_VALUE"""),"Battle Condition Reduction")</f>
        <v>Battle Condition Reduction</v>
      </c>
      <c r="LM1" s="1407"/>
      <c r="LN1" s="1418" t="str">
        <f>IFERROR(__xludf.DUMMYFUNCTION("""COMPUTED_VALUE"""),"Knockback Resistance")</f>
        <v>Knockback Resistance</v>
      </c>
      <c r="LO1" s="1407"/>
      <c r="LP1" s="1418" t="str">
        <f>IFERROR(__xludf.DUMMYFUNCTION("""COMPUTED_VALUE"""),"Thorns Resistance")</f>
        <v>Thorns Resistance</v>
      </c>
      <c r="LQ1" s="1407"/>
      <c r="LR1" s="1418" t="str">
        <f>IFERROR(__xludf.DUMMYFUNCTION("""COMPUTED_VALUE"""),"Orb Resistance")</f>
        <v>Orb Resistance</v>
      </c>
      <c r="LS1" s="1407"/>
      <c r="LT1" s="1418" t="str">
        <f>IFERROR(__xludf.DUMMYFUNCTION("""COMPUTED_VALUE"""),"Plasma Cannon Resistance")</f>
        <v>Plasma Cannon Resistance</v>
      </c>
      <c r="LU1" s="1407"/>
      <c r="LV1" s="1418" t="str">
        <f>IFERROR(__xludf.DUMMYFUNCTION("""COMPUTED_VALUE"""),"Death Ray Resistance")</f>
        <v>Death Ray Resistance</v>
      </c>
      <c r="LW1" s="1407"/>
      <c r="LX1" s="1430" t="str">
        <f>IFERROR(__xludf.DUMMYFUNCTION("""COMPUTED_VALUE"""),"Armored Enemies")</f>
        <v>Armored Enemies</v>
      </c>
      <c r="LY1" s="1407"/>
      <c r="LZ1" s="1418" t="str">
        <f>IFERROR(__xludf.DUMMYFUNCTION("""COMPUTED_VALUE"""),"Enemy Speed")</f>
        <v>Enemy Speed</v>
      </c>
      <c r="MA1" s="1407"/>
      <c r="MB1" s="1430" t="str">
        <f>IFERROR(__xludf.DUMMYFUNCTION("""COMPUTED_VALUE"""),"More Enemies")</f>
        <v>More Enemies</v>
      </c>
      <c r="MC1" s="1407"/>
      <c r="MD1" s="1418" t="str">
        <f>IFERROR(__xludf.DUMMYFUNCTION("""COMPUTED_VALUE"""),"Enemy Attack Speed")</f>
        <v>Enemy Attack Speed</v>
      </c>
      <c r="ME1" s="1407"/>
      <c r="MF1" s="1430" t="str">
        <f>IFERROR(__xludf.DUMMYFUNCTION("""COMPUTED_VALUE"""),"Fast's Ultimate")</f>
        <v>Fast's Ultimate</v>
      </c>
      <c r="MG1" s="1407"/>
      <c r="MH1" s="1418" t="str">
        <f>IFERROR(__xludf.DUMMYFUNCTION("""COMPUTED_VALUE"""),"Ranged Ultimate")</f>
        <v>Ranged Ultimate</v>
      </c>
      <c r="MI1" s="1407"/>
      <c r="MJ1" s="1430" t="str">
        <f>IFERROR(__xludf.DUMMYFUNCTION("""COMPUTED_VALUE"""),"Boss's Ultimate")</f>
        <v>Boss's Ultimate</v>
      </c>
      <c r="MK1" s="1407"/>
      <c r="ML1" s="1418" t="str">
        <f>IFERROR(__xludf.DUMMYFUNCTION("""COMPUTED_VALUE"""),"Basic's Ultimate")</f>
        <v>Basic's Ultimate</v>
      </c>
      <c r="MM1" s="1407"/>
      <c r="MN1" s="1430" t="str">
        <f>IFERROR(__xludf.DUMMYFUNCTION("""COMPUTED_VALUE"""),"Tank's Ultimate")</f>
        <v>Tank's Ultimate</v>
      </c>
      <c r="MO1" s="1407"/>
      <c r="MP1" s="1418" t="str">
        <f>IFERROR(__xludf.DUMMYFUNCTION("""COMPUTED_VALUE"""),"Protector's Ultimate")</f>
        <v>Protector's Ultimate</v>
      </c>
      <c r="MQ1" s="1407"/>
      <c r="MR1" s="1430" t="str">
        <f>IFERROR(__xludf.DUMMYFUNCTION("""COMPUTED_VALUE"""),"Ultimate Weapon Durations")</f>
        <v>Ultimate Weapon Durations</v>
      </c>
      <c r="MS1" s="1407"/>
      <c r="MT1" s="1430" t="str">
        <f>IFERROR(__xludf.DUMMYFUNCTION("""COMPUTED_VALUE"""),"Death Defy Down")</f>
        <v>Death Defy Down</v>
      </c>
      <c r="MU1" s="1407"/>
      <c r="MV1" s="1430" t="str">
        <f>IFERROR(__xludf.DUMMYFUNCTION("""COMPUTED_VALUE"""),"Energy Shields Down")</f>
        <v>Energy Shields Down</v>
      </c>
      <c r="MW1" s="1407"/>
      <c r="MX1" s="1430" t="str">
        <f>IFERROR(__xludf.DUMMYFUNCTION("""COMPUTED_VALUE"""),"Enemy Level Skip Reduction")</f>
        <v>Enemy Level Skip Reduction</v>
      </c>
      <c r="MY1" s="1407"/>
    </row>
    <row r="2">
      <c r="A2" s="1431" t="str">
        <f>IFERROR(__xludf.DUMMYFUNCTION("""COMPUTED_VALUE"""),"Lvl")</f>
        <v>Lvl</v>
      </c>
      <c r="B2" s="1432" t="str">
        <f>IFERROR(__xludf.DUMMYFUNCTION("""COMPUTED_VALUE"""),"Duration")</f>
        <v>Duration</v>
      </c>
      <c r="C2" s="1433" t="str">
        <f>IFERROR(__xludf.DUMMYFUNCTION("""COMPUTED_VALUE"""),"Cost")</f>
        <v>Cost</v>
      </c>
      <c r="D2" s="1432" t="str">
        <f>IFERROR(__xludf.DUMMYFUNCTION("""COMPUTED_VALUE"""),"Duration")</f>
        <v>Duration</v>
      </c>
      <c r="E2" s="1434" t="str">
        <f>IFERROR(__xludf.DUMMYFUNCTION("""COMPUTED_VALUE"""),"Cost")</f>
        <v>Cost</v>
      </c>
      <c r="F2" s="1432" t="str">
        <f>IFERROR(__xludf.DUMMYFUNCTION("""COMPUTED_VALUE"""),"Duration")</f>
        <v>Duration</v>
      </c>
      <c r="G2" s="1434" t="str">
        <f>IFERROR(__xludf.DUMMYFUNCTION("""COMPUTED_VALUE"""),"Cost")</f>
        <v>Cost</v>
      </c>
      <c r="H2" s="1432" t="str">
        <f>IFERROR(__xludf.DUMMYFUNCTION("""COMPUTED_VALUE"""),"Duration")</f>
        <v>Duration</v>
      </c>
      <c r="I2" s="1433" t="str">
        <f>IFERROR(__xludf.DUMMYFUNCTION("""COMPUTED_VALUE"""),"Cost")</f>
        <v>Cost</v>
      </c>
      <c r="J2" s="1432" t="str">
        <f>IFERROR(__xludf.DUMMYFUNCTION("""COMPUTED_VALUE"""),"Duration")</f>
        <v>Duration</v>
      </c>
      <c r="K2" s="1433" t="str">
        <f>IFERROR(__xludf.DUMMYFUNCTION("""COMPUTED_VALUE"""),"Cost")</f>
        <v>Cost</v>
      </c>
      <c r="L2" s="1432" t="str">
        <f>IFERROR(__xludf.DUMMYFUNCTION("""COMPUTED_VALUE"""),"Duration")</f>
        <v>Duration</v>
      </c>
      <c r="M2" s="1433" t="str">
        <f>IFERROR(__xludf.DUMMYFUNCTION("""COMPUTED_VALUE"""),"Cost")</f>
        <v>Cost</v>
      </c>
      <c r="N2" s="1432" t="str">
        <f>IFERROR(__xludf.DUMMYFUNCTION("""COMPUTED_VALUE"""),"Duration")</f>
        <v>Duration</v>
      </c>
      <c r="O2" s="1433" t="str">
        <f>IFERROR(__xludf.DUMMYFUNCTION("""COMPUTED_VALUE"""),"Cost")</f>
        <v>Cost</v>
      </c>
      <c r="P2" s="1432" t="str">
        <f>IFERROR(__xludf.DUMMYFUNCTION("""COMPUTED_VALUE"""),"Duration")</f>
        <v>Duration</v>
      </c>
      <c r="Q2" s="1433" t="str">
        <f>IFERROR(__xludf.DUMMYFUNCTION("""COMPUTED_VALUE"""),"Cost")</f>
        <v>Cost</v>
      </c>
      <c r="R2" s="1432" t="str">
        <f>IFERROR(__xludf.DUMMYFUNCTION("""COMPUTED_VALUE"""),"Duration")</f>
        <v>Duration</v>
      </c>
      <c r="S2" s="1433" t="str">
        <f>IFERROR(__xludf.DUMMYFUNCTION("""COMPUTED_VALUE"""),"Cost")</f>
        <v>Cost</v>
      </c>
      <c r="T2" s="1432" t="str">
        <f>IFERROR(__xludf.DUMMYFUNCTION("""COMPUTED_VALUE"""),"Duration")</f>
        <v>Duration</v>
      </c>
      <c r="U2" s="1433" t="str">
        <f>IFERROR(__xludf.DUMMYFUNCTION("""COMPUTED_VALUE"""),"Cost")</f>
        <v>Cost</v>
      </c>
      <c r="V2" s="1432" t="str">
        <f>IFERROR(__xludf.DUMMYFUNCTION("""COMPUTED_VALUE"""),"Duration")</f>
        <v>Duration</v>
      </c>
      <c r="W2" s="1433" t="str">
        <f>IFERROR(__xludf.DUMMYFUNCTION("""COMPUTED_VALUE"""),"Cost")</f>
        <v>Cost</v>
      </c>
      <c r="X2" s="1432" t="str">
        <f>IFERROR(__xludf.DUMMYFUNCTION("""COMPUTED_VALUE"""),"Duration")</f>
        <v>Duration</v>
      </c>
      <c r="Y2" s="1433" t="str">
        <f>IFERROR(__xludf.DUMMYFUNCTION("""COMPUTED_VALUE"""),"Cost")</f>
        <v>Cost</v>
      </c>
      <c r="Z2" s="1432" t="str">
        <f>IFERROR(__xludf.DUMMYFUNCTION("""COMPUTED_VALUE"""),"Duration")</f>
        <v>Duration</v>
      </c>
      <c r="AA2" s="1434" t="str">
        <f>IFERROR(__xludf.DUMMYFUNCTION("""COMPUTED_VALUE"""),"Cost")</f>
        <v>Cost</v>
      </c>
      <c r="AB2" s="1432" t="str">
        <f>IFERROR(__xludf.DUMMYFUNCTION("""COMPUTED_VALUE"""),"Duration")</f>
        <v>Duration</v>
      </c>
      <c r="AC2" s="1434" t="str">
        <f>IFERROR(__xludf.DUMMYFUNCTION("""COMPUTED_VALUE"""),"Cost")</f>
        <v>Cost</v>
      </c>
      <c r="AD2" s="1432" t="str">
        <f>IFERROR(__xludf.DUMMYFUNCTION("""COMPUTED_VALUE"""),"Duration")</f>
        <v>Duration</v>
      </c>
      <c r="AE2" s="1433" t="str">
        <f>IFERROR(__xludf.DUMMYFUNCTION("""COMPUTED_VALUE"""),"Cost")</f>
        <v>Cost</v>
      </c>
      <c r="AF2" s="1432" t="str">
        <f>IFERROR(__xludf.DUMMYFUNCTION("""COMPUTED_VALUE"""),"Duration")</f>
        <v>Duration</v>
      </c>
      <c r="AG2" s="1433" t="str">
        <f>IFERROR(__xludf.DUMMYFUNCTION("""COMPUTED_VALUE"""),"Cost")</f>
        <v>Cost</v>
      </c>
      <c r="AH2" s="1432" t="str">
        <f>IFERROR(__xludf.DUMMYFUNCTION("""COMPUTED_VALUE"""),"Duration")</f>
        <v>Duration</v>
      </c>
      <c r="AI2" s="1433" t="str">
        <f>IFERROR(__xludf.DUMMYFUNCTION("""COMPUTED_VALUE"""),"Cost")</f>
        <v>Cost</v>
      </c>
      <c r="AJ2" s="1435" t="str">
        <f>IFERROR(__xludf.DUMMYFUNCTION("""COMPUTED_VALUE"""),"Duration")</f>
        <v>Duration</v>
      </c>
      <c r="AK2" s="1436" t="str">
        <f>IFERROR(__xludf.DUMMYFUNCTION("""COMPUTED_VALUE"""),"Cost")</f>
        <v>Cost</v>
      </c>
      <c r="AL2" s="1435" t="str">
        <f>IFERROR(__xludf.DUMMYFUNCTION("""COMPUTED_VALUE"""),"Duration")</f>
        <v>Duration</v>
      </c>
      <c r="AM2" s="1436" t="str">
        <f>IFERROR(__xludf.DUMMYFUNCTION("""COMPUTED_VALUE"""),"Cost")</f>
        <v>Cost</v>
      </c>
      <c r="AN2" s="1435" t="str">
        <f>IFERROR(__xludf.DUMMYFUNCTION("""COMPUTED_VALUE"""),"Duration")</f>
        <v>Duration</v>
      </c>
      <c r="AO2" s="1436" t="str">
        <f>IFERROR(__xludf.DUMMYFUNCTION("""COMPUTED_VALUE"""),"Cost")</f>
        <v>Cost</v>
      </c>
      <c r="AP2" s="1435" t="str">
        <f>IFERROR(__xludf.DUMMYFUNCTION("""COMPUTED_VALUE"""),"Duration")</f>
        <v>Duration</v>
      </c>
      <c r="AQ2" s="1436" t="str">
        <f>IFERROR(__xludf.DUMMYFUNCTION("""COMPUTED_VALUE"""),"Cost")</f>
        <v>Cost</v>
      </c>
      <c r="AR2" s="1435" t="str">
        <f>IFERROR(__xludf.DUMMYFUNCTION("""COMPUTED_VALUE"""),"Duration")</f>
        <v>Duration</v>
      </c>
      <c r="AS2" s="1436" t="str">
        <f>IFERROR(__xludf.DUMMYFUNCTION("""COMPUTED_VALUE"""),"Cost")</f>
        <v>Cost</v>
      </c>
      <c r="AT2" s="1435" t="str">
        <f>IFERROR(__xludf.DUMMYFUNCTION("""COMPUTED_VALUE"""),"Duration")</f>
        <v>Duration</v>
      </c>
      <c r="AU2" s="1436" t="str">
        <f>IFERROR(__xludf.DUMMYFUNCTION("""COMPUTED_VALUE"""),"Cost")</f>
        <v>Cost</v>
      </c>
      <c r="AV2" s="1435" t="str">
        <f>IFERROR(__xludf.DUMMYFUNCTION("""COMPUTED_VALUE"""),"Duration")</f>
        <v>Duration</v>
      </c>
      <c r="AW2" s="1436" t="str">
        <f>IFERROR(__xludf.DUMMYFUNCTION("""COMPUTED_VALUE"""),"Cost")</f>
        <v>Cost</v>
      </c>
      <c r="AX2" s="1435" t="str">
        <f>IFERROR(__xludf.DUMMYFUNCTION("""COMPUTED_VALUE"""),"Duration")</f>
        <v>Duration</v>
      </c>
      <c r="AY2" s="1436" t="str">
        <f>IFERROR(__xludf.DUMMYFUNCTION("""COMPUTED_VALUE"""),"Cost")</f>
        <v>Cost</v>
      </c>
      <c r="AZ2" s="1435" t="str">
        <f>IFERROR(__xludf.DUMMYFUNCTION("""COMPUTED_VALUE"""),"Duration")</f>
        <v>Duration</v>
      </c>
      <c r="BA2" s="1436" t="str">
        <f>IFERROR(__xludf.DUMMYFUNCTION("""COMPUTED_VALUE"""),"Cost")</f>
        <v>Cost</v>
      </c>
      <c r="BB2" s="1437" t="str">
        <f>IFERROR(__xludf.DUMMYFUNCTION("""COMPUTED_VALUE"""),"Duration")</f>
        <v>Duration</v>
      </c>
      <c r="BC2" s="1438" t="str">
        <f>IFERROR(__xludf.DUMMYFUNCTION("""COMPUTED_VALUE"""),"Cost")</f>
        <v>Cost</v>
      </c>
      <c r="BD2" s="1437" t="str">
        <f>IFERROR(__xludf.DUMMYFUNCTION("""COMPUTED_VALUE"""),"Duration")</f>
        <v>Duration</v>
      </c>
      <c r="BE2" s="1438" t="str">
        <f>IFERROR(__xludf.DUMMYFUNCTION("""COMPUTED_VALUE"""),"Cost")</f>
        <v>Cost</v>
      </c>
      <c r="BF2" s="1437" t="str">
        <f>IFERROR(__xludf.DUMMYFUNCTION("""COMPUTED_VALUE"""),"Duration")</f>
        <v>Duration</v>
      </c>
      <c r="BG2" s="1438" t="str">
        <f>IFERROR(__xludf.DUMMYFUNCTION("""COMPUTED_VALUE"""),"Cost")</f>
        <v>Cost</v>
      </c>
      <c r="BH2" s="1437" t="str">
        <f>IFERROR(__xludf.DUMMYFUNCTION("""COMPUTED_VALUE"""),"Duration")</f>
        <v>Duration</v>
      </c>
      <c r="BI2" s="1438" t="str">
        <f>IFERROR(__xludf.DUMMYFUNCTION("""COMPUTED_VALUE"""),"Cost")</f>
        <v>Cost</v>
      </c>
      <c r="BJ2" s="1437" t="str">
        <f>IFERROR(__xludf.DUMMYFUNCTION("""COMPUTED_VALUE"""),"Duration")</f>
        <v>Duration</v>
      </c>
      <c r="BK2" s="1438" t="str">
        <f>IFERROR(__xludf.DUMMYFUNCTION("""COMPUTED_VALUE"""),"Cost")</f>
        <v>Cost</v>
      </c>
      <c r="BL2" s="1437" t="str">
        <f>IFERROR(__xludf.DUMMYFUNCTION("""COMPUTED_VALUE"""),"Duration")</f>
        <v>Duration</v>
      </c>
      <c r="BM2" s="1438" t="str">
        <f>IFERROR(__xludf.DUMMYFUNCTION("""COMPUTED_VALUE"""),"Cost")</f>
        <v>Cost</v>
      </c>
      <c r="BN2" s="1437" t="str">
        <f>IFERROR(__xludf.DUMMYFUNCTION("""COMPUTED_VALUE"""),"Duration")</f>
        <v>Duration</v>
      </c>
      <c r="BO2" s="1438" t="str">
        <f>IFERROR(__xludf.DUMMYFUNCTION("""COMPUTED_VALUE"""),"Cost")</f>
        <v>Cost</v>
      </c>
      <c r="BP2" s="1437" t="str">
        <f>IFERROR(__xludf.DUMMYFUNCTION("""COMPUTED_VALUE"""),"Duration")</f>
        <v>Duration</v>
      </c>
      <c r="BQ2" s="1438" t="str">
        <f>IFERROR(__xludf.DUMMYFUNCTION("""COMPUTED_VALUE"""),"Cost")</f>
        <v>Cost</v>
      </c>
      <c r="BR2" s="1437" t="str">
        <f>IFERROR(__xludf.DUMMYFUNCTION("""COMPUTED_VALUE"""),"Duration")</f>
        <v>Duration</v>
      </c>
      <c r="BS2" s="1438" t="str">
        <f>IFERROR(__xludf.DUMMYFUNCTION("""COMPUTED_VALUE"""),"Cost")</f>
        <v>Cost</v>
      </c>
      <c r="BT2" s="1437" t="str">
        <f>IFERROR(__xludf.DUMMYFUNCTION("""COMPUTED_VALUE"""),"Duration")</f>
        <v>Duration</v>
      </c>
      <c r="BU2" s="1438" t="str">
        <f>IFERROR(__xludf.DUMMYFUNCTION("""COMPUTED_VALUE"""),"Cost")</f>
        <v>Cost</v>
      </c>
      <c r="BV2" s="1437" t="str">
        <f>IFERROR(__xludf.DUMMYFUNCTION("""COMPUTED_VALUE"""),"Duration")</f>
        <v>Duration</v>
      </c>
      <c r="BW2" s="1438" t="str">
        <f>IFERROR(__xludf.DUMMYFUNCTION("""COMPUTED_VALUE"""),"Cost")</f>
        <v>Cost</v>
      </c>
      <c r="BX2" s="1437" t="str">
        <f>IFERROR(__xludf.DUMMYFUNCTION("""COMPUTED_VALUE"""),"Duration")</f>
        <v>Duration</v>
      </c>
      <c r="BY2" s="1438" t="str">
        <f>IFERROR(__xludf.DUMMYFUNCTION("""COMPUTED_VALUE"""),"Cost")</f>
        <v>Cost</v>
      </c>
      <c r="BZ2" s="1437" t="str">
        <f>IFERROR(__xludf.DUMMYFUNCTION("""COMPUTED_VALUE"""),"Duration")</f>
        <v>Duration</v>
      </c>
      <c r="CA2" s="1438" t="str">
        <f>IFERROR(__xludf.DUMMYFUNCTION("""COMPUTED_VALUE"""),"Cost")</f>
        <v>Cost</v>
      </c>
      <c r="CB2" s="1437" t="str">
        <f>IFERROR(__xludf.DUMMYFUNCTION("""COMPUTED_VALUE"""),"Duration")</f>
        <v>Duration</v>
      </c>
      <c r="CC2" s="1438" t="str">
        <f>IFERROR(__xludf.DUMMYFUNCTION("""COMPUTED_VALUE"""),"Cost")</f>
        <v>Cost</v>
      </c>
      <c r="CD2" s="1437" t="str">
        <f>IFERROR(__xludf.DUMMYFUNCTION("""COMPUTED_VALUE"""),"Duration")</f>
        <v>Duration</v>
      </c>
      <c r="CE2" s="1438" t="str">
        <f>IFERROR(__xludf.DUMMYFUNCTION("""COMPUTED_VALUE"""),"Cost")</f>
        <v>Cost</v>
      </c>
      <c r="CF2" s="1437" t="str">
        <f>IFERROR(__xludf.DUMMYFUNCTION("""COMPUTED_VALUE"""),"Duration")</f>
        <v>Duration</v>
      </c>
      <c r="CG2" s="1438" t="str">
        <f>IFERROR(__xludf.DUMMYFUNCTION("""COMPUTED_VALUE"""),"Cost")</f>
        <v>Cost</v>
      </c>
      <c r="CH2" s="1439" t="str">
        <f>IFERROR(__xludf.DUMMYFUNCTION("""COMPUTED_VALUE"""),"Duration")</f>
        <v>Duration</v>
      </c>
      <c r="CI2" s="1440" t="str">
        <f>IFERROR(__xludf.DUMMYFUNCTION("""COMPUTED_VALUE"""),"Cost")</f>
        <v>Cost</v>
      </c>
      <c r="CJ2" s="1439" t="str">
        <f>IFERROR(__xludf.DUMMYFUNCTION("""COMPUTED_VALUE"""),"Duration")</f>
        <v>Duration</v>
      </c>
      <c r="CK2" s="1440" t="str">
        <f>IFERROR(__xludf.DUMMYFUNCTION("""COMPUTED_VALUE"""),"Cost")</f>
        <v>Cost</v>
      </c>
      <c r="CL2" s="1439" t="str">
        <f>IFERROR(__xludf.DUMMYFUNCTION("""COMPUTED_VALUE"""),"Duration")</f>
        <v>Duration</v>
      </c>
      <c r="CM2" s="1440" t="str">
        <f>IFERROR(__xludf.DUMMYFUNCTION("""COMPUTED_VALUE"""),"Cost")</f>
        <v>Cost</v>
      </c>
      <c r="CN2" s="1439" t="str">
        <f>IFERROR(__xludf.DUMMYFUNCTION("""COMPUTED_VALUE"""),"Duration")</f>
        <v>Duration</v>
      </c>
      <c r="CO2" s="1440" t="str">
        <f>IFERROR(__xludf.DUMMYFUNCTION("""COMPUTED_VALUE"""),"Cost")</f>
        <v>Cost</v>
      </c>
      <c r="CP2" s="1439" t="str">
        <f>IFERROR(__xludf.DUMMYFUNCTION("""COMPUTED_VALUE"""),"Duration")</f>
        <v>Duration</v>
      </c>
      <c r="CQ2" s="1440" t="str">
        <f>IFERROR(__xludf.DUMMYFUNCTION("""COMPUTED_VALUE"""),"Cost")</f>
        <v>Cost</v>
      </c>
      <c r="CR2" s="1439" t="str">
        <f>IFERROR(__xludf.DUMMYFUNCTION("""COMPUTED_VALUE"""),"Duration")</f>
        <v>Duration</v>
      </c>
      <c r="CS2" s="1440" t="str">
        <f>IFERROR(__xludf.DUMMYFUNCTION("""COMPUTED_VALUE"""),"Cost")</f>
        <v>Cost</v>
      </c>
      <c r="CT2" s="1439" t="str">
        <f>IFERROR(__xludf.DUMMYFUNCTION("""COMPUTED_VALUE"""),"Duration")</f>
        <v>Duration</v>
      </c>
      <c r="CU2" s="1440" t="str">
        <f>IFERROR(__xludf.DUMMYFUNCTION("""COMPUTED_VALUE"""),"Cost")</f>
        <v>Cost</v>
      </c>
      <c r="CV2" s="1441" t="str">
        <f>IFERROR(__xludf.DUMMYFUNCTION("""COMPUTED_VALUE"""),"Duration")</f>
        <v>Duration</v>
      </c>
      <c r="CW2" s="1440" t="str">
        <f>IFERROR(__xludf.DUMMYFUNCTION("""COMPUTED_VALUE"""),"Cost")</f>
        <v>Cost</v>
      </c>
      <c r="CX2" s="1441" t="str">
        <f>IFERROR(__xludf.DUMMYFUNCTION("""COMPUTED_VALUE"""),"Duration")</f>
        <v>Duration</v>
      </c>
      <c r="CY2" s="1440" t="str">
        <f>IFERROR(__xludf.DUMMYFUNCTION("""COMPUTED_VALUE"""),"Cost")</f>
        <v>Cost</v>
      </c>
      <c r="CZ2" s="1441" t="str">
        <f>IFERROR(__xludf.DUMMYFUNCTION("""COMPUTED_VALUE"""),"Duration")</f>
        <v>Duration</v>
      </c>
      <c r="DA2" s="1440" t="str">
        <f>IFERROR(__xludf.DUMMYFUNCTION("""COMPUTED_VALUE"""),"Cost")</f>
        <v>Cost</v>
      </c>
      <c r="DB2" s="1441" t="str">
        <f>IFERROR(__xludf.DUMMYFUNCTION("""COMPUTED_VALUE"""),"Duration")</f>
        <v>Duration</v>
      </c>
      <c r="DC2" s="1440" t="str">
        <f>IFERROR(__xludf.DUMMYFUNCTION("""COMPUTED_VALUE"""),"Cost")</f>
        <v>Cost</v>
      </c>
      <c r="DD2" s="1441" t="str">
        <f>IFERROR(__xludf.DUMMYFUNCTION("""COMPUTED_VALUE"""),"Duration")</f>
        <v>Duration</v>
      </c>
      <c r="DE2" s="1440" t="str">
        <f>IFERROR(__xludf.DUMMYFUNCTION("""COMPUTED_VALUE"""),"Cost")</f>
        <v>Cost</v>
      </c>
      <c r="DF2" s="1442" t="str">
        <f>IFERROR(__xludf.DUMMYFUNCTION("""COMPUTED_VALUE"""),"Duration")</f>
        <v>Duration</v>
      </c>
      <c r="DG2" s="1443" t="str">
        <f>IFERROR(__xludf.DUMMYFUNCTION("""COMPUTED_VALUE"""),"Cost")</f>
        <v>Cost</v>
      </c>
      <c r="DH2" s="1442" t="str">
        <f>IFERROR(__xludf.DUMMYFUNCTION("""COMPUTED_VALUE"""),"Duration")</f>
        <v>Duration</v>
      </c>
      <c r="DI2" s="1443" t="str">
        <f>IFERROR(__xludf.DUMMYFUNCTION("""COMPUTED_VALUE"""),"Cost")</f>
        <v>Cost</v>
      </c>
      <c r="DJ2" s="1442" t="str">
        <f>IFERROR(__xludf.DUMMYFUNCTION("""COMPUTED_VALUE"""),"Duration")</f>
        <v>Duration</v>
      </c>
      <c r="DK2" s="1443" t="str">
        <f>IFERROR(__xludf.DUMMYFUNCTION("""COMPUTED_VALUE"""),"Cost")</f>
        <v>Cost</v>
      </c>
      <c r="DL2" s="1442" t="str">
        <f>IFERROR(__xludf.DUMMYFUNCTION("""COMPUTED_VALUE"""),"Duration")</f>
        <v>Duration</v>
      </c>
      <c r="DM2" s="1443" t="str">
        <f>IFERROR(__xludf.DUMMYFUNCTION("""COMPUTED_VALUE"""),"Cost")</f>
        <v>Cost</v>
      </c>
      <c r="DN2" s="1442" t="str">
        <f>IFERROR(__xludf.DUMMYFUNCTION("""COMPUTED_VALUE"""),"Duration")</f>
        <v>Duration</v>
      </c>
      <c r="DO2" s="1443" t="str">
        <f>IFERROR(__xludf.DUMMYFUNCTION("""COMPUTED_VALUE"""),"Cost")</f>
        <v>Cost</v>
      </c>
      <c r="DP2" s="1442" t="str">
        <f>IFERROR(__xludf.DUMMYFUNCTION("""COMPUTED_VALUE"""),"Duration")</f>
        <v>Duration</v>
      </c>
      <c r="DQ2" s="1443" t="str">
        <f>IFERROR(__xludf.DUMMYFUNCTION("""COMPUTED_VALUE"""),"Cost")</f>
        <v>Cost</v>
      </c>
      <c r="DR2" s="1442" t="str">
        <f>IFERROR(__xludf.DUMMYFUNCTION("""COMPUTED_VALUE"""),"Duration")</f>
        <v>Duration</v>
      </c>
      <c r="DS2" s="1443" t="str">
        <f>IFERROR(__xludf.DUMMYFUNCTION("""COMPUTED_VALUE"""),"Cost")</f>
        <v>Cost</v>
      </c>
      <c r="DT2" s="1442" t="str">
        <f>IFERROR(__xludf.DUMMYFUNCTION("""COMPUTED_VALUE"""),"Duration")</f>
        <v>Duration</v>
      </c>
      <c r="DU2" s="1443" t="str">
        <f>IFERROR(__xludf.DUMMYFUNCTION("""COMPUTED_VALUE"""),"Cost")</f>
        <v>Cost</v>
      </c>
      <c r="DV2" s="1442" t="str">
        <f>IFERROR(__xludf.DUMMYFUNCTION("""COMPUTED_VALUE"""),"Duration")</f>
        <v>Duration</v>
      </c>
      <c r="DW2" s="1443" t="str">
        <f>IFERROR(__xludf.DUMMYFUNCTION("""COMPUTED_VALUE"""),"Cost")</f>
        <v>Cost</v>
      </c>
      <c r="DX2" s="1442" t="str">
        <f>IFERROR(__xludf.DUMMYFUNCTION("""COMPUTED_VALUE"""),"Duration")</f>
        <v>Duration</v>
      </c>
      <c r="DY2" s="1443" t="str">
        <f>IFERROR(__xludf.DUMMYFUNCTION("""COMPUTED_VALUE"""),"Cost")</f>
        <v>Cost</v>
      </c>
      <c r="DZ2" s="1442" t="str">
        <f>IFERROR(__xludf.DUMMYFUNCTION("""COMPUTED_VALUE"""),"Duration")</f>
        <v>Duration</v>
      </c>
      <c r="EA2" s="1443" t="str">
        <f>IFERROR(__xludf.DUMMYFUNCTION("""COMPUTED_VALUE"""),"Cost")</f>
        <v>Cost</v>
      </c>
      <c r="EB2" s="1442" t="str">
        <f>IFERROR(__xludf.DUMMYFUNCTION("""COMPUTED_VALUE"""),"Duration")</f>
        <v>Duration</v>
      </c>
      <c r="EC2" s="1443" t="str">
        <f>IFERROR(__xludf.DUMMYFUNCTION("""COMPUTED_VALUE"""),"Cost")</f>
        <v>Cost</v>
      </c>
      <c r="ED2" s="1442" t="str">
        <f>IFERROR(__xludf.DUMMYFUNCTION("""COMPUTED_VALUE"""),"Duration")</f>
        <v>Duration</v>
      </c>
      <c r="EE2" s="1443" t="str">
        <f>IFERROR(__xludf.DUMMYFUNCTION("""COMPUTED_VALUE"""),"Cost")</f>
        <v>Cost</v>
      </c>
      <c r="EF2" s="1442" t="str">
        <f>IFERROR(__xludf.DUMMYFUNCTION("""COMPUTED_VALUE"""),"Duration")</f>
        <v>Duration</v>
      </c>
      <c r="EG2" s="1443" t="str">
        <f>IFERROR(__xludf.DUMMYFUNCTION("""COMPUTED_VALUE"""),"Cost")</f>
        <v>Cost</v>
      </c>
      <c r="EH2" s="1442" t="str">
        <f>IFERROR(__xludf.DUMMYFUNCTION("""COMPUTED_VALUE"""),"Duration")</f>
        <v>Duration</v>
      </c>
      <c r="EI2" s="1443" t="str">
        <f>IFERROR(__xludf.DUMMYFUNCTION("""COMPUTED_VALUE"""),"Cost")</f>
        <v>Cost</v>
      </c>
      <c r="EJ2" s="1442" t="str">
        <f>IFERROR(__xludf.DUMMYFUNCTION("""COMPUTED_VALUE"""),"Duration")</f>
        <v>Duration</v>
      </c>
      <c r="EK2" s="1443" t="str">
        <f>IFERROR(__xludf.DUMMYFUNCTION("""COMPUTED_VALUE"""),"Cost")</f>
        <v>Cost</v>
      </c>
      <c r="EL2" s="1442" t="str">
        <f>IFERROR(__xludf.DUMMYFUNCTION("""COMPUTED_VALUE"""),"Duration")</f>
        <v>Duration</v>
      </c>
      <c r="EM2" s="1443" t="str">
        <f>IFERROR(__xludf.DUMMYFUNCTION("""COMPUTED_VALUE"""),"Cost")</f>
        <v>Cost</v>
      </c>
      <c r="EN2" s="1442" t="str">
        <f>IFERROR(__xludf.DUMMYFUNCTION("""COMPUTED_VALUE"""),"Duration")</f>
        <v>Duration</v>
      </c>
      <c r="EO2" s="1443" t="str">
        <f>IFERROR(__xludf.DUMMYFUNCTION("""COMPUTED_VALUE"""),"Cost")</f>
        <v>Cost</v>
      </c>
      <c r="EP2" s="1442" t="str">
        <f>IFERROR(__xludf.DUMMYFUNCTION("""COMPUTED_VALUE"""),"Duration")</f>
        <v>Duration</v>
      </c>
      <c r="EQ2" s="1443" t="str">
        <f>IFERROR(__xludf.DUMMYFUNCTION("""COMPUTED_VALUE"""),"Cost")</f>
        <v>Cost</v>
      </c>
      <c r="ER2" s="1442" t="str">
        <f>IFERROR(__xludf.DUMMYFUNCTION("""COMPUTED_VALUE"""),"Duration")</f>
        <v>Duration</v>
      </c>
      <c r="ES2" s="1443" t="str">
        <f>IFERROR(__xludf.DUMMYFUNCTION("""COMPUTED_VALUE"""),"Cost")</f>
        <v>Cost</v>
      </c>
      <c r="ET2" s="1442" t="str">
        <f>IFERROR(__xludf.DUMMYFUNCTION("""COMPUTED_VALUE"""),"Duration")</f>
        <v>Duration</v>
      </c>
      <c r="EU2" s="1443" t="str">
        <f>IFERROR(__xludf.DUMMYFUNCTION("""COMPUTED_VALUE"""),"Cost")</f>
        <v>Cost</v>
      </c>
      <c r="EV2" s="1442" t="str">
        <f>IFERROR(__xludf.DUMMYFUNCTION("""COMPUTED_VALUE"""),"Duration")</f>
        <v>Duration</v>
      </c>
      <c r="EW2" s="1443" t="str">
        <f>IFERROR(__xludf.DUMMYFUNCTION("""COMPUTED_VALUE"""),"Cost")</f>
        <v>Cost</v>
      </c>
      <c r="EX2" s="1442" t="str">
        <f>IFERROR(__xludf.DUMMYFUNCTION("""COMPUTED_VALUE"""),"Duration")</f>
        <v>Duration</v>
      </c>
      <c r="EY2" s="1443" t="str">
        <f>IFERROR(__xludf.DUMMYFUNCTION("""COMPUTED_VALUE"""),"Cost")</f>
        <v>Cost</v>
      </c>
      <c r="EZ2" s="1442" t="str">
        <f>IFERROR(__xludf.DUMMYFUNCTION("""COMPUTED_VALUE"""),"Duration")</f>
        <v>Duration</v>
      </c>
      <c r="FA2" s="1443" t="str">
        <f>IFERROR(__xludf.DUMMYFUNCTION("""COMPUTED_VALUE"""),"Cost")</f>
        <v>Cost</v>
      </c>
      <c r="FB2" s="1442" t="str">
        <f>IFERROR(__xludf.DUMMYFUNCTION("""COMPUTED_VALUE"""),"Duration")</f>
        <v>Duration</v>
      </c>
      <c r="FC2" s="1443" t="str">
        <f>IFERROR(__xludf.DUMMYFUNCTION("""COMPUTED_VALUE"""),"Cost")</f>
        <v>Cost</v>
      </c>
      <c r="FD2" s="1442" t="str">
        <f>IFERROR(__xludf.DUMMYFUNCTION("""COMPUTED_VALUE"""),"Duration")</f>
        <v>Duration</v>
      </c>
      <c r="FE2" s="1443" t="str">
        <f>IFERROR(__xludf.DUMMYFUNCTION("""COMPUTED_VALUE"""),"Cost")</f>
        <v>Cost</v>
      </c>
      <c r="FF2" s="1442" t="str">
        <f>IFERROR(__xludf.DUMMYFUNCTION("""COMPUTED_VALUE"""),"Duration")</f>
        <v>Duration</v>
      </c>
      <c r="FG2" s="1444" t="str">
        <f>IFERROR(__xludf.DUMMYFUNCTION("""COMPUTED_VALUE"""),"Cost")</f>
        <v>Cost</v>
      </c>
      <c r="FH2" s="1445" t="str">
        <f>IFERROR(__xludf.DUMMYFUNCTION("""COMPUTED_VALUE"""),"Duration")</f>
        <v>Duration</v>
      </c>
      <c r="FI2" s="1444" t="str">
        <f>IFERROR(__xludf.DUMMYFUNCTION("""COMPUTED_VALUE"""),"Cost")</f>
        <v>Cost</v>
      </c>
      <c r="FJ2" s="1445" t="str">
        <f>IFERROR(__xludf.DUMMYFUNCTION("""COMPUTED_VALUE"""),"Duration")</f>
        <v>Duration</v>
      </c>
      <c r="FK2" s="1444" t="str">
        <f>IFERROR(__xludf.DUMMYFUNCTION("""COMPUTED_VALUE"""),"Cost")</f>
        <v>Cost</v>
      </c>
      <c r="FL2" s="1445" t="str">
        <f>IFERROR(__xludf.DUMMYFUNCTION("""COMPUTED_VALUE"""),"Duration")</f>
        <v>Duration</v>
      </c>
      <c r="FM2" s="1444" t="str">
        <f>IFERROR(__xludf.DUMMYFUNCTION("""COMPUTED_VALUE"""),"Cost")</f>
        <v>Cost</v>
      </c>
      <c r="FN2" s="1446" t="str">
        <f>IFERROR(__xludf.DUMMYFUNCTION("""COMPUTED_VALUE"""),"Duration")</f>
        <v>Duration</v>
      </c>
      <c r="FO2" s="1444" t="str">
        <f>IFERROR(__xludf.DUMMYFUNCTION("""COMPUTED_VALUE"""),"Cost")</f>
        <v>Cost</v>
      </c>
      <c r="FP2" s="1446" t="str">
        <f>IFERROR(__xludf.DUMMYFUNCTION("""COMPUTED_VALUE"""),"Duration")</f>
        <v>Duration</v>
      </c>
      <c r="FQ2" s="1447" t="str">
        <f>IFERROR(__xludf.DUMMYFUNCTION("""COMPUTED_VALUE"""),"Cost")</f>
        <v>Cost</v>
      </c>
      <c r="FR2" s="1446" t="str">
        <f>IFERROR(__xludf.DUMMYFUNCTION("""COMPUTED_VALUE"""),"Duration")</f>
        <v>Duration</v>
      </c>
      <c r="FS2" s="1447" t="str">
        <f>IFERROR(__xludf.DUMMYFUNCTION("""COMPUTED_VALUE"""),"Cost")</f>
        <v>Cost</v>
      </c>
      <c r="FT2" s="1446" t="str">
        <f>IFERROR(__xludf.DUMMYFUNCTION("""COMPUTED_VALUE"""),"Duration")</f>
        <v>Duration</v>
      </c>
      <c r="FU2" s="1444" t="str">
        <f>IFERROR(__xludf.DUMMYFUNCTION("""COMPUTED_VALUE"""),"Cost")</f>
        <v>Cost</v>
      </c>
      <c r="FV2" s="1446" t="str">
        <f>IFERROR(__xludf.DUMMYFUNCTION("""COMPUTED_VALUE"""),"Duration")</f>
        <v>Duration</v>
      </c>
      <c r="FW2" s="1444" t="str">
        <f>IFERROR(__xludf.DUMMYFUNCTION("""COMPUTED_VALUE"""),"Cost")</f>
        <v>Cost</v>
      </c>
      <c r="FX2" s="1446" t="str">
        <f>IFERROR(__xludf.DUMMYFUNCTION("""COMPUTED_VALUE"""),"Duration")</f>
        <v>Duration</v>
      </c>
      <c r="FY2" s="1444" t="str">
        <f>IFERROR(__xludf.DUMMYFUNCTION("""COMPUTED_VALUE"""),"Cost")</f>
        <v>Cost</v>
      </c>
      <c r="FZ2" s="1446" t="str">
        <f>IFERROR(__xludf.DUMMYFUNCTION("""COMPUTED_VALUE"""),"Duration")</f>
        <v>Duration</v>
      </c>
      <c r="GA2" s="1444" t="str">
        <f>IFERROR(__xludf.DUMMYFUNCTION("""COMPUTED_VALUE"""),"Cost")</f>
        <v>Cost</v>
      </c>
      <c r="GB2" s="1446" t="str">
        <f>IFERROR(__xludf.DUMMYFUNCTION("""COMPUTED_VALUE"""),"Duration")</f>
        <v>Duration</v>
      </c>
      <c r="GC2" s="1444" t="str">
        <f>IFERROR(__xludf.DUMMYFUNCTION("""COMPUTED_VALUE"""),"Cost")</f>
        <v>Cost</v>
      </c>
      <c r="GD2" s="1445" t="str">
        <f>IFERROR(__xludf.DUMMYFUNCTION("""COMPUTED_VALUE"""),"Duration")</f>
        <v>Duration</v>
      </c>
      <c r="GE2" s="1447" t="str">
        <f>IFERROR(__xludf.DUMMYFUNCTION("""COMPUTED_VALUE"""),"Cost")</f>
        <v>Cost</v>
      </c>
      <c r="GF2" s="1448" t="str">
        <f>IFERROR(__xludf.DUMMYFUNCTION("""COMPUTED_VALUE"""),"Duration")</f>
        <v>Duration</v>
      </c>
      <c r="GG2" s="1449" t="str">
        <f>IFERROR(__xludf.DUMMYFUNCTION("""COMPUTED_VALUE"""),"Cost")</f>
        <v>Cost</v>
      </c>
      <c r="GH2" s="1448" t="str">
        <f>IFERROR(__xludf.DUMMYFUNCTION("""COMPUTED_VALUE"""),"Duration")</f>
        <v>Duration</v>
      </c>
      <c r="GI2" s="1449" t="str">
        <f>IFERROR(__xludf.DUMMYFUNCTION("""COMPUTED_VALUE"""),"Cost")</f>
        <v>Cost</v>
      </c>
      <c r="GJ2" s="1448" t="str">
        <f>IFERROR(__xludf.DUMMYFUNCTION("""COMPUTED_VALUE"""),"Duration")</f>
        <v>Duration</v>
      </c>
      <c r="GK2" s="1449" t="str">
        <f>IFERROR(__xludf.DUMMYFUNCTION("""COMPUTED_VALUE"""),"Cost")</f>
        <v>Cost</v>
      </c>
      <c r="GL2" s="1448" t="str">
        <f>IFERROR(__xludf.DUMMYFUNCTION("""COMPUTED_VALUE"""),"Duration")</f>
        <v>Duration</v>
      </c>
      <c r="GM2" s="1449" t="str">
        <f>IFERROR(__xludf.DUMMYFUNCTION("""COMPUTED_VALUE"""),"Cost")</f>
        <v>Cost</v>
      </c>
      <c r="GN2" s="1448" t="str">
        <f>IFERROR(__xludf.DUMMYFUNCTION("""COMPUTED_VALUE"""),"Duration")</f>
        <v>Duration</v>
      </c>
      <c r="GO2" s="1449" t="str">
        <f>IFERROR(__xludf.DUMMYFUNCTION("""COMPUTED_VALUE"""),"Cost")</f>
        <v>Cost</v>
      </c>
      <c r="GP2" s="1448" t="str">
        <f>IFERROR(__xludf.DUMMYFUNCTION("""COMPUTED_VALUE"""),"Duration")</f>
        <v>Duration</v>
      </c>
      <c r="GQ2" s="1449" t="str">
        <f>IFERROR(__xludf.DUMMYFUNCTION("""COMPUTED_VALUE"""),"Cost")</f>
        <v>Cost</v>
      </c>
      <c r="GR2" s="1448" t="str">
        <f>IFERROR(__xludf.DUMMYFUNCTION("""COMPUTED_VALUE"""),"Duration")</f>
        <v>Duration</v>
      </c>
      <c r="GS2" s="1449" t="str">
        <f>IFERROR(__xludf.DUMMYFUNCTION("""COMPUTED_VALUE"""),"Cost")</f>
        <v>Cost</v>
      </c>
      <c r="GT2" s="1448" t="str">
        <f>IFERROR(__xludf.DUMMYFUNCTION("""COMPUTED_VALUE"""),"Duration")</f>
        <v>Duration</v>
      </c>
      <c r="GU2" s="1449" t="str">
        <f>IFERROR(__xludf.DUMMYFUNCTION("""COMPUTED_VALUE"""),"Cost")</f>
        <v>Cost</v>
      </c>
      <c r="GV2" s="1448" t="str">
        <f>IFERROR(__xludf.DUMMYFUNCTION("""COMPUTED_VALUE"""),"Duration")</f>
        <v>Duration</v>
      </c>
      <c r="GW2" s="1449" t="str">
        <f>IFERROR(__xludf.DUMMYFUNCTION("""COMPUTED_VALUE"""),"Cost")</f>
        <v>Cost</v>
      </c>
      <c r="GX2" s="1448" t="str">
        <f>IFERROR(__xludf.DUMMYFUNCTION("""COMPUTED_VALUE"""),"Duration")</f>
        <v>Duration</v>
      </c>
      <c r="GY2" s="1450" t="str">
        <f>IFERROR(__xludf.DUMMYFUNCTION("""COMPUTED_VALUE"""),"Cost")</f>
        <v>Cost</v>
      </c>
      <c r="GZ2" s="1451" t="str">
        <f>IFERROR(__xludf.DUMMYFUNCTION("""COMPUTED_VALUE"""),"Duration")</f>
        <v>Duration</v>
      </c>
      <c r="HA2" s="1452" t="str">
        <f>IFERROR(__xludf.DUMMYFUNCTION("""COMPUTED_VALUE"""),"Cost")</f>
        <v>Cost</v>
      </c>
      <c r="HB2" s="1451" t="str">
        <f>IFERROR(__xludf.DUMMYFUNCTION("""COMPUTED_VALUE"""),"Duration")</f>
        <v>Duration</v>
      </c>
      <c r="HC2" s="1452" t="str">
        <f>IFERROR(__xludf.DUMMYFUNCTION("""COMPUTED_VALUE"""),"Cost")</f>
        <v>Cost</v>
      </c>
      <c r="HD2" s="1451" t="str">
        <f>IFERROR(__xludf.DUMMYFUNCTION("""COMPUTED_VALUE"""),"Duration")</f>
        <v>Duration</v>
      </c>
      <c r="HE2" s="1452" t="str">
        <f>IFERROR(__xludf.DUMMYFUNCTION("""COMPUTED_VALUE"""),"Cost")</f>
        <v>Cost</v>
      </c>
      <c r="HF2" s="1451" t="str">
        <f>IFERROR(__xludf.DUMMYFUNCTION("""COMPUTED_VALUE"""),"Duration")</f>
        <v>Duration</v>
      </c>
      <c r="HG2" s="1452" t="str">
        <f>IFERROR(__xludf.DUMMYFUNCTION("""COMPUTED_VALUE"""),"Cost")</f>
        <v>Cost</v>
      </c>
      <c r="HH2" s="1451" t="str">
        <f>IFERROR(__xludf.DUMMYFUNCTION("""COMPUTED_VALUE"""),"Duration")</f>
        <v>Duration</v>
      </c>
      <c r="HI2" s="1452" t="str">
        <f>IFERROR(__xludf.DUMMYFUNCTION("""COMPUTED_VALUE"""),"Cost")</f>
        <v>Cost</v>
      </c>
      <c r="HJ2" s="1451" t="str">
        <f>IFERROR(__xludf.DUMMYFUNCTION("""COMPUTED_VALUE"""),"Duration")</f>
        <v>Duration</v>
      </c>
      <c r="HK2" s="1452" t="str">
        <f>IFERROR(__xludf.DUMMYFUNCTION("""COMPUTED_VALUE"""),"Cost")</f>
        <v>Cost</v>
      </c>
      <c r="HL2" s="1451" t="str">
        <f>IFERROR(__xludf.DUMMYFUNCTION("""COMPUTED_VALUE"""),"Duration")</f>
        <v>Duration</v>
      </c>
      <c r="HM2" s="1452" t="str">
        <f>IFERROR(__xludf.DUMMYFUNCTION("""COMPUTED_VALUE"""),"Cost")</f>
        <v>Cost</v>
      </c>
      <c r="HN2" s="1451" t="str">
        <f>IFERROR(__xludf.DUMMYFUNCTION("""COMPUTED_VALUE"""),"Duration")</f>
        <v>Duration</v>
      </c>
      <c r="HO2" s="1452" t="str">
        <f>IFERROR(__xludf.DUMMYFUNCTION("""COMPUTED_VALUE"""),"Cost")</f>
        <v>Cost</v>
      </c>
      <c r="HP2" s="1451" t="str">
        <f>IFERROR(__xludf.DUMMYFUNCTION("""COMPUTED_VALUE"""),"Duration")</f>
        <v>Duration</v>
      </c>
      <c r="HQ2" s="1452" t="str">
        <f>IFERROR(__xludf.DUMMYFUNCTION("""COMPUTED_VALUE"""),"Cost")</f>
        <v>Cost</v>
      </c>
      <c r="HR2" s="1453" t="str">
        <f>IFERROR(__xludf.DUMMYFUNCTION("""COMPUTED_VALUE"""),"Duration")</f>
        <v>Duration</v>
      </c>
      <c r="HS2" s="1454" t="str">
        <f>IFERROR(__xludf.DUMMYFUNCTION("""COMPUTED_VALUE"""),"Cost")</f>
        <v>Cost</v>
      </c>
      <c r="HT2" s="1455" t="str">
        <f>IFERROR(__xludf.DUMMYFUNCTION("""COMPUTED_VALUE"""),"Duration")</f>
        <v>Duration</v>
      </c>
      <c r="HU2" s="1456" t="str">
        <f>IFERROR(__xludf.DUMMYFUNCTION("""COMPUTED_VALUE"""),"Cost")</f>
        <v>Cost</v>
      </c>
      <c r="HV2" s="1455" t="str">
        <f>IFERROR(__xludf.DUMMYFUNCTION("""COMPUTED_VALUE"""),"Duration")</f>
        <v>Duration</v>
      </c>
      <c r="HW2" s="1456" t="str">
        <f>IFERROR(__xludf.DUMMYFUNCTION("""COMPUTED_VALUE"""),"Cost")</f>
        <v>Cost</v>
      </c>
      <c r="HX2" s="1455" t="str">
        <f>IFERROR(__xludf.DUMMYFUNCTION("""COMPUTED_VALUE"""),"Duration")</f>
        <v>Duration</v>
      </c>
      <c r="HY2" s="1456" t="str">
        <f>IFERROR(__xludf.DUMMYFUNCTION("""COMPUTED_VALUE"""),"Cost")</f>
        <v>Cost</v>
      </c>
      <c r="HZ2" s="1453" t="str">
        <f>IFERROR(__xludf.DUMMYFUNCTION("""COMPUTED_VALUE"""),"Duration")</f>
        <v>Duration</v>
      </c>
      <c r="IA2" s="1454" t="str">
        <f>IFERROR(__xludf.DUMMYFUNCTION("""COMPUTED_VALUE"""),"Cost")</f>
        <v>Cost</v>
      </c>
      <c r="IB2" s="1455" t="str">
        <f>IFERROR(__xludf.DUMMYFUNCTION("""COMPUTED_VALUE"""),"Duration")</f>
        <v>Duration</v>
      </c>
      <c r="IC2" s="1456" t="str">
        <f>IFERROR(__xludf.DUMMYFUNCTION("""COMPUTED_VALUE"""),"Cost")</f>
        <v>Cost</v>
      </c>
      <c r="ID2" s="1455" t="str">
        <f>IFERROR(__xludf.DUMMYFUNCTION("""COMPUTED_VALUE"""),"Duration")</f>
        <v>Duration</v>
      </c>
      <c r="IE2" s="1456" t="str">
        <f>IFERROR(__xludf.DUMMYFUNCTION("""COMPUTED_VALUE"""),"Cost")</f>
        <v>Cost</v>
      </c>
      <c r="IF2" s="1455" t="str">
        <f>IFERROR(__xludf.DUMMYFUNCTION("""COMPUTED_VALUE"""),"Duration")</f>
        <v>Duration</v>
      </c>
      <c r="IG2" s="1456" t="str">
        <f>IFERROR(__xludf.DUMMYFUNCTION("""COMPUTED_VALUE"""),"Cost")</f>
        <v>Cost</v>
      </c>
      <c r="IH2" s="1457" t="str">
        <f>IFERROR(__xludf.DUMMYFUNCTION("""COMPUTED_VALUE"""),"Duration")</f>
        <v>Duration</v>
      </c>
      <c r="II2" s="1458" t="str">
        <f>IFERROR(__xludf.DUMMYFUNCTION("""COMPUTED_VALUE"""),"Cost")</f>
        <v>Cost</v>
      </c>
      <c r="IJ2" s="1457" t="str">
        <f>IFERROR(__xludf.DUMMYFUNCTION("""COMPUTED_VALUE"""),"Duration")</f>
        <v>Duration</v>
      </c>
      <c r="IK2" s="1458" t="str">
        <f>IFERROR(__xludf.DUMMYFUNCTION("""COMPUTED_VALUE"""),"Cost")</f>
        <v>Cost</v>
      </c>
      <c r="IL2" s="1457" t="str">
        <f>IFERROR(__xludf.DUMMYFUNCTION("""COMPUTED_VALUE"""),"Duration")</f>
        <v>Duration</v>
      </c>
      <c r="IM2" s="1458" t="str">
        <f>IFERROR(__xludf.DUMMYFUNCTION("""COMPUTED_VALUE"""),"Cost")</f>
        <v>Cost</v>
      </c>
      <c r="IN2" s="1457" t="str">
        <f>IFERROR(__xludf.DUMMYFUNCTION("""COMPUTED_VALUE"""),"Duration")</f>
        <v>Duration</v>
      </c>
      <c r="IO2" s="1458" t="str">
        <f>IFERROR(__xludf.DUMMYFUNCTION("""COMPUTED_VALUE"""),"Cost")</f>
        <v>Cost</v>
      </c>
      <c r="IP2" s="1457" t="str">
        <f>IFERROR(__xludf.DUMMYFUNCTION("""COMPUTED_VALUE"""),"Duration")</f>
        <v>Duration</v>
      </c>
      <c r="IQ2" s="1458" t="str">
        <f>IFERROR(__xludf.DUMMYFUNCTION("""COMPUTED_VALUE"""),"Cost")</f>
        <v>Cost</v>
      </c>
      <c r="IR2" s="1457" t="str">
        <f>IFERROR(__xludf.DUMMYFUNCTION("""COMPUTED_VALUE"""),"Duration")</f>
        <v>Duration</v>
      </c>
      <c r="IS2" s="1458" t="str">
        <f>IFERROR(__xludf.DUMMYFUNCTION("""COMPUTED_VALUE"""),"Cost")</f>
        <v>Cost</v>
      </c>
      <c r="IT2" s="1457" t="str">
        <f>IFERROR(__xludf.DUMMYFUNCTION("""COMPUTED_VALUE"""),"Duration")</f>
        <v>Duration</v>
      </c>
      <c r="IU2" s="1458" t="str">
        <f>IFERROR(__xludf.DUMMYFUNCTION("""COMPUTED_VALUE"""),"Cost")</f>
        <v>Cost</v>
      </c>
      <c r="IV2" s="1457" t="str">
        <f>IFERROR(__xludf.DUMMYFUNCTION("""COMPUTED_VALUE"""),"Duration")</f>
        <v>Duration</v>
      </c>
      <c r="IW2" s="1458" t="str">
        <f>IFERROR(__xludf.DUMMYFUNCTION("""COMPUTED_VALUE"""),"Cost")</f>
        <v>Cost</v>
      </c>
      <c r="IX2" s="1457" t="str">
        <f>IFERROR(__xludf.DUMMYFUNCTION("""COMPUTED_VALUE"""),"Duration")</f>
        <v>Duration</v>
      </c>
      <c r="IY2" s="1458" t="str">
        <f>IFERROR(__xludf.DUMMYFUNCTION("""COMPUTED_VALUE"""),"Cost")</f>
        <v>Cost</v>
      </c>
      <c r="IZ2" s="1457" t="str">
        <f>IFERROR(__xludf.DUMMYFUNCTION("""COMPUTED_VALUE"""),"Duration")</f>
        <v>Duration</v>
      </c>
      <c r="JA2" s="1458" t="str">
        <f>IFERROR(__xludf.DUMMYFUNCTION("""COMPUTED_VALUE"""),"Cost")</f>
        <v>Cost</v>
      </c>
      <c r="JB2" s="1457" t="str">
        <f>IFERROR(__xludf.DUMMYFUNCTION("""COMPUTED_VALUE"""),"Duration")</f>
        <v>Duration</v>
      </c>
      <c r="JC2" s="1458" t="str">
        <f>IFERROR(__xludf.DUMMYFUNCTION("""COMPUTED_VALUE"""),"Cost")</f>
        <v>Cost</v>
      </c>
      <c r="JD2" s="1457" t="str">
        <f>IFERROR(__xludf.DUMMYFUNCTION("""COMPUTED_VALUE"""),"Duration")</f>
        <v>Duration</v>
      </c>
      <c r="JE2" s="1458" t="str">
        <f>IFERROR(__xludf.DUMMYFUNCTION("""COMPUTED_VALUE"""),"Cost")</f>
        <v>Cost</v>
      </c>
      <c r="JF2" s="1457" t="str">
        <f>IFERROR(__xludf.DUMMYFUNCTION("""COMPUTED_VALUE"""),"Duration")</f>
        <v>Duration</v>
      </c>
      <c r="JG2" s="1458" t="str">
        <f>IFERROR(__xludf.DUMMYFUNCTION("""COMPUTED_VALUE"""),"Cost")</f>
        <v>Cost</v>
      </c>
      <c r="JH2" s="1457" t="str">
        <f>IFERROR(__xludf.DUMMYFUNCTION("""COMPUTED_VALUE"""),"Duration")</f>
        <v>Duration</v>
      </c>
      <c r="JI2" s="1458" t="str">
        <f>IFERROR(__xludf.DUMMYFUNCTION("""COMPUTED_VALUE"""),"Cost")</f>
        <v>Cost</v>
      </c>
      <c r="JJ2" s="1457" t="str">
        <f>IFERROR(__xludf.DUMMYFUNCTION("""COMPUTED_VALUE"""),"Duration")</f>
        <v>Duration</v>
      </c>
      <c r="JK2" s="1458" t="str">
        <f>IFERROR(__xludf.DUMMYFUNCTION("""COMPUTED_VALUE"""),"Cost")</f>
        <v>Cost</v>
      </c>
      <c r="JL2" s="1457" t="str">
        <f>IFERROR(__xludf.DUMMYFUNCTION("""COMPUTED_VALUE"""),"Duration")</f>
        <v>Duration</v>
      </c>
      <c r="JM2" s="1458" t="str">
        <f>IFERROR(__xludf.DUMMYFUNCTION("""COMPUTED_VALUE"""),"Cost")</f>
        <v>Cost</v>
      </c>
      <c r="JN2" s="1457" t="str">
        <f>IFERROR(__xludf.DUMMYFUNCTION("""COMPUTED_VALUE"""),"Duration")</f>
        <v>Duration</v>
      </c>
      <c r="JO2" s="1458" t="str">
        <f>IFERROR(__xludf.DUMMYFUNCTION("""COMPUTED_VALUE"""),"Cost")</f>
        <v>Cost</v>
      </c>
      <c r="JP2" s="1457" t="str">
        <f>IFERROR(__xludf.DUMMYFUNCTION("""COMPUTED_VALUE"""),"Duration")</f>
        <v>Duration</v>
      </c>
      <c r="JQ2" s="1458" t="str">
        <f>IFERROR(__xludf.DUMMYFUNCTION("""COMPUTED_VALUE"""),"Cost")</f>
        <v>Cost</v>
      </c>
      <c r="JR2" s="1457" t="str">
        <f>IFERROR(__xludf.DUMMYFUNCTION("""COMPUTED_VALUE"""),"Duration")</f>
        <v>Duration</v>
      </c>
      <c r="JS2" s="1458" t="str">
        <f>IFERROR(__xludf.DUMMYFUNCTION("""COMPUTED_VALUE"""),"Cost")</f>
        <v>Cost</v>
      </c>
      <c r="JT2" s="1457" t="str">
        <f>IFERROR(__xludf.DUMMYFUNCTION("""COMPUTED_VALUE"""),"Duration")</f>
        <v>Duration</v>
      </c>
      <c r="JU2" s="1458" t="str">
        <f>IFERROR(__xludf.DUMMYFUNCTION("""COMPUTED_VALUE"""),"Cost")</f>
        <v>Cost</v>
      </c>
      <c r="JV2" s="1457" t="str">
        <f>IFERROR(__xludf.DUMMYFUNCTION("""COMPUTED_VALUE"""),"Duration")</f>
        <v>Duration</v>
      </c>
      <c r="JW2" s="1458" t="str">
        <f>IFERROR(__xludf.DUMMYFUNCTION("""COMPUTED_VALUE"""),"Cost")</f>
        <v>Cost</v>
      </c>
      <c r="JX2" s="1459" t="str">
        <f>IFERROR(__xludf.DUMMYFUNCTION("""COMPUTED_VALUE"""),"Duration")</f>
        <v>Duration</v>
      </c>
      <c r="JY2" s="1460" t="str">
        <f>IFERROR(__xludf.DUMMYFUNCTION("""COMPUTED_VALUE"""),"Cost")</f>
        <v>Cost</v>
      </c>
      <c r="JZ2" s="1461" t="str">
        <f>IFERROR(__xludf.DUMMYFUNCTION("""COMPUTED_VALUE"""),"Duration")</f>
        <v>Duration</v>
      </c>
      <c r="KA2" s="1462" t="str">
        <f>IFERROR(__xludf.DUMMYFUNCTION("""COMPUTED_VALUE"""),"Cost")</f>
        <v>Cost</v>
      </c>
      <c r="KB2" s="1459" t="str">
        <f>IFERROR(__xludf.DUMMYFUNCTION("""COMPUTED_VALUE"""),"Duration")</f>
        <v>Duration</v>
      </c>
      <c r="KC2" s="1460" t="str">
        <f>IFERROR(__xludf.DUMMYFUNCTION("""COMPUTED_VALUE"""),"Cost")</f>
        <v>Cost</v>
      </c>
      <c r="KD2" s="1459" t="str">
        <f>IFERROR(__xludf.DUMMYFUNCTION("""COMPUTED_VALUE"""),"Duration")</f>
        <v>Duration</v>
      </c>
      <c r="KE2" s="1460" t="str">
        <f>IFERROR(__xludf.DUMMYFUNCTION("""COMPUTED_VALUE"""),"Cost")</f>
        <v>Cost</v>
      </c>
      <c r="KF2" s="1463" t="str">
        <f>IFERROR(__xludf.DUMMYFUNCTION("""COMPUTED_VALUE"""),"Duration")</f>
        <v>Duration</v>
      </c>
      <c r="KG2" s="1460" t="str">
        <f>IFERROR(__xludf.DUMMYFUNCTION("""COMPUTED_VALUE"""),"Cost")</f>
        <v>Cost</v>
      </c>
      <c r="KH2" s="1463" t="str">
        <f>IFERROR(__xludf.DUMMYFUNCTION("""COMPUTED_VALUE"""),"Duration")</f>
        <v>Duration</v>
      </c>
      <c r="KI2" s="1460" t="str">
        <f>IFERROR(__xludf.DUMMYFUNCTION("""COMPUTED_VALUE"""),"Cost")</f>
        <v>Cost</v>
      </c>
      <c r="KJ2" s="1464" t="str">
        <f>IFERROR(__xludf.DUMMYFUNCTION("""COMPUTED_VALUE"""),"Duration")</f>
        <v>Duration</v>
      </c>
      <c r="KK2" s="1460" t="str">
        <f>IFERROR(__xludf.DUMMYFUNCTION("""COMPUTED_VALUE"""),"Cost")</f>
        <v>Cost</v>
      </c>
      <c r="KL2" s="1464" t="str">
        <f>IFERROR(__xludf.DUMMYFUNCTION("""COMPUTED_VALUE"""),"Duration")</f>
        <v>Duration</v>
      </c>
      <c r="KM2" s="1460" t="str">
        <f>IFERROR(__xludf.DUMMYFUNCTION("""COMPUTED_VALUE"""),"Cost")</f>
        <v>Cost</v>
      </c>
      <c r="KN2" s="1464" t="str">
        <f>IFERROR(__xludf.DUMMYFUNCTION("""COMPUTED_VALUE"""),"Duration")</f>
        <v>Duration</v>
      </c>
      <c r="KO2" s="1460" t="str">
        <f>IFERROR(__xludf.DUMMYFUNCTION("""COMPUTED_VALUE"""),"Cost")</f>
        <v>Cost</v>
      </c>
      <c r="KP2" s="1464" t="str">
        <f>IFERROR(__xludf.DUMMYFUNCTION("""COMPUTED_VALUE"""),"Duration")</f>
        <v>Duration</v>
      </c>
      <c r="KQ2" s="1460" t="str">
        <f>IFERROR(__xludf.DUMMYFUNCTION("""COMPUTED_VALUE"""),"Cost")</f>
        <v>Cost</v>
      </c>
      <c r="KR2" s="1464" t="str">
        <f>IFERROR(__xludf.DUMMYFUNCTION("""COMPUTED_VALUE"""),"Duration")</f>
        <v>Duration</v>
      </c>
      <c r="KS2" s="1460" t="str">
        <f>IFERROR(__xludf.DUMMYFUNCTION("""COMPUTED_VALUE"""),"Cost")</f>
        <v>Cost</v>
      </c>
      <c r="KT2" s="1464" t="str">
        <f>IFERROR(__xludf.DUMMYFUNCTION("""COMPUTED_VALUE"""),"Duration")</f>
        <v>Duration</v>
      </c>
      <c r="KU2" s="1460" t="str">
        <f>IFERROR(__xludf.DUMMYFUNCTION("""COMPUTED_VALUE"""),"Cost")</f>
        <v>Cost</v>
      </c>
      <c r="KV2" s="1464" t="str">
        <f>IFERROR(__xludf.DUMMYFUNCTION("""COMPUTED_VALUE"""),"Duration")</f>
        <v>Duration</v>
      </c>
      <c r="KW2" s="1460" t="str">
        <f>IFERROR(__xludf.DUMMYFUNCTION("""COMPUTED_VALUE"""),"Cost")</f>
        <v>Cost</v>
      </c>
      <c r="KX2" s="1464" t="str">
        <f>IFERROR(__xludf.DUMMYFUNCTION("""COMPUTED_VALUE"""),"Duration")</f>
        <v>Duration</v>
      </c>
      <c r="KY2" s="1460" t="str">
        <f>IFERROR(__xludf.DUMMYFUNCTION("""COMPUTED_VALUE"""),"Cost")</f>
        <v>Cost</v>
      </c>
      <c r="KZ2" s="1464" t="str">
        <f>IFERROR(__xludf.DUMMYFUNCTION("""COMPUTED_VALUE"""),"Duration")</f>
        <v>Duration</v>
      </c>
      <c r="LA2" s="1460" t="str">
        <f>IFERROR(__xludf.DUMMYFUNCTION("""COMPUTED_VALUE"""),"Cost")</f>
        <v>Cost</v>
      </c>
      <c r="LB2" s="1464" t="str">
        <f>IFERROR(__xludf.DUMMYFUNCTION("""COMPUTED_VALUE"""),"Duration")</f>
        <v>Duration</v>
      </c>
      <c r="LC2" s="1460" t="str">
        <f>IFERROR(__xludf.DUMMYFUNCTION("""COMPUTED_VALUE"""),"Cost")</f>
        <v>Cost</v>
      </c>
      <c r="LD2" s="1464" t="str">
        <f>IFERROR(__xludf.DUMMYFUNCTION("""COMPUTED_VALUE"""),"Duration")</f>
        <v>Duration</v>
      </c>
      <c r="LE2" s="1460" t="str">
        <f>IFERROR(__xludf.DUMMYFUNCTION("""COMPUTED_VALUE"""),"Cost")</f>
        <v>Cost</v>
      </c>
      <c r="LF2" s="1464" t="str">
        <f>IFERROR(__xludf.DUMMYFUNCTION("""COMPUTED_VALUE"""),"Duration")</f>
        <v>Duration</v>
      </c>
      <c r="LG2" s="1460" t="str">
        <f>IFERROR(__xludf.DUMMYFUNCTION("""COMPUTED_VALUE"""),"Cost")</f>
        <v>Cost</v>
      </c>
      <c r="LH2" s="1464" t="str">
        <f>IFERROR(__xludf.DUMMYFUNCTION("""COMPUTED_VALUE"""),"Duration")</f>
        <v>Duration</v>
      </c>
      <c r="LI2" s="1460" t="str">
        <f>IFERROR(__xludf.DUMMYFUNCTION("""COMPUTED_VALUE"""),"Cost")</f>
        <v>Cost</v>
      </c>
      <c r="LJ2" s="1464" t="str">
        <f>IFERROR(__xludf.DUMMYFUNCTION("""COMPUTED_VALUE"""),"Duration")</f>
        <v>Duration</v>
      </c>
      <c r="LK2" s="1460" t="str">
        <f>IFERROR(__xludf.DUMMYFUNCTION("""COMPUTED_VALUE"""),"Cost")</f>
        <v>Cost</v>
      </c>
      <c r="LL2" s="1448" t="str">
        <f>IFERROR(__xludf.DUMMYFUNCTION("""COMPUTED_VALUE"""),"Duration")</f>
        <v>Duration</v>
      </c>
      <c r="LM2" s="1449" t="str">
        <f>IFERROR(__xludf.DUMMYFUNCTION("""COMPUTED_VALUE"""),"Cost")</f>
        <v>Cost</v>
      </c>
      <c r="LN2" s="1448" t="str">
        <f>IFERROR(__xludf.DUMMYFUNCTION("""COMPUTED_VALUE"""),"Duration")</f>
        <v>Duration</v>
      </c>
      <c r="LO2" s="1449" t="str">
        <f>IFERROR(__xludf.DUMMYFUNCTION("""COMPUTED_VALUE"""),"Cost")</f>
        <v>Cost</v>
      </c>
      <c r="LP2" s="1448" t="str">
        <f>IFERROR(__xludf.DUMMYFUNCTION("""COMPUTED_VALUE"""),"Duration")</f>
        <v>Duration</v>
      </c>
      <c r="LQ2" s="1449" t="str">
        <f>IFERROR(__xludf.DUMMYFUNCTION("""COMPUTED_VALUE"""),"Cost")</f>
        <v>Cost</v>
      </c>
      <c r="LR2" s="1448" t="str">
        <f>IFERROR(__xludf.DUMMYFUNCTION("""COMPUTED_VALUE"""),"Duration")</f>
        <v>Duration</v>
      </c>
      <c r="LS2" s="1449" t="str">
        <f>IFERROR(__xludf.DUMMYFUNCTION("""COMPUTED_VALUE"""),"Cost")</f>
        <v>Cost</v>
      </c>
      <c r="LT2" s="1448" t="str">
        <f>IFERROR(__xludf.DUMMYFUNCTION("""COMPUTED_VALUE"""),"Duration")</f>
        <v>Duration</v>
      </c>
      <c r="LU2" s="1449" t="str">
        <f>IFERROR(__xludf.DUMMYFUNCTION("""COMPUTED_VALUE"""),"Cost")</f>
        <v>Cost</v>
      </c>
      <c r="LV2" s="1448" t="str">
        <f>IFERROR(__xludf.DUMMYFUNCTION("""COMPUTED_VALUE"""),"Duration")</f>
        <v>Duration</v>
      </c>
      <c r="LW2" s="1449" t="str">
        <f>IFERROR(__xludf.DUMMYFUNCTION("""COMPUTED_VALUE"""),"Cost")</f>
        <v>Cost</v>
      </c>
      <c r="LX2" s="1448" t="str">
        <f>IFERROR(__xludf.DUMMYFUNCTION("""COMPUTED_VALUE"""),"Duration")</f>
        <v>Duration</v>
      </c>
      <c r="LY2" s="1449" t="str">
        <f>IFERROR(__xludf.DUMMYFUNCTION("""COMPUTED_VALUE"""),"Cost")</f>
        <v>Cost</v>
      </c>
      <c r="LZ2" s="1448" t="str">
        <f>IFERROR(__xludf.DUMMYFUNCTION("""COMPUTED_VALUE"""),"Duration")</f>
        <v>Duration</v>
      </c>
      <c r="MA2" s="1449" t="str">
        <f>IFERROR(__xludf.DUMMYFUNCTION("""COMPUTED_VALUE"""),"Cost")</f>
        <v>Cost</v>
      </c>
      <c r="MB2" s="1448" t="str">
        <f>IFERROR(__xludf.DUMMYFUNCTION("""COMPUTED_VALUE"""),"Duration")</f>
        <v>Duration</v>
      </c>
      <c r="MC2" s="1449" t="str">
        <f>IFERROR(__xludf.DUMMYFUNCTION("""COMPUTED_VALUE"""),"Cost")</f>
        <v>Cost</v>
      </c>
      <c r="MD2" s="1448" t="str">
        <f>IFERROR(__xludf.DUMMYFUNCTION("""COMPUTED_VALUE"""),"Duration")</f>
        <v>Duration</v>
      </c>
      <c r="ME2" s="1449" t="str">
        <f>IFERROR(__xludf.DUMMYFUNCTION("""COMPUTED_VALUE"""),"Cost")</f>
        <v>Cost</v>
      </c>
      <c r="MF2" s="1448" t="str">
        <f>IFERROR(__xludf.DUMMYFUNCTION("""COMPUTED_VALUE"""),"Duration")</f>
        <v>Duration</v>
      </c>
      <c r="MG2" s="1449" t="str">
        <f>IFERROR(__xludf.DUMMYFUNCTION("""COMPUTED_VALUE"""),"Cost")</f>
        <v>Cost</v>
      </c>
      <c r="MH2" s="1448" t="str">
        <f>IFERROR(__xludf.DUMMYFUNCTION("""COMPUTED_VALUE"""),"Duration")</f>
        <v>Duration</v>
      </c>
      <c r="MI2" s="1449" t="str">
        <f>IFERROR(__xludf.DUMMYFUNCTION("""COMPUTED_VALUE"""),"Cost")</f>
        <v>Cost</v>
      </c>
      <c r="MJ2" s="1448" t="str">
        <f>IFERROR(__xludf.DUMMYFUNCTION("""COMPUTED_VALUE"""),"Duration")</f>
        <v>Duration</v>
      </c>
      <c r="MK2" s="1449" t="str">
        <f>IFERROR(__xludf.DUMMYFUNCTION("""COMPUTED_VALUE"""),"Cost")</f>
        <v>Cost</v>
      </c>
      <c r="ML2" s="1448" t="str">
        <f>IFERROR(__xludf.DUMMYFUNCTION("""COMPUTED_VALUE"""),"Duration")</f>
        <v>Duration</v>
      </c>
      <c r="MM2" s="1449" t="str">
        <f>IFERROR(__xludf.DUMMYFUNCTION("""COMPUTED_VALUE"""),"Cost")</f>
        <v>Cost</v>
      </c>
      <c r="MN2" s="1448" t="str">
        <f>IFERROR(__xludf.DUMMYFUNCTION("""COMPUTED_VALUE"""),"Duration")</f>
        <v>Duration</v>
      </c>
      <c r="MO2" s="1449" t="str">
        <f>IFERROR(__xludf.DUMMYFUNCTION("""COMPUTED_VALUE"""),"Cost")</f>
        <v>Cost</v>
      </c>
      <c r="MP2" s="1448" t="str">
        <f>IFERROR(__xludf.DUMMYFUNCTION("""COMPUTED_VALUE"""),"Duration")</f>
        <v>Duration</v>
      </c>
      <c r="MQ2" s="1449" t="str">
        <f>IFERROR(__xludf.DUMMYFUNCTION("""COMPUTED_VALUE"""),"Cost")</f>
        <v>Cost</v>
      </c>
      <c r="MR2" s="1448" t="str">
        <f>IFERROR(__xludf.DUMMYFUNCTION("""COMPUTED_VALUE"""),"Duration")</f>
        <v>Duration</v>
      </c>
      <c r="MS2" s="1449" t="str">
        <f>IFERROR(__xludf.DUMMYFUNCTION("""COMPUTED_VALUE"""),"Cost")</f>
        <v>Cost</v>
      </c>
      <c r="MT2" s="1448" t="str">
        <f>IFERROR(__xludf.DUMMYFUNCTION("""COMPUTED_VALUE"""),"Duration")</f>
        <v>Duration</v>
      </c>
      <c r="MU2" s="1449" t="str">
        <f>IFERROR(__xludf.DUMMYFUNCTION("""COMPUTED_VALUE"""),"Cost")</f>
        <v>Cost</v>
      </c>
      <c r="MV2" s="1448" t="str">
        <f>IFERROR(__xludf.DUMMYFUNCTION("""COMPUTED_VALUE"""),"Duration")</f>
        <v>Duration</v>
      </c>
      <c r="MW2" s="1449" t="str">
        <f>IFERROR(__xludf.DUMMYFUNCTION("""COMPUTED_VALUE"""),"Cost")</f>
        <v>Cost</v>
      </c>
      <c r="MX2" s="1448" t="str">
        <f>IFERROR(__xludf.DUMMYFUNCTION("""COMPUTED_VALUE"""),"Duration")</f>
        <v>Duration</v>
      </c>
      <c r="MY2" s="1449" t="str">
        <f>IFERROR(__xludf.DUMMYFUNCTION("""COMPUTED_VALUE"""),"Cost")</f>
        <v>Cost</v>
      </c>
    </row>
    <row r="3">
      <c r="A3" s="1465">
        <f>IFERROR(__xludf.DUMMYFUNCTION("""COMPUTED_VALUE"""),1.0)</f>
        <v>1</v>
      </c>
      <c r="B3" s="1466">
        <f>IFERROR(__xludf.DUMMYFUNCTION("""COMPUTED_VALUE"""),0.0069328703703703705)</f>
        <v>0.00693287037</v>
      </c>
      <c r="C3" s="1467">
        <f>IFERROR(__xludf.DUMMYFUNCTION("""COMPUTED_VALUE"""),300.0)</f>
        <v>300</v>
      </c>
      <c r="D3" s="1466">
        <f>IFERROR(__xludf.DUMMYFUNCTION("""COMPUTED_VALUE"""),1.6203703703703703E-4)</f>
        <v>0.000162037037</v>
      </c>
      <c r="E3" s="1467">
        <f>IFERROR(__xludf.DUMMYFUNCTION("""COMPUTED_VALUE"""),30.0)</f>
        <v>30</v>
      </c>
      <c r="F3" s="1466">
        <f>IFERROR(__xludf.DUMMYFUNCTION("""COMPUTED_VALUE"""),1.6203703703703703E-4)</f>
        <v>0.000162037037</v>
      </c>
      <c r="G3" s="1468">
        <f>IFERROR(__xludf.DUMMYFUNCTION("""COMPUTED_VALUE"""),30.0)</f>
        <v>30</v>
      </c>
      <c r="H3" s="1466">
        <f>IFERROR(__xludf.DUMMYFUNCTION("""COMPUTED_VALUE"""),1.6203703703703703E-4)</f>
        <v>0.000162037037</v>
      </c>
      <c r="I3" s="1467">
        <f>IFERROR(__xludf.DUMMYFUNCTION("""COMPUTED_VALUE"""),30.0)</f>
        <v>30</v>
      </c>
      <c r="J3" s="1466">
        <f>IFERROR(__xludf.DUMMYFUNCTION("""COMPUTED_VALUE"""),1.6203703703703703E-4)</f>
        <v>0.000162037037</v>
      </c>
      <c r="K3" s="1467">
        <f>IFERROR(__xludf.DUMMYFUNCTION("""COMPUTED_VALUE"""),30.0)</f>
        <v>30</v>
      </c>
      <c r="L3" s="1466">
        <f>IFERROR(__xludf.DUMMYFUNCTION("""COMPUTED_VALUE"""),2.199074074074074E-4)</f>
        <v>0.0002199074074</v>
      </c>
      <c r="M3" s="1469">
        <f>IFERROR(__xludf.DUMMYFUNCTION("""COMPUTED_VALUE"""),40.0)</f>
        <v>40</v>
      </c>
      <c r="N3" s="1470">
        <f>IFERROR(__xludf.DUMMYFUNCTION("""COMPUTED_VALUE"""),2.777777777777778E-4)</f>
        <v>0.0002777777778</v>
      </c>
      <c r="O3" s="1467">
        <f>IFERROR(__xludf.DUMMYFUNCTION("""COMPUTED_VALUE"""),40.0)</f>
        <v>40</v>
      </c>
      <c r="P3" s="1466">
        <f>IFERROR(__xludf.DUMMYFUNCTION("""COMPUTED_VALUE"""),0.04165509259259259)</f>
        <v>0.04165509259</v>
      </c>
      <c r="Q3" s="1467">
        <f>IFERROR(__xludf.DUMMYFUNCTION("""COMPUTED_VALUE"""),2500.0)</f>
        <v>2500</v>
      </c>
      <c r="R3" s="1466">
        <f>IFERROR(__xludf.DUMMYFUNCTION("""COMPUTED_VALUE"""),0.49930555555555556)</f>
        <v>0.4993055556</v>
      </c>
      <c r="S3" s="1467">
        <f>IFERROR(__xludf.DUMMYFUNCTION("""COMPUTED_VALUE"""),250000.0)</f>
        <v>250000</v>
      </c>
      <c r="T3" s="1471">
        <f>IFERROR(__xludf.DUMMYFUNCTION("""COMPUTED_VALUE"""),1.9993055555555554)</f>
        <v>1.999305556</v>
      </c>
      <c r="U3" s="1472">
        <f>IFERROR(__xludf.DUMMYFUNCTION("""COMPUTED_VALUE"""),1000000.0)</f>
        <v>1000000</v>
      </c>
      <c r="V3" s="1466">
        <f>IFERROR(__xludf.DUMMYFUNCTION("""COMPUTED_VALUE"""),0.5784722222222223)</f>
        <v>0.5784722222</v>
      </c>
      <c r="W3" s="1467">
        <f>IFERROR(__xludf.DUMMYFUNCTION("""COMPUTED_VALUE"""),350000.0)</f>
        <v>350000</v>
      </c>
      <c r="X3" s="1466">
        <f>IFERROR(__xludf.DUMMYFUNCTION("""COMPUTED_VALUE"""),2.5458333333333334)</f>
        <v>2.545833333</v>
      </c>
      <c r="Y3" s="1467">
        <f>IFERROR(__xludf.DUMMYFUNCTION("""COMPUTED_VALUE"""),3000000.0)</f>
        <v>3000000</v>
      </c>
      <c r="Z3" s="1473">
        <f>IFERROR(__xludf.DUMMYFUNCTION("""COMPUTED_VALUE"""),1.6666550925925927)</f>
        <v>1.666655093</v>
      </c>
      <c r="AA3" s="1467">
        <f>IFERROR(__xludf.DUMMYFUNCTION("""COMPUTED_VALUE"""),2.0E7)</f>
        <v>20000000</v>
      </c>
      <c r="AB3" s="1473">
        <f>IFERROR(__xludf.DUMMYFUNCTION("""COMPUTED_VALUE"""),6.666655092592593)</f>
        <v>6.666655093</v>
      </c>
      <c r="AC3" s="1467">
        <f>IFERROR(__xludf.DUMMYFUNCTION("""COMPUTED_VALUE"""),5.0E9)</f>
        <v>5000000000</v>
      </c>
      <c r="AD3" s="1466">
        <f>IFERROR(__xludf.DUMMYFUNCTION("""COMPUTED_VALUE"""),1.0798611111111112)</f>
        <v>1.079861111</v>
      </c>
      <c r="AE3" s="1474">
        <f>IFERROR(__xludf.DUMMYFUNCTION("""COMPUTED_VALUE"""),1.0E9)</f>
        <v>1000000000</v>
      </c>
      <c r="AF3" s="1466">
        <f>IFERROR(__xludf.DUMMYFUNCTION("""COMPUTED_VALUE"""),1.0798611111111112)</f>
        <v>1.079861111</v>
      </c>
      <c r="AG3" s="1474">
        <f>IFERROR(__xludf.DUMMYFUNCTION("""COMPUTED_VALUE"""),1.0E9)</f>
        <v>1000000000</v>
      </c>
      <c r="AH3" s="1466">
        <f>IFERROR(__xludf.DUMMYFUNCTION("""COMPUTED_VALUE"""),1.0798611111111112)</f>
        <v>1.079861111</v>
      </c>
      <c r="AI3" s="1474">
        <f>IFERROR(__xludf.DUMMYFUNCTION("""COMPUTED_VALUE"""),1.0E9)</f>
        <v>1000000000</v>
      </c>
      <c r="AJ3" s="1475">
        <f>IFERROR(__xludf.DUMMYFUNCTION("""COMPUTED_VALUE"""),1.6203703703703703E-4)</f>
        <v>0.000162037037</v>
      </c>
      <c r="AK3" s="1476">
        <f>IFERROR(__xludf.DUMMYFUNCTION("""COMPUTED_VALUE"""),30.0)</f>
        <v>30</v>
      </c>
      <c r="AL3" s="1475">
        <f>IFERROR(__xludf.DUMMYFUNCTION("""COMPUTED_VALUE"""),1.6203703703703703E-4)</f>
        <v>0.000162037037</v>
      </c>
      <c r="AM3" s="1476">
        <f>IFERROR(__xludf.DUMMYFUNCTION("""COMPUTED_VALUE"""),30.0)</f>
        <v>30</v>
      </c>
      <c r="AN3" s="1475">
        <f>IFERROR(__xludf.DUMMYFUNCTION("""COMPUTED_VALUE"""),1.6203703703703703E-4)</f>
        <v>0.000162037037</v>
      </c>
      <c r="AO3" s="1476">
        <f>IFERROR(__xludf.DUMMYFUNCTION("""COMPUTED_VALUE"""),30.0)</f>
        <v>30</v>
      </c>
      <c r="AP3" s="1475">
        <f>IFERROR(__xludf.DUMMYFUNCTION("""COMPUTED_VALUE"""),1.6203703703703703E-4)</f>
        <v>0.000162037037</v>
      </c>
      <c r="AQ3" s="1476">
        <f>IFERROR(__xludf.DUMMYFUNCTION("""COMPUTED_VALUE"""),30.0)</f>
        <v>30</v>
      </c>
      <c r="AR3" s="1475">
        <f>IFERROR(__xludf.DUMMYFUNCTION("""COMPUTED_VALUE"""),1.6203703703703703E-4)</f>
        <v>0.000162037037</v>
      </c>
      <c r="AS3" s="1476">
        <f>IFERROR(__xludf.DUMMYFUNCTION("""COMPUTED_VALUE"""),30.0)</f>
        <v>30</v>
      </c>
      <c r="AT3" s="1475">
        <f>IFERROR(__xludf.DUMMYFUNCTION("""COMPUTED_VALUE"""),1.1569444444444446)</f>
        <v>1.156944444</v>
      </c>
      <c r="AU3" s="1476">
        <f>IFERROR(__xludf.DUMMYFUNCTION("""COMPUTED_VALUE"""),200000.0)</f>
        <v>200000</v>
      </c>
      <c r="AV3" s="1475">
        <f>IFERROR(__xludf.DUMMYFUNCTION("""COMPUTED_VALUE"""),1.1569444444444446)</f>
        <v>1.156944444</v>
      </c>
      <c r="AW3" s="1476">
        <f>IFERROR(__xludf.DUMMYFUNCTION("""COMPUTED_VALUE"""),200000.0)</f>
        <v>200000</v>
      </c>
      <c r="AX3" s="1475">
        <f>IFERROR(__xludf.DUMMYFUNCTION("""COMPUTED_VALUE"""),3.4715277777777778)</f>
        <v>3.471527778</v>
      </c>
      <c r="AY3" s="1476">
        <f>IFERROR(__xludf.DUMMYFUNCTION("""COMPUTED_VALUE"""),2.0E11)</f>
        <v>200000000000</v>
      </c>
      <c r="AZ3" s="1475">
        <f>IFERROR(__xludf.DUMMYFUNCTION("""COMPUTED_VALUE"""),0.8326388888888889)</f>
        <v>0.8326388889</v>
      </c>
      <c r="BA3" s="1476">
        <f>IFERROR(__xludf.DUMMYFUNCTION("""COMPUTED_VALUE"""),3000000.0)</f>
        <v>3000000</v>
      </c>
      <c r="BB3" s="1477">
        <f>IFERROR(__xludf.DUMMYFUNCTION("""COMPUTED_VALUE"""),1.6203703703703703E-4)</f>
        <v>0.000162037037</v>
      </c>
      <c r="BC3" s="1478">
        <f>IFERROR(__xludf.DUMMYFUNCTION("""COMPUTED_VALUE"""),30.0)</f>
        <v>30</v>
      </c>
      <c r="BD3" s="1477">
        <f>IFERROR(__xludf.DUMMYFUNCTION("""COMPUTED_VALUE"""),1.6203703703703703E-4)</f>
        <v>0.000162037037</v>
      </c>
      <c r="BE3" s="1478">
        <f>IFERROR(__xludf.DUMMYFUNCTION("""COMPUTED_VALUE"""),30.0)</f>
        <v>30</v>
      </c>
      <c r="BF3" s="1477">
        <f>IFERROR(__xludf.DUMMYFUNCTION("""COMPUTED_VALUE"""),1.6203703703703703E-4)</f>
        <v>0.000162037037</v>
      </c>
      <c r="BG3" s="1478">
        <f>IFERROR(__xludf.DUMMYFUNCTION("""COMPUTED_VALUE"""),30.0)</f>
        <v>30</v>
      </c>
      <c r="BH3" s="1477">
        <f>IFERROR(__xludf.DUMMYFUNCTION("""COMPUTED_VALUE"""),0.04165509259259259)</f>
        <v>0.04165509259</v>
      </c>
      <c r="BI3" s="1478">
        <f>IFERROR(__xludf.DUMMYFUNCTION("""COMPUTED_VALUE"""),5000.0)</f>
        <v>5000</v>
      </c>
      <c r="BJ3" s="1477">
        <f>IFERROR(__xludf.DUMMYFUNCTION("""COMPUTED_VALUE"""),0.05486111111111111)</f>
        <v>0.05486111111</v>
      </c>
      <c r="BK3" s="1478">
        <f>IFERROR(__xludf.DUMMYFUNCTION("""COMPUTED_VALUE"""),15000.0)</f>
        <v>15000</v>
      </c>
      <c r="BL3" s="1477">
        <f>IFERROR(__xludf.DUMMYFUNCTION("""COMPUTED_VALUE"""),0.06875)</f>
        <v>0.06875</v>
      </c>
      <c r="BM3" s="1478">
        <f>IFERROR(__xludf.DUMMYFUNCTION("""COMPUTED_VALUE"""),25000.0)</f>
        <v>25000</v>
      </c>
      <c r="BN3" s="1477">
        <f>IFERROR(__xludf.DUMMYFUNCTION("""COMPUTED_VALUE"""),0.06875)</f>
        <v>0.06875</v>
      </c>
      <c r="BO3" s="1478">
        <f>IFERROR(__xludf.DUMMYFUNCTION("""COMPUTED_VALUE"""),25000.0)</f>
        <v>25000</v>
      </c>
      <c r="BP3" s="1477">
        <f>IFERROR(__xludf.DUMMYFUNCTION("""COMPUTED_VALUE"""),0.11527777777777778)</f>
        <v>0.1152777778</v>
      </c>
      <c r="BQ3" s="1478">
        <f>IFERROR(__xludf.DUMMYFUNCTION("""COMPUTED_VALUE"""),100000.0)</f>
        <v>100000</v>
      </c>
      <c r="BR3" s="1477">
        <f>IFERROR(__xludf.DUMMYFUNCTION("""COMPUTED_VALUE"""),1.1569444444444446)</f>
        <v>1.156944444</v>
      </c>
      <c r="BS3" s="1478">
        <f>IFERROR(__xludf.DUMMYFUNCTION("""COMPUTED_VALUE"""),8.0E8)</f>
        <v>800000000</v>
      </c>
      <c r="BT3" s="1479">
        <f>IFERROR(__xludf.DUMMYFUNCTION("""COMPUTED_VALUE"""),0.23125)</f>
        <v>0.23125</v>
      </c>
      <c r="BU3" s="1480">
        <f>IFERROR(__xludf.DUMMYFUNCTION("""COMPUTED_VALUE"""),1.0E9)</f>
        <v>1000000000</v>
      </c>
      <c r="BV3" s="1479">
        <f>IFERROR(__xludf.DUMMYFUNCTION("""COMPUTED_VALUE"""),0.5784722222222222)</f>
        <v>0.5784722222</v>
      </c>
      <c r="BW3" s="1480">
        <f>IFERROR(__xludf.DUMMYFUNCTION("""COMPUTED_VALUE"""),1.6E9)</f>
        <v>1600000000</v>
      </c>
      <c r="BX3" s="1479">
        <f>IFERROR(__xludf.DUMMYFUNCTION("""COMPUTED_VALUE"""),1.1569444444444446)</f>
        <v>1.156944444</v>
      </c>
      <c r="BY3" s="1480">
        <f>IFERROR(__xludf.DUMMYFUNCTION("""COMPUTED_VALUE"""),3.0E10)</f>
        <v>30000000000</v>
      </c>
      <c r="BZ3" s="1479">
        <f>IFERROR(__xludf.DUMMYFUNCTION("""COMPUTED_VALUE"""),1.1569444444444446)</f>
        <v>1.156944444</v>
      </c>
      <c r="CA3" s="1480">
        <f>IFERROR(__xludf.DUMMYFUNCTION("""COMPUTED_VALUE"""),3.0E10)</f>
        <v>30000000000</v>
      </c>
      <c r="CB3" s="1479">
        <f>IFERROR(__xludf.DUMMYFUNCTION("""COMPUTED_VALUE"""),3.4715277777777778)</f>
        <v>3.471527778</v>
      </c>
      <c r="CC3" s="1480">
        <f>IFERROR(__xludf.DUMMYFUNCTION("""COMPUTED_VALUE"""),3.0E11)</f>
        <v>300000000000</v>
      </c>
      <c r="CD3" s="1477">
        <f>IFERROR(__xludf.DUMMYFUNCTION("""COMPUTED_VALUE"""),2.3148032407407406)</f>
        <v>2.314803241</v>
      </c>
      <c r="CE3" s="1481">
        <f>IFERROR(__xludf.DUMMYFUNCTION("""COMPUTED_VALUE"""),3.0E11)</f>
        <v>300000000000</v>
      </c>
      <c r="CF3" s="1477">
        <f>IFERROR(__xludf.DUMMYFUNCTION("""COMPUTED_VALUE"""),1.1342476851851853)</f>
        <v>1.134247685</v>
      </c>
      <c r="CG3" s="1481">
        <f>IFERROR(__xludf.DUMMYFUNCTION("""COMPUTED_VALUE"""),4500.0)</f>
        <v>4500</v>
      </c>
      <c r="CH3" s="1482">
        <f>IFERROR(__xludf.DUMMYFUNCTION("""COMPUTED_VALUE"""),1.6203703703703703E-4)</f>
        <v>0.000162037037</v>
      </c>
      <c r="CI3" s="1483">
        <f>IFERROR(__xludf.DUMMYFUNCTION("""COMPUTED_VALUE"""),30.0)</f>
        <v>30</v>
      </c>
      <c r="CJ3" s="1482">
        <f>IFERROR(__xludf.DUMMYFUNCTION("""COMPUTED_VALUE"""),1.6203703703703703E-4)</f>
        <v>0.000162037037</v>
      </c>
      <c r="CK3" s="1483">
        <f>IFERROR(__xludf.DUMMYFUNCTION("""COMPUTED_VALUE"""),30.0)</f>
        <v>30</v>
      </c>
      <c r="CL3" s="1482">
        <f>IFERROR(__xludf.DUMMYFUNCTION("""COMPUTED_VALUE"""),1.6203703703703703E-4)</f>
        <v>0.000162037037</v>
      </c>
      <c r="CM3" s="1483">
        <f>IFERROR(__xludf.DUMMYFUNCTION("""COMPUTED_VALUE"""),30.0)</f>
        <v>30</v>
      </c>
      <c r="CN3" s="1482">
        <f>IFERROR(__xludf.DUMMYFUNCTION("""COMPUTED_VALUE"""),1.6203703703703703E-4)</f>
        <v>0.000162037037</v>
      </c>
      <c r="CO3" s="1483">
        <f>IFERROR(__xludf.DUMMYFUNCTION("""COMPUTED_VALUE"""),30.0)</f>
        <v>30</v>
      </c>
      <c r="CP3" s="1482">
        <f>IFERROR(__xludf.DUMMYFUNCTION("""COMPUTED_VALUE"""),2.777777777777778E-4)</f>
        <v>0.0002777777778</v>
      </c>
      <c r="CQ3" s="1483">
        <f>IFERROR(__xludf.DUMMYFUNCTION("""COMPUTED_VALUE"""),50.0)</f>
        <v>50</v>
      </c>
      <c r="CR3" s="1482">
        <f>IFERROR(__xludf.DUMMYFUNCTION("""COMPUTED_VALUE"""),0.028923611111111112)</f>
        <v>0.02892361111</v>
      </c>
      <c r="CS3" s="1483">
        <f>IFERROR(__xludf.DUMMYFUNCTION("""COMPUTED_VALUE"""),250.0)</f>
        <v>250</v>
      </c>
      <c r="CT3" s="1482">
        <f>IFERROR(__xludf.DUMMYFUNCTION("""COMPUTED_VALUE"""),8.10138888888889)</f>
        <v>8.101388889</v>
      </c>
      <c r="CU3" s="1483">
        <f>IFERROR(__xludf.DUMMYFUNCTION("""COMPUTED_VALUE"""),1.0E9)</f>
        <v>1000000000</v>
      </c>
      <c r="CV3" s="1484">
        <f>IFERROR(__xludf.DUMMYFUNCTION("""COMPUTED_VALUE"""),2.314583333333333)</f>
        <v>2.314583333</v>
      </c>
      <c r="CW3" s="1485">
        <f>IFERROR(__xludf.DUMMYFUNCTION("""COMPUTED_VALUE"""),2.0E10)</f>
        <v>20000000000</v>
      </c>
      <c r="CX3" s="1484">
        <f>IFERROR(__xludf.DUMMYFUNCTION("""COMPUTED_VALUE"""),2.314583333333333)</f>
        <v>2.314583333</v>
      </c>
      <c r="CY3" s="1485">
        <f>IFERROR(__xludf.DUMMYFUNCTION("""COMPUTED_VALUE"""),2.0E10)</f>
        <v>20000000000</v>
      </c>
      <c r="CZ3" s="1484">
        <f>IFERROR(__xludf.DUMMYFUNCTION("""COMPUTED_VALUE"""),2.314583333333333)</f>
        <v>2.314583333</v>
      </c>
      <c r="DA3" s="1485">
        <f>IFERROR(__xludf.DUMMYFUNCTION("""COMPUTED_VALUE"""),2.0E10)</f>
        <v>20000000000</v>
      </c>
      <c r="DB3" s="1484">
        <f>IFERROR(__xludf.DUMMYFUNCTION("""COMPUTED_VALUE"""),0.69375)</f>
        <v>0.69375</v>
      </c>
      <c r="DC3" s="1485">
        <f>IFERROR(__xludf.DUMMYFUNCTION("""COMPUTED_VALUE"""),9.0E8)</f>
        <v>900000000</v>
      </c>
      <c r="DD3" s="1484">
        <f>IFERROR(__xludf.DUMMYFUNCTION("""COMPUTED_VALUE"""),0.69375)</f>
        <v>0.69375</v>
      </c>
      <c r="DE3" s="1485">
        <f>IFERROR(__xludf.DUMMYFUNCTION("""COMPUTED_VALUE"""),9.0E8)</f>
        <v>900000000</v>
      </c>
      <c r="DF3" s="1486">
        <f>IFERROR(__xludf.DUMMYFUNCTION("""COMPUTED_VALUE"""),0.8326388888888889)</f>
        <v>0.8326388889</v>
      </c>
      <c r="DG3" s="1487">
        <f>IFERROR(__xludf.DUMMYFUNCTION("""COMPUTED_VALUE"""),250000.0)</f>
        <v>250000</v>
      </c>
      <c r="DH3" s="1486">
        <f>IFERROR(__xludf.DUMMYFUNCTION("""COMPUTED_VALUE"""),0.9326388888888889)</f>
        <v>0.9326388889</v>
      </c>
      <c r="DI3" s="1487">
        <f>IFERROR(__xludf.DUMMYFUNCTION("""COMPUTED_VALUE"""),900000.0)</f>
        <v>900000</v>
      </c>
      <c r="DJ3" s="1486">
        <f>IFERROR(__xludf.DUMMYFUNCTION("""COMPUTED_VALUE"""),1.6201388888888888)</f>
        <v>1.620138889</v>
      </c>
      <c r="DK3" s="1487">
        <f>IFERROR(__xludf.DUMMYFUNCTION("""COMPUTED_VALUE"""),800000.0)</f>
        <v>800000</v>
      </c>
      <c r="DL3" s="1486">
        <f>IFERROR(__xludf.DUMMYFUNCTION("""COMPUTED_VALUE"""),0.8326388888888889)</f>
        <v>0.8326388889</v>
      </c>
      <c r="DM3" s="1487">
        <f>IFERROR(__xludf.DUMMYFUNCTION("""COMPUTED_VALUE"""),250000.0)</f>
        <v>250000</v>
      </c>
      <c r="DN3" s="1486">
        <f>IFERROR(__xludf.DUMMYFUNCTION("""COMPUTED_VALUE"""),0.69375)</f>
        <v>0.69375</v>
      </c>
      <c r="DO3" s="1487">
        <f>IFERROR(__xludf.DUMMYFUNCTION("""COMPUTED_VALUE"""),750000.0)</f>
        <v>750000</v>
      </c>
      <c r="DP3" s="1486">
        <f>IFERROR(__xludf.DUMMYFUNCTION("""COMPUTED_VALUE"""),0.8326388888888889)</f>
        <v>0.8326388889</v>
      </c>
      <c r="DQ3" s="1487">
        <f>IFERROR(__xludf.DUMMYFUNCTION("""COMPUTED_VALUE"""),250000.0)</f>
        <v>250000</v>
      </c>
      <c r="DR3" s="1486">
        <f>IFERROR(__xludf.DUMMYFUNCTION("""COMPUTED_VALUE"""),0.8326388888888889)</f>
        <v>0.8326388889</v>
      </c>
      <c r="DS3" s="1487">
        <f>IFERROR(__xludf.DUMMYFUNCTION("""COMPUTED_VALUE"""),250000.0)</f>
        <v>250000</v>
      </c>
      <c r="DT3" s="1486">
        <f>IFERROR(__xludf.DUMMYFUNCTION("""COMPUTED_VALUE"""),0.8326388888888889)</f>
        <v>0.8326388889</v>
      </c>
      <c r="DU3" s="1487">
        <f>IFERROR(__xludf.DUMMYFUNCTION("""COMPUTED_VALUE"""),700000.0)</f>
        <v>700000</v>
      </c>
      <c r="DV3" s="1486">
        <f>IFERROR(__xludf.DUMMYFUNCTION("""COMPUTED_VALUE"""),0.8326388888888889)</f>
        <v>0.8326388889</v>
      </c>
      <c r="DW3" s="1487">
        <f>IFERROR(__xludf.DUMMYFUNCTION("""COMPUTED_VALUE"""),250000.0)</f>
        <v>250000</v>
      </c>
      <c r="DX3" s="1486">
        <f>IFERROR(__xludf.DUMMYFUNCTION("""COMPUTED_VALUE"""),0.8326388888888889)</f>
        <v>0.8326388889</v>
      </c>
      <c r="DY3" s="1487">
        <f>IFERROR(__xludf.DUMMYFUNCTION("""COMPUTED_VALUE"""),250000.0)</f>
        <v>250000</v>
      </c>
      <c r="DZ3" s="1486">
        <f>IFERROR(__xludf.DUMMYFUNCTION("""COMPUTED_VALUE"""),1.6666666666666667)</f>
        <v>1.666666667</v>
      </c>
      <c r="EA3" s="1487">
        <f>IFERROR(__xludf.DUMMYFUNCTION("""COMPUTED_VALUE"""),1000000.0)</f>
        <v>1000000</v>
      </c>
      <c r="EB3" s="1486">
        <f>IFERROR(__xludf.DUMMYFUNCTION("""COMPUTED_VALUE"""),1.6666666666666667)</f>
        <v>1.666666667</v>
      </c>
      <c r="EC3" s="1487">
        <f>IFERROR(__xludf.DUMMYFUNCTION("""COMPUTED_VALUE"""),1000000.0)</f>
        <v>1000000</v>
      </c>
      <c r="ED3" s="1486">
        <f>IFERROR(__xludf.DUMMYFUNCTION("""COMPUTED_VALUE"""),0.9951388888888889)</f>
        <v>0.9951388889</v>
      </c>
      <c r="EE3" s="1487">
        <f>IFERROR(__xludf.DUMMYFUNCTION("""COMPUTED_VALUE"""),950000.0)</f>
        <v>950000</v>
      </c>
      <c r="EF3" s="1486">
        <f>IFERROR(__xludf.DUMMYFUNCTION("""COMPUTED_VALUE"""),0.8333333333333334)</f>
        <v>0.8333333333</v>
      </c>
      <c r="EG3" s="1487">
        <f>IFERROR(__xludf.DUMMYFUNCTION("""COMPUTED_VALUE"""),250000.0)</f>
        <v>250000</v>
      </c>
      <c r="EH3" s="1486">
        <f>IFERROR(__xludf.DUMMYFUNCTION("""COMPUTED_VALUE"""),0.8333333333333334)</f>
        <v>0.8333333333</v>
      </c>
      <c r="EI3" s="1487">
        <f>IFERROR(__xludf.DUMMYFUNCTION("""COMPUTED_VALUE"""),250000.0)</f>
        <v>250000</v>
      </c>
      <c r="EJ3" s="1486">
        <f>IFERROR(__xludf.DUMMYFUNCTION("""COMPUTED_VALUE"""),0.8333217592592592)</f>
        <v>0.8333217593</v>
      </c>
      <c r="EK3" s="1487">
        <f>IFERROR(__xludf.DUMMYFUNCTION("""COMPUTED_VALUE"""),250000.0)</f>
        <v>250000</v>
      </c>
      <c r="EL3" s="1486">
        <f>IFERROR(__xludf.DUMMYFUNCTION("""COMPUTED_VALUE"""),0.8333333333333334)</f>
        <v>0.8333333333</v>
      </c>
      <c r="EM3" s="1487">
        <f>IFERROR(__xludf.DUMMYFUNCTION("""COMPUTED_VALUE"""),250000.0)</f>
        <v>250000</v>
      </c>
      <c r="EN3" s="1486">
        <f>IFERROR(__xludf.DUMMYFUNCTION("""COMPUTED_VALUE"""),0.8333333333333334)</f>
        <v>0.8333333333</v>
      </c>
      <c r="EO3" s="1487">
        <f>IFERROR(__xludf.DUMMYFUNCTION("""COMPUTED_VALUE"""),250000.0)</f>
        <v>250000</v>
      </c>
      <c r="EP3" s="1486">
        <f>IFERROR(__xludf.DUMMYFUNCTION("""COMPUTED_VALUE"""),0.8333333333333334)</f>
        <v>0.8333333333</v>
      </c>
      <c r="EQ3" s="1487">
        <f>IFERROR(__xludf.DUMMYFUNCTION("""COMPUTED_VALUE"""),250000.0)</f>
        <v>250000</v>
      </c>
      <c r="ER3" s="1486">
        <f>IFERROR(__xludf.DUMMYFUNCTION("""COMPUTED_VALUE"""),0.8333333333333334)</f>
        <v>0.8333333333</v>
      </c>
      <c r="ES3" s="1487">
        <f>IFERROR(__xludf.DUMMYFUNCTION("""COMPUTED_VALUE"""),250000.0)</f>
        <v>250000</v>
      </c>
      <c r="ET3" s="1486">
        <f>IFERROR(__xludf.DUMMYFUNCTION("""COMPUTED_VALUE"""),0.8326388888888889)</f>
        <v>0.8326388889</v>
      </c>
      <c r="EU3" s="1487">
        <f>IFERROR(__xludf.DUMMYFUNCTION("""COMPUTED_VALUE"""),500000.0)</f>
        <v>500000</v>
      </c>
      <c r="EV3" s="1486">
        <f>IFERROR(__xludf.DUMMYFUNCTION("""COMPUTED_VALUE"""),6.665972222222222)</f>
        <v>6.665972222</v>
      </c>
      <c r="EW3" s="1487">
        <f>IFERROR(__xludf.DUMMYFUNCTION("""COMPUTED_VALUE"""),1500000.0)</f>
        <v>1500000</v>
      </c>
      <c r="EX3" s="1486">
        <f>IFERROR(__xludf.DUMMYFUNCTION("""COMPUTED_VALUE"""),0.8333333333333334)</f>
        <v>0.8333333333</v>
      </c>
      <c r="EY3" s="1487">
        <f>IFERROR(__xludf.DUMMYFUNCTION("""COMPUTED_VALUE"""),750000.0)</f>
        <v>750000</v>
      </c>
      <c r="EZ3" s="1486">
        <f>IFERROR(__xludf.DUMMYFUNCTION("""COMPUTED_VALUE"""),13.888194444444444)</f>
        <v>13.88819444</v>
      </c>
      <c r="FA3" s="1487">
        <f>IFERROR(__xludf.DUMMYFUNCTION("""COMPUTED_VALUE"""),2.5E8)</f>
        <v>250000000</v>
      </c>
      <c r="FB3" s="1486">
        <f>IFERROR(__xludf.DUMMYFUNCTION("""COMPUTED_VALUE"""),1.6659722222222222)</f>
        <v>1.665972222</v>
      </c>
      <c r="FC3" s="1487">
        <f>IFERROR(__xludf.DUMMYFUNCTION("""COMPUTED_VALUE"""),2.0E7)</f>
        <v>20000000</v>
      </c>
      <c r="FD3" s="1486">
        <f>IFERROR(__xludf.DUMMYFUNCTION("""COMPUTED_VALUE"""),17.360416666666666)</f>
        <v>17.36041667</v>
      </c>
      <c r="FE3" s="1487">
        <f>IFERROR(__xludf.DUMMYFUNCTION("""COMPUTED_VALUE"""),1.5E10)</f>
        <v>15000000000</v>
      </c>
      <c r="FF3" s="1486">
        <f>IFERROR(__xludf.DUMMYFUNCTION("""COMPUTED_VALUE"""),1.6659722222222222)</f>
        <v>1.665972222</v>
      </c>
      <c r="FG3" s="1488">
        <f>IFERROR(__xludf.DUMMYFUNCTION("""COMPUTED_VALUE"""),2.0E7)</f>
        <v>20000000</v>
      </c>
      <c r="FH3" s="1486">
        <f>IFERROR(__xludf.DUMMYFUNCTION("""COMPUTED_VALUE"""),1.6659722222222222)</f>
        <v>1.665972222</v>
      </c>
      <c r="FI3" s="1488">
        <f>IFERROR(__xludf.DUMMYFUNCTION("""COMPUTED_VALUE"""),2.0E7)</f>
        <v>20000000</v>
      </c>
      <c r="FJ3" s="1486">
        <f>IFERROR(__xludf.DUMMYFUNCTION("""COMPUTED_VALUE"""),6.665416666666666)</f>
        <v>6.665416667</v>
      </c>
      <c r="FK3" s="1487">
        <f>IFERROR(__xludf.DUMMYFUNCTION("""COMPUTED_VALUE"""),2.0E8)</f>
        <v>200000000</v>
      </c>
      <c r="FL3" s="1486">
        <f>IFERROR(__xludf.DUMMYFUNCTION("""COMPUTED_VALUE"""),28.934722222222224)</f>
        <v>28.93472222</v>
      </c>
      <c r="FM3" s="1487">
        <f>IFERROR(__xludf.DUMMYFUNCTION("""COMPUTED_VALUE"""),5.5E11)</f>
        <v>550000000000</v>
      </c>
      <c r="FN3" s="1489">
        <f>IFERROR(__xludf.DUMMYFUNCTION("""COMPUTED_VALUE"""),5.208333333333333)</f>
        <v>5.208333333</v>
      </c>
      <c r="FO3" s="1487">
        <f>IFERROR(__xludf.DUMMYFUNCTION("""COMPUTED_VALUE"""),5.5E11)</f>
        <v>550000000000</v>
      </c>
      <c r="FP3" s="1486">
        <f>IFERROR(__xludf.DUMMYFUNCTION("""COMPUTED_VALUE"""),8.333333333333334)</f>
        <v>8.333333333</v>
      </c>
      <c r="FQ3" s="1488">
        <f>IFERROR(__xludf.DUMMYFUNCTION("""COMPUTED_VALUE"""),1.0E11)</f>
        <v>100000000000</v>
      </c>
      <c r="FR3" s="1490">
        <f>IFERROR(__xludf.DUMMYFUNCTION("""COMPUTED_VALUE"""),8.33332175925926)</f>
        <v>8.333321759</v>
      </c>
      <c r="FS3" s="1488">
        <f>IFERROR(__xludf.DUMMYFUNCTION("""COMPUTED_VALUE"""),1.0E11)</f>
        <v>100000000000</v>
      </c>
      <c r="FT3" s="1486">
        <f>IFERROR(__xludf.DUMMYFUNCTION("""COMPUTED_VALUE"""),8.33332175925926)</f>
        <v>8.333321759</v>
      </c>
      <c r="FU3" s="1488">
        <f>IFERROR(__xludf.DUMMYFUNCTION("""COMPUTED_VALUE"""),1.0E11)</f>
        <v>100000000000</v>
      </c>
      <c r="FV3" s="1486">
        <f>IFERROR(__xludf.DUMMYFUNCTION("""COMPUTED_VALUE"""),8.333333333333334)</f>
        <v>8.333333333</v>
      </c>
      <c r="FW3" s="1488">
        <f>IFERROR(__xludf.DUMMYFUNCTION("""COMPUTED_VALUE"""),1.0E11)</f>
        <v>100000000000</v>
      </c>
      <c r="FX3" s="1491">
        <f>IFERROR(__xludf.DUMMYFUNCTION("""COMPUTED_VALUE"""),3.212337962962963)</f>
        <v>3.212337963</v>
      </c>
      <c r="FY3" s="1492">
        <f>IFERROR(__xludf.DUMMYFUNCTION("""COMPUTED_VALUE"""),1.0E9)</f>
        <v>1000000000</v>
      </c>
      <c r="FZ3" s="1491">
        <f>IFERROR(__xludf.DUMMYFUNCTION("""COMPUTED_VALUE"""),8.333333333333334)</f>
        <v>8.333333333</v>
      </c>
      <c r="GA3" s="1492">
        <f>IFERROR(__xludf.DUMMYFUNCTION("""COMPUTED_VALUE"""),1.0E11)</f>
        <v>100000000000</v>
      </c>
      <c r="GB3" s="1493">
        <f>IFERROR(__xludf.DUMMYFUNCTION("""COMPUTED_VALUE"""),8.333333333333334)</f>
        <v>8.333333333</v>
      </c>
      <c r="GC3" s="1492">
        <f>IFERROR(__xludf.DUMMYFUNCTION("""COMPUTED_VALUE"""),1.0E11)</f>
        <v>100000000000</v>
      </c>
      <c r="GD3" s="1486">
        <f>IFERROR(__xludf.DUMMYFUNCTION("""COMPUTED_VALUE"""),16.666666666666668)</f>
        <v>16.66666667</v>
      </c>
      <c r="GE3" s="1488">
        <f>IFERROR(__xludf.DUMMYFUNCTION("""COMPUTED_VALUE"""),1.0E15)</f>
        <v>1E+15</v>
      </c>
      <c r="GF3" s="1494">
        <f>IFERROR(__xludf.DUMMYFUNCTION("""COMPUTED_VALUE"""),1.1569444444444446)</f>
        <v>1.156944444</v>
      </c>
      <c r="GG3" s="1495">
        <f>IFERROR(__xludf.DUMMYFUNCTION("""COMPUTED_VALUE"""),1800000.0)</f>
        <v>1800000</v>
      </c>
      <c r="GH3" s="1494">
        <f>IFERROR(__xludf.DUMMYFUNCTION("""COMPUTED_VALUE"""),0.04165509259259259)</f>
        <v>0.04165509259</v>
      </c>
      <c r="GI3" s="1495">
        <f>IFERROR(__xludf.DUMMYFUNCTION("""COMPUTED_VALUE"""),2500000.0)</f>
        <v>2500000</v>
      </c>
      <c r="GJ3" s="1494">
        <f>IFERROR(__xludf.DUMMYFUNCTION("""COMPUTED_VALUE"""),2.082638888888889)</f>
        <v>2.082638889</v>
      </c>
      <c r="GK3" s="1495">
        <f>IFERROR(__xludf.DUMMYFUNCTION("""COMPUTED_VALUE"""),1500000.0)</f>
        <v>1500000</v>
      </c>
      <c r="GL3" s="1494">
        <f>IFERROR(__xludf.DUMMYFUNCTION("""COMPUTED_VALUE"""),1.6201388888888888)</f>
        <v>1.620138889</v>
      </c>
      <c r="GM3" s="1495">
        <f>IFERROR(__xludf.DUMMYFUNCTION("""COMPUTED_VALUE"""),2.5E7)</f>
        <v>25000000</v>
      </c>
      <c r="GN3" s="1494">
        <f>IFERROR(__xludf.DUMMYFUNCTION("""COMPUTED_VALUE"""),11.573611111111111)</f>
        <v>11.57361111</v>
      </c>
      <c r="GO3" s="1495">
        <f>IFERROR(__xludf.DUMMYFUNCTION("""COMPUTED_VALUE"""),4.0E10)</f>
        <v>40000000000</v>
      </c>
      <c r="GP3" s="1496">
        <f>IFERROR(__xludf.DUMMYFUNCTION("""COMPUTED_VALUE"""),0.20763888888888887)</f>
        <v>0.2076388889</v>
      </c>
      <c r="GQ3" s="1497">
        <f>IFERROR(__xludf.DUMMYFUNCTION("""COMPUTED_VALUE"""),2.0E9)</f>
        <v>2000000000</v>
      </c>
      <c r="GR3" s="1498">
        <f>IFERROR(__xludf.DUMMYFUNCTION("""COMPUTED_VALUE"""),5.20832175925926)</f>
        <v>5.208321759</v>
      </c>
      <c r="GS3" s="1497">
        <f>IFERROR(__xludf.DUMMYFUNCTION("""COMPUTED_VALUE"""),5.5E11)</f>
        <v>550000000000</v>
      </c>
      <c r="GT3" s="1498">
        <f>IFERROR(__xludf.DUMMYFUNCTION("""COMPUTED_VALUE"""),5.20832175925926)</f>
        <v>5.208321759</v>
      </c>
      <c r="GU3" s="1497">
        <f>IFERROR(__xludf.DUMMYFUNCTION("""COMPUTED_VALUE"""),5.5E11)</f>
        <v>550000000000</v>
      </c>
      <c r="GV3" s="1498">
        <f>IFERROR(__xludf.DUMMYFUNCTION("""COMPUTED_VALUE"""),5.208333333333333)</f>
        <v>5.208333333</v>
      </c>
      <c r="GW3" s="1497">
        <f>IFERROR(__xludf.DUMMYFUNCTION("""COMPUTED_VALUE"""),5.5E11)</f>
        <v>550000000000</v>
      </c>
      <c r="GX3" s="1499">
        <f>IFERROR(__xludf.DUMMYFUNCTION("""COMPUTED_VALUE"""),20.833333333333332)</f>
        <v>20.83333333</v>
      </c>
      <c r="GY3" s="1500">
        <f>IFERROR(__xludf.DUMMYFUNCTION("""COMPUTED_VALUE"""),1.1000000000000001E15)</f>
        <v>1.1E+15</v>
      </c>
      <c r="GZ3" s="1501">
        <f>IFERROR(__xludf.DUMMYFUNCTION("""COMPUTED_VALUE"""),3.4715277777777778)</f>
        <v>3.471527778</v>
      </c>
      <c r="HA3" s="1502">
        <f>IFERROR(__xludf.DUMMYFUNCTION("""COMPUTED_VALUE"""),1500000.0)</f>
        <v>1500000</v>
      </c>
      <c r="HB3" s="1501">
        <f>IFERROR(__xludf.DUMMYFUNCTION("""COMPUTED_VALUE"""),0.06875)</f>
        <v>0.06875</v>
      </c>
      <c r="HC3" s="1502">
        <f>IFERROR(__xludf.DUMMYFUNCTION("""COMPUTED_VALUE"""),100000.0)</f>
        <v>100000</v>
      </c>
      <c r="HD3" s="1501">
        <f>IFERROR(__xludf.DUMMYFUNCTION("""COMPUTED_VALUE"""),4.976388888888889)</f>
        <v>4.976388889</v>
      </c>
      <c r="HE3" s="1502">
        <f>IFERROR(__xludf.DUMMYFUNCTION("""COMPUTED_VALUE"""),1.0E8)</f>
        <v>100000000</v>
      </c>
      <c r="HF3" s="1501">
        <f>IFERROR(__xludf.DUMMYFUNCTION("""COMPUTED_VALUE"""),0.06875)</f>
        <v>0.06875</v>
      </c>
      <c r="HG3" s="1502">
        <f>IFERROR(__xludf.DUMMYFUNCTION("""COMPUTED_VALUE"""),100000.0)</f>
        <v>100000</v>
      </c>
      <c r="HH3" s="1501">
        <f>IFERROR(__xludf.DUMMYFUNCTION("""COMPUTED_VALUE"""),4.976388888888889)</f>
        <v>4.976388889</v>
      </c>
      <c r="HI3" s="1502">
        <f>IFERROR(__xludf.DUMMYFUNCTION("""COMPUTED_VALUE"""),2.0E8)</f>
        <v>200000000</v>
      </c>
      <c r="HJ3" s="1501">
        <f>IFERROR(__xludf.DUMMYFUNCTION("""COMPUTED_VALUE"""),4.629166666666666)</f>
        <v>4.629166667</v>
      </c>
      <c r="HK3" s="1502">
        <f>IFERROR(__xludf.DUMMYFUNCTION("""COMPUTED_VALUE"""),1.0E9)</f>
        <v>1000000000</v>
      </c>
      <c r="HL3" s="1501">
        <f>IFERROR(__xludf.DUMMYFUNCTION("""COMPUTED_VALUE"""),2.314583333333333)</f>
        <v>2.314583333</v>
      </c>
      <c r="HM3" s="1502">
        <f>IFERROR(__xludf.DUMMYFUNCTION("""COMPUTED_VALUE"""),1.0E7)</f>
        <v>10000000</v>
      </c>
      <c r="HN3" s="1501">
        <f>IFERROR(__xludf.DUMMYFUNCTION("""COMPUTED_VALUE"""),1.0409722222222222)</f>
        <v>1.040972222</v>
      </c>
      <c r="HO3" s="1502">
        <f>IFERROR(__xludf.DUMMYFUNCTION("""COMPUTED_VALUE"""),6.0E8)</f>
        <v>600000000</v>
      </c>
      <c r="HP3" s="1501">
        <f>IFERROR(__xludf.DUMMYFUNCTION("""COMPUTED_VALUE"""),1.9907291666666667)</f>
        <v>1.990729167</v>
      </c>
      <c r="HQ3" s="1503">
        <f>IFERROR(__xludf.DUMMYFUNCTION("""COMPUTED_VALUE"""),100000.0)</f>
        <v>100000</v>
      </c>
      <c r="HR3" s="1504">
        <f>IFERROR(__xludf.DUMMYFUNCTION("""COMPUTED_VALUE"""),1.620138888888889)</f>
        <v>1.620138889</v>
      </c>
      <c r="HS3" s="1505">
        <f>IFERROR(__xludf.DUMMYFUNCTION("""COMPUTED_VALUE"""),3.0E7)</f>
        <v>30000000</v>
      </c>
      <c r="HT3" s="1504">
        <f>IFERROR(__xludf.DUMMYFUNCTION("""COMPUTED_VALUE"""),1.620138888888889)</f>
        <v>1.620138889</v>
      </c>
      <c r="HU3" s="1505">
        <f>IFERROR(__xludf.DUMMYFUNCTION("""COMPUTED_VALUE"""),3.0E7)</f>
        <v>30000000</v>
      </c>
      <c r="HV3" s="1504">
        <f>IFERROR(__xludf.DUMMYFUNCTION("""COMPUTED_VALUE"""),1.620138888888889)</f>
        <v>1.620138889</v>
      </c>
      <c r="HW3" s="1505">
        <f>IFERROR(__xludf.DUMMYFUNCTION("""COMPUTED_VALUE"""),3.0E7)</f>
        <v>30000000</v>
      </c>
      <c r="HX3" s="1506">
        <f>IFERROR(__xludf.DUMMYFUNCTION("""COMPUTED_VALUE"""),1.620138888888889)</f>
        <v>1.620138889</v>
      </c>
      <c r="HY3" s="1505">
        <f>IFERROR(__xludf.DUMMYFUNCTION("""COMPUTED_VALUE"""),3.0E7)</f>
        <v>30000000</v>
      </c>
      <c r="HZ3" s="1506">
        <f>IFERROR(__xludf.DUMMYFUNCTION("""COMPUTED_VALUE"""),45.625)</f>
        <v>45.625</v>
      </c>
      <c r="IA3" s="1505">
        <f>IFERROR(__xludf.DUMMYFUNCTION("""COMPUTED_VALUE"""),4.3E13)</f>
        <v>43000000000000</v>
      </c>
      <c r="IB3" s="1506">
        <f>IFERROR(__xludf.DUMMYFUNCTION("""COMPUTED_VALUE"""),8.333333333333334)</f>
        <v>8.333333333</v>
      </c>
      <c r="IC3" s="1505">
        <f>IFERROR(__xludf.DUMMYFUNCTION("""COMPUTED_VALUE"""),1.0E11)</f>
        <v>100000000000</v>
      </c>
      <c r="ID3" s="1506">
        <f>IFERROR(__xludf.DUMMYFUNCTION("""COMPUTED_VALUE"""),8.333333333333334)</f>
        <v>8.333333333</v>
      </c>
      <c r="IE3" s="1505">
        <f>IFERROR(__xludf.DUMMYFUNCTION("""COMPUTED_VALUE"""),1.0E11)</f>
        <v>100000000000</v>
      </c>
      <c r="IF3" s="1506">
        <f>IFERROR(__xludf.DUMMYFUNCTION("""COMPUTED_VALUE"""),8.333333333333334)</f>
        <v>8.333333333</v>
      </c>
      <c r="IG3" s="1505">
        <f>IFERROR(__xludf.DUMMYFUNCTION("""COMPUTED_VALUE"""),1.0E11)</f>
        <v>100000000000</v>
      </c>
      <c r="IH3" s="1507">
        <f>IFERROR(__xludf.DUMMYFUNCTION("""COMPUTED_VALUE"""),2.314583333333333)</f>
        <v>2.314583333</v>
      </c>
      <c r="II3" s="1508">
        <f>IFERROR(__xludf.DUMMYFUNCTION("""COMPUTED_VALUE"""),2.0E10)</f>
        <v>20000000000</v>
      </c>
      <c r="IJ3" s="1507">
        <f>IFERROR(__xludf.DUMMYFUNCTION("""COMPUTED_VALUE"""),2.314583333333333)</f>
        <v>2.314583333</v>
      </c>
      <c r="IK3" s="1508">
        <f>IFERROR(__xludf.DUMMYFUNCTION("""COMPUTED_VALUE"""),2.0E10)</f>
        <v>20000000000</v>
      </c>
      <c r="IL3" s="1507">
        <f>IFERROR(__xludf.DUMMYFUNCTION("""COMPUTED_VALUE"""),2.314583333333333)</f>
        <v>2.314583333</v>
      </c>
      <c r="IM3" s="1508">
        <f>IFERROR(__xludf.DUMMYFUNCTION("""COMPUTED_VALUE"""),3.0E10)</f>
        <v>30000000000</v>
      </c>
      <c r="IN3" s="1507">
        <f>IFERROR(__xludf.DUMMYFUNCTION("""COMPUTED_VALUE"""),2.314583333333333)</f>
        <v>2.314583333</v>
      </c>
      <c r="IO3" s="1508">
        <f>IFERROR(__xludf.DUMMYFUNCTION("""COMPUTED_VALUE"""),3.0E10)</f>
        <v>30000000000</v>
      </c>
      <c r="IP3" s="1507">
        <f>IFERROR(__xludf.DUMMYFUNCTION("""COMPUTED_VALUE"""),2.777083333333333)</f>
        <v>2.777083333</v>
      </c>
      <c r="IQ3" s="1508">
        <f>IFERROR(__xludf.DUMMYFUNCTION("""COMPUTED_VALUE"""),6.0E10)</f>
        <v>60000000000</v>
      </c>
      <c r="IR3" s="1507">
        <f>IFERROR(__xludf.DUMMYFUNCTION("""COMPUTED_VALUE"""),2.314583333333333)</f>
        <v>2.314583333</v>
      </c>
      <c r="IS3" s="1508">
        <f>IFERROR(__xludf.DUMMYFUNCTION("""COMPUTED_VALUE"""),3.0E10)</f>
        <v>30000000000</v>
      </c>
      <c r="IT3" s="1507">
        <f>IFERROR(__xludf.DUMMYFUNCTION("""COMPUTED_VALUE"""),2.314583333333333)</f>
        <v>2.314583333</v>
      </c>
      <c r="IU3" s="1508">
        <f>IFERROR(__xludf.DUMMYFUNCTION("""COMPUTED_VALUE"""),3.0E10)</f>
        <v>30000000000</v>
      </c>
      <c r="IV3" s="1507">
        <f>IFERROR(__xludf.DUMMYFUNCTION("""COMPUTED_VALUE"""),2.314583333333333)</f>
        <v>2.314583333</v>
      </c>
      <c r="IW3" s="1508">
        <f>IFERROR(__xludf.DUMMYFUNCTION("""COMPUTED_VALUE"""),3.0E10)</f>
        <v>30000000000</v>
      </c>
      <c r="IX3" s="1507">
        <f>IFERROR(__xludf.DUMMYFUNCTION("""COMPUTED_VALUE"""),2.314583333333333)</f>
        <v>2.314583333</v>
      </c>
      <c r="IY3" s="1508">
        <f>IFERROR(__xludf.DUMMYFUNCTION("""COMPUTED_VALUE"""),3.0E10)</f>
        <v>30000000000</v>
      </c>
      <c r="IZ3" s="1507">
        <f>IFERROR(__xludf.DUMMYFUNCTION("""COMPUTED_VALUE"""),2.314583333333333)</f>
        <v>2.314583333</v>
      </c>
      <c r="JA3" s="1508">
        <f>IFERROR(__xludf.DUMMYFUNCTION("""COMPUTED_VALUE"""),4.0E10)</f>
        <v>40000000000</v>
      </c>
      <c r="JB3" s="1507">
        <f>IFERROR(__xludf.DUMMYFUNCTION("""COMPUTED_VALUE"""),2.314583333333333)</f>
        <v>2.314583333</v>
      </c>
      <c r="JC3" s="1508">
        <f>IFERROR(__xludf.DUMMYFUNCTION("""COMPUTED_VALUE"""),4.0E10)</f>
        <v>40000000000</v>
      </c>
      <c r="JD3" s="1507">
        <f>IFERROR(__xludf.DUMMYFUNCTION("""COMPUTED_VALUE"""),2.314583333333333)</f>
        <v>2.314583333</v>
      </c>
      <c r="JE3" s="1508">
        <f>IFERROR(__xludf.DUMMYFUNCTION("""COMPUTED_VALUE"""),4.0E10)</f>
        <v>40000000000</v>
      </c>
      <c r="JF3" s="1507">
        <f>IFERROR(__xludf.DUMMYFUNCTION("""COMPUTED_VALUE"""),2.314583333333333)</f>
        <v>2.314583333</v>
      </c>
      <c r="JG3" s="1508">
        <f>IFERROR(__xludf.DUMMYFUNCTION("""COMPUTED_VALUE"""),4.0E10)</f>
        <v>40000000000</v>
      </c>
      <c r="JH3" s="1507">
        <f>IFERROR(__xludf.DUMMYFUNCTION("""COMPUTED_VALUE"""),2.777083333333333)</f>
        <v>2.777083333</v>
      </c>
      <c r="JI3" s="1508">
        <f>IFERROR(__xludf.DUMMYFUNCTION("""COMPUTED_VALUE"""),8.0E10)</f>
        <v>80000000000</v>
      </c>
      <c r="JJ3" s="1507">
        <f>IFERROR(__xludf.DUMMYFUNCTION("""COMPUTED_VALUE"""),10.799305555555556)</f>
        <v>10.79930556</v>
      </c>
      <c r="JK3" s="1509">
        <f>IFERROR(__xludf.DUMMYFUNCTION("""COMPUTED_VALUE"""),2.5E17)</f>
        <v>2.5E+17</v>
      </c>
      <c r="JL3" s="1507">
        <f>IFERROR(__xludf.DUMMYFUNCTION("""COMPUTED_VALUE"""),10.799305555555556)</f>
        <v>10.79930556</v>
      </c>
      <c r="JM3" s="1509">
        <f>IFERROR(__xludf.DUMMYFUNCTION("""COMPUTED_VALUE"""),2.5E17)</f>
        <v>2.5E+17</v>
      </c>
      <c r="JN3" s="1507">
        <f>IFERROR(__xludf.DUMMYFUNCTION("""COMPUTED_VALUE"""),10.799305555555556)</f>
        <v>10.79930556</v>
      </c>
      <c r="JO3" s="1509">
        <f>IFERROR(__xludf.DUMMYFUNCTION("""COMPUTED_VALUE"""),2.5E17)</f>
        <v>2.5E+17</v>
      </c>
      <c r="JP3" s="1507">
        <f>IFERROR(__xludf.DUMMYFUNCTION("""COMPUTED_VALUE"""),10.799305555555556)</f>
        <v>10.79930556</v>
      </c>
      <c r="JQ3" s="1509">
        <f>IFERROR(__xludf.DUMMYFUNCTION("""COMPUTED_VALUE"""),2.5E17)</f>
        <v>2.5E+17</v>
      </c>
      <c r="JR3" s="1507">
        <f>IFERROR(__xludf.DUMMYFUNCTION("""COMPUTED_VALUE"""),10.799305555555556)</f>
        <v>10.79930556</v>
      </c>
      <c r="JS3" s="1509">
        <f>IFERROR(__xludf.DUMMYFUNCTION("""COMPUTED_VALUE"""),2.5E17)</f>
        <v>2.5E+17</v>
      </c>
      <c r="JT3" s="1507">
        <f>IFERROR(__xludf.DUMMYFUNCTION("""COMPUTED_VALUE"""),10.799305555555556)</f>
        <v>10.79930556</v>
      </c>
      <c r="JU3" s="1509">
        <f>IFERROR(__xludf.DUMMYFUNCTION("""COMPUTED_VALUE"""),2.5E17)</f>
        <v>2.5E+17</v>
      </c>
      <c r="JV3" s="1507">
        <f>IFERROR(__xludf.DUMMYFUNCTION("""COMPUTED_VALUE"""),2.6993055555555556)</f>
        <v>2.699305556</v>
      </c>
      <c r="JW3" s="1509">
        <f>IFERROR(__xludf.DUMMYFUNCTION("""COMPUTED_VALUE"""),1.0E12)</f>
        <v>1000000000000</v>
      </c>
      <c r="JX3" s="1510">
        <f>IFERROR(__xludf.DUMMYFUNCTION("""COMPUTED_VALUE"""),4.166655093)</f>
        <v>4.166655093</v>
      </c>
      <c r="JY3" s="1511">
        <f>IFERROR(__xludf.DUMMYFUNCTION("""COMPUTED_VALUE"""),5000000.0)</f>
        <v>5000000</v>
      </c>
      <c r="JZ3" s="1512">
        <f>IFERROR(__xludf.DUMMYFUNCTION("""COMPUTED_VALUE"""),1.388877315)</f>
        <v>1.388877315</v>
      </c>
      <c r="KA3" s="1513">
        <f>IFERROR(__xludf.DUMMYFUNCTION("""COMPUTED_VALUE"""),900000.0)</f>
        <v>900000</v>
      </c>
      <c r="KB3" s="1510">
        <f>IFERROR(__xludf.DUMMYFUNCTION("""COMPUTED_VALUE"""),1.388877315)</f>
        <v>1.388877315</v>
      </c>
      <c r="KC3" s="1514">
        <f>IFERROR(__xludf.DUMMYFUNCTION("""COMPUTED_VALUE"""),1200000.0)</f>
        <v>1200000</v>
      </c>
      <c r="KD3" s="1510">
        <f>IFERROR(__xludf.DUMMYFUNCTION("""COMPUTED_VALUE"""),5.208321759)</f>
        <v>5.208321759</v>
      </c>
      <c r="KE3" s="1514">
        <f>IFERROR(__xludf.DUMMYFUNCTION("""COMPUTED_VALUE"""),5.0E9)</f>
        <v>5000000000</v>
      </c>
      <c r="KF3" s="1510">
        <f>IFERROR(__xludf.DUMMYFUNCTION("""COMPUTED_VALUE"""),5.208321759)</f>
        <v>5.208321759</v>
      </c>
      <c r="KG3" s="1514">
        <f>IFERROR(__xludf.DUMMYFUNCTION("""COMPUTED_VALUE"""),5.0E9)</f>
        <v>5000000000</v>
      </c>
      <c r="KH3" s="1510">
        <f>IFERROR(__xludf.DUMMYFUNCTION("""COMPUTED_VALUE"""),8.680543981)</f>
        <v>8.680543981</v>
      </c>
      <c r="KI3" s="1514">
        <f>IFERROR(__xludf.DUMMYFUNCTION("""COMPUTED_VALUE"""),7.0E10)</f>
        <v>70000000000</v>
      </c>
      <c r="KJ3" s="1510">
        <f>IFERROR(__xludf.DUMMYFUNCTION("""COMPUTED_VALUE"""),2.0)</f>
        <v>2</v>
      </c>
      <c r="KK3" s="1514">
        <f>IFERROR(__xludf.DUMMYFUNCTION("""COMPUTED_VALUE"""),1.0E7)</f>
        <v>10000000</v>
      </c>
      <c r="KL3" s="1515">
        <f>IFERROR(__xludf.DUMMYFUNCTION("""COMPUTED_VALUE"""),142.59258101851853)</f>
        <v>142.592581</v>
      </c>
      <c r="KM3" s="1514">
        <f>IFERROR(__xludf.DUMMYFUNCTION("""COMPUTED_VALUE"""),1.0E13)</f>
        <v>10000000000000</v>
      </c>
      <c r="KN3" s="1515">
        <f>IFERROR(__xludf.DUMMYFUNCTION("""COMPUTED_VALUE"""),37.5)</f>
        <v>37.5</v>
      </c>
      <c r="KO3" s="1514">
        <f>IFERROR(__xludf.DUMMYFUNCTION("""COMPUTED_VALUE"""),5.0E11)</f>
        <v>500000000000</v>
      </c>
      <c r="KP3" s="1515">
        <f>IFERROR(__xludf.DUMMYFUNCTION("""COMPUTED_VALUE"""),37.5)</f>
        <v>37.5</v>
      </c>
      <c r="KQ3" s="1514">
        <f>IFERROR(__xludf.DUMMYFUNCTION("""COMPUTED_VALUE"""),5.0E11)</f>
        <v>500000000000</v>
      </c>
      <c r="KR3" s="1515">
        <f>IFERROR(__xludf.DUMMYFUNCTION("""COMPUTED_VALUE"""),62.5)</f>
        <v>62.5</v>
      </c>
      <c r="KS3" s="1514">
        <f>IFERROR(__xludf.DUMMYFUNCTION("""COMPUTED_VALUE"""),5.0E12)</f>
        <v>5000000000000</v>
      </c>
      <c r="KT3" s="1515">
        <f>IFERROR(__xludf.DUMMYFUNCTION("""COMPUTED_VALUE"""),16.666666666666668)</f>
        <v>16.66666667</v>
      </c>
      <c r="KU3" s="1514">
        <f>IFERROR(__xludf.DUMMYFUNCTION("""COMPUTED_VALUE"""),5.0E10)</f>
        <v>50000000000</v>
      </c>
      <c r="KV3" s="1512">
        <f>IFERROR(__xludf.DUMMYFUNCTION("""COMPUTED_VALUE"""),10.799305555555556)</f>
        <v>10.79930556</v>
      </c>
      <c r="KW3" s="1513">
        <f>IFERROR(__xludf.DUMMYFUNCTION("""COMPUTED_VALUE"""),2.5E17)</f>
        <v>2.5E+17</v>
      </c>
      <c r="KX3" s="1512">
        <f>IFERROR(__xludf.DUMMYFUNCTION("""COMPUTED_VALUE"""),10.799305555555556)</f>
        <v>10.79930556</v>
      </c>
      <c r="KY3" s="1513">
        <f>IFERROR(__xludf.DUMMYFUNCTION("""COMPUTED_VALUE"""),2.5E17)</f>
        <v>2.5E+17</v>
      </c>
      <c r="KZ3" s="1512">
        <f>IFERROR(__xludf.DUMMYFUNCTION("""COMPUTED_VALUE"""),10.799305555555556)</f>
        <v>10.79930556</v>
      </c>
      <c r="LA3" s="1513">
        <f>IFERROR(__xludf.DUMMYFUNCTION("""COMPUTED_VALUE"""),2.5E17)</f>
        <v>2.5E+17</v>
      </c>
      <c r="LB3" s="1512">
        <f>IFERROR(__xludf.DUMMYFUNCTION("""COMPUTED_VALUE"""),10.799305555555556)</f>
        <v>10.79930556</v>
      </c>
      <c r="LC3" s="1513">
        <f>IFERROR(__xludf.DUMMYFUNCTION("""COMPUTED_VALUE"""),2.5E17)</f>
        <v>2.5E+17</v>
      </c>
      <c r="LD3" s="1512">
        <f>IFERROR(__xludf.DUMMYFUNCTION("""COMPUTED_VALUE"""),10.799305555555556)</f>
        <v>10.79930556</v>
      </c>
      <c r="LE3" s="1513">
        <f>IFERROR(__xludf.DUMMYFUNCTION("""COMPUTED_VALUE"""),2.5E17)</f>
        <v>2.5E+17</v>
      </c>
      <c r="LF3" s="1512">
        <f>IFERROR(__xludf.DUMMYFUNCTION("""COMPUTED_VALUE"""),10.799305555555556)</f>
        <v>10.79930556</v>
      </c>
      <c r="LG3" s="1513">
        <f>IFERROR(__xludf.DUMMYFUNCTION("""COMPUTED_VALUE"""),2.5E17)</f>
        <v>2.5E+17</v>
      </c>
      <c r="LH3" s="1512">
        <f>IFERROR(__xludf.DUMMYFUNCTION("""COMPUTED_VALUE"""),10.799305555555556)</f>
        <v>10.79930556</v>
      </c>
      <c r="LI3" s="1513">
        <f>IFERROR(__xludf.DUMMYFUNCTION("""COMPUTED_VALUE"""),2.5E17)</f>
        <v>2.5E+17</v>
      </c>
      <c r="LJ3" s="1512">
        <f>IFERROR(__xludf.DUMMYFUNCTION("""COMPUTED_VALUE"""),10.799305555555556)</f>
        <v>10.79930556</v>
      </c>
      <c r="LK3" s="1513">
        <f>IFERROR(__xludf.DUMMYFUNCTION("""COMPUTED_VALUE"""),2.5E17)</f>
        <v>2.5E+17</v>
      </c>
      <c r="LL3" s="1494">
        <f>IFERROR(__xludf.DUMMYFUNCTION("""COMPUTED_VALUE"""),16.666666666666668)</f>
        <v>16.66666667</v>
      </c>
      <c r="LM3" s="1495">
        <f>IFERROR(__xludf.DUMMYFUNCTION("""COMPUTED_VALUE"""),1.0E15)</f>
        <v>1E+15</v>
      </c>
      <c r="LN3" s="1516">
        <f>IFERROR(__xludf.DUMMYFUNCTION("""COMPUTED_VALUE"""),13.499305555555555)</f>
        <v>13.49930556</v>
      </c>
      <c r="LO3" s="1495">
        <f>IFERROR(__xludf.DUMMYFUNCTION("""COMPUTED_VALUE"""),2.0E17)</f>
        <v>2E+17</v>
      </c>
      <c r="LP3" s="1516">
        <f>IFERROR(__xludf.DUMMYFUNCTION("""COMPUTED_VALUE"""),13.499305555555555)</f>
        <v>13.49930556</v>
      </c>
      <c r="LQ3" s="1495">
        <f>IFERROR(__xludf.DUMMYFUNCTION("""COMPUTED_VALUE"""),2.0E17)</f>
        <v>2E+17</v>
      </c>
      <c r="LR3" s="1516">
        <f>IFERROR(__xludf.DUMMYFUNCTION("""COMPUTED_VALUE"""),13.499305555555555)</f>
        <v>13.49930556</v>
      </c>
      <c r="LS3" s="1495">
        <f>IFERROR(__xludf.DUMMYFUNCTION("""COMPUTED_VALUE"""),2.0E17)</f>
        <v>2E+17</v>
      </c>
      <c r="LT3" s="1516">
        <f>IFERROR(__xludf.DUMMYFUNCTION("""COMPUTED_VALUE"""),13.499305555555555)</f>
        <v>13.49930556</v>
      </c>
      <c r="LU3" s="1495">
        <f>IFERROR(__xludf.DUMMYFUNCTION("""COMPUTED_VALUE"""),2.0E17)</f>
        <v>2E+17</v>
      </c>
      <c r="LV3" s="1516">
        <f>IFERROR(__xludf.DUMMYFUNCTION("""COMPUTED_VALUE"""),13.499305555555555)</f>
        <v>13.49930556</v>
      </c>
      <c r="LW3" s="1495">
        <f>IFERROR(__xludf.DUMMYFUNCTION("""COMPUTED_VALUE"""),2.0E17)</f>
        <v>2E+17</v>
      </c>
      <c r="LX3" s="1516">
        <f>IFERROR(__xludf.DUMMYFUNCTION("""COMPUTED_VALUE"""),16.198611111111113)</f>
        <v>16.19861111</v>
      </c>
      <c r="LY3" s="1517">
        <f>IFERROR(__xludf.DUMMYFUNCTION("""COMPUTED_VALUE"""),5.0E17)</f>
        <v>5E+17</v>
      </c>
      <c r="LZ3" s="1516">
        <f>IFERROR(__xludf.DUMMYFUNCTION("""COMPUTED_VALUE"""),16.198611111111113)</f>
        <v>16.19861111</v>
      </c>
      <c r="MA3" s="1517">
        <f>IFERROR(__xludf.DUMMYFUNCTION("""COMPUTED_VALUE"""),5.0E17)</f>
        <v>5E+17</v>
      </c>
      <c r="MB3" s="1516">
        <f>IFERROR(__xludf.DUMMYFUNCTION("""COMPUTED_VALUE"""),16.198611111111113)</f>
        <v>16.19861111</v>
      </c>
      <c r="MC3" s="1517">
        <f>IFERROR(__xludf.DUMMYFUNCTION("""COMPUTED_VALUE"""),5.0E17)</f>
        <v>5E+17</v>
      </c>
      <c r="MD3" s="1516">
        <f>IFERROR(__xludf.DUMMYFUNCTION("""COMPUTED_VALUE"""),16.198611111111113)</f>
        <v>16.19861111</v>
      </c>
      <c r="ME3" s="1517">
        <f>IFERROR(__xludf.DUMMYFUNCTION("""COMPUTED_VALUE"""),5.0E17)</f>
        <v>5E+17</v>
      </c>
      <c r="MF3" s="1516">
        <f>IFERROR(__xludf.DUMMYFUNCTION("""COMPUTED_VALUE"""),26.99861111111111)</f>
        <v>26.99861111</v>
      </c>
      <c r="MG3" s="1517">
        <f>IFERROR(__xludf.DUMMYFUNCTION("""COMPUTED_VALUE"""),1.0E18)</f>
        <v>1E+18</v>
      </c>
      <c r="MH3" s="1516">
        <f>IFERROR(__xludf.DUMMYFUNCTION("""COMPUTED_VALUE"""),26.99861111111111)</f>
        <v>26.99861111</v>
      </c>
      <c r="MI3" s="1517">
        <f>IFERROR(__xludf.DUMMYFUNCTION("""COMPUTED_VALUE"""),1.0E18)</f>
        <v>1E+18</v>
      </c>
      <c r="MJ3" s="1516">
        <f>IFERROR(__xludf.DUMMYFUNCTION("""COMPUTED_VALUE"""),26.99861111111111)</f>
        <v>26.99861111</v>
      </c>
      <c r="MK3" s="1517">
        <f>IFERROR(__xludf.DUMMYFUNCTION("""COMPUTED_VALUE"""),1.0E18)</f>
        <v>1E+18</v>
      </c>
      <c r="ML3" s="1516">
        <f>IFERROR(__xludf.DUMMYFUNCTION("""COMPUTED_VALUE"""),26.99861111111111)</f>
        <v>26.99861111</v>
      </c>
      <c r="MM3" s="1517">
        <f>IFERROR(__xludf.DUMMYFUNCTION("""COMPUTED_VALUE"""),1.0E18)</f>
        <v>1E+18</v>
      </c>
      <c r="MN3" s="1516">
        <f>IFERROR(__xludf.DUMMYFUNCTION("""COMPUTED_VALUE"""),26.99861111111111)</f>
        <v>26.99861111</v>
      </c>
      <c r="MO3" s="1517">
        <f>IFERROR(__xludf.DUMMYFUNCTION("""COMPUTED_VALUE"""),1.0E18)</f>
        <v>1E+18</v>
      </c>
      <c r="MP3" s="1516">
        <f>IFERROR(__xludf.DUMMYFUNCTION("""COMPUTED_VALUE"""),26.99861111111111)</f>
        <v>26.99861111</v>
      </c>
      <c r="MQ3" s="1517">
        <f>IFERROR(__xludf.DUMMYFUNCTION("""COMPUTED_VALUE"""),1.0E18)</f>
        <v>1E+18</v>
      </c>
      <c r="MR3" s="1516">
        <f>IFERROR(__xludf.DUMMYFUNCTION("""COMPUTED_VALUE"""),26.99861111111111)</f>
        <v>26.99861111</v>
      </c>
      <c r="MS3" s="1517">
        <f>IFERROR(__xludf.DUMMYFUNCTION("""COMPUTED_VALUE"""),2.0E18)</f>
        <v>2E+18</v>
      </c>
      <c r="MT3" s="1516">
        <f>IFERROR(__xludf.DUMMYFUNCTION("""COMPUTED_VALUE"""),26.99861111111111)</f>
        <v>26.99861111</v>
      </c>
      <c r="MU3" s="1517">
        <f>IFERROR(__xludf.DUMMYFUNCTION("""COMPUTED_VALUE"""),2.0E18)</f>
        <v>2E+18</v>
      </c>
      <c r="MV3" s="1516">
        <f>IFERROR(__xludf.DUMMYFUNCTION("""COMPUTED_VALUE"""),26.99861111111111)</f>
        <v>26.99861111</v>
      </c>
      <c r="MW3" s="1517">
        <f>IFERROR(__xludf.DUMMYFUNCTION("""COMPUTED_VALUE"""),2.0E18)</f>
        <v>2E+18</v>
      </c>
      <c r="MX3" s="1516">
        <f>IFERROR(__xludf.DUMMYFUNCTION("""COMPUTED_VALUE"""),26.99861111111111)</f>
        <v>26.99861111</v>
      </c>
      <c r="MY3" s="1517">
        <f>IFERROR(__xludf.DUMMYFUNCTION("""COMPUTED_VALUE"""),2.0E18)</f>
        <v>2E+18</v>
      </c>
    </row>
    <row r="4">
      <c r="A4" s="1465">
        <f>IFERROR(__xludf.DUMMYFUNCTION("""COMPUTED_VALUE"""),2.0)</f>
        <v>2</v>
      </c>
      <c r="B4" s="1466">
        <f>IFERROR(__xludf.DUMMYFUNCTION("""COMPUTED_VALUE"""),0.10347222222222222)</f>
        <v>0.1034722222</v>
      </c>
      <c r="C4" s="1467">
        <f>IFERROR(__xludf.DUMMYFUNCTION("""COMPUTED_VALUE"""),2500.0)</f>
        <v>2500</v>
      </c>
      <c r="D4" s="1466">
        <f>IFERROR(__xludf.DUMMYFUNCTION("""COMPUTED_VALUE"""),0.0044444444444444444)</f>
        <v>0.004444444444</v>
      </c>
      <c r="E4" s="1467">
        <f>IFERROR(__xludf.DUMMYFUNCTION("""COMPUTED_VALUE"""),71.0)</f>
        <v>71</v>
      </c>
      <c r="F4" s="1466">
        <f>IFERROR(__xludf.DUMMYFUNCTION("""COMPUTED_VALUE"""),0.0044444444444444444)</f>
        <v>0.004444444444</v>
      </c>
      <c r="G4" s="1468">
        <f>IFERROR(__xludf.DUMMYFUNCTION("""COMPUTED_VALUE"""),71.0)</f>
        <v>71</v>
      </c>
      <c r="H4" s="1466">
        <f>IFERROR(__xludf.DUMMYFUNCTION("""COMPUTED_VALUE"""),0.0044444444444444444)</f>
        <v>0.004444444444</v>
      </c>
      <c r="I4" s="1467">
        <f>IFERROR(__xludf.DUMMYFUNCTION("""COMPUTED_VALUE"""),71.0)</f>
        <v>71</v>
      </c>
      <c r="J4" s="1466">
        <f>IFERROR(__xludf.DUMMYFUNCTION("""COMPUTED_VALUE"""),0.0044444444444444444)</f>
        <v>0.004444444444</v>
      </c>
      <c r="K4" s="1467">
        <f>IFERROR(__xludf.DUMMYFUNCTION("""COMPUTED_VALUE"""),71.0)</f>
        <v>71</v>
      </c>
      <c r="L4" s="1466">
        <f>IFERROR(__xludf.DUMMYFUNCTION("""COMPUTED_VALUE"""),0.00681712962962963)</f>
        <v>0.00681712963</v>
      </c>
      <c r="M4" s="1469">
        <f>IFERROR(__xludf.DUMMYFUNCTION("""COMPUTED_VALUE"""),83.0)</f>
        <v>83</v>
      </c>
      <c r="N4" s="1470">
        <f>IFERROR(__xludf.DUMMYFUNCTION("""COMPUTED_VALUE"""),0.0067476851851851856)</f>
        <v>0.006747685185</v>
      </c>
      <c r="O4" s="1467">
        <f>IFERROR(__xludf.DUMMYFUNCTION("""COMPUTED_VALUE"""),83.0)</f>
        <v>83</v>
      </c>
      <c r="P4" s="1466">
        <f>IFERROR(__xludf.DUMMYFUNCTION("""COMPUTED_VALUE"""),0.23125)</f>
        <v>0.23125</v>
      </c>
      <c r="Q4" s="1467">
        <f>IFERROR(__xludf.DUMMYFUNCTION("""COMPUTED_VALUE"""),10000.0)</f>
        <v>10000</v>
      </c>
      <c r="R4" s="1518"/>
      <c r="S4" s="1519"/>
      <c r="T4" s="1466">
        <f>IFERROR(__xludf.DUMMYFUNCTION("""COMPUTED_VALUE"""),8.0)</f>
        <v>8</v>
      </c>
      <c r="U4" s="1467">
        <f>IFERROR(__xludf.DUMMYFUNCTION("""COMPUTED_VALUE"""),1.0E9)</f>
        <v>1000000000</v>
      </c>
      <c r="V4" s="1518"/>
      <c r="W4" s="1519"/>
      <c r="X4" s="1518"/>
      <c r="Y4" s="1519"/>
      <c r="Z4" s="1518"/>
      <c r="AA4" s="1519"/>
      <c r="AB4" s="1518"/>
      <c r="AC4" s="1519"/>
      <c r="AD4" s="1466">
        <f>IFERROR(__xludf.DUMMYFUNCTION("""COMPUTED_VALUE"""),2.1597222222222223)</f>
        <v>2.159722222</v>
      </c>
      <c r="AE4" s="1474">
        <f>IFERROR(__xludf.DUMMYFUNCTION("""COMPUTED_VALUE"""),1.3E9)</f>
        <v>1300000000</v>
      </c>
      <c r="AF4" s="1466">
        <f>IFERROR(__xludf.DUMMYFUNCTION("""COMPUTED_VALUE"""),2.1597222222222223)</f>
        <v>2.159722222</v>
      </c>
      <c r="AG4" s="1474">
        <f>IFERROR(__xludf.DUMMYFUNCTION("""COMPUTED_VALUE"""),1.3E9)</f>
        <v>1300000000</v>
      </c>
      <c r="AH4" s="1466">
        <f>IFERROR(__xludf.DUMMYFUNCTION("""COMPUTED_VALUE"""),2.1597222222222223)</f>
        <v>2.159722222</v>
      </c>
      <c r="AI4" s="1474">
        <f>IFERROR(__xludf.DUMMYFUNCTION("""COMPUTED_VALUE"""),1.3E9)</f>
        <v>1300000000</v>
      </c>
      <c r="AJ4" s="1475">
        <f>IFERROR(__xludf.DUMMYFUNCTION("""COMPUTED_VALUE"""),0.0044444444444444444)</f>
        <v>0.004444444444</v>
      </c>
      <c r="AK4" s="1476">
        <f>IFERROR(__xludf.DUMMYFUNCTION("""COMPUTED_VALUE"""),71.0)</f>
        <v>71</v>
      </c>
      <c r="AL4" s="1475">
        <f>IFERROR(__xludf.DUMMYFUNCTION("""COMPUTED_VALUE"""),0.0044444444444444444)</f>
        <v>0.004444444444</v>
      </c>
      <c r="AM4" s="1476">
        <f>IFERROR(__xludf.DUMMYFUNCTION("""COMPUTED_VALUE"""),71.0)</f>
        <v>71</v>
      </c>
      <c r="AN4" s="1475">
        <f>IFERROR(__xludf.DUMMYFUNCTION("""COMPUTED_VALUE"""),0.0044444444444444444)</f>
        <v>0.004444444444</v>
      </c>
      <c r="AO4" s="1476">
        <f>IFERROR(__xludf.DUMMYFUNCTION("""COMPUTED_VALUE"""),71.0)</f>
        <v>71</v>
      </c>
      <c r="AP4" s="1475">
        <f>IFERROR(__xludf.DUMMYFUNCTION("""COMPUTED_VALUE"""),0.0044444444444444444)</f>
        <v>0.004444444444</v>
      </c>
      <c r="AQ4" s="1476">
        <f>IFERROR(__xludf.DUMMYFUNCTION("""COMPUTED_VALUE"""),71.0)</f>
        <v>71</v>
      </c>
      <c r="AR4" s="1475">
        <f>IFERROR(__xludf.DUMMYFUNCTION("""COMPUTED_VALUE"""),0.0044444444444444444)</f>
        <v>0.004444444444</v>
      </c>
      <c r="AS4" s="1476">
        <f>IFERROR(__xludf.DUMMYFUNCTION("""COMPUTED_VALUE"""),71.0)</f>
        <v>71</v>
      </c>
      <c r="AT4" s="1475">
        <f>IFERROR(__xludf.DUMMYFUNCTION("""COMPUTED_VALUE"""),1.7368055555555555)</f>
        <v>1.736805556</v>
      </c>
      <c r="AU4" s="1476">
        <f>IFERROR(__xludf.DUMMYFUNCTION("""COMPUTED_VALUE"""),401000.0)</f>
        <v>401000</v>
      </c>
      <c r="AV4" s="1475">
        <f>IFERROR(__xludf.DUMMYFUNCTION("""COMPUTED_VALUE"""),1.7368055555555555)</f>
        <v>1.736805556</v>
      </c>
      <c r="AW4" s="1476">
        <f>IFERROR(__xludf.DUMMYFUNCTION("""COMPUTED_VALUE"""),401000.0)</f>
        <v>401000</v>
      </c>
      <c r="AX4" s="1475">
        <f>IFERROR(__xludf.DUMMYFUNCTION("""COMPUTED_VALUE"""),4.051388888888889)</f>
        <v>4.051388889</v>
      </c>
      <c r="AY4" s="1476">
        <f>IFERROR(__xludf.DUMMYFUNCTION("""COMPUTED_VALUE"""),2.4E11)</f>
        <v>240000000000</v>
      </c>
      <c r="AZ4" s="1518"/>
      <c r="BA4" s="1518"/>
      <c r="BB4" s="1477">
        <f>IFERROR(__xludf.DUMMYFUNCTION("""COMPUTED_VALUE"""),0.0044444444444444444)</f>
        <v>0.004444444444</v>
      </c>
      <c r="BC4" s="1478">
        <f>IFERROR(__xludf.DUMMYFUNCTION("""COMPUTED_VALUE"""),71.0)</f>
        <v>71</v>
      </c>
      <c r="BD4" s="1477">
        <f>IFERROR(__xludf.DUMMYFUNCTION("""COMPUTED_VALUE"""),0.0044444444444444444)</f>
        <v>0.004444444444</v>
      </c>
      <c r="BE4" s="1478">
        <f>IFERROR(__xludf.DUMMYFUNCTION("""COMPUTED_VALUE"""),71.0)</f>
        <v>71</v>
      </c>
      <c r="BF4" s="1477">
        <f>IFERROR(__xludf.DUMMYFUNCTION("""COMPUTED_VALUE"""),0.0044444444444444444)</f>
        <v>0.004444444444</v>
      </c>
      <c r="BG4" s="1478">
        <f>IFERROR(__xludf.DUMMYFUNCTION("""COMPUTED_VALUE"""),71.0)</f>
        <v>71</v>
      </c>
      <c r="BH4" s="1477">
        <f>IFERROR(__xludf.DUMMYFUNCTION("""COMPUTED_VALUE"""),0.07708333333333334)</f>
        <v>0.07708333333</v>
      </c>
      <c r="BI4" s="1478">
        <f>IFERROR(__xludf.DUMMYFUNCTION("""COMPUTED_VALUE"""),7500.0)</f>
        <v>7500</v>
      </c>
      <c r="BJ4" s="1477">
        <f>IFERROR(__xludf.DUMMYFUNCTION("""COMPUTED_VALUE"""),0.12569444444444444)</f>
        <v>0.1256944444</v>
      </c>
      <c r="BK4" s="1478">
        <f>IFERROR(__xludf.DUMMYFUNCTION("""COMPUTED_VALUE"""),22500.0)</f>
        <v>22500</v>
      </c>
      <c r="BL4" s="1477">
        <f>IFERROR(__xludf.DUMMYFUNCTION("""COMPUTED_VALUE"""),0.20902777777777778)</f>
        <v>0.2090277778</v>
      </c>
      <c r="BM4" s="1478">
        <f>IFERROR(__xludf.DUMMYFUNCTION("""COMPUTED_VALUE"""),40000.0)</f>
        <v>40000</v>
      </c>
      <c r="BN4" s="1477">
        <f>IFERROR(__xludf.DUMMYFUNCTION("""COMPUTED_VALUE"""),0.20902777777777778)</f>
        <v>0.2090277778</v>
      </c>
      <c r="BO4" s="1478">
        <f>IFERROR(__xludf.DUMMYFUNCTION("""COMPUTED_VALUE"""),40000.0)</f>
        <v>40000</v>
      </c>
      <c r="BP4" s="1477">
        <f>IFERROR(__xludf.DUMMYFUNCTION("""COMPUTED_VALUE"""),0.27847222222222223)</f>
        <v>0.2784722222</v>
      </c>
      <c r="BQ4" s="1478">
        <f>IFERROR(__xludf.DUMMYFUNCTION("""COMPUTED_VALUE"""),119000.0)</f>
        <v>119000</v>
      </c>
      <c r="BR4" s="1477">
        <f>IFERROR(__xludf.DUMMYFUNCTION("""COMPUTED_VALUE"""),1.5048611111111112)</f>
        <v>1.504861111</v>
      </c>
      <c r="BS4" s="1478">
        <f>IFERROR(__xludf.DUMMYFUNCTION("""COMPUTED_VALUE"""),1.21E9)</f>
        <v>1210000000</v>
      </c>
      <c r="BT4" s="1479">
        <f>IFERROR(__xludf.DUMMYFUNCTION("""COMPUTED_VALUE"""),0.23402777777777778)</f>
        <v>0.2340277778</v>
      </c>
      <c r="BU4" s="1480">
        <f>IFERROR(__xludf.DUMMYFUNCTION("""COMPUTED_VALUE"""),1.2E9)</f>
        <v>1200000000</v>
      </c>
      <c r="BV4" s="1479">
        <f>IFERROR(__xludf.DUMMYFUNCTION("""COMPUTED_VALUE"""),1.0423611111111113)</f>
        <v>1.042361111</v>
      </c>
      <c r="BW4" s="1480">
        <f>IFERROR(__xludf.DUMMYFUNCTION("""COMPUTED_VALUE"""),1.91E9)</f>
        <v>1910000000</v>
      </c>
      <c r="BX4" s="1479">
        <f>IFERROR(__xludf.DUMMYFUNCTION("""COMPUTED_VALUE"""),1.3895833333333334)</f>
        <v>1.389583333</v>
      </c>
      <c r="BY4" s="1480">
        <f>IFERROR(__xludf.DUMMYFUNCTION("""COMPUTED_VALUE"""),3.51E10)</f>
        <v>35100000000</v>
      </c>
      <c r="BZ4" s="1479">
        <f>IFERROR(__xludf.DUMMYFUNCTION("""COMPUTED_VALUE"""),1.5048611111111112)</f>
        <v>1.504861111</v>
      </c>
      <c r="CA4" s="1480">
        <f>IFERROR(__xludf.DUMMYFUNCTION("""COMPUTED_VALUE"""),3.81E10)</f>
        <v>38100000000</v>
      </c>
      <c r="CB4" s="1479">
        <f>IFERROR(__xludf.DUMMYFUNCTION("""COMPUTED_VALUE"""),4.051388888888889)</f>
        <v>4.051388889</v>
      </c>
      <c r="CC4" s="1480">
        <f>IFERROR(__xludf.DUMMYFUNCTION("""COMPUTED_VALUE"""),3.51E11)</f>
        <v>351000000000</v>
      </c>
      <c r="CD4" s="1477">
        <f>IFERROR(__xludf.DUMMYFUNCTION("""COMPUTED_VALUE"""),2.4197800925925925)</f>
        <v>2.419780093</v>
      </c>
      <c r="CE4" s="1481">
        <f>IFERROR(__xludf.DUMMYFUNCTION("""COMPUTED_VALUE"""),3.0007E11)</f>
        <v>300070000000</v>
      </c>
      <c r="CF4" s="1477">
        <f>IFERROR(__xludf.DUMMYFUNCTION("""COMPUTED_VALUE"""),1.2534722222222223)</f>
        <v>1.253472222</v>
      </c>
      <c r="CG4" s="1481">
        <f>IFERROR(__xludf.DUMMYFUNCTION("""COMPUTED_VALUE"""),7100.0)</f>
        <v>7100</v>
      </c>
      <c r="CH4" s="1482">
        <f>IFERROR(__xludf.DUMMYFUNCTION("""COMPUTED_VALUE"""),0.0044444444444444444)</f>
        <v>0.004444444444</v>
      </c>
      <c r="CI4" s="1483">
        <f>IFERROR(__xludf.DUMMYFUNCTION("""COMPUTED_VALUE"""),71.0)</f>
        <v>71</v>
      </c>
      <c r="CJ4" s="1482">
        <f>IFERROR(__xludf.DUMMYFUNCTION("""COMPUTED_VALUE"""),0.0044444444444444444)</f>
        <v>0.004444444444</v>
      </c>
      <c r="CK4" s="1483">
        <f>IFERROR(__xludf.DUMMYFUNCTION("""COMPUTED_VALUE"""),71.0)</f>
        <v>71</v>
      </c>
      <c r="CL4" s="1482">
        <f>IFERROR(__xludf.DUMMYFUNCTION("""COMPUTED_VALUE"""),0.0044444444444444444)</f>
        <v>0.004444444444</v>
      </c>
      <c r="CM4" s="1483">
        <f>IFERROR(__xludf.DUMMYFUNCTION("""COMPUTED_VALUE"""),71.0)</f>
        <v>71</v>
      </c>
      <c r="CN4" s="1482">
        <f>IFERROR(__xludf.DUMMYFUNCTION("""COMPUTED_VALUE"""),0.0044444444444444444)</f>
        <v>0.004444444444</v>
      </c>
      <c r="CO4" s="1483">
        <f>IFERROR(__xludf.DUMMYFUNCTION("""COMPUTED_VALUE"""),71.0)</f>
        <v>71</v>
      </c>
      <c r="CP4" s="1482">
        <f>IFERROR(__xludf.DUMMYFUNCTION("""COMPUTED_VALUE"""),0.006875)</f>
        <v>0.006875</v>
      </c>
      <c r="CQ4" s="1483">
        <f>IFERROR(__xludf.DUMMYFUNCTION("""COMPUTED_VALUE"""),93.0)</f>
        <v>93</v>
      </c>
      <c r="CR4" s="1482">
        <f>IFERROR(__xludf.DUMMYFUNCTION("""COMPUTED_VALUE"""),0.04791666666666667)</f>
        <v>0.04791666667</v>
      </c>
      <c r="CS4" s="1483">
        <f>IFERROR(__xludf.DUMMYFUNCTION("""COMPUTED_VALUE"""),910.0)</f>
        <v>910</v>
      </c>
      <c r="CT4" s="1520"/>
      <c r="CU4" s="1519"/>
      <c r="CV4" s="1484">
        <f>IFERROR(__xludf.DUMMYFUNCTION("""COMPUTED_VALUE"""),2.6625)</f>
        <v>2.6625</v>
      </c>
      <c r="CW4" s="1485">
        <f>IFERROR(__xludf.DUMMYFUNCTION("""COMPUTED_VALUE"""),2.501E10)</f>
        <v>25010000000</v>
      </c>
      <c r="CX4" s="1484">
        <f>IFERROR(__xludf.DUMMYFUNCTION("""COMPUTED_VALUE"""),2.6625)</f>
        <v>2.6625</v>
      </c>
      <c r="CY4" s="1485">
        <f>IFERROR(__xludf.DUMMYFUNCTION("""COMPUTED_VALUE"""),2.501E10)</f>
        <v>25010000000</v>
      </c>
      <c r="CZ4" s="1484">
        <f>IFERROR(__xludf.DUMMYFUNCTION("""COMPUTED_VALUE"""),2.6625)</f>
        <v>2.6625</v>
      </c>
      <c r="DA4" s="1485">
        <f>IFERROR(__xludf.DUMMYFUNCTION("""COMPUTED_VALUE"""),2.501E10)</f>
        <v>25010000000</v>
      </c>
      <c r="DB4" s="1484">
        <f>IFERROR(__xludf.DUMMYFUNCTION("""COMPUTED_VALUE"""),1.0423611111111113)</f>
        <v>1.042361111</v>
      </c>
      <c r="DC4" s="1485">
        <f>IFERROR(__xludf.DUMMYFUNCTION("""COMPUTED_VALUE"""),1.01E9)</f>
        <v>1010000000</v>
      </c>
      <c r="DD4" s="1484">
        <f>IFERROR(__xludf.DUMMYFUNCTION("""COMPUTED_VALUE"""),1.0423611111111113)</f>
        <v>1.042361111</v>
      </c>
      <c r="DE4" s="1485">
        <f>IFERROR(__xludf.DUMMYFUNCTION("""COMPUTED_VALUE"""),1.01E9)</f>
        <v>1010000000</v>
      </c>
      <c r="DF4" s="1486">
        <f>IFERROR(__xludf.DUMMYFUNCTION("""COMPUTED_VALUE"""),0.9729166666666667)</f>
        <v>0.9729166667</v>
      </c>
      <c r="DG4" s="1487">
        <f>IFERROR(__xludf.DUMMYFUNCTION("""COMPUTED_VALUE"""),285000.0)</f>
        <v>285000</v>
      </c>
      <c r="DH4" s="1518"/>
      <c r="DI4" s="1519"/>
      <c r="DJ4" s="1486">
        <f>IFERROR(__xludf.DUMMYFUNCTION("""COMPUTED_VALUE"""),1.7597222222222222)</f>
        <v>1.759722222</v>
      </c>
      <c r="DK4" s="1487">
        <f>IFERROR(__xludf.DUMMYFUNCTION("""COMPUTED_VALUE"""),835000.0)</f>
        <v>835000</v>
      </c>
      <c r="DL4" s="1486">
        <f>IFERROR(__xludf.DUMMYFUNCTION("""COMPUTED_VALUE"""),0.9729166666666667)</f>
        <v>0.9729166667</v>
      </c>
      <c r="DM4" s="1487">
        <f>IFERROR(__xludf.DUMMYFUNCTION("""COMPUTED_VALUE"""),285000.0)</f>
        <v>285000</v>
      </c>
      <c r="DN4" s="1518"/>
      <c r="DO4" s="1519"/>
      <c r="DP4" s="1486">
        <f>IFERROR(__xludf.DUMMYFUNCTION("""COMPUTED_VALUE"""),0.9729166666666667)</f>
        <v>0.9729166667</v>
      </c>
      <c r="DQ4" s="1487">
        <f>IFERROR(__xludf.DUMMYFUNCTION("""COMPUTED_VALUE"""),285000.0)</f>
        <v>285000</v>
      </c>
      <c r="DR4" s="1486">
        <f>IFERROR(__xludf.DUMMYFUNCTION("""COMPUTED_VALUE"""),0.9729166666666667)</f>
        <v>0.9729166667</v>
      </c>
      <c r="DS4" s="1487">
        <f>IFERROR(__xludf.DUMMYFUNCTION("""COMPUTED_VALUE"""),285000.0)</f>
        <v>285000</v>
      </c>
      <c r="DT4" s="1518"/>
      <c r="DU4" s="1519"/>
      <c r="DV4" s="1486">
        <f>IFERROR(__xludf.DUMMYFUNCTION("""COMPUTED_VALUE"""),0.9729166666666667)</f>
        <v>0.9729166667</v>
      </c>
      <c r="DW4" s="1487">
        <f>IFERROR(__xludf.DUMMYFUNCTION("""COMPUTED_VALUE"""),285000.0)</f>
        <v>285000</v>
      </c>
      <c r="DX4" s="1486">
        <f>IFERROR(__xludf.DUMMYFUNCTION("""COMPUTED_VALUE"""),0.9729166666666667)</f>
        <v>0.9729166667</v>
      </c>
      <c r="DY4" s="1487">
        <f>IFERROR(__xludf.DUMMYFUNCTION("""COMPUTED_VALUE"""),285000.0)</f>
        <v>285000</v>
      </c>
      <c r="DZ4" s="1486">
        <f>IFERROR(__xludf.DUMMYFUNCTION("""COMPUTED_VALUE"""),2.0145833333333334)</f>
        <v>2.014583333</v>
      </c>
      <c r="EA4" s="1487">
        <f>IFERROR(__xludf.DUMMYFUNCTION("""COMPUTED_VALUE"""),1310000.0)</f>
        <v>1310000</v>
      </c>
      <c r="EB4" s="1486">
        <f>IFERROR(__xludf.DUMMYFUNCTION("""COMPUTED_VALUE"""),2.0145833333333334)</f>
        <v>2.014583333</v>
      </c>
      <c r="EC4" s="1487">
        <f>IFERROR(__xludf.DUMMYFUNCTION("""COMPUTED_VALUE"""),1310000.0)</f>
        <v>1310000</v>
      </c>
      <c r="ED4" s="1518"/>
      <c r="EE4" s="1519"/>
      <c r="EF4" s="1486">
        <f>IFERROR(__xludf.DUMMYFUNCTION("""COMPUTED_VALUE"""),1.18125)</f>
        <v>1.18125</v>
      </c>
      <c r="EG4" s="1487">
        <f>IFERROR(__xludf.DUMMYFUNCTION("""COMPUTED_VALUE"""),560000.0)</f>
        <v>560000</v>
      </c>
      <c r="EH4" s="1486">
        <f>IFERROR(__xludf.DUMMYFUNCTION("""COMPUTED_VALUE"""),1.18125)</f>
        <v>1.18125</v>
      </c>
      <c r="EI4" s="1487">
        <f>IFERROR(__xludf.DUMMYFUNCTION("""COMPUTED_VALUE"""),560000.0)</f>
        <v>560000</v>
      </c>
      <c r="EJ4" s="1486">
        <f>IFERROR(__xludf.DUMMYFUNCTION("""COMPUTED_VALUE"""),1.1813541666666667)</f>
        <v>1.181354167</v>
      </c>
      <c r="EK4" s="1487">
        <f>IFERROR(__xludf.DUMMYFUNCTION("""COMPUTED_VALUE"""),560000.0)</f>
        <v>560000</v>
      </c>
      <c r="EL4" s="1486">
        <f>IFERROR(__xludf.DUMMYFUNCTION("""COMPUTED_VALUE"""),1.1813541666666667)</f>
        <v>1.181354167</v>
      </c>
      <c r="EM4" s="1487">
        <f>IFERROR(__xludf.DUMMYFUNCTION("""COMPUTED_VALUE"""),560000.0)</f>
        <v>560000</v>
      </c>
      <c r="EN4" s="1486">
        <f>IFERROR(__xludf.DUMMYFUNCTION("""COMPUTED_VALUE"""),1.18125)</f>
        <v>1.18125</v>
      </c>
      <c r="EO4" s="1487">
        <f>IFERROR(__xludf.DUMMYFUNCTION("""COMPUTED_VALUE"""),560000.0)</f>
        <v>560000</v>
      </c>
      <c r="EP4" s="1486">
        <f>IFERROR(__xludf.DUMMYFUNCTION("""COMPUTED_VALUE"""),1.18125)</f>
        <v>1.18125</v>
      </c>
      <c r="EQ4" s="1487">
        <f>IFERROR(__xludf.DUMMYFUNCTION("""COMPUTED_VALUE"""),560000.0)</f>
        <v>560000</v>
      </c>
      <c r="ER4" s="1486">
        <f>IFERROR(__xludf.DUMMYFUNCTION("""COMPUTED_VALUE"""),1.18125)</f>
        <v>1.18125</v>
      </c>
      <c r="ES4" s="1487">
        <f>IFERROR(__xludf.DUMMYFUNCTION("""COMPUTED_VALUE"""),560000.0)</f>
        <v>560000</v>
      </c>
      <c r="ET4" s="1486">
        <f>IFERROR(__xludf.DUMMYFUNCTION("""COMPUTED_VALUE"""),1.18125)</f>
        <v>1.18125</v>
      </c>
      <c r="EU4" s="1487">
        <f>IFERROR(__xludf.DUMMYFUNCTION("""COMPUTED_VALUE"""),860000.0)</f>
        <v>860000</v>
      </c>
      <c r="EV4" s="1518"/>
      <c r="EW4" s="1519"/>
      <c r="EX4" s="1486">
        <f>IFERROR(__xludf.DUMMYFUNCTION("""COMPUTED_VALUE"""),1.7597222222222222)</f>
        <v>1.759722222</v>
      </c>
      <c r="EY4" s="1487">
        <f>IFERROR(__xludf.DUMMYFUNCTION("""COMPUTED_VALUE"""),1660000.0)</f>
        <v>1660000</v>
      </c>
      <c r="EZ4" s="1518"/>
      <c r="FA4" s="1521"/>
      <c r="FB4" s="1486">
        <f>IFERROR(__xludf.DUMMYFUNCTION("""COMPUTED_VALUE"""),2.0145833333333334)</f>
        <v>2.014583333</v>
      </c>
      <c r="FC4" s="1487">
        <f>IFERROR(__xludf.DUMMYFUNCTION("""COMPUTED_VALUE"""),2.081E7)</f>
        <v>20810000</v>
      </c>
      <c r="FD4" s="1520"/>
      <c r="FE4" s="1519"/>
      <c r="FF4" s="1486">
        <f>IFERROR(__xludf.DUMMYFUNCTION("""COMPUTED_VALUE"""),2.0145833333333334)</f>
        <v>2.014583333</v>
      </c>
      <c r="FG4" s="1488">
        <f>IFERROR(__xludf.DUMMYFUNCTION("""COMPUTED_VALUE"""),2.1405405E7)</f>
        <v>21405405</v>
      </c>
      <c r="FH4" s="1486">
        <f>IFERROR(__xludf.DUMMYFUNCTION("""COMPUTED_VALUE"""),2.0145833333333334)</f>
        <v>2.014583333</v>
      </c>
      <c r="FI4" s="1488">
        <f>IFERROR(__xludf.DUMMYFUNCTION("""COMPUTED_VALUE"""),2.1405405E7)</f>
        <v>21405405</v>
      </c>
      <c r="FJ4" s="1486">
        <f>IFERROR(__xludf.DUMMYFUNCTION("""COMPUTED_VALUE"""),7.013912037037037)</f>
        <v>7.013912037</v>
      </c>
      <c r="FK4" s="1487">
        <f>IFERROR(__xludf.DUMMYFUNCTION("""COMPUTED_VALUE"""),2.00313514E8)</f>
        <v>200313514</v>
      </c>
      <c r="FL4" s="1518"/>
      <c r="FM4" s="1519"/>
      <c r="FN4" s="1489">
        <f>IFERROR(__xludf.DUMMYFUNCTION("""COMPUTED_VALUE"""),6.598020833333333)</f>
        <v>6.598020833</v>
      </c>
      <c r="FO4" s="1487">
        <f>IFERROR(__xludf.DUMMYFUNCTION("""COMPUTED_VALUE"""),1.05E12)</f>
        <v>1050000000000</v>
      </c>
      <c r="FP4" s="1486">
        <f>IFERROR(__xludf.DUMMYFUNCTION("""COMPUTED_VALUE"""),9.33332175925926)</f>
        <v>9.333321759</v>
      </c>
      <c r="FQ4" s="1488">
        <f>IFERROR(__xludf.DUMMYFUNCTION("""COMPUTED_VALUE"""),1.5E11)</f>
        <v>150000000000</v>
      </c>
      <c r="FR4" s="1490">
        <f>IFERROR(__xludf.DUMMYFUNCTION("""COMPUTED_VALUE"""),9.333333333333334)</f>
        <v>9.333333333</v>
      </c>
      <c r="FS4" s="1488">
        <f>IFERROR(__xludf.DUMMYFUNCTION("""COMPUTED_VALUE"""),1.5E11)</f>
        <v>150000000000</v>
      </c>
      <c r="FT4" s="1486">
        <f>IFERROR(__xludf.DUMMYFUNCTION("""COMPUTED_VALUE"""),9.333333333333334)</f>
        <v>9.333333333</v>
      </c>
      <c r="FU4" s="1488">
        <f>IFERROR(__xludf.DUMMYFUNCTION("""COMPUTED_VALUE"""),1.5E11)</f>
        <v>150000000000</v>
      </c>
      <c r="FV4" s="1486">
        <f>IFERROR(__xludf.DUMMYFUNCTION("""COMPUTED_VALUE"""),9.333333333333334)</f>
        <v>9.333333333</v>
      </c>
      <c r="FW4" s="1488">
        <f>IFERROR(__xludf.DUMMYFUNCTION("""COMPUTED_VALUE"""),1.5E11)</f>
        <v>150000000000</v>
      </c>
      <c r="FX4" s="1491">
        <f>IFERROR(__xludf.DUMMYFUNCTION("""COMPUTED_VALUE"""),3.802164351851852)</f>
        <v>3.802164352</v>
      </c>
      <c r="FY4" s="1492">
        <f>IFERROR(__xludf.DUMMYFUNCTION("""COMPUTED_VALUE"""),1.5E9)</f>
        <v>1500000000</v>
      </c>
      <c r="FZ4" s="1491">
        <f>IFERROR(__xludf.DUMMYFUNCTION("""COMPUTED_VALUE"""),9.333333333333334)</f>
        <v>9.333333333</v>
      </c>
      <c r="GA4" s="1492">
        <f>IFERROR(__xludf.DUMMYFUNCTION("""COMPUTED_VALUE"""),1.5E11)</f>
        <v>150000000000</v>
      </c>
      <c r="GB4" s="1493">
        <f>IFERROR(__xludf.DUMMYFUNCTION("""COMPUTED_VALUE"""),10.453472222222222)</f>
        <v>10.45347222</v>
      </c>
      <c r="GC4" s="1492">
        <f>IFERROR(__xludf.DUMMYFUNCTION("""COMPUTED_VALUE"""),2.25E11)</f>
        <v>225000000000</v>
      </c>
      <c r="GD4" s="1486">
        <f>IFERROR(__xludf.DUMMYFUNCTION("""COMPUTED_VALUE"""),33.333333333333336)</f>
        <v>33.33333333</v>
      </c>
      <c r="GE4" s="1488">
        <f>IFERROR(__xludf.DUMMYFUNCTION("""COMPUTED_VALUE"""),2.1E15)</f>
        <v>2.1E+15</v>
      </c>
      <c r="GF4" s="1494">
        <f>IFERROR(__xludf.DUMMYFUNCTION("""COMPUTED_VALUE"""),1.7354166666666666)</f>
        <v>1.735416667</v>
      </c>
      <c r="GG4" s="1495">
        <f>IFERROR(__xludf.DUMMYFUNCTION("""COMPUTED_VALUE"""),3000000.0)</f>
        <v>3000000</v>
      </c>
      <c r="GH4" s="1494">
        <f>IFERROR(__xludf.DUMMYFUNCTION("""COMPUTED_VALUE"""),0.38958333333333334)</f>
        <v>0.3895833333</v>
      </c>
      <c r="GI4" s="1495">
        <f>IFERROR(__xludf.DUMMYFUNCTION("""COMPUTED_VALUE"""),2810000.0)</f>
        <v>2810000</v>
      </c>
      <c r="GJ4" s="1518"/>
      <c r="GK4" s="1519"/>
      <c r="GL4" s="1494">
        <f>IFERROR(__xludf.DUMMYFUNCTION("""COMPUTED_VALUE"""),5.7868055555555555)</f>
        <v>5.786805556</v>
      </c>
      <c r="GM4" s="1495">
        <f>IFERROR(__xludf.DUMMYFUNCTION("""COMPUTED_VALUE"""),9.0E8)</f>
        <v>900000000</v>
      </c>
      <c r="GN4" s="1494">
        <f>IFERROR(__xludf.DUMMYFUNCTION("""COMPUTED_VALUE"""),32.40694444444444)</f>
        <v>32.40694444</v>
      </c>
      <c r="GO4" s="1495">
        <f>IFERROR(__xludf.DUMMYFUNCTION("""COMPUTED_VALUE"""),8.5E11)</f>
        <v>850000000000</v>
      </c>
      <c r="GP4" s="1496">
        <f>IFERROR(__xludf.DUMMYFUNCTION("""COMPUTED_VALUE"""),0.5562499999999999)</f>
        <v>0.55625</v>
      </c>
      <c r="GQ4" s="1497">
        <f>IFERROR(__xludf.DUMMYFUNCTION("""COMPUTED_VALUE"""),3.01E9)</f>
        <v>3010000000</v>
      </c>
      <c r="GR4" s="1498">
        <f>IFERROR(__xludf.DUMMYFUNCTION("""COMPUTED_VALUE"""),6.598020833333333)</f>
        <v>6.598020833</v>
      </c>
      <c r="GS4" s="1497">
        <f>IFERROR(__xludf.DUMMYFUNCTION("""COMPUTED_VALUE"""),1.05E12)</f>
        <v>1050000000000</v>
      </c>
      <c r="GT4" s="1498">
        <f>IFERROR(__xludf.DUMMYFUNCTION("""COMPUTED_VALUE"""),6.598020833333333)</f>
        <v>6.598020833</v>
      </c>
      <c r="GU4" s="1497">
        <f>IFERROR(__xludf.DUMMYFUNCTION("""COMPUTED_VALUE"""),1.05E12)</f>
        <v>1050000000000</v>
      </c>
      <c r="GV4" s="1498">
        <f>IFERROR(__xludf.DUMMYFUNCTION("""COMPUTED_VALUE"""),6.598020833333333)</f>
        <v>6.598020833</v>
      </c>
      <c r="GW4" s="1497">
        <f>IFERROR(__xludf.DUMMYFUNCTION("""COMPUTED_VALUE"""),1.05E12)</f>
        <v>1050000000000</v>
      </c>
      <c r="GX4" s="1499">
        <f>IFERROR(__xludf.DUMMYFUNCTION("""COMPUTED_VALUE"""),31.25)</f>
        <v>31.25</v>
      </c>
      <c r="GY4" s="1500">
        <f>IFERROR(__xludf.DUMMYFUNCTION("""COMPUTED_VALUE"""),1.3E15)</f>
        <v>1.3E+15</v>
      </c>
      <c r="GZ4" s="1518"/>
      <c r="HA4" s="1519"/>
      <c r="HB4" s="1501">
        <f>IFERROR(__xludf.DUMMYFUNCTION("""COMPUTED_VALUE"""),0.20902777777777778)</f>
        <v>0.2090277778</v>
      </c>
      <c r="HC4" s="1502">
        <f>IFERROR(__xludf.DUMMYFUNCTION("""COMPUTED_VALUE"""),220000.0)</f>
        <v>220000</v>
      </c>
      <c r="HD4" s="1518"/>
      <c r="HE4" s="1519"/>
      <c r="HF4" s="1501">
        <f>IFERROR(__xludf.DUMMYFUNCTION("""COMPUTED_VALUE"""),0.23194444444444445)</f>
        <v>0.2319444444</v>
      </c>
      <c r="HG4" s="1502">
        <f>IFERROR(__xludf.DUMMYFUNCTION("""COMPUTED_VALUE"""),280000.0)</f>
        <v>280000</v>
      </c>
      <c r="HH4" s="1501">
        <f>IFERROR(__xludf.DUMMYFUNCTION("""COMPUTED_VALUE"""),10.184722222222222)</f>
        <v>10.18472222</v>
      </c>
      <c r="HI4" s="1502">
        <f>IFERROR(__xludf.DUMMYFUNCTION("""COMPUTED_VALUE"""),2.0E9)</f>
        <v>2000000000</v>
      </c>
      <c r="HJ4" s="1518"/>
      <c r="HK4" s="1519"/>
      <c r="HL4" s="1501">
        <f>IFERROR(__xludf.DUMMYFUNCTION("""COMPUTED_VALUE"""),4.629166666666666)</f>
        <v>4.629166667</v>
      </c>
      <c r="HM4" s="1502">
        <f>IFERROR(__xludf.DUMMYFUNCTION("""COMPUTED_VALUE"""),1.0E8)</f>
        <v>100000000</v>
      </c>
      <c r="HN4" s="1501">
        <f>IFERROR(__xludf.DUMMYFUNCTION("""COMPUTED_VALUE"""),1.6208333333333333)</f>
        <v>1.620833333</v>
      </c>
      <c r="HO4" s="1502">
        <f>IFERROR(__xludf.DUMMYFUNCTION("""COMPUTED_VALUE"""),7.0003E8)</f>
        <v>700030000</v>
      </c>
      <c r="HP4" s="1501">
        <f>IFERROR(__xludf.DUMMYFUNCTION("""COMPUTED_VALUE"""),2.2233680555555555)</f>
        <v>2.223368056</v>
      </c>
      <c r="HQ4" s="1503">
        <f>IFERROR(__xludf.DUMMYFUNCTION("""COMPUTED_VALUE"""),180000.0)</f>
        <v>180000</v>
      </c>
      <c r="HR4" s="1522">
        <f>IFERROR(__xludf.DUMMYFUNCTION("""COMPUTED_VALUE"""),1.9680555555555557)</f>
        <v>1.968055556</v>
      </c>
      <c r="HS4" s="1523">
        <f>IFERROR(__xludf.DUMMYFUNCTION("""COMPUTED_VALUE"""),6.005E7)</f>
        <v>60050000</v>
      </c>
      <c r="HT4" s="1522">
        <f>IFERROR(__xludf.DUMMYFUNCTION("""COMPUTED_VALUE"""),1.9680555555555557)</f>
        <v>1.968055556</v>
      </c>
      <c r="HU4" s="1523">
        <f>IFERROR(__xludf.DUMMYFUNCTION("""COMPUTED_VALUE"""),6.005E7)</f>
        <v>60050000</v>
      </c>
      <c r="HV4" s="1522">
        <f>IFERROR(__xludf.DUMMYFUNCTION("""COMPUTED_VALUE"""),1.9680555555555557)</f>
        <v>1.968055556</v>
      </c>
      <c r="HW4" s="1523">
        <f>IFERROR(__xludf.DUMMYFUNCTION("""COMPUTED_VALUE"""),6.005E7)</f>
        <v>60050000</v>
      </c>
      <c r="HX4" s="1524">
        <f>IFERROR(__xludf.DUMMYFUNCTION("""COMPUTED_VALUE"""),1.9680555555555554)</f>
        <v>1.968055556</v>
      </c>
      <c r="HY4" s="1523">
        <f>IFERROR(__xludf.DUMMYFUNCTION("""COMPUTED_VALUE"""),6.005E7)</f>
        <v>60050000</v>
      </c>
      <c r="HZ4" s="1524">
        <f>IFERROR(__xludf.DUMMYFUNCTION("""COMPUTED_VALUE"""),52.46875)</f>
        <v>52.46875</v>
      </c>
      <c r="IA4" s="1523">
        <f>IFERROR(__xludf.DUMMYFUNCTION("""COMPUTED_VALUE"""),6.45E13)</f>
        <v>64500000000000</v>
      </c>
      <c r="IB4" s="1524">
        <f>IFERROR(__xludf.DUMMYFUNCTION("""COMPUTED_VALUE"""),9.583333333333334)</f>
        <v>9.583333333</v>
      </c>
      <c r="IC4" s="1523">
        <f>IFERROR(__xludf.DUMMYFUNCTION("""COMPUTED_VALUE"""),1.5E11)</f>
        <v>150000000000</v>
      </c>
      <c r="ID4" s="1524">
        <f>IFERROR(__xludf.DUMMYFUNCTION("""COMPUTED_VALUE"""),9.583333333333334)</f>
        <v>9.583333333</v>
      </c>
      <c r="IE4" s="1523">
        <f>IFERROR(__xludf.DUMMYFUNCTION("""COMPUTED_VALUE"""),1.5E11)</f>
        <v>150000000000</v>
      </c>
      <c r="IF4" s="1524">
        <f>IFERROR(__xludf.DUMMYFUNCTION("""COMPUTED_VALUE"""),9.583333333333334)</f>
        <v>9.583333333</v>
      </c>
      <c r="IG4" s="1523">
        <f>IFERROR(__xludf.DUMMYFUNCTION("""COMPUTED_VALUE"""),1.5E11)</f>
        <v>150000000000</v>
      </c>
      <c r="IH4" s="1507">
        <f>IFERROR(__xludf.DUMMYFUNCTION("""COMPUTED_VALUE"""),2.6625)</f>
        <v>2.6625</v>
      </c>
      <c r="II4" s="1508">
        <f>IFERROR(__xludf.DUMMYFUNCTION("""COMPUTED_VALUE"""),4.0E10)</f>
        <v>40000000000</v>
      </c>
      <c r="IJ4" s="1507">
        <f>IFERROR(__xludf.DUMMYFUNCTION("""COMPUTED_VALUE"""),2.6625)</f>
        <v>2.6625</v>
      </c>
      <c r="IK4" s="1508">
        <f>IFERROR(__xludf.DUMMYFUNCTION("""COMPUTED_VALUE"""),4.0E10)</f>
        <v>40000000000</v>
      </c>
      <c r="IL4" s="1507">
        <f>IFERROR(__xludf.DUMMYFUNCTION("""COMPUTED_VALUE"""),2.6625)</f>
        <v>2.6625</v>
      </c>
      <c r="IM4" s="1508">
        <f>IFERROR(__xludf.DUMMYFUNCTION("""COMPUTED_VALUE"""),6.001E10)</f>
        <v>60010000000</v>
      </c>
      <c r="IN4" s="1507">
        <f>IFERROR(__xludf.DUMMYFUNCTION("""COMPUTED_VALUE"""),2.6625)</f>
        <v>2.6625</v>
      </c>
      <c r="IO4" s="1508">
        <f>IFERROR(__xludf.DUMMYFUNCTION("""COMPUTED_VALUE"""),6.001E10)</f>
        <v>60010000000</v>
      </c>
      <c r="IP4" s="1507">
        <f>IFERROR(__xludf.DUMMYFUNCTION("""COMPUTED_VALUE"""),3.1256944444444446)</f>
        <v>3.125694444</v>
      </c>
      <c r="IQ4" s="1508">
        <f>IFERROR(__xludf.DUMMYFUNCTION("""COMPUTED_VALUE"""),1.2001E11)</f>
        <v>120010000000</v>
      </c>
      <c r="IR4" s="1507">
        <f>IFERROR(__xludf.DUMMYFUNCTION("""COMPUTED_VALUE"""),2.6625)</f>
        <v>2.6625</v>
      </c>
      <c r="IS4" s="1508">
        <f>IFERROR(__xludf.DUMMYFUNCTION("""COMPUTED_VALUE"""),6.001E10)</f>
        <v>60010000000</v>
      </c>
      <c r="IT4" s="1507">
        <f>IFERROR(__xludf.DUMMYFUNCTION("""COMPUTED_VALUE"""),2.6625)</f>
        <v>2.6625</v>
      </c>
      <c r="IU4" s="1508">
        <f>IFERROR(__xludf.DUMMYFUNCTION("""COMPUTED_VALUE"""),6.001E10)</f>
        <v>60010000000</v>
      </c>
      <c r="IV4" s="1507">
        <f>IFERROR(__xludf.DUMMYFUNCTION("""COMPUTED_VALUE"""),2.6625)</f>
        <v>2.6625</v>
      </c>
      <c r="IW4" s="1508">
        <f>IFERROR(__xludf.DUMMYFUNCTION("""COMPUTED_VALUE"""),6.001E10)</f>
        <v>60010000000</v>
      </c>
      <c r="IX4" s="1507">
        <f>IFERROR(__xludf.DUMMYFUNCTION("""COMPUTED_VALUE"""),2.6625)</f>
        <v>2.6625</v>
      </c>
      <c r="IY4" s="1508">
        <f>IFERROR(__xludf.DUMMYFUNCTION("""COMPUTED_VALUE"""),6.001E10)</f>
        <v>60010000000</v>
      </c>
      <c r="IZ4" s="1507">
        <f>IFERROR(__xludf.DUMMYFUNCTION("""COMPUTED_VALUE"""),2.6625)</f>
        <v>2.6625</v>
      </c>
      <c r="JA4" s="1508">
        <f>IFERROR(__xludf.DUMMYFUNCTION("""COMPUTED_VALUE"""),8.001E10)</f>
        <v>80010000000</v>
      </c>
      <c r="JB4" s="1507">
        <f>IFERROR(__xludf.DUMMYFUNCTION("""COMPUTED_VALUE"""),2.6625)</f>
        <v>2.6625</v>
      </c>
      <c r="JC4" s="1508">
        <f>IFERROR(__xludf.DUMMYFUNCTION("""COMPUTED_VALUE"""),8.001E10)</f>
        <v>80010000000</v>
      </c>
      <c r="JD4" s="1507">
        <f>IFERROR(__xludf.DUMMYFUNCTION("""COMPUTED_VALUE"""),2.6625)</f>
        <v>2.6625</v>
      </c>
      <c r="JE4" s="1508">
        <f>IFERROR(__xludf.DUMMYFUNCTION("""COMPUTED_VALUE"""),8.001E10)</f>
        <v>80010000000</v>
      </c>
      <c r="JF4" s="1507">
        <f>IFERROR(__xludf.DUMMYFUNCTION("""COMPUTED_VALUE"""),2.6625)</f>
        <v>2.6625</v>
      </c>
      <c r="JG4" s="1508">
        <f>IFERROR(__xludf.DUMMYFUNCTION("""COMPUTED_VALUE"""),8.001E10)</f>
        <v>80010000000</v>
      </c>
      <c r="JH4" s="1507">
        <f>IFERROR(__xludf.DUMMYFUNCTION("""COMPUTED_VALUE"""),3.1256944444444446)</f>
        <v>3.125694444</v>
      </c>
      <c r="JI4" s="1508">
        <f>IFERROR(__xludf.DUMMYFUNCTION("""COMPUTED_VALUE"""),1.5E11)</f>
        <v>150000000000</v>
      </c>
      <c r="JJ4" s="1507">
        <f>IFERROR(__xludf.DUMMYFUNCTION("""COMPUTED_VALUE"""),21.59861111111111)</f>
        <v>21.59861111</v>
      </c>
      <c r="JK4" s="1509">
        <f>IFERROR(__xludf.DUMMYFUNCTION("""COMPUTED_VALUE"""),5.0E17)</f>
        <v>5E+17</v>
      </c>
      <c r="JL4" s="1507">
        <f>IFERROR(__xludf.DUMMYFUNCTION("""COMPUTED_VALUE"""),21.59861111111111)</f>
        <v>21.59861111</v>
      </c>
      <c r="JM4" s="1509">
        <f>IFERROR(__xludf.DUMMYFUNCTION("""COMPUTED_VALUE"""),5.0E17)</f>
        <v>5E+17</v>
      </c>
      <c r="JN4" s="1507">
        <f>IFERROR(__xludf.DUMMYFUNCTION("""COMPUTED_VALUE"""),21.59861111111111)</f>
        <v>21.59861111</v>
      </c>
      <c r="JO4" s="1509">
        <f>IFERROR(__xludf.DUMMYFUNCTION("""COMPUTED_VALUE"""),5.0E17)</f>
        <v>5E+17</v>
      </c>
      <c r="JP4" s="1507">
        <f>IFERROR(__xludf.DUMMYFUNCTION("""COMPUTED_VALUE"""),21.59861111111111)</f>
        <v>21.59861111</v>
      </c>
      <c r="JQ4" s="1509">
        <f>IFERROR(__xludf.DUMMYFUNCTION("""COMPUTED_VALUE"""),5.0E17)</f>
        <v>5E+17</v>
      </c>
      <c r="JR4" s="1507">
        <f>IFERROR(__xludf.DUMMYFUNCTION("""COMPUTED_VALUE"""),21.59861111111111)</f>
        <v>21.59861111</v>
      </c>
      <c r="JS4" s="1509">
        <f>IFERROR(__xludf.DUMMYFUNCTION("""COMPUTED_VALUE"""),5.0E17)</f>
        <v>5E+17</v>
      </c>
      <c r="JT4" s="1507">
        <f>IFERROR(__xludf.DUMMYFUNCTION("""COMPUTED_VALUE"""),21.59861111111111)</f>
        <v>21.59861111</v>
      </c>
      <c r="JU4" s="1509">
        <f>IFERROR(__xludf.DUMMYFUNCTION("""COMPUTED_VALUE"""),5.0E17)</f>
        <v>5E+17</v>
      </c>
      <c r="JV4" s="1507">
        <f>IFERROR(__xludf.DUMMYFUNCTION("""COMPUTED_VALUE"""),5.399305555555555)</f>
        <v>5.399305556</v>
      </c>
      <c r="JW4" s="1509">
        <f>IFERROR(__xludf.DUMMYFUNCTION("""COMPUTED_VALUE"""),1.4E12)</f>
        <v>1400000000000</v>
      </c>
      <c r="JX4" s="1510">
        <f>IFERROR(__xludf.DUMMYFUNCTION("""COMPUTED_VALUE"""),4.5146875)</f>
        <v>4.5146875</v>
      </c>
      <c r="JY4" s="1511">
        <f>IFERROR(__xludf.DUMMYFUNCTION("""COMPUTED_VALUE"""),4.0E7)</f>
        <v>40000000</v>
      </c>
      <c r="JZ4" s="1525">
        <f>IFERROR(__xludf.DUMMYFUNCTION("""COMPUTED_VALUE"""),1.424409722)</f>
        <v>1.424409722</v>
      </c>
      <c r="KA4" s="1526">
        <f>IFERROR(__xludf.DUMMYFUNCTION("""COMPUTED_VALUE"""),2920000.0)</f>
        <v>2920000</v>
      </c>
      <c r="KB4" s="1510">
        <f>IFERROR(__xludf.DUMMYFUNCTION("""COMPUTED_VALUE"""),1.424421296)</f>
        <v>1.424421296</v>
      </c>
      <c r="KC4" s="1514">
        <f>IFERROR(__xludf.DUMMYFUNCTION("""COMPUTED_VALUE"""),4230000.0)</f>
        <v>4230000</v>
      </c>
      <c r="KD4" s="1510">
        <f>IFERROR(__xludf.DUMMYFUNCTION("""COMPUTED_VALUE"""),5.382743056)</f>
        <v>5.382743056</v>
      </c>
      <c r="KE4" s="1514">
        <f>IFERROR(__xludf.DUMMYFUNCTION("""COMPUTED_VALUE"""),5.12E9)</f>
        <v>5120000000</v>
      </c>
      <c r="KF4" s="1510">
        <f>IFERROR(__xludf.DUMMYFUNCTION("""COMPUTED_VALUE"""),5.382743056)</f>
        <v>5.382743056</v>
      </c>
      <c r="KG4" s="1514">
        <f>IFERROR(__xludf.DUMMYFUNCTION("""COMPUTED_VALUE"""),5.12E9)</f>
        <v>5120000000</v>
      </c>
      <c r="KH4" s="1510">
        <f>IFERROR(__xludf.DUMMYFUNCTION("""COMPUTED_VALUE"""),9.14431713)</f>
        <v>9.14431713</v>
      </c>
      <c r="KI4" s="1514">
        <f>IFERROR(__xludf.DUMMYFUNCTION("""COMPUTED_VALUE"""),7.6E10)</f>
        <v>76000000000</v>
      </c>
      <c r="KJ4" s="1527"/>
      <c r="KK4" s="1527"/>
      <c r="KL4" s="1515">
        <f>IFERROR(__xludf.DUMMYFUNCTION("""COMPUTED_VALUE"""),191.20369212962962)</f>
        <v>191.2036921</v>
      </c>
      <c r="KM4" s="1514">
        <f>IFERROR(__xludf.DUMMYFUNCTION("""COMPUTED_VALUE"""),8.7E13)</f>
        <v>87000000000000</v>
      </c>
      <c r="KN4" s="1515">
        <f>IFERROR(__xludf.DUMMYFUNCTION("""COMPUTED_VALUE"""),91.66666666666667)</f>
        <v>91.66666667</v>
      </c>
      <c r="KO4" s="1514">
        <f>IFERROR(__xludf.DUMMYFUNCTION("""COMPUTED_VALUE"""),5.0E13)</f>
        <v>50000000000000</v>
      </c>
      <c r="KP4" s="1515">
        <f>IFERROR(__xludf.DUMMYFUNCTION("""COMPUTED_VALUE"""),91.66666666666667)</f>
        <v>91.66666667</v>
      </c>
      <c r="KQ4" s="1514">
        <f>IFERROR(__xludf.DUMMYFUNCTION("""COMPUTED_VALUE"""),5.0E13)</f>
        <v>50000000000000</v>
      </c>
      <c r="KR4" s="1515">
        <f>IFERROR(__xludf.DUMMYFUNCTION("""COMPUTED_VALUE"""),162.5)</f>
        <v>162.5</v>
      </c>
      <c r="KS4" s="1514">
        <f>IFERROR(__xludf.DUMMYFUNCTION("""COMPUTED_VALUE"""),5.0E14)</f>
        <v>500000000000000</v>
      </c>
      <c r="KT4" s="1515">
        <f>IFERROR(__xludf.DUMMYFUNCTION("""COMPUTED_VALUE"""),62.5)</f>
        <v>62.5</v>
      </c>
      <c r="KU4" s="1514">
        <f>IFERROR(__xludf.DUMMYFUNCTION("""COMPUTED_VALUE"""),5.0E12)</f>
        <v>5000000000000</v>
      </c>
      <c r="KV4" s="1525">
        <f>IFERROR(__xludf.DUMMYFUNCTION("""COMPUTED_VALUE"""),21.59861111111111)</f>
        <v>21.59861111</v>
      </c>
      <c r="KW4" s="1526">
        <f>IFERROR(__xludf.DUMMYFUNCTION("""COMPUTED_VALUE"""),5.0E17)</f>
        <v>5E+17</v>
      </c>
      <c r="KX4" s="1525">
        <f>IFERROR(__xludf.DUMMYFUNCTION("""COMPUTED_VALUE"""),21.59861111111111)</f>
        <v>21.59861111</v>
      </c>
      <c r="KY4" s="1526">
        <f>IFERROR(__xludf.DUMMYFUNCTION("""COMPUTED_VALUE"""),5.0E17)</f>
        <v>5E+17</v>
      </c>
      <c r="KZ4" s="1525">
        <f>IFERROR(__xludf.DUMMYFUNCTION("""COMPUTED_VALUE"""),21.59861111111111)</f>
        <v>21.59861111</v>
      </c>
      <c r="LA4" s="1526">
        <f>IFERROR(__xludf.DUMMYFUNCTION("""COMPUTED_VALUE"""),5.0E17)</f>
        <v>5E+17</v>
      </c>
      <c r="LB4" s="1525">
        <f>IFERROR(__xludf.DUMMYFUNCTION("""COMPUTED_VALUE"""),21.59861111111111)</f>
        <v>21.59861111</v>
      </c>
      <c r="LC4" s="1526">
        <f>IFERROR(__xludf.DUMMYFUNCTION("""COMPUTED_VALUE"""),5.0E17)</f>
        <v>5E+17</v>
      </c>
      <c r="LD4" s="1525">
        <f>IFERROR(__xludf.DUMMYFUNCTION("""COMPUTED_VALUE"""),21.59861111111111)</f>
        <v>21.59861111</v>
      </c>
      <c r="LE4" s="1526">
        <f>IFERROR(__xludf.DUMMYFUNCTION("""COMPUTED_VALUE"""),5.0E17)</f>
        <v>5E+17</v>
      </c>
      <c r="LF4" s="1525">
        <f>IFERROR(__xludf.DUMMYFUNCTION("""COMPUTED_VALUE"""),21.59861111111111)</f>
        <v>21.59861111</v>
      </c>
      <c r="LG4" s="1526">
        <f>IFERROR(__xludf.DUMMYFUNCTION("""COMPUTED_VALUE"""),5.0E17)</f>
        <v>5E+17</v>
      </c>
      <c r="LH4" s="1525">
        <f>IFERROR(__xludf.DUMMYFUNCTION("""COMPUTED_VALUE"""),21.59861111111111)</f>
        <v>21.59861111</v>
      </c>
      <c r="LI4" s="1526">
        <f>IFERROR(__xludf.DUMMYFUNCTION("""COMPUTED_VALUE"""),5.0E17)</f>
        <v>5E+17</v>
      </c>
      <c r="LJ4" s="1525">
        <f>IFERROR(__xludf.DUMMYFUNCTION("""COMPUTED_VALUE"""),21.59861111111111)</f>
        <v>21.59861111</v>
      </c>
      <c r="LK4" s="1526">
        <f>IFERROR(__xludf.DUMMYFUNCTION("""COMPUTED_VALUE"""),5.0E17)</f>
        <v>5E+17</v>
      </c>
      <c r="LL4" s="1494">
        <f>IFERROR(__xludf.DUMMYFUNCTION("""COMPUTED_VALUE"""),33.333333333333336)</f>
        <v>33.33333333</v>
      </c>
      <c r="LM4" s="1495">
        <f>IFERROR(__xludf.DUMMYFUNCTION("""COMPUTED_VALUE"""),2.1E15)</f>
        <v>2.1E+15</v>
      </c>
      <c r="LN4" s="1516">
        <f>IFERROR(__xludf.DUMMYFUNCTION("""COMPUTED_VALUE"""),26.99861111111111)</f>
        <v>26.99861111</v>
      </c>
      <c r="LO4" s="1495">
        <f>IFERROR(__xludf.DUMMYFUNCTION("""COMPUTED_VALUE"""),4.0E17)</f>
        <v>4E+17</v>
      </c>
      <c r="LP4" s="1516">
        <f>IFERROR(__xludf.DUMMYFUNCTION("""COMPUTED_VALUE"""),26.99861111111111)</f>
        <v>26.99861111</v>
      </c>
      <c r="LQ4" s="1495">
        <f>IFERROR(__xludf.DUMMYFUNCTION("""COMPUTED_VALUE"""),4.0E17)</f>
        <v>4E+17</v>
      </c>
      <c r="LR4" s="1516">
        <f>IFERROR(__xludf.DUMMYFUNCTION("""COMPUTED_VALUE"""),26.99861111111111)</f>
        <v>26.99861111</v>
      </c>
      <c r="LS4" s="1495">
        <f>IFERROR(__xludf.DUMMYFUNCTION("""COMPUTED_VALUE"""),4.0E17)</f>
        <v>4E+17</v>
      </c>
      <c r="LT4" s="1516">
        <f>IFERROR(__xludf.DUMMYFUNCTION("""COMPUTED_VALUE"""),26.99861111111111)</f>
        <v>26.99861111</v>
      </c>
      <c r="LU4" s="1495">
        <f>IFERROR(__xludf.DUMMYFUNCTION("""COMPUTED_VALUE"""),4.0E17)</f>
        <v>4E+17</v>
      </c>
      <c r="LV4" s="1516">
        <f>IFERROR(__xludf.DUMMYFUNCTION("""COMPUTED_VALUE"""),26.99861111111111)</f>
        <v>26.99861111</v>
      </c>
      <c r="LW4" s="1495">
        <f>IFERROR(__xludf.DUMMYFUNCTION("""COMPUTED_VALUE"""),4.0E17)</f>
        <v>4E+17</v>
      </c>
      <c r="LX4" s="1516">
        <f>IFERROR(__xludf.DUMMYFUNCTION("""COMPUTED_VALUE"""),32.39791666666667)</f>
        <v>32.39791667</v>
      </c>
      <c r="LY4" s="1517">
        <f>IFERROR(__xludf.DUMMYFUNCTION("""COMPUTED_VALUE"""),1.0E18)</f>
        <v>1E+18</v>
      </c>
      <c r="LZ4" s="1516">
        <f>IFERROR(__xludf.DUMMYFUNCTION("""COMPUTED_VALUE"""),32.39791666666667)</f>
        <v>32.39791667</v>
      </c>
      <c r="MA4" s="1517">
        <f>IFERROR(__xludf.DUMMYFUNCTION("""COMPUTED_VALUE"""),1.0E18)</f>
        <v>1E+18</v>
      </c>
      <c r="MB4" s="1516">
        <f>IFERROR(__xludf.DUMMYFUNCTION("""COMPUTED_VALUE"""),32.39791666666667)</f>
        <v>32.39791667</v>
      </c>
      <c r="MC4" s="1517">
        <f>IFERROR(__xludf.DUMMYFUNCTION("""COMPUTED_VALUE"""),1.0E18)</f>
        <v>1E+18</v>
      </c>
      <c r="MD4" s="1516">
        <f>IFERROR(__xludf.DUMMYFUNCTION("""COMPUTED_VALUE"""),32.39791666666667)</f>
        <v>32.39791667</v>
      </c>
      <c r="ME4" s="1517">
        <f>IFERROR(__xludf.DUMMYFUNCTION("""COMPUTED_VALUE"""),1.0E18)</f>
        <v>1E+18</v>
      </c>
      <c r="MF4" s="1516">
        <f>IFERROR(__xludf.DUMMYFUNCTION("""COMPUTED_VALUE"""),37.797916666666666)</f>
        <v>37.79791667</v>
      </c>
      <c r="MG4" s="1517">
        <f>IFERROR(__xludf.DUMMYFUNCTION("""COMPUTED_VALUE"""),1.5E18)</f>
        <v>1.5E+18</v>
      </c>
      <c r="MH4" s="1516">
        <f>IFERROR(__xludf.DUMMYFUNCTION("""COMPUTED_VALUE"""),37.797916666666666)</f>
        <v>37.79791667</v>
      </c>
      <c r="MI4" s="1517">
        <f>IFERROR(__xludf.DUMMYFUNCTION("""COMPUTED_VALUE"""),1.5E18)</f>
        <v>1.5E+18</v>
      </c>
      <c r="MJ4" s="1516">
        <f>IFERROR(__xludf.DUMMYFUNCTION("""COMPUTED_VALUE"""),37.797916666666666)</f>
        <v>37.79791667</v>
      </c>
      <c r="MK4" s="1517">
        <f>IFERROR(__xludf.DUMMYFUNCTION("""COMPUTED_VALUE"""),1.5E18)</f>
        <v>1.5E+18</v>
      </c>
      <c r="ML4" s="1516">
        <f>IFERROR(__xludf.DUMMYFUNCTION("""COMPUTED_VALUE"""),37.797916666666666)</f>
        <v>37.79791667</v>
      </c>
      <c r="MM4" s="1517">
        <f>IFERROR(__xludf.DUMMYFUNCTION("""COMPUTED_VALUE"""),1.5E18)</f>
        <v>1.5E+18</v>
      </c>
      <c r="MN4" s="1516">
        <f>IFERROR(__xludf.DUMMYFUNCTION("""COMPUTED_VALUE"""),37.797916666666666)</f>
        <v>37.79791667</v>
      </c>
      <c r="MO4" s="1517">
        <f>IFERROR(__xludf.DUMMYFUNCTION("""COMPUTED_VALUE"""),1.5E18)</f>
        <v>1.5E+18</v>
      </c>
      <c r="MP4" s="1516">
        <f>IFERROR(__xludf.DUMMYFUNCTION("""COMPUTED_VALUE"""),37.797916666666666)</f>
        <v>37.79791667</v>
      </c>
      <c r="MQ4" s="1517">
        <f>IFERROR(__xludf.DUMMYFUNCTION("""COMPUTED_VALUE"""),1.5E18)</f>
        <v>1.5E+18</v>
      </c>
      <c r="MR4" s="1516">
        <f>IFERROR(__xludf.DUMMYFUNCTION("""COMPUTED_VALUE"""),44.81736111111111)</f>
        <v>44.81736111</v>
      </c>
      <c r="MS4" s="1517">
        <f>IFERROR(__xludf.DUMMYFUNCTION("""COMPUTED_VALUE"""),4.0E18)</f>
        <v>4E+18</v>
      </c>
      <c r="MT4" s="1516">
        <f>IFERROR(__xludf.DUMMYFUNCTION("""COMPUTED_VALUE"""),44.81736111111111)</f>
        <v>44.81736111</v>
      </c>
      <c r="MU4" s="1517">
        <f>IFERROR(__xludf.DUMMYFUNCTION("""COMPUTED_VALUE"""),4.0E18)</f>
        <v>4E+18</v>
      </c>
      <c r="MV4" s="1516">
        <f>IFERROR(__xludf.DUMMYFUNCTION("""COMPUTED_VALUE"""),44.81736111111111)</f>
        <v>44.81736111</v>
      </c>
      <c r="MW4" s="1517">
        <f>IFERROR(__xludf.DUMMYFUNCTION("""COMPUTED_VALUE"""),4.0E18)</f>
        <v>4E+18</v>
      </c>
      <c r="MX4" s="1516">
        <f>IFERROR(__xludf.DUMMYFUNCTION("""COMPUTED_VALUE"""),44.81736111111111)</f>
        <v>44.81736111</v>
      </c>
      <c r="MY4" s="1517">
        <f>IFERROR(__xludf.DUMMYFUNCTION("""COMPUTED_VALUE"""),4.0E18)</f>
        <v>4E+18</v>
      </c>
    </row>
    <row r="5">
      <c r="A5" s="1465">
        <f>IFERROR(__xludf.DUMMYFUNCTION("""COMPUTED_VALUE"""),3.0)</f>
        <v>3</v>
      </c>
      <c r="B5" s="1466">
        <f>IFERROR(__xludf.DUMMYFUNCTION("""COMPUTED_VALUE"""),0.41597222222222224)</f>
        <v>0.4159722222</v>
      </c>
      <c r="C5" s="1467">
        <f>IFERROR(__xludf.DUMMYFUNCTION("""COMPUTED_VALUE"""),12000.0)</f>
        <v>12000</v>
      </c>
      <c r="D5" s="1466">
        <f>IFERROR(__xludf.DUMMYFUNCTION("""COMPUTED_VALUE"""),0.01138888888888889)</f>
        <v>0.01138888889</v>
      </c>
      <c r="E5" s="1467">
        <f>IFERROR(__xludf.DUMMYFUNCTION("""COMPUTED_VALUE"""),178.0)</f>
        <v>178</v>
      </c>
      <c r="F5" s="1466">
        <f>IFERROR(__xludf.DUMMYFUNCTION("""COMPUTED_VALUE"""),0.01138888888888889)</f>
        <v>0.01138888889</v>
      </c>
      <c r="G5" s="1468">
        <f>IFERROR(__xludf.DUMMYFUNCTION("""COMPUTED_VALUE"""),178.0)</f>
        <v>178</v>
      </c>
      <c r="H5" s="1466">
        <f>IFERROR(__xludf.DUMMYFUNCTION("""COMPUTED_VALUE"""),0.01138888888888889)</f>
        <v>0.01138888889</v>
      </c>
      <c r="I5" s="1467">
        <f>IFERROR(__xludf.DUMMYFUNCTION("""COMPUTED_VALUE"""),178.0)</f>
        <v>178</v>
      </c>
      <c r="J5" s="1466">
        <f>IFERROR(__xludf.DUMMYFUNCTION("""COMPUTED_VALUE"""),0.01138888888888889)</f>
        <v>0.01138888889</v>
      </c>
      <c r="K5" s="1467">
        <f>IFERROR(__xludf.DUMMYFUNCTION("""COMPUTED_VALUE"""),178.0)</f>
        <v>178</v>
      </c>
      <c r="L5" s="1466">
        <f>IFERROR(__xludf.DUMMYFUNCTION("""COMPUTED_VALUE"""),0.01653935185185185)</f>
        <v>0.01653935185</v>
      </c>
      <c r="M5" s="1469">
        <f>IFERROR(__xludf.DUMMYFUNCTION("""COMPUTED_VALUE"""),210.0)</f>
        <v>210</v>
      </c>
      <c r="N5" s="1470">
        <f>IFERROR(__xludf.DUMMYFUNCTION("""COMPUTED_VALUE"""),0.015960648148148147)</f>
        <v>0.01596064815</v>
      </c>
      <c r="O5" s="1467">
        <f>IFERROR(__xludf.DUMMYFUNCTION("""COMPUTED_VALUE"""),211.0)</f>
        <v>211</v>
      </c>
      <c r="P5" s="1466">
        <f>IFERROR(__xludf.DUMMYFUNCTION("""COMPUTED_VALUE"""),1.1569444444444446)</f>
        <v>1.156944444</v>
      </c>
      <c r="Q5" s="1467">
        <f>IFERROR(__xludf.DUMMYFUNCTION("""COMPUTED_VALUE"""),50000.0)</f>
        <v>50000</v>
      </c>
      <c r="R5" s="1518"/>
      <c r="S5" s="1519"/>
      <c r="T5" s="1518"/>
      <c r="U5" s="1519"/>
      <c r="V5" s="1518"/>
      <c r="W5" s="1519"/>
      <c r="X5" s="1518"/>
      <c r="Y5" s="1519"/>
      <c r="Z5" s="1518"/>
      <c r="AA5" s="1519"/>
      <c r="AB5" s="1518"/>
      <c r="AC5" s="1519"/>
      <c r="AD5" s="1466">
        <f>IFERROR(__xludf.DUMMYFUNCTION("""COMPUTED_VALUE"""),3.2395833333333335)</f>
        <v>3.239583333</v>
      </c>
      <c r="AE5" s="1474">
        <f>IFERROR(__xludf.DUMMYFUNCTION("""COMPUTED_VALUE"""),1.69E9)</f>
        <v>1690000000</v>
      </c>
      <c r="AF5" s="1466">
        <f>IFERROR(__xludf.DUMMYFUNCTION("""COMPUTED_VALUE"""),3.2395833333333335)</f>
        <v>3.239583333</v>
      </c>
      <c r="AG5" s="1474">
        <f>IFERROR(__xludf.DUMMYFUNCTION("""COMPUTED_VALUE"""),1.69E9)</f>
        <v>1690000000</v>
      </c>
      <c r="AH5" s="1466">
        <f>IFERROR(__xludf.DUMMYFUNCTION("""COMPUTED_VALUE"""),3.2395833333333335)</f>
        <v>3.239583333</v>
      </c>
      <c r="AI5" s="1474">
        <f>IFERROR(__xludf.DUMMYFUNCTION("""COMPUTED_VALUE"""),1.69E9)</f>
        <v>1690000000</v>
      </c>
      <c r="AJ5" s="1475">
        <f>IFERROR(__xludf.DUMMYFUNCTION("""COMPUTED_VALUE"""),0.01138888888888889)</f>
        <v>0.01138888889</v>
      </c>
      <c r="AK5" s="1476">
        <f>IFERROR(__xludf.DUMMYFUNCTION("""COMPUTED_VALUE"""),178.0)</f>
        <v>178</v>
      </c>
      <c r="AL5" s="1475">
        <f>IFERROR(__xludf.DUMMYFUNCTION("""COMPUTED_VALUE"""),0.01138888888888889)</f>
        <v>0.01138888889</v>
      </c>
      <c r="AM5" s="1476">
        <f>IFERROR(__xludf.DUMMYFUNCTION("""COMPUTED_VALUE"""),178.0)</f>
        <v>178</v>
      </c>
      <c r="AN5" s="1475">
        <f>IFERROR(__xludf.DUMMYFUNCTION("""COMPUTED_VALUE"""),0.01138888888888889)</f>
        <v>0.01138888889</v>
      </c>
      <c r="AO5" s="1476">
        <f>IFERROR(__xludf.DUMMYFUNCTION("""COMPUTED_VALUE"""),178.0)</f>
        <v>178</v>
      </c>
      <c r="AP5" s="1475">
        <f>IFERROR(__xludf.DUMMYFUNCTION("""COMPUTED_VALUE"""),0.01138888888888889)</f>
        <v>0.01138888889</v>
      </c>
      <c r="AQ5" s="1476">
        <f>IFERROR(__xludf.DUMMYFUNCTION("""COMPUTED_VALUE"""),178.0)</f>
        <v>178</v>
      </c>
      <c r="AR5" s="1475">
        <f>IFERROR(__xludf.DUMMYFUNCTION("""COMPUTED_VALUE"""),0.01138888888888889)</f>
        <v>0.01138888889</v>
      </c>
      <c r="AS5" s="1476">
        <f>IFERROR(__xludf.DUMMYFUNCTION("""COMPUTED_VALUE"""),178.0)</f>
        <v>178</v>
      </c>
      <c r="AT5" s="1475">
        <f>IFERROR(__xludf.DUMMYFUNCTION("""COMPUTED_VALUE"""),2.3291666666666666)</f>
        <v>2.329166667</v>
      </c>
      <c r="AU5" s="1476">
        <f>IFERROR(__xludf.DUMMYFUNCTION("""COMPUTED_VALUE"""),625990.0)</f>
        <v>625990</v>
      </c>
      <c r="AV5" s="1475">
        <f>IFERROR(__xludf.DUMMYFUNCTION("""COMPUTED_VALUE"""),2.3270833333333334)</f>
        <v>2.327083333</v>
      </c>
      <c r="AW5" s="1476">
        <f>IFERROR(__xludf.DUMMYFUNCTION("""COMPUTED_VALUE"""),625990.0)</f>
        <v>625990</v>
      </c>
      <c r="AX5" s="1475">
        <f>IFERROR(__xludf.DUMMYFUNCTION("""COMPUTED_VALUE"""),4.633333333333334)</f>
        <v>4.633333333</v>
      </c>
      <c r="AY5" s="1476">
        <f>IFERROR(__xludf.DUMMYFUNCTION("""COMPUTED_VALUE"""),2.8001E11)</f>
        <v>280010000000</v>
      </c>
      <c r="AZ5" s="1518"/>
      <c r="BA5" s="1518"/>
      <c r="BB5" s="1477">
        <f>IFERROR(__xludf.DUMMYFUNCTION("""COMPUTED_VALUE"""),0.01138888888888889)</f>
        <v>0.01138888889</v>
      </c>
      <c r="BC5" s="1478">
        <f>IFERROR(__xludf.DUMMYFUNCTION("""COMPUTED_VALUE"""),178.0)</f>
        <v>178</v>
      </c>
      <c r="BD5" s="1477">
        <f>IFERROR(__xludf.DUMMYFUNCTION("""COMPUTED_VALUE"""),0.01138888888888889)</f>
        <v>0.01138888889</v>
      </c>
      <c r="BE5" s="1478">
        <f>IFERROR(__xludf.DUMMYFUNCTION("""COMPUTED_VALUE"""),178.0)</f>
        <v>178</v>
      </c>
      <c r="BF5" s="1477">
        <f>IFERROR(__xludf.DUMMYFUNCTION("""COMPUTED_VALUE"""),0.01138888888888889)</f>
        <v>0.01138888889</v>
      </c>
      <c r="BG5" s="1478">
        <f>IFERROR(__xludf.DUMMYFUNCTION("""COMPUTED_VALUE"""),178.0)</f>
        <v>178</v>
      </c>
      <c r="BH5" s="1477">
        <f>IFERROR(__xludf.DUMMYFUNCTION("""COMPUTED_VALUE"""),0.11875)</f>
        <v>0.11875</v>
      </c>
      <c r="BI5" s="1478">
        <f>IFERROR(__xludf.DUMMYFUNCTION("""COMPUTED_VALUE"""),24000.0)</f>
        <v>24000</v>
      </c>
      <c r="BJ5" s="1477">
        <f>IFERROR(__xludf.DUMMYFUNCTION("""COMPUTED_VALUE"""),0.20277777777777778)</f>
        <v>0.2027777778</v>
      </c>
      <c r="BK5" s="1478">
        <f>IFERROR(__xludf.DUMMYFUNCTION("""COMPUTED_VALUE"""),105740.0)</f>
        <v>105740</v>
      </c>
      <c r="BL5" s="1477">
        <f>IFERROR(__xludf.DUMMYFUNCTION("""COMPUTED_VALUE"""),0.35625)</f>
        <v>0.35625</v>
      </c>
      <c r="BM5" s="1478">
        <f>IFERROR(__xludf.DUMMYFUNCTION("""COMPUTED_VALUE"""),231980.0)</f>
        <v>231980</v>
      </c>
      <c r="BN5" s="1477">
        <f>IFERROR(__xludf.DUMMYFUNCTION("""COMPUTED_VALUE"""),0.35625)</f>
        <v>0.35625</v>
      </c>
      <c r="BO5" s="1478">
        <f>IFERROR(__xludf.DUMMYFUNCTION("""COMPUTED_VALUE"""),231980.0)</f>
        <v>231980</v>
      </c>
      <c r="BP5" s="1477">
        <f>IFERROR(__xludf.DUMMYFUNCTION("""COMPUTED_VALUE"""),0.44930555555555557)</f>
        <v>0.4493055556</v>
      </c>
      <c r="BQ5" s="1478">
        <f>IFERROR(__xludf.DUMMYFUNCTION("""COMPUTED_VALUE"""),314980.0)</f>
        <v>314980</v>
      </c>
      <c r="BR5" s="1477">
        <f>IFERROR(__xludf.DUMMYFUNCTION("""COMPUTED_VALUE"""),1.8611111111111112)</f>
        <v>1.861111111</v>
      </c>
      <c r="BS5" s="1478">
        <f>IFERROR(__xludf.DUMMYFUNCTION("""COMPUTED_VALUE"""),1.67E9)</f>
        <v>1670000000</v>
      </c>
      <c r="BT5" s="1479">
        <f>IFERROR(__xludf.DUMMYFUNCTION("""COMPUTED_VALUE"""),0.24027777777777778)</f>
        <v>0.2402777778</v>
      </c>
      <c r="BU5" s="1480">
        <f>IFERROR(__xludf.DUMMYFUNCTION("""COMPUTED_VALUE"""),1.4E9)</f>
        <v>1400000000</v>
      </c>
      <c r="BV5" s="1479">
        <f>IFERROR(__xludf.DUMMYFUNCTION("""COMPUTED_VALUE"""),1.5138888888888888)</f>
        <v>1.513888889</v>
      </c>
      <c r="BW5" s="1480">
        <f>IFERROR(__xludf.DUMMYFUNCTION("""COMPUTED_VALUE"""),2.23E9)</f>
        <v>2230000000</v>
      </c>
      <c r="BX5" s="1479">
        <f>IFERROR(__xludf.DUMMYFUNCTION("""COMPUTED_VALUE"""),1.636111111111111)</f>
        <v>1.636111111</v>
      </c>
      <c r="BY5" s="1480">
        <f>IFERROR(__xludf.DUMMYFUNCTION("""COMPUTED_VALUE"""),4.035E10)</f>
        <v>40350000000</v>
      </c>
      <c r="BZ5" s="1479">
        <f>IFERROR(__xludf.DUMMYFUNCTION("""COMPUTED_VALUE"""),1.8673611111111112)</f>
        <v>1.867361111</v>
      </c>
      <c r="CA5" s="1480">
        <f>IFERROR(__xludf.DUMMYFUNCTION("""COMPUTED_VALUE"""),4.635E10)</f>
        <v>46350000000</v>
      </c>
      <c r="CB5" s="1479">
        <f>IFERROR(__xludf.DUMMYFUNCTION("""COMPUTED_VALUE"""),4.645138888888889)</f>
        <v>4.645138889</v>
      </c>
      <c r="CC5" s="1480">
        <f>IFERROR(__xludf.DUMMYFUNCTION("""COMPUTED_VALUE"""),4.0303E11)</f>
        <v>403030000000</v>
      </c>
      <c r="CD5" s="1477">
        <f>IFERROR(__xludf.DUMMYFUNCTION("""COMPUTED_VALUE"""),2.528402777777778)</f>
        <v>2.528402778</v>
      </c>
      <c r="CE5" s="1481">
        <f>IFERROR(__xludf.DUMMYFUNCTION("""COMPUTED_VALUE"""),3.0044E11)</f>
        <v>300440000000</v>
      </c>
      <c r="CF5" s="1477">
        <f>IFERROR(__xludf.DUMMYFUNCTION("""COMPUTED_VALUE"""),1.4091203703703703)</f>
        <v>1.40912037</v>
      </c>
      <c r="CG5" s="1481">
        <f>IFERROR(__xludf.DUMMYFUNCTION("""COMPUTED_VALUE"""),13300.0)</f>
        <v>13300</v>
      </c>
      <c r="CH5" s="1482">
        <f>IFERROR(__xludf.DUMMYFUNCTION("""COMPUTED_VALUE"""),0.01138888888888889)</f>
        <v>0.01138888889</v>
      </c>
      <c r="CI5" s="1483">
        <f>IFERROR(__xludf.DUMMYFUNCTION("""COMPUTED_VALUE"""),178.0)</f>
        <v>178</v>
      </c>
      <c r="CJ5" s="1482">
        <f>IFERROR(__xludf.DUMMYFUNCTION("""COMPUTED_VALUE"""),0.01138888888888889)</f>
        <v>0.01138888889</v>
      </c>
      <c r="CK5" s="1483">
        <f>IFERROR(__xludf.DUMMYFUNCTION("""COMPUTED_VALUE"""),178.0)</f>
        <v>178</v>
      </c>
      <c r="CL5" s="1482">
        <f>IFERROR(__xludf.DUMMYFUNCTION("""COMPUTED_VALUE"""),0.01138888888888889)</f>
        <v>0.01138888889</v>
      </c>
      <c r="CM5" s="1483">
        <f>IFERROR(__xludf.DUMMYFUNCTION("""COMPUTED_VALUE"""),178.0)</f>
        <v>178</v>
      </c>
      <c r="CN5" s="1482">
        <f>IFERROR(__xludf.DUMMYFUNCTION("""COMPUTED_VALUE"""),0.01138888888888889)</f>
        <v>0.01138888889</v>
      </c>
      <c r="CO5" s="1483">
        <f>IFERROR(__xludf.DUMMYFUNCTION("""COMPUTED_VALUE"""),178.0)</f>
        <v>178</v>
      </c>
      <c r="CP5" s="1482">
        <f>IFERROR(__xludf.DUMMYFUNCTION("""COMPUTED_VALUE"""),0.016770833333333332)</f>
        <v>0.01677083333</v>
      </c>
      <c r="CQ5" s="1483">
        <f>IFERROR(__xludf.DUMMYFUNCTION("""COMPUTED_VALUE"""),221.0)</f>
        <v>221</v>
      </c>
      <c r="CR5" s="1482">
        <f>IFERROR(__xludf.DUMMYFUNCTION("""COMPUTED_VALUE"""),0.08888888888888889)</f>
        <v>0.08888888889</v>
      </c>
      <c r="CS5" s="1483">
        <f>IFERROR(__xludf.DUMMYFUNCTION("""COMPUTED_VALUE"""),2130.0)</f>
        <v>2130</v>
      </c>
      <c r="CT5" s="1520"/>
      <c r="CU5" s="1519"/>
      <c r="CV5" s="1484">
        <f>IFERROR(__xludf.DUMMYFUNCTION("""COMPUTED_VALUE"""),3.01875)</f>
        <v>3.01875</v>
      </c>
      <c r="CW5" s="1485">
        <f>IFERROR(__xludf.DUMMYFUNCTION("""COMPUTED_VALUE"""),3.007E10)</f>
        <v>30070000000</v>
      </c>
      <c r="CX5" s="1484">
        <f>IFERROR(__xludf.DUMMYFUNCTION("""COMPUTED_VALUE"""),3.01875)</f>
        <v>3.01875</v>
      </c>
      <c r="CY5" s="1485">
        <f>IFERROR(__xludf.DUMMYFUNCTION("""COMPUTED_VALUE"""),3.007E10)</f>
        <v>30070000000</v>
      </c>
      <c r="CZ5" s="1484">
        <f>IFERROR(__xludf.DUMMYFUNCTION("""COMPUTED_VALUE"""),3.01875)</f>
        <v>3.01875</v>
      </c>
      <c r="DA5" s="1485">
        <f>IFERROR(__xludf.DUMMYFUNCTION("""COMPUTED_VALUE"""),3.007E10)</f>
        <v>30070000000</v>
      </c>
      <c r="DB5" s="1484">
        <f>IFERROR(__xludf.DUMMYFUNCTION("""COMPUTED_VALUE"""),1.3958333333333333)</f>
        <v>1.395833333</v>
      </c>
      <c r="DC5" s="1485">
        <f>IFERROR(__xludf.DUMMYFUNCTION("""COMPUTED_VALUE"""),1.16E9)</f>
        <v>1160000000</v>
      </c>
      <c r="DD5" s="1484">
        <f>IFERROR(__xludf.DUMMYFUNCTION("""COMPUTED_VALUE"""),1.3958333333333333)</f>
        <v>1.395833333</v>
      </c>
      <c r="DE5" s="1485">
        <f>IFERROR(__xludf.DUMMYFUNCTION("""COMPUTED_VALUE"""),1.16E9)</f>
        <v>1160000000</v>
      </c>
      <c r="DF5" s="1486">
        <f>IFERROR(__xludf.DUMMYFUNCTION("""COMPUTED_VALUE"""),1.1201388888888888)</f>
        <v>1.120138889</v>
      </c>
      <c r="DG5" s="1487">
        <f>IFERROR(__xludf.DUMMYFUNCTION("""COMPUTED_VALUE"""),496980.0)</f>
        <v>496980</v>
      </c>
      <c r="DH5" s="1518"/>
      <c r="DI5" s="1519"/>
      <c r="DJ5" s="1486">
        <f>IFERROR(__xludf.DUMMYFUNCTION("""COMPUTED_VALUE"""),1.9069444444444446)</f>
        <v>1.906944444</v>
      </c>
      <c r="DK5" s="1487">
        <f>IFERROR(__xludf.DUMMYFUNCTION("""COMPUTED_VALUE"""),1050000.0)</f>
        <v>1050000</v>
      </c>
      <c r="DL5" s="1486">
        <f>IFERROR(__xludf.DUMMYFUNCTION("""COMPUTED_VALUE"""),1.1201388888888888)</f>
        <v>1.120138889</v>
      </c>
      <c r="DM5" s="1487">
        <f>IFERROR(__xludf.DUMMYFUNCTION("""COMPUTED_VALUE"""),496980.0)</f>
        <v>496980</v>
      </c>
      <c r="DN5" s="1518"/>
      <c r="DO5" s="1519"/>
      <c r="DP5" s="1486">
        <f>IFERROR(__xludf.DUMMYFUNCTION("""COMPUTED_VALUE"""),1.1201388888888888)</f>
        <v>1.120138889</v>
      </c>
      <c r="DQ5" s="1487">
        <f>IFERROR(__xludf.DUMMYFUNCTION("""COMPUTED_VALUE"""),496980.0)</f>
        <v>496980</v>
      </c>
      <c r="DR5" s="1486">
        <f>IFERROR(__xludf.DUMMYFUNCTION("""COMPUTED_VALUE"""),1.1201388888888888)</f>
        <v>1.120138889</v>
      </c>
      <c r="DS5" s="1487">
        <f>IFERROR(__xludf.DUMMYFUNCTION("""COMPUTED_VALUE"""),496980.0)</f>
        <v>496980</v>
      </c>
      <c r="DT5" s="1518"/>
      <c r="DU5" s="1519"/>
      <c r="DV5" s="1486">
        <f>IFERROR(__xludf.DUMMYFUNCTION("""COMPUTED_VALUE"""),1.1201388888888888)</f>
        <v>1.120138889</v>
      </c>
      <c r="DW5" s="1487">
        <f>IFERROR(__xludf.DUMMYFUNCTION("""COMPUTED_VALUE"""),496980.0)</f>
        <v>496980</v>
      </c>
      <c r="DX5" s="1486">
        <f>IFERROR(__xludf.DUMMYFUNCTION("""COMPUTED_VALUE"""),1.1201388888888888)</f>
        <v>1.120138889</v>
      </c>
      <c r="DY5" s="1487">
        <f>IFERROR(__xludf.DUMMYFUNCTION("""COMPUTED_VALUE"""),496980.0)</f>
        <v>496980</v>
      </c>
      <c r="DZ5" s="1486">
        <f>IFERROR(__xludf.DUMMYFUNCTION("""COMPUTED_VALUE"""),2.370138888888889)</f>
        <v>2.370138889</v>
      </c>
      <c r="EA5" s="1487">
        <f>IFERROR(__xludf.DUMMYFUNCTION("""COMPUTED_VALUE"""),1850000.0)</f>
        <v>1850000</v>
      </c>
      <c r="EB5" s="1486">
        <f>IFERROR(__xludf.DUMMYFUNCTION("""COMPUTED_VALUE"""),2.370138888888889)</f>
        <v>2.370138889</v>
      </c>
      <c r="EC5" s="1487">
        <f>IFERROR(__xludf.DUMMYFUNCTION("""COMPUTED_VALUE"""),1850000.0)</f>
        <v>1850000</v>
      </c>
      <c r="ED5" s="1518"/>
      <c r="EE5" s="1519"/>
      <c r="EF5" s="1486">
        <f>IFERROR(__xludf.DUMMYFUNCTION("""COMPUTED_VALUE"""),1.5368055555555555)</f>
        <v>1.536805556</v>
      </c>
      <c r="EG5" s="1487">
        <f>IFERROR(__xludf.DUMMYFUNCTION("""COMPUTED_VALUE"""),1100000.0)</f>
        <v>1100000</v>
      </c>
      <c r="EH5" s="1486">
        <f>IFERROR(__xludf.DUMMYFUNCTION("""COMPUTED_VALUE"""),1.5368055555555555)</f>
        <v>1.536805556</v>
      </c>
      <c r="EI5" s="1487">
        <f>IFERROR(__xludf.DUMMYFUNCTION("""COMPUTED_VALUE"""),1100000.0)</f>
        <v>1100000</v>
      </c>
      <c r="EJ5" s="1486">
        <f>IFERROR(__xludf.DUMMYFUNCTION("""COMPUTED_VALUE"""),1.5369328703703704)</f>
        <v>1.53693287</v>
      </c>
      <c r="EK5" s="1487">
        <f>IFERROR(__xludf.DUMMYFUNCTION("""COMPUTED_VALUE"""),1100000.0)</f>
        <v>1100000</v>
      </c>
      <c r="EL5" s="1486">
        <f>IFERROR(__xludf.DUMMYFUNCTION("""COMPUTED_VALUE"""),1.5369328703703704)</f>
        <v>1.53693287</v>
      </c>
      <c r="EM5" s="1487">
        <f>IFERROR(__xludf.DUMMYFUNCTION("""COMPUTED_VALUE"""),1100000.0)</f>
        <v>1100000</v>
      </c>
      <c r="EN5" s="1486">
        <f>IFERROR(__xludf.DUMMYFUNCTION("""COMPUTED_VALUE"""),1.5368055555555555)</f>
        <v>1.536805556</v>
      </c>
      <c r="EO5" s="1487">
        <f>IFERROR(__xludf.DUMMYFUNCTION("""COMPUTED_VALUE"""),1100000.0)</f>
        <v>1100000</v>
      </c>
      <c r="EP5" s="1486">
        <f>IFERROR(__xludf.DUMMYFUNCTION("""COMPUTED_VALUE"""),1.5368055555555555)</f>
        <v>1.536805556</v>
      </c>
      <c r="EQ5" s="1487">
        <f>IFERROR(__xludf.DUMMYFUNCTION("""COMPUTED_VALUE"""),1100000.0)</f>
        <v>1100000</v>
      </c>
      <c r="ER5" s="1486">
        <f>IFERROR(__xludf.DUMMYFUNCTION("""COMPUTED_VALUE"""),1.5368055555555555)</f>
        <v>1.536805556</v>
      </c>
      <c r="ES5" s="1487">
        <f>IFERROR(__xludf.DUMMYFUNCTION("""COMPUTED_VALUE"""),1100000.0)</f>
        <v>1100000</v>
      </c>
      <c r="ET5" s="1486">
        <f>IFERROR(__xludf.DUMMYFUNCTION("""COMPUTED_VALUE"""),1.5368055555555555)</f>
        <v>1.536805556</v>
      </c>
      <c r="EU5" s="1487">
        <f>IFERROR(__xludf.DUMMYFUNCTION("""COMPUTED_VALUE"""),1450000.0)</f>
        <v>1450000</v>
      </c>
      <c r="EV5" s="1518"/>
      <c r="EW5" s="1519"/>
      <c r="EX5" s="1486">
        <f>IFERROR(__xludf.DUMMYFUNCTION("""COMPUTED_VALUE"""),2.698611111111111)</f>
        <v>2.698611111</v>
      </c>
      <c r="EY5" s="1487">
        <f>IFERROR(__xludf.DUMMYFUNCTION("""COMPUTED_VALUE"""),2860000.0)</f>
        <v>2860000</v>
      </c>
      <c r="EZ5" s="1518"/>
      <c r="FA5" s="1521"/>
      <c r="FB5" s="1486">
        <f>IFERROR(__xludf.DUMMYFUNCTION("""COMPUTED_VALUE"""),2.370138888888889)</f>
        <v>2.370138889</v>
      </c>
      <c r="FC5" s="1487">
        <f>IFERROR(__xludf.DUMMYFUNCTION("""COMPUTED_VALUE"""),2.185E7)</f>
        <v>21850000</v>
      </c>
      <c r="FD5" s="1520"/>
      <c r="FE5" s="1519"/>
      <c r="FF5" s="1486">
        <f>IFERROR(__xludf.DUMMYFUNCTION("""COMPUTED_VALUE"""),2.370138888888889)</f>
        <v>2.370138889</v>
      </c>
      <c r="FG5" s="1488">
        <f>IFERROR(__xludf.DUMMYFUNCTION("""COMPUTED_VALUE"""),2.3124324E7)</f>
        <v>23124324</v>
      </c>
      <c r="FH5" s="1486">
        <f>IFERROR(__xludf.DUMMYFUNCTION("""COMPUTED_VALUE"""),2.370138888888889)</f>
        <v>2.370138889</v>
      </c>
      <c r="FI5" s="1488">
        <f>IFERROR(__xludf.DUMMYFUNCTION("""COMPUTED_VALUE"""),2.3124324E7)</f>
        <v>23124324</v>
      </c>
      <c r="FJ5" s="1486">
        <f>IFERROR(__xludf.DUMMYFUNCTION("""COMPUTED_VALUE"""),7.369502314814815)</f>
        <v>7.369502315</v>
      </c>
      <c r="FK5" s="1487">
        <f>IFERROR(__xludf.DUMMYFUNCTION("""COMPUTED_VALUE"""),2.00854054E8)</f>
        <v>200854054</v>
      </c>
      <c r="FL5" s="1518"/>
      <c r="FM5" s="1519"/>
      <c r="FN5" s="1489">
        <f>IFERROR(__xludf.DUMMYFUNCTION("""COMPUTED_VALUE"""),8.037951388888889)</f>
        <v>8.037951389</v>
      </c>
      <c r="FO5" s="1487">
        <f>IFERROR(__xludf.DUMMYFUNCTION("""COMPUTED_VALUE"""),1.55E12)</f>
        <v>1550000000000</v>
      </c>
      <c r="FP5" s="1486">
        <f>IFERROR(__xludf.DUMMYFUNCTION("""COMPUTED_VALUE"""),10.453333333333333)</f>
        <v>10.45333333</v>
      </c>
      <c r="FQ5" s="1488">
        <f>IFERROR(__xludf.DUMMYFUNCTION("""COMPUTED_VALUE"""),2.25E11)</f>
        <v>225000000000</v>
      </c>
      <c r="FR5" s="1490">
        <f>IFERROR(__xludf.DUMMYFUNCTION("""COMPUTED_VALUE"""),10.453321759259259)</f>
        <v>10.45332176</v>
      </c>
      <c r="FS5" s="1488">
        <f>IFERROR(__xludf.DUMMYFUNCTION("""COMPUTED_VALUE"""),2.25E11)</f>
        <v>225000000000</v>
      </c>
      <c r="FT5" s="1486">
        <f>IFERROR(__xludf.DUMMYFUNCTION("""COMPUTED_VALUE"""),10.453333333333333)</f>
        <v>10.45333333</v>
      </c>
      <c r="FU5" s="1488">
        <f>IFERROR(__xludf.DUMMYFUNCTION("""COMPUTED_VALUE"""),2.25E11)</f>
        <v>225000000000</v>
      </c>
      <c r="FV5" s="1486">
        <f>IFERROR(__xludf.DUMMYFUNCTION("""COMPUTED_VALUE"""),10.453321759259259)</f>
        <v>10.45332176</v>
      </c>
      <c r="FW5" s="1488">
        <f>IFERROR(__xludf.DUMMYFUNCTION("""COMPUTED_VALUE"""),2.25E11)</f>
        <v>225000000000</v>
      </c>
      <c r="FX5" s="1491">
        <f>IFERROR(__xludf.DUMMYFUNCTION("""COMPUTED_VALUE"""),4.04275462962963)</f>
        <v>4.04275463</v>
      </c>
      <c r="FY5" s="1492">
        <f>IFERROR(__xludf.DUMMYFUNCTION("""COMPUTED_VALUE"""),2.25E9)</f>
        <v>2250000000</v>
      </c>
      <c r="FZ5" s="1491">
        <f>IFERROR(__xludf.DUMMYFUNCTION("""COMPUTED_VALUE"""),10.453472222222222)</f>
        <v>10.45347222</v>
      </c>
      <c r="GA5" s="1492">
        <f>IFERROR(__xludf.DUMMYFUNCTION("""COMPUTED_VALUE"""),2.25E11)</f>
        <v>225000000000</v>
      </c>
      <c r="GB5" s="1493">
        <f>IFERROR(__xludf.DUMMYFUNCTION("""COMPUTED_VALUE"""),13.112650462962963)</f>
        <v>13.11265046</v>
      </c>
      <c r="GC5" s="1492">
        <f>IFERROR(__xludf.DUMMYFUNCTION("""COMPUTED_VALUE"""),5.0625E11)</f>
        <v>506250000000</v>
      </c>
      <c r="GD5" s="1486">
        <f>IFERROR(__xludf.DUMMYFUNCTION("""COMPUTED_VALUE"""),50.0)</f>
        <v>50</v>
      </c>
      <c r="GE5" s="1488">
        <f>IFERROR(__xludf.DUMMYFUNCTION("""COMPUTED_VALUE"""),4.2E15)</f>
        <v>4.2E+15</v>
      </c>
      <c r="GF5" s="1494">
        <f>IFERROR(__xludf.DUMMYFUNCTION("""COMPUTED_VALUE"""),2.314583333333333)</f>
        <v>2.314583333</v>
      </c>
      <c r="GG5" s="1495">
        <f>IFERROR(__xludf.DUMMYFUNCTION("""COMPUTED_VALUE"""),4500000.0)</f>
        <v>4500000</v>
      </c>
      <c r="GH5" s="1494">
        <f>IFERROR(__xludf.DUMMYFUNCTION("""COMPUTED_VALUE"""),0.7451388888888889)</f>
        <v>0.7451388889</v>
      </c>
      <c r="GI5" s="1495">
        <f>IFERROR(__xludf.DUMMYFUNCTION("""COMPUTED_VALUE"""),3420000.0)</f>
        <v>3420000</v>
      </c>
      <c r="GJ5" s="1518"/>
      <c r="GK5" s="1519"/>
      <c r="GL5" s="1518"/>
      <c r="GM5" s="1519"/>
      <c r="GN5" s="1520"/>
      <c r="GO5" s="1519"/>
      <c r="GP5" s="1496">
        <f>IFERROR(__xludf.DUMMYFUNCTION("""COMPUTED_VALUE"""),0.9118055555555555)</f>
        <v>0.9118055556</v>
      </c>
      <c r="GQ5" s="1497">
        <f>IFERROR(__xludf.DUMMYFUNCTION("""COMPUTED_VALUE"""),4.07E9)</f>
        <v>4070000000</v>
      </c>
      <c r="GR5" s="1498">
        <f>IFERROR(__xludf.DUMMYFUNCTION("""COMPUTED_VALUE"""),8.037951388888889)</f>
        <v>8.037951389</v>
      </c>
      <c r="GS5" s="1497">
        <f>IFERROR(__xludf.DUMMYFUNCTION("""COMPUTED_VALUE"""),1.55E12)</f>
        <v>1550000000000</v>
      </c>
      <c r="GT5" s="1498">
        <f>IFERROR(__xludf.DUMMYFUNCTION("""COMPUTED_VALUE"""),8.037951388888889)</f>
        <v>8.037951389</v>
      </c>
      <c r="GU5" s="1497">
        <f>IFERROR(__xludf.DUMMYFUNCTION("""COMPUTED_VALUE"""),1.55E12)</f>
        <v>1550000000000</v>
      </c>
      <c r="GV5" s="1498">
        <f>IFERROR(__xludf.DUMMYFUNCTION("""COMPUTED_VALUE"""),8.037951388888889)</f>
        <v>8.037951389</v>
      </c>
      <c r="GW5" s="1497">
        <f>IFERROR(__xludf.DUMMYFUNCTION("""COMPUTED_VALUE"""),1.55E12)</f>
        <v>1550000000000</v>
      </c>
      <c r="GX5" s="1499">
        <f>IFERROR(__xludf.DUMMYFUNCTION("""COMPUTED_VALUE"""),41.666666666666664)</f>
        <v>41.66666667</v>
      </c>
      <c r="GY5" s="1500">
        <f>IFERROR(__xludf.DUMMYFUNCTION("""COMPUTED_VALUE"""),2.0E15)</f>
        <v>2E+15</v>
      </c>
      <c r="GZ5" s="1518"/>
      <c r="HA5" s="1519"/>
      <c r="HB5" s="1501">
        <f>IFERROR(__xludf.DUMMYFUNCTION("""COMPUTED_VALUE"""),0.35625)</f>
        <v>0.35625</v>
      </c>
      <c r="HC5" s="1502">
        <f>IFERROR(__xludf.DUMMYFUNCTION("""COMPUTED_VALUE"""),940000.0)</f>
        <v>940000</v>
      </c>
      <c r="HD5" s="1518"/>
      <c r="HE5" s="1519"/>
      <c r="HF5" s="1501">
        <f>IFERROR(__xludf.DUMMYFUNCTION("""COMPUTED_VALUE"""),0.40208333333333335)</f>
        <v>0.4020833333</v>
      </c>
      <c r="HG5" s="1502">
        <f>IFERROR(__xludf.DUMMYFUNCTION("""COMPUTED_VALUE"""),1360000.0)</f>
        <v>1360000</v>
      </c>
      <c r="HH5" s="1518"/>
      <c r="HI5" s="1519"/>
      <c r="HJ5" s="1518"/>
      <c r="HK5" s="1519"/>
      <c r="HL5" s="1501">
        <f>IFERROR(__xludf.DUMMYFUNCTION("""COMPUTED_VALUE"""),9.259027777777778)</f>
        <v>9.259027778</v>
      </c>
      <c r="HM5" s="1502">
        <f>IFERROR(__xludf.DUMMYFUNCTION("""COMPUTED_VALUE"""),1.0E9)</f>
        <v>1000000000</v>
      </c>
      <c r="HN5" s="1501">
        <f>IFERROR(__xludf.DUMMYFUNCTION("""COMPUTED_VALUE"""),2.2083333333333335)</f>
        <v>2.208333333</v>
      </c>
      <c r="HO5" s="1502">
        <f>IFERROR(__xludf.DUMMYFUNCTION("""COMPUTED_VALUE"""),8.0118E8)</f>
        <v>801180000</v>
      </c>
      <c r="HP5" s="1501">
        <f>IFERROR(__xludf.DUMMYFUNCTION("""COMPUTED_VALUE"""),2.470972222222222)</f>
        <v>2.470972222</v>
      </c>
      <c r="HQ5" s="1503">
        <f>IFERROR(__xludf.DUMMYFUNCTION("""COMPUTED_VALUE"""),878820.0)</f>
        <v>878820</v>
      </c>
      <c r="HR5" s="1522">
        <f>IFERROR(__xludf.DUMMYFUNCTION("""COMPUTED_VALUE"""),2.3243055555555556)</f>
        <v>2.324305556</v>
      </c>
      <c r="HS5" s="1523">
        <f>IFERROR(__xludf.DUMMYFUNCTION("""COMPUTED_VALUE"""),9.16E7)</f>
        <v>91600000</v>
      </c>
      <c r="HT5" s="1522">
        <f>IFERROR(__xludf.DUMMYFUNCTION("""COMPUTED_VALUE"""),2.3243055555555556)</f>
        <v>2.324305556</v>
      </c>
      <c r="HU5" s="1523">
        <f>IFERROR(__xludf.DUMMYFUNCTION("""COMPUTED_VALUE"""),9.16E7)</f>
        <v>91600000</v>
      </c>
      <c r="HV5" s="1522">
        <f>IFERROR(__xludf.DUMMYFUNCTION("""COMPUTED_VALUE"""),2.3243055555555556)</f>
        <v>2.324305556</v>
      </c>
      <c r="HW5" s="1523">
        <f>IFERROR(__xludf.DUMMYFUNCTION("""COMPUTED_VALUE"""),9.16E7)</f>
        <v>91600000</v>
      </c>
      <c r="HX5" s="1524">
        <f>IFERROR(__xludf.DUMMYFUNCTION("""COMPUTED_VALUE"""),2.3243055555555556)</f>
        <v>2.324305556</v>
      </c>
      <c r="HY5" s="1523">
        <f>IFERROR(__xludf.DUMMYFUNCTION("""COMPUTED_VALUE"""),9.16E7)</f>
        <v>91600000</v>
      </c>
      <c r="HZ5" s="1524">
        <f>IFERROR(__xludf.DUMMYFUNCTION("""COMPUTED_VALUE"""),60.339050925925925)</f>
        <v>60.33905093</v>
      </c>
      <c r="IA5" s="1523">
        <f>IFERROR(__xludf.DUMMYFUNCTION("""COMPUTED_VALUE"""),9.675E13)</f>
        <v>96750000000000</v>
      </c>
      <c r="IB5" s="1524">
        <f>IFERROR(__xludf.DUMMYFUNCTION("""COMPUTED_VALUE"""),11.020833333333334)</f>
        <v>11.02083333</v>
      </c>
      <c r="IC5" s="1523">
        <f>IFERROR(__xludf.DUMMYFUNCTION("""COMPUTED_VALUE"""),2.25E11)</f>
        <v>225000000000</v>
      </c>
      <c r="ID5" s="1524">
        <f>IFERROR(__xludf.DUMMYFUNCTION("""COMPUTED_VALUE"""),11.020833333333334)</f>
        <v>11.02083333</v>
      </c>
      <c r="IE5" s="1523">
        <f>IFERROR(__xludf.DUMMYFUNCTION("""COMPUTED_VALUE"""),2.25E11)</f>
        <v>225000000000</v>
      </c>
      <c r="IF5" s="1524">
        <f>IFERROR(__xludf.DUMMYFUNCTION("""COMPUTED_VALUE"""),11.020833333333334)</f>
        <v>11.02083333</v>
      </c>
      <c r="IG5" s="1523">
        <f>IFERROR(__xludf.DUMMYFUNCTION("""COMPUTED_VALUE"""),2.25E11)</f>
        <v>225000000000</v>
      </c>
      <c r="IH5" s="1507">
        <f>IFERROR(__xludf.DUMMYFUNCTION("""COMPUTED_VALUE"""),3.01875)</f>
        <v>3.01875</v>
      </c>
      <c r="II5" s="1508">
        <f>IFERROR(__xludf.DUMMYFUNCTION("""COMPUTED_VALUE"""),6.007E10)</f>
        <v>60070000000</v>
      </c>
      <c r="IJ5" s="1507">
        <f>IFERROR(__xludf.DUMMYFUNCTION("""COMPUTED_VALUE"""),3.01875)</f>
        <v>3.01875</v>
      </c>
      <c r="IK5" s="1508">
        <f>IFERROR(__xludf.DUMMYFUNCTION("""COMPUTED_VALUE"""),6.007E10)</f>
        <v>60070000000</v>
      </c>
      <c r="IL5" s="1507">
        <f>IFERROR(__xludf.DUMMYFUNCTION("""COMPUTED_VALUE"""),3.01875)</f>
        <v>3.01875</v>
      </c>
      <c r="IM5" s="1508">
        <f>IFERROR(__xludf.DUMMYFUNCTION("""COMPUTED_VALUE"""),9.007E10)</f>
        <v>90070000000</v>
      </c>
      <c r="IN5" s="1507">
        <f>IFERROR(__xludf.DUMMYFUNCTION("""COMPUTED_VALUE"""),3.01875)</f>
        <v>3.01875</v>
      </c>
      <c r="IO5" s="1508">
        <f>IFERROR(__xludf.DUMMYFUNCTION("""COMPUTED_VALUE"""),9.007E10)</f>
        <v>90070000000</v>
      </c>
      <c r="IP5" s="1507">
        <f>IFERROR(__xludf.DUMMYFUNCTION("""COMPUTED_VALUE"""),3.4819444444444447)</f>
        <v>3.481944444</v>
      </c>
      <c r="IQ5" s="1508">
        <f>IFERROR(__xludf.DUMMYFUNCTION("""COMPUTED_VALUE"""),1.8007E11)</f>
        <v>180070000000</v>
      </c>
      <c r="IR5" s="1507">
        <f>IFERROR(__xludf.DUMMYFUNCTION("""COMPUTED_VALUE"""),3.01875)</f>
        <v>3.01875</v>
      </c>
      <c r="IS5" s="1508">
        <f>IFERROR(__xludf.DUMMYFUNCTION("""COMPUTED_VALUE"""),9.007E10)</f>
        <v>90070000000</v>
      </c>
      <c r="IT5" s="1507">
        <f>IFERROR(__xludf.DUMMYFUNCTION("""COMPUTED_VALUE"""),3.01875)</f>
        <v>3.01875</v>
      </c>
      <c r="IU5" s="1508">
        <f>IFERROR(__xludf.DUMMYFUNCTION("""COMPUTED_VALUE"""),9.007E10)</f>
        <v>90070000000</v>
      </c>
      <c r="IV5" s="1507">
        <f>IFERROR(__xludf.DUMMYFUNCTION("""COMPUTED_VALUE"""),3.01875)</f>
        <v>3.01875</v>
      </c>
      <c r="IW5" s="1508">
        <f>IFERROR(__xludf.DUMMYFUNCTION("""COMPUTED_VALUE"""),9.007E10)</f>
        <v>90070000000</v>
      </c>
      <c r="IX5" s="1507">
        <f>IFERROR(__xludf.DUMMYFUNCTION("""COMPUTED_VALUE"""),3.01875)</f>
        <v>3.01875</v>
      </c>
      <c r="IY5" s="1508">
        <f>IFERROR(__xludf.DUMMYFUNCTION("""COMPUTED_VALUE"""),9.007E10)</f>
        <v>90070000000</v>
      </c>
      <c r="IZ5" s="1507">
        <f>IFERROR(__xludf.DUMMYFUNCTION("""COMPUTED_VALUE"""),3.01875)</f>
        <v>3.01875</v>
      </c>
      <c r="JA5" s="1508">
        <f>IFERROR(__xludf.DUMMYFUNCTION("""COMPUTED_VALUE"""),1.2007E11)</f>
        <v>120070000000</v>
      </c>
      <c r="JB5" s="1507">
        <f>IFERROR(__xludf.DUMMYFUNCTION("""COMPUTED_VALUE"""),3.01875)</f>
        <v>3.01875</v>
      </c>
      <c r="JC5" s="1508">
        <f>IFERROR(__xludf.DUMMYFUNCTION("""COMPUTED_VALUE"""),1.2007E11)</f>
        <v>120070000000</v>
      </c>
      <c r="JD5" s="1507">
        <f>IFERROR(__xludf.DUMMYFUNCTION("""COMPUTED_VALUE"""),3.01875)</f>
        <v>3.01875</v>
      </c>
      <c r="JE5" s="1508">
        <f>IFERROR(__xludf.DUMMYFUNCTION("""COMPUTED_VALUE"""),1.2007E11)</f>
        <v>120070000000</v>
      </c>
      <c r="JF5" s="1507">
        <f>IFERROR(__xludf.DUMMYFUNCTION("""COMPUTED_VALUE"""),3.01875)</f>
        <v>3.01875</v>
      </c>
      <c r="JG5" s="1508">
        <f>IFERROR(__xludf.DUMMYFUNCTION("""COMPUTED_VALUE"""),1.2007E11)</f>
        <v>120070000000</v>
      </c>
      <c r="JH5" s="1507">
        <f>IFERROR(__xludf.DUMMYFUNCTION("""COMPUTED_VALUE"""),3.4819444444444447)</f>
        <v>3.481944444</v>
      </c>
      <c r="JI5" s="1508">
        <f>IFERROR(__xludf.DUMMYFUNCTION("""COMPUTED_VALUE"""),2.2007E11)</f>
        <v>220070000000</v>
      </c>
      <c r="JJ5" s="1507">
        <f>IFERROR(__xludf.DUMMYFUNCTION("""COMPUTED_VALUE"""),32.39791666666667)</f>
        <v>32.39791667</v>
      </c>
      <c r="JK5" s="1509">
        <f>IFERROR(__xludf.DUMMYFUNCTION("""COMPUTED_VALUE"""),7.5E17)</f>
        <v>7.5E+17</v>
      </c>
      <c r="JL5" s="1507">
        <f>IFERROR(__xludf.DUMMYFUNCTION("""COMPUTED_VALUE"""),32.39791666666667)</f>
        <v>32.39791667</v>
      </c>
      <c r="JM5" s="1509">
        <f>IFERROR(__xludf.DUMMYFUNCTION("""COMPUTED_VALUE"""),7.5E17)</f>
        <v>7.5E+17</v>
      </c>
      <c r="JN5" s="1507">
        <f>IFERROR(__xludf.DUMMYFUNCTION("""COMPUTED_VALUE"""),32.39791666666667)</f>
        <v>32.39791667</v>
      </c>
      <c r="JO5" s="1509">
        <f>IFERROR(__xludf.DUMMYFUNCTION("""COMPUTED_VALUE"""),7.5E17)</f>
        <v>7.5E+17</v>
      </c>
      <c r="JP5" s="1507">
        <f>IFERROR(__xludf.DUMMYFUNCTION("""COMPUTED_VALUE"""),32.39791666666667)</f>
        <v>32.39791667</v>
      </c>
      <c r="JQ5" s="1509">
        <f>IFERROR(__xludf.DUMMYFUNCTION("""COMPUTED_VALUE"""),7.5E17)</f>
        <v>7.5E+17</v>
      </c>
      <c r="JR5" s="1507">
        <f>IFERROR(__xludf.DUMMYFUNCTION("""COMPUTED_VALUE"""),32.39791666666667)</f>
        <v>32.39791667</v>
      </c>
      <c r="JS5" s="1509">
        <f>IFERROR(__xludf.DUMMYFUNCTION("""COMPUTED_VALUE"""),7.5E17)</f>
        <v>7.5E+17</v>
      </c>
      <c r="JT5" s="1507">
        <f>IFERROR(__xludf.DUMMYFUNCTION("""COMPUTED_VALUE"""),32.39791666666667)</f>
        <v>32.39791667</v>
      </c>
      <c r="JU5" s="1509">
        <f>IFERROR(__xludf.DUMMYFUNCTION("""COMPUTED_VALUE"""),7.5E17)</f>
        <v>7.5E+17</v>
      </c>
      <c r="JV5" s="1507">
        <f>IFERROR(__xludf.DUMMYFUNCTION("""COMPUTED_VALUE"""),8.099305555555556)</f>
        <v>8.099305556</v>
      </c>
      <c r="JW5" s="1509">
        <f>IFERROR(__xludf.DUMMYFUNCTION("""COMPUTED_VALUE"""),1.96E12)</f>
        <v>1960000000000</v>
      </c>
      <c r="JX5" s="1510">
        <f>IFERROR(__xludf.DUMMYFUNCTION("""COMPUTED_VALUE"""),4.868541667)</f>
        <v>4.868541667</v>
      </c>
      <c r="JY5" s="1511">
        <f>IFERROR(__xludf.DUMMYFUNCTION("""COMPUTED_VALUE"""),1.1425E8)</f>
        <v>114250000</v>
      </c>
      <c r="JZ5" s="1525">
        <f>IFERROR(__xludf.DUMMYFUNCTION("""COMPUTED_VALUE"""),1.461342593)</f>
        <v>1.461342593</v>
      </c>
      <c r="KA5" s="1526">
        <f>IFERROR(__xludf.DUMMYFUNCTION("""COMPUTED_VALUE"""),1.394E7)</f>
        <v>13940000</v>
      </c>
      <c r="KB5" s="1510">
        <f>IFERROR(__xludf.DUMMYFUNCTION("""COMPUTED_VALUE"""),1.462604167)</f>
        <v>1.462604167</v>
      </c>
      <c r="KC5" s="1514">
        <f>IFERROR(__xludf.DUMMYFUNCTION("""COMPUTED_VALUE"""),2.526E7)</f>
        <v>25260000</v>
      </c>
      <c r="KD5" s="1510">
        <f>IFERROR(__xludf.DUMMYFUNCTION("""COMPUTED_VALUE"""),5.56119213)</f>
        <v>5.56119213</v>
      </c>
      <c r="KE5" s="1514">
        <f>IFERROR(__xludf.DUMMYFUNCTION("""COMPUTED_VALUE"""),5.96E9)</f>
        <v>5960000000</v>
      </c>
      <c r="KF5" s="1510">
        <f>IFERROR(__xludf.DUMMYFUNCTION("""COMPUTED_VALUE"""),5.56119213)</f>
        <v>5.56119213</v>
      </c>
      <c r="KG5" s="1514">
        <f>IFERROR(__xludf.DUMMYFUNCTION("""COMPUTED_VALUE"""),5.96E9)</f>
        <v>5960000000</v>
      </c>
      <c r="KH5" s="1510">
        <f>IFERROR(__xludf.DUMMYFUNCTION("""COMPUTED_VALUE"""),9.613923611)</f>
        <v>9.613923611</v>
      </c>
      <c r="KI5" s="1514">
        <f>IFERROR(__xludf.DUMMYFUNCTION("""COMPUTED_VALUE"""),1.2857E11)</f>
        <v>128570000000</v>
      </c>
      <c r="KJ5" s="1527"/>
      <c r="KK5" s="1527"/>
      <c r="KL5" s="1515">
        <f>IFERROR(__xludf.DUMMYFUNCTION("""COMPUTED_VALUE"""),256.45734953703703)</f>
        <v>256.4573495</v>
      </c>
      <c r="KM5" s="1514">
        <f>IFERROR(__xludf.DUMMYFUNCTION("""COMPUTED_VALUE"""),2.292E14)</f>
        <v>229200000000000</v>
      </c>
      <c r="KN5" s="1515">
        <f>IFERROR(__xludf.DUMMYFUNCTION("""COMPUTED_VALUE"""),162.5)</f>
        <v>162.5</v>
      </c>
      <c r="KO5" s="1514">
        <f>IFERROR(__xludf.DUMMYFUNCTION("""COMPUTED_VALUE"""),5.0E15)</f>
        <v>5E+15</v>
      </c>
      <c r="KP5" s="1515">
        <f>IFERROR(__xludf.DUMMYFUNCTION("""COMPUTED_VALUE"""),162.5)</f>
        <v>162.5</v>
      </c>
      <c r="KQ5" s="1514">
        <f>IFERROR(__xludf.DUMMYFUNCTION("""COMPUTED_VALUE"""),5.0E15)</f>
        <v>5E+15</v>
      </c>
      <c r="KR5" s="1515">
        <f>IFERROR(__xludf.DUMMYFUNCTION("""COMPUTED_VALUE"""),204.16666666666666)</f>
        <v>204.1666667</v>
      </c>
      <c r="KS5" s="1514">
        <f>IFERROR(__xludf.DUMMYFUNCTION("""COMPUTED_VALUE"""),5.0E16)</f>
        <v>5E+16</v>
      </c>
      <c r="KT5" s="1515">
        <f>IFERROR(__xludf.DUMMYFUNCTION("""COMPUTED_VALUE"""),91.66666666666667)</f>
        <v>91.66666667</v>
      </c>
      <c r="KU5" s="1514">
        <f>IFERROR(__xludf.DUMMYFUNCTION("""COMPUTED_VALUE"""),5.0E13)</f>
        <v>50000000000000</v>
      </c>
      <c r="KV5" s="1525">
        <f>IFERROR(__xludf.DUMMYFUNCTION("""COMPUTED_VALUE"""),32.39791666666667)</f>
        <v>32.39791667</v>
      </c>
      <c r="KW5" s="1526">
        <f>IFERROR(__xludf.DUMMYFUNCTION("""COMPUTED_VALUE"""),7.5E17)</f>
        <v>7.5E+17</v>
      </c>
      <c r="KX5" s="1525">
        <f>IFERROR(__xludf.DUMMYFUNCTION("""COMPUTED_VALUE"""),32.39791666666667)</f>
        <v>32.39791667</v>
      </c>
      <c r="KY5" s="1526">
        <f>IFERROR(__xludf.DUMMYFUNCTION("""COMPUTED_VALUE"""),7.5E17)</f>
        <v>7.5E+17</v>
      </c>
      <c r="KZ5" s="1525">
        <f>IFERROR(__xludf.DUMMYFUNCTION("""COMPUTED_VALUE"""),32.39791666666667)</f>
        <v>32.39791667</v>
      </c>
      <c r="LA5" s="1526">
        <f>IFERROR(__xludf.DUMMYFUNCTION("""COMPUTED_VALUE"""),7.5E17)</f>
        <v>7.5E+17</v>
      </c>
      <c r="LB5" s="1525">
        <f>IFERROR(__xludf.DUMMYFUNCTION("""COMPUTED_VALUE"""),32.39791666666667)</f>
        <v>32.39791667</v>
      </c>
      <c r="LC5" s="1526">
        <f>IFERROR(__xludf.DUMMYFUNCTION("""COMPUTED_VALUE"""),7.5E17)</f>
        <v>7.5E+17</v>
      </c>
      <c r="LD5" s="1525">
        <f>IFERROR(__xludf.DUMMYFUNCTION("""COMPUTED_VALUE"""),32.39791666666667)</f>
        <v>32.39791667</v>
      </c>
      <c r="LE5" s="1526">
        <f>IFERROR(__xludf.DUMMYFUNCTION("""COMPUTED_VALUE"""),7.5E17)</f>
        <v>7.5E+17</v>
      </c>
      <c r="LF5" s="1525">
        <f>IFERROR(__xludf.DUMMYFUNCTION("""COMPUTED_VALUE"""),32.39791666666667)</f>
        <v>32.39791667</v>
      </c>
      <c r="LG5" s="1526">
        <f>IFERROR(__xludf.DUMMYFUNCTION("""COMPUTED_VALUE"""),7.5E17)</f>
        <v>7.5E+17</v>
      </c>
      <c r="LH5" s="1525">
        <f>IFERROR(__xludf.DUMMYFUNCTION("""COMPUTED_VALUE"""),32.39791666666667)</f>
        <v>32.39791667</v>
      </c>
      <c r="LI5" s="1526">
        <f>IFERROR(__xludf.DUMMYFUNCTION("""COMPUTED_VALUE"""),7.5E17)</f>
        <v>7.5E+17</v>
      </c>
      <c r="LJ5" s="1525">
        <f>IFERROR(__xludf.DUMMYFUNCTION("""COMPUTED_VALUE"""),32.39791666666667)</f>
        <v>32.39791667</v>
      </c>
      <c r="LK5" s="1526">
        <f>IFERROR(__xludf.DUMMYFUNCTION("""COMPUTED_VALUE"""),7.5E17)</f>
        <v>7.5E+17</v>
      </c>
      <c r="LL5" s="1494">
        <f>IFERROR(__xludf.DUMMYFUNCTION("""COMPUTED_VALUE"""),50.0)</f>
        <v>50</v>
      </c>
      <c r="LM5" s="1495">
        <f>IFERROR(__xludf.DUMMYFUNCTION("""COMPUTED_VALUE"""),4.2E15)</f>
        <v>4.2E+15</v>
      </c>
      <c r="LN5" s="1516">
        <f>IFERROR(__xludf.DUMMYFUNCTION("""COMPUTED_VALUE"""),40.49791666666667)</f>
        <v>40.49791667</v>
      </c>
      <c r="LO5" s="1495">
        <f>IFERROR(__xludf.DUMMYFUNCTION("""COMPUTED_VALUE"""),6.000000000000001E17)</f>
        <v>6E+17</v>
      </c>
      <c r="LP5" s="1516">
        <f>IFERROR(__xludf.DUMMYFUNCTION("""COMPUTED_VALUE"""),40.49791666666667)</f>
        <v>40.49791667</v>
      </c>
      <c r="LQ5" s="1495">
        <f>IFERROR(__xludf.DUMMYFUNCTION("""COMPUTED_VALUE"""),6.000000000000001E17)</f>
        <v>6E+17</v>
      </c>
      <c r="LR5" s="1516">
        <f>IFERROR(__xludf.DUMMYFUNCTION("""COMPUTED_VALUE"""),40.49791666666667)</f>
        <v>40.49791667</v>
      </c>
      <c r="LS5" s="1495">
        <f>IFERROR(__xludf.DUMMYFUNCTION("""COMPUTED_VALUE"""),6.000000000000001E17)</f>
        <v>6E+17</v>
      </c>
      <c r="LT5" s="1516">
        <f>IFERROR(__xludf.DUMMYFUNCTION("""COMPUTED_VALUE"""),40.49791666666667)</f>
        <v>40.49791667</v>
      </c>
      <c r="LU5" s="1495">
        <f>IFERROR(__xludf.DUMMYFUNCTION("""COMPUTED_VALUE"""),6.000000000000001E17)</f>
        <v>6E+17</v>
      </c>
      <c r="LV5" s="1516">
        <f>IFERROR(__xludf.DUMMYFUNCTION("""COMPUTED_VALUE"""),40.49791666666667)</f>
        <v>40.49791667</v>
      </c>
      <c r="LW5" s="1495">
        <f>IFERROR(__xludf.DUMMYFUNCTION("""COMPUTED_VALUE"""),6.000000000000001E17)</f>
        <v>6E+17</v>
      </c>
      <c r="LX5" s="1516">
        <f>IFERROR(__xludf.DUMMYFUNCTION("""COMPUTED_VALUE"""),48.59722222222222)</f>
        <v>48.59722222</v>
      </c>
      <c r="LY5" s="1517">
        <f>IFERROR(__xludf.DUMMYFUNCTION("""COMPUTED_VALUE"""),1.5E18)</f>
        <v>1.5E+18</v>
      </c>
      <c r="LZ5" s="1516">
        <f>IFERROR(__xludf.DUMMYFUNCTION("""COMPUTED_VALUE"""),48.59722222222222)</f>
        <v>48.59722222</v>
      </c>
      <c r="MA5" s="1517">
        <f>IFERROR(__xludf.DUMMYFUNCTION("""COMPUTED_VALUE"""),1.5E18)</f>
        <v>1.5E+18</v>
      </c>
      <c r="MB5" s="1516">
        <f>IFERROR(__xludf.DUMMYFUNCTION("""COMPUTED_VALUE"""),48.59722222222222)</f>
        <v>48.59722222</v>
      </c>
      <c r="MC5" s="1517">
        <f>IFERROR(__xludf.DUMMYFUNCTION("""COMPUTED_VALUE"""),1.5E18)</f>
        <v>1.5E+18</v>
      </c>
      <c r="MD5" s="1516">
        <f>IFERROR(__xludf.DUMMYFUNCTION("""COMPUTED_VALUE"""),48.59722222222222)</f>
        <v>48.59722222</v>
      </c>
      <c r="ME5" s="1517">
        <f>IFERROR(__xludf.DUMMYFUNCTION("""COMPUTED_VALUE"""),1.5E18)</f>
        <v>1.5E+18</v>
      </c>
      <c r="MF5" s="1516">
        <f>IFERROR(__xludf.DUMMYFUNCTION("""COMPUTED_VALUE"""),48.59722222222222)</f>
        <v>48.59722222</v>
      </c>
      <c r="MG5" s="1517">
        <f>IFERROR(__xludf.DUMMYFUNCTION("""COMPUTED_VALUE"""),2.25E18)</f>
        <v>2.25E+18</v>
      </c>
      <c r="MH5" s="1516">
        <f>IFERROR(__xludf.DUMMYFUNCTION("""COMPUTED_VALUE"""),48.59722222222222)</f>
        <v>48.59722222</v>
      </c>
      <c r="MI5" s="1517">
        <f>IFERROR(__xludf.DUMMYFUNCTION("""COMPUTED_VALUE"""),2.25E18)</f>
        <v>2.25E+18</v>
      </c>
      <c r="MJ5" s="1516">
        <f>IFERROR(__xludf.DUMMYFUNCTION("""COMPUTED_VALUE"""),48.59722222222222)</f>
        <v>48.59722222</v>
      </c>
      <c r="MK5" s="1517">
        <f>IFERROR(__xludf.DUMMYFUNCTION("""COMPUTED_VALUE"""),2.25E18)</f>
        <v>2.25E+18</v>
      </c>
      <c r="ML5" s="1516">
        <f>IFERROR(__xludf.DUMMYFUNCTION("""COMPUTED_VALUE"""),48.59722222222222)</f>
        <v>48.59722222</v>
      </c>
      <c r="MM5" s="1517">
        <f>IFERROR(__xludf.DUMMYFUNCTION("""COMPUTED_VALUE"""),2.25E18)</f>
        <v>2.25E+18</v>
      </c>
      <c r="MN5" s="1516">
        <f>IFERROR(__xludf.DUMMYFUNCTION("""COMPUTED_VALUE"""),48.59722222222222)</f>
        <v>48.59722222</v>
      </c>
      <c r="MO5" s="1517">
        <f>IFERROR(__xludf.DUMMYFUNCTION("""COMPUTED_VALUE"""),2.25E18)</f>
        <v>2.25E+18</v>
      </c>
      <c r="MP5" s="1516">
        <f>IFERROR(__xludf.DUMMYFUNCTION("""COMPUTED_VALUE"""),48.59722222222222)</f>
        <v>48.59722222</v>
      </c>
      <c r="MQ5" s="1517">
        <f>IFERROR(__xludf.DUMMYFUNCTION("""COMPUTED_VALUE"""),2.25E18)</f>
        <v>2.25E+18</v>
      </c>
      <c r="MR5" s="1516">
        <f>IFERROR(__xludf.DUMMYFUNCTION("""COMPUTED_VALUE"""),62.636805555555554)</f>
        <v>62.63680556</v>
      </c>
      <c r="MS5" s="1517">
        <f>IFERROR(__xludf.DUMMYFUNCTION("""COMPUTED_VALUE"""),8.0E18)</f>
        <v>8E+18</v>
      </c>
      <c r="MT5" s="1516">
        <f>IFERROR(__xludf.DUMMYFUNCTION("""COMPUTED_VALUE"""),62.636805555555554)</f>
        <v>62.63680556</v>
      </c>
      <c r="MU5" s="1517">
        <f>IFERROR(__xludf.DUMMYFUNCTION("""COMPUTED_VALUE"""),8.0E18)</f>
        <v>8E+18</v>
      </c>
      <c r="MV5" s="1516">
        <f>IFERROR(__xludf.DUMMYFUNCTION("""COMPUTED_VALUE"""),62.636805555555554)</f>
        <v>62.63680556</v>
      </c>
      <c r="MW5" s="1517">
        <f>IFERROR(__xludf.DUMMYFUNCTION("""COMPUTED_VALUE"""),8.0E18)</f>
        <v>8E+18</v>
      </c>
      <c r="MX5" s="1516">
        <f>IFERROR(__xludf.DUMMYFUNCTION("""COMPUTED_VALUE"""),62.636805555555554)</f>
        <v>62.63680556</v>
      </c>
      <c r="MY5" s="1517">
        <f>IFERROR(__xludf.DUMMYFUNCTION("""COMPUTED_VALUE"""),8.0E18)</f>
        <v>8E+18</v>
      </c>
    </row>
    <row r="6">
      <c r="A6" s="1465">
        <f>IFERROR(__xludf.DUMMYFUNCTION("""COMPUTED_VALUE"""),4.0)</f>
        <v>4</v>
      </c>
      <c r="B6" s="1466">
        <f>IFERROR(__xludf.DUMMYFUNCTION("""COMPUTED_VALUE"""),1.4465277777777779)</f>
        <v>1.446527778</v>
      </c>
      <c r="C6" s="1467">
        <f>IFERROR(__xludf.DUMMYFUNCTION("""COMPUTED_VALUE"""),50000.0)</f>
        <v>50000</v>
      </c>
      <c r="D6" s="1466">
        <f>IFERROR(__xludf.DUMMYFUNCTION("""COMPUTED_VALUE"""),0.02189814814814815)</f>
        <v>0.02189814815</v>
      </c>
      <c r="E6" s="1467">
        <f>IFERROR(__xludf.DUMMYFUNCTION("""COMPUTED_VALUE"""),398.0)</f>
        <v>398</v>
      </c>
      <c r="F6" s="1466">
        <f>IFERROR(__xludf.DUMMYFUNCTION("""COMPUTED_VALUE"""),0.02189814814814815)</f>
        <v>0.02189814815</v>
      </c>
      <c r="G6" s="1468">
        <f>IFERROR(__xludf.DUMMYFUNCTION("""COMPUTED_VALUE"""),398.0)</f>
        <v>398</v>
      </c>
      <c r="H6" s="1466">
        <f>IFERROR(__xludf.DUMMYFUNCTION("""COMPUTED_VALUE"""),0.02189814814814815)</f>
        <v>0.02189814815</v>
      </c>
      <c r="I6" s="1467">
        <f>IFERROR(__xludf.DUMMYFUNCTION("""COMPUTED_VALUE"""),398.0)</f>
        <v>398</v>
      </c>
      <c r="J6" s="1466">
        <f>IFERROR(__xludf.DUMMYFUNCTION("""COMPUTED_VALUE"""),0.02189814814814815)</f>
        <v>0.02189814815</v>
      </c>
      <c r="K6" s="1467">
        <f>IFERROR(__xludf.DUMMYFUNCTION("""COMPUTED_VALUE"""),398.0)</f>
        <v>398</v>
      </c>
      <c r="L6" s="1466">
        <f>IFERROR(__xludf.DUMMYFUNCTION("""COMPUTED_VALUE"""),0.030925925925925926)</f>
        <v>0.03092592593</v>
      </c>
      <c r="M6" s="1469">
        <f>IFERROR(__xludf.DUMMYFUNCTION("""COMPUTED_VALUE"""),517.0)</f>
        <v>517</v>
      </c>
      <c r="N6" s="1470">
        <f>IFERROR(__xludf.DUMMYFUNCTION("""COMPUTED_VALUE"""),0.029236111111111112)</f>
        <v>0.02923611111</v>
      </c>
      <c r="O6" s="1467">
        <f>IFERROR(__xludf.DUMMYFUNCTION("""COMPUTED_VALUE"""),522.0)</f>
        <v>522</v>
      </c>
      <c r="P6" s="1466">
        <f>IFERROR(__xludf.DUMMYFUNCTION("""COMPUTED_VALUE"""),2.314583333333333)</f>
        <v>2.314583333</v>
      </c>
      <c r="Q6" s="1467">
        <f>IFERROR(__xludf.DUMMYFUNCTION("""COMPUTED_VALUE"""),500000.0)</f>
        <v>500000</v>
      </c>
      <c r="R6" s="1518"/>
      <c r="S6" s="1519"/>
      <c r="T6" s="1518"/>
      <c r="U6" s="1519"/>
      <c r="V6" s="1518"/>
      <c r="W6" s="1519"/>
      <c r="X6" s="1518"/>
      <c r="Y6" s="1519"/>
      <c r="Z6" s="1518"/>
      <c r="AA6" s="1519"/>
      <c r="AB6" s="1518"/>
      <c r="AC6" s="1519"/>
      <c r="AD6" s="1466">
        <f>IFERROR(__xludf.DUMMYFUNCTION("""COMPUTED_VALUE"""),4.319444444444445)</f>
        <v>4.319444444</v>
      </c>
      <c r="AE6" s="1474">
        <f>IFERROR(__xludf.DUMMYFUNCTION("""COMPUTED_VALUE"""),2.197E9)</f>
        <v>2197000000</v>
      </c>
      <c r="AF6" s="1466">
        <f>IFERROR(__xludf.DUMMYFUNCTION("""COMPUTED_VALUE"""),4.319444444444445)</f>
        <v>4.319444444</v>
      </c>
      <c r="AG6" s="1474">
        <f>IFERROR(__xludf.DUMMYFUNCTION("""COMPUTED_VALUE"""),2.197E9)</f>
        <v>2197000000</v>
      </c>
      <c r="AH6" s="1466">
        <f>IFERROR(__xludf.DUMMYFUNCTION("""COMPUTED_VALUE"""),4.319444444444445)</f>
        <v>4.319444444</v>
      </c>
      <c r="AI6" s="1474">
        <f>IFERROR(__xludf.DUMMYFUNCTION("""COMPUTED_VALUE"""),2.197E9)</f>
        <v>2197000000</v>
      </c>
      <c r="AJ6" s="1475">
        <f>IFERROR(__xludf.DUMMYFUNCTION("""COMPUTED_VALUE"""),0.02189814814814815)</f>
        <v>0.02189814815</v>
      </c>
      <c r="AK6" s="1476">
        <f>IFERROR(__xludf.DUMMYFUNCTION("""COMPUTED_VALUE"""),398.0)</f>
        <v>398</v>
      </c>
      <c r="AL6" s="1475">
        <f>IFERROR(__xludf.DUMMYFUNCTION("""COMPUTED_VALUE"""),0.02189814814814815)</f>
        <v>0.02189814815</v>
      </c>
      <c r="AM6" s="1476">
        <f>IFERROR(__xludf.DUMMYFUNCTION("""COMPUTED_VALUE"""),398.0)</f>
        <v>398</v>
      </c>
      <c r="AN6" s="1475">
        <f>IFERROR(__xludf.DUMMYFUNCTION("""COMPUTED_VALUE"""),0.02189814814814815)</f>
        <v>0.02189814815</v>
      </c>
      <c r="AO6" s="1476">
        <f>IFERROR(__xludf.DUMMYFUNCTION("""COMPUTED_VALUE"""),398.0)</f>
        <v>398</v>
      </c>
      <c r="AP6" s="1475">
        <f>IFERROR(__xludf.DUMMYFUNCTION("""COMPUTED_VALUE"""),0.02189814814814815)</f>
        <v>0.02189814815</v>
      </c>
      <c r="AQ6" s="1476">
        <f>IFERROR(__xludf.DUMMYFUNCTION("""COMPUTED_VALUE"""),398.0)</f>
        <v>398</v>
      </c>
      <c r="AR6" s="1475">
        <f>IFERROR(__xludf.DUMMYFUNCTION("""COMPUTED_VALUE"""),0.02189814814814815)</f>
        <v>0.02189814815</v>
      </c>
      <c r="AS6" s="1476">
        <f>IFERROR(__xludf.DUMMYFUNCTION("""COMPUTED_VALUE"""),398.0)</f>
        <v>398</v>
      </c>
      <c r="AT6" s="1475">
        <f>IFERROR(__xludf.DUMMYFUNCTION("""COMPUTED_VALUE"""),2.975)</f>
        <v>2.975</v>
      </c>
      <c r="AU6" s="1476">
        <f>IFERROR(__xludf.DUMMYFUNCTION("""COMPUTED_VALUE"""),974770.0)</f>
        <v>974770</v>
      </c>
      <c r="AV6" s="1475">
        <f>IFERROR(__xludf.DUMMYFUNCTION("""COMPUTED_VALUE"""),2.9590277777777776)</f>
        <v>2.959027778</v>
      </c>
      <c r="AW6" s="1476">
        <f>IFERROR(__xludf.DUMMYFUNCTION("""COMPUTED_VALUE"""),974770.0)</f>
        <v>974770</v>
      </c>
      <c r="AX6" s="1475">
        <f>IFERROR(__xludf.DUMMYFUNCTION("""COMPUTED_VALUE"""),5.217361111111111)</f>
        <v>5.217361111</v>
      </c>
      <c r="AY6" s="1476">
        <f>IFERROR(__xludf.DUMMYFUNCTION("""COMPUTED_VALUE"""),3.2003E11)</f>
        <v>320030000000</v>
      </c>
      <c r="AZ6" s="1518"/>
      <c r="BA6" s="1518"/>
      <c r="BB6" s="1477">
        <f>IFERROR(__xludf.DUMMYFUNCTION("""COMPUTED_VALUE"""),0.02189814814814815)</f>
        <v>0.02189814815</v>
      </c>
      <c r="BC6" s="1478">
        <f>IFERROR(__xludf.DUMMYFUNCTION("""COMPUTED_VALUE"""),398.0)</f>
        <v>398</v>
      </c>
      <c r="BD6" s="1477">
        <f>IFERROR(__xludf.DUMMYFUNCTION("""COMPUTED_VALUE"""),0.02189814814814815)</f>
        <v>0.02189814815</v>
      </c>
      <c r="BE6" s="1478">
        <f>IFERROR(__xludf.DUMMYFUNCTION("""COMPUTED_VALUE"""),398.0)</f>
        <v>398</v>
      </c>
      <c r="BF6" s="1477">
        <f>IFERROR(__xludf.DUMMYFUNCTION("""COMPUTED_VALUE"""),0.02189814814814815)</f>
        <v>0.02189814815</v>
      </c>
      <c r="BG6" s="1478">
        <f>IFERROR(__xludf.DUMMYFUNCTION("""COMPUTED_VALUE"""),398.0)</f>
        <v>398</v>
      </c>
      <c r="BH6" s="1477">
        <f>IFERROR(__xludf.DUMMYFUNCTION("""COMPUTED_VALUE"""),0.17569444444444443)</f>
        <v>0.1756944444</v>
      </c>
      <c r="BI6" s="1478">
        <f>IFERROR(__xludf.DUMMYFUNCTION("""COMPUTED_VALUE"""),90500.0)</f>
        <v>90500</v>
      </c>
      <c r="BJ6" s="1477">
        <f>IFERROR(__xludf.DUMMYFUNCTION("""COMPUTED_VALUE"""),0.2972222222222222)</f>
        <v>0.2972222222</v>
      </c>
      <c r="BK6" s="1478">
        <f>IFERROR(__xludf.DUMMYFUNCTION("""COMPUTED_VALUE"""),474530.0)</f>
        <v>474530</v>
      </c>
      <c r="BL6" s="1477">
        <f>IFERROR(__xludf.DUMMYFUNCTION("""COMPUTED_VALUE"""),0.5236111111111111)</f>
        <v>0.5236111111</v>
      </c>
      <c r="BM6" s="1478">
        <f>IFERROR(__xludf.DUMMYFUNCTION("""COMPUTED_VALUE"""),1170000.0)</f>
        <v>1170000</v>
      </c>
      <c r="BN6" s="1477">
        <f>IFERROR(__xludf.DUMMYFUNCTION("""COMPUTED_VALUE"""),0.5236111111111111)</f>
        <v>0.5236111111</v>
      </c>
      <c r="BO6" s="1478">
        <f>IFERROR(__xludf.DUMMYFUNCTION("""COMPUTED_VALUE"""),1170000.0)</f>
        <v>1170000</v>
      </c>
      <c r="BP6" s="1477">
        <f>IFERROR(__xludf.DUMMYFUNCTION("""COMPUTED_VALUE"""),0.6465277777777778)</f>
        <v>0.6465277778</v>
      </c>
      <c r="BQ6" s="1478">
        <f>IFERROR(__xludf.DUMMYFUNCTION("""COMPUTED_VALUE"""),1250000.0)</f>
        <v>1250000</v>
      </c>
      <c r="BR6" s="1477">
        <f>IFERROR(__xludf.DUMMYFUNCTION("""COMPUTED_VALUE"""),2.240972222222222)</f>
        <v>2.240972222</v>
      </c>
      <c r="BS6" s="1478">
        <f>IFERROR(__xludf.DUMMYFUNCTION("""COMPUTED_VALUE"""),2.33E9)</f>
        <v>2330000000</v>
      </c>
      <c r="BT6" s="1479">
        <f>IFERROR(__xludf.DUMMYFUNCTION("""COMPUTED_VALUE"""),0.24930555555555556)</f>
        <v>0.2493055556</v>
      </c>
      <c r="BU6" s="1480">
        <f>IFERROR(__xludf.DUMMYFUNCTION("""COMPUTED_VALUE"""),1.6E9)</f>
        <v>1600000000</v>
      </c>
      <c r="BV6" s="1479">
        <f>IFERROR(__xludf.DUMMYFUNCTION("""COMPUTED_VALUE"""),2.0097222222222224)</f>
        <v>2.009722222</v>
      </c>
      <c r="BW6" s="1480">
        <f>IFERROR(__xludf.DUMMYFUNCTION("""COMPUTED_VALUE"""),2.61E9)</f>
        <v>2610000000</v>
      </c>
      <c r="BX6" s="1479">
        <f>IFERROR(__xludf.DUMMYFUNCTION("""COMPUTED_VALUE"""),1.9430555555555553)</f>
        <v>1.943055556</v>
      </c>
      <c r="BY6" s="1480">
        <f>IFERROR(__xludf.DUMMYFUNCTION("""COMPUTED_VALUE"""),4.572E10)</f>
        <v>45720000000</v>
      </c>
      <c r="BZ6" s="1479">
        <f>IFERROR(__xludf.DUMMYFUNCTION("""COMPUTED_VALUE"""),2.290277777777778)</f>
        <v>2.290277778</v>
      </c>
      <c r="CA6" s="1480">
        <f>IFERROR(__xludf.DUMMYFUNCTION("""COMPUTED_VALUE"""),5.472E10)</f>
        <v>54720000000</v>
      </c>
      <c r="CB6" s="1479">
        <f>IFERROR(__xludf.DUMMYFUNCTION("""COMPUTED_VALUE"""),5.299305555555556)</f>
        <v>5.299305556</v>
      </c>
      <c r="CC6" s="1480">
        <f>IFERROR(__xludf.DUMMYFUNCTION("""COMPUTED_VALUE"""),4.558E11)</f>
        <v>455800000000</v>
      </c>
      <c r="CD6" s="1477">
        <f>IFERROR(__xludf.DUMMYFUNCTION("""COMPUTED_VALUE"""),2.6430439814814815)</f>
        <v>2.643043981</v>
      </c>
      <c r="CE6" s="1481">
        <f>IFERROR(__xludf.DUMMYFUNCTION("""COMPUTED_VALUE"""),3.0141E11)</f>
        <v>301410000000</v>
      </c>
      <c r="CF6" s="1477">
        <f>IFERROR(__xludf.DUMMYFUNCTION("""COMPUTED_VALUE"""),1.6249189814814815)</f>
        <v>1.624918981</v>
      </c>
      <c r="CG6" s="1481">
        <f>IFERROR(__xludf.DUMMYFUNCTION("""COMPUTED_VALUE"""),26700.0)</f>
        <v>26700</v>
      </c>
      <c r="CH6" s="1482">
        <f>IFERROR(__xludf.DUMMYFUNCTION("""COMPUTED_VALUE"""),0.02189814814814815)</f>
        <v>0.02189814815</v>
      </c>
      <c r="CI6" s="1483">
        <f>IFERROR(__xludf.DUMMYFUNCTION("""COMPUTED_VALUE"""),398.0)</f>
        <v>398</v>
      </c>
      <c r="CJ6" s="1482">
        <f>IFERROR(__xludf.DUMMYFUNCTION("""COMPUTED_VALUE"""),0.02189814814814815)</f>
        <v>0.02189814815</v>
      </c>
      <c r="CK6" s="1483">
        <f>IFERROR(__xludf.DUMMYFUNCTION("""COMPUTED_VALUE"""),398.0)</f>
        <v>398</v>
      </c>
      <c r="CL6" s="1482">
        <f>IFERROR(__xludf.DUMMYFUNCTION("""COMPUTED_VALUE"""),0.02189814814814815)</f>
        <v>0.02189814815</v>
      </c>
      <c r="CM6" s="1483">
        <f>IFERROR(__xludf.DUMMYFUNCTION("""COMPUTED_VALUE"""),398.0)</f>
        <v>398</v>
      </c>
      <c r="CN6" s="1482">
        <f>IFERROR(__xludf.DUMMYFUNCTION("""COMPUTED_VALUE"""),0.02189814814814815)</f>
        <v>0.02189814815</v>
      </c>
      <c r="CO6" s="1483">
        <f>IFERROR(__xludf.DUMMYFUNCTION("""COMPUTED_VALUE"""),398.0)</f>
        <v>398</v>
      </c>
      <c r="CP6" s="1482">
        <f>IFERROR(__xludf.DUMMYFUNCTION("""COMPUTED_VALUE"""),0.03173611111111111)</f>
        <v>0.03173611111</v>
      </c>
      <c r="CQ6" s="1483">
        <f>IFERROR(__xludf.DUMMYFUNCTION("""COMPUTED_VALUE"""),532.0)</f>
        <v>532</v>
      </c>
      <c r="CR6" s="1482">
        <f>IFERROR(__xludf.DUMMYFUNCTION("""COMPUTED_VALUE"""),0.18958333333333333)</f>
        <v>0.1895833333</v>
      </c>
      <c r="CS6" s="1483">
        <f>IFERROR(__xludf.DUMMYFUNCTION("""COMPUTED_VALUE"""),4860.0)</f>
        <v>4860</v>
      </c>
      <c r="CT6" s="1520"/>
      <c r="CU6" s="1519"/>
      <c r="CV6" s="1484">
        <f>IFERROR(__xludf.DUMMYFUNCTION("""COMPUTED_VALUE"""),3.3986111111111112)</f>
        <v>3.398611111</v>
      </c>
      <c r="CW6" s="1485">
        <f>IFERROR(__xludf.DUMMYFUNCTION("""COMPUTED_VALUE"""),3.533E10)</f>
        <v>35330000000</v>
      </c>
      <c r="CX6" s="1484">
        <f>IFERROR(__xludf.DUMMYFUNCTION("""COMPUTED_VALUE"""),3.3986111111111112)</f>
        <v>3.398611111</v>
      </c>
      <c r="CY6" s="1485">
        <f>IFERROR(__xludf.DUMMYFUNCTION("""COMPUTED_VALUE"""),3.007E10)</f>
        <v>30070000000</v>
      </c>
      <c r="CZ6" s="1484">
        <f>IFERROR(__xludf.DUMMYFUNCTION("""COMPUTED_VALUE"""),3.3986111111111112)</f>
        <v>3.398611111</v>
      </c>
      <c r="DA6" s="1485">
        <f>IFERROR(__xludf.DUMMYFUNCTION("""COMPUTED_VALUE"""),3.533E10)</f>
        <v>35330000000</v>
      </c>
      <c r="DB6" s="1484">
        <f>IFERROR(__xludf.DUMMYFUNCTION("""COMPUTED_VALUE"""),1.7631944444444445)</f>
        <v>1.763194444</v>
      </c>
      <c r="DC6" s="1485">
        <f>IFERROR(__xludf.DUMMYFUNCTION("""COMPUTED_VALUE"""),1.43E9)</f>
        <v>1430000000</v>
      </c>
      <c r="DD6" s="1484">
        <f>IFERROR(__xludf.DUMMYFUNCTION("""COMPUTED_VALUE"""),1.7631944444444445)</f>
        <v>1.763194444</v>
      </c>
      <c r="DE6" s="1485">
        <f>IFERROR(__xludf.DUMMYFUNCTION("""COMPUTED_VALUE"""),1.43E9)</f>
        <v>1430000000</v>
      </c>
      <c r="DF6" s="1486">
        <f>IFERROR(__xludf.DUMMYFUNCTION("""COMPUTED_VALUE"""),1.2875)</f>
        <v>1.2875</v>
      </c>
      <c r="DG6" s="1487">
        <f>IFERROR(__xludf.DUMMYFUNCTION("""COMPUTED_VALUE"""),1450000.0)</f>
        <v>1450000</v>
      </c>
      <c r="DH6" s="1518"/>
      <c r="DI6" s="1519"/>
      <c r="DJ6" s="1486">
        <f>IFERROR(__xludf.DUMMYFUNCTION("""COMPUTED_VALUE"""),2.0743055555555556)</f>
        <v>2.074305556</v>
      </c>
      <c r="DK6" s="1487">
        <f>IFERROR(__xludf.DUMMYFUNCTION("""COMPUTED_VALUE"""),2000000.0)</f>
        <v>2000000</v>
      </c>
      <c r="DL6" s="1486">
        <f>IFERROR(__xludf.DUMMYFUNCTION("""COMPUTED_VALUE"""),1.2875)</f>
        <v>1.2875</v>
      </c>
      <c r="DM6" s="1487">
        <f>IFERROR(__xludf.DUMMYFUNCTION("""COMPUTED_VALUE"""),1450000.0)</f>
        <v>1450000</v>
      </c>
      <c r="DN6" s="1518"/>
      <c r="DO6" s="1519"/>
      <c r="DP6" s="1486">
        <f>IFERROR(__xludf.DUMMYFUNCTION("""COMPUTED_VALUE"""),1.2875)</f>
        <v>1.2875</v>
      </c>
      <c r="DQ6" s="1487">
        <f>IFERROR(__xludf.DUMMYFUNCTION("""COMPUTED_VALUE"""),1450000.0)</f>
        <v>1450000</v>
      </c>
      <c r="DR6" s="1486">
        <f>IFERROR(__xludf.DUMMYFUNCTION("""COMPUTED_VALUE"""),1.2875)</f>
        <v>1.2875</v>
      </c>
      <c r="DS6" s="1487">
        <f>IFERROR(__xludf.DUMMYFUNCTION("""COMPUTED_VALUE"""),1450000.0)</f>
        <v>1450000</v>
      </c>
      <c r="DT6" s="1518"/>
      <c r="DU6" s="1519"/>
      <c r="DV6" s="1486">
        <f>IFERROR(__xludf.DUMMYFUNCTION("""COMPUTED_VALUE"""),1.2875)</f>
        <v>1.2875</v>
      </c>
      <c r="DW6" s="1487">
        <f>IFERROR(__xludf.DUMMYFUNCTION("""COMPUTED_VALUE"""),1450000.0)</f>
        <v>1450000</v>
      </c>
      <c r="DX6" s="1486">
        <f>IFERROR(__xludf.DUMMYFUNCTION("""COMPUTED_VALUE"""),1.2875)</f>
        <v>1.2875</v>
      </c>
      <c r="DY6" s="1487">
        <f>IFERROR(__xludf.DUMMYFUNCTION("""COMPUTED_VALUE"""),1450000.0)</f>
        <v>1450000</v>
      </c>
      <c r="DZ6" s="1486">
        <f>IFERROR(__xludf.DUMMYFUNCTION("""COMPUTED_VALUE"""),2.745833333333333)</f>
        <v>2.745833333</v>
      </c>
      <c r="EA6" s="1487">
        <f>IFERROR(__xludf.DUMMYFUNCTION("""COMPUTED_VALUE"""),3550000.0)</f>
        <v>3550000</v>
      </c>
      <c r="EB6" s="1486">
        <f>IFERROR(__xludf.DUMMYFUNCTION("""COMPUTED_VALUE"""),2.745833333333333)</f>
        <v>2.745833333</v>
      </c>
      <c r="EC6" s="1487">
        <f>IFERROR(__xludf.DUMMYFUNCTION("""COMPUTED_VALUE"""),3550000.0)</f>
        <v>3550000</v>
      </c>
      <c r="ED6" s="1518"/>
      <c r="EE6" s="1519"/>
      <c r="EF6" s="1486">
        <f>IFERROR(__xludf.DUMMYFUNCTION("""COMPUTED_VALUE"""),1.9125)</f>
        <v>1.9125</v>
      </c>
      <c r="EG6" s="1487">
        <f>IFERROR(__xludf.DUMMYFUNCTION("""COMPUTED_VALUE"""),2800000.0)</f>
        <v>2800000</v>
      </c>
      <c r="EH6" s="1486">
        <f>IFERROR(__xludf.DUMMYFUNCTION("""COMPUTED_VALUE"""),1.9125)</f>
        <v>1.9125</v>
      </c>
      <c r="EI6" s="1487">
        <f>IFERROR(__xludf.DUMMYFUNCTION("""COMPUTED_VALUE"""),2800000.0)</f>
        <v>2800000</v>
      </c>
      <c r="EJ6" s="1486">
        <f>IFERROR(__xludf.DUMMYFUNCTION("""COMPUTED_VALUE"""),1.9128819444444445)</f>
        <v>1.912881944</v>
      </c>
      <c r="EK6" s="1487">
        <f>IFERROR(__xludf.DUMMYFUNCTION("""COMPUTED_VALUE"""),2800000.0)</f>
        <v>2800000</v>
      </c>
      <c r="EL6" s="1486">
        <f>IFERROR(__xludf.DUMMYFUNCTION("""COMPUTED_VALUE"""),1.9128819444444445)</f>
        <v>1.912881944</v>
      </c>
      <c r="EM6" s="1487">
        <f>IFERROR(__xludf.DUMMYFUNCTION("""COMPUTED_VALUE"""),2800000.0)</f>
        <v>2800000</v>
      </c>
      <c r="EN6" s="1486">
        <f>IFERROR(__xludf.DUMMYFUNCTION("""COMPUTED_VALUE"""),1.9125)</f>
        <v>1.9125</v>
      </c>
      <c r="EO6" s="1487">
        <f>IFERROR(__xludf.DUMMYFUNCTION("""COMPUTED_VALUE"""),2800000.0)</f>
        <v>2800000</v>
      </c>
      <c r="EP6" s="1486">
        <f>IFERROR(__xludf.DUMMYFUNCTION("""COMPUTED_VALUE"""),1.9125)</f>
        <v>1.9125</v>
      </c>
      <c r="EQ6" s="1487">
        <f>IFERROR(__xludf.DUMMYFUNCTION("""COMPUTED_VALUE"""),2800000.0)</f>
        <v>2800000</v>
      </c>
      <c r="ER6" s="1486">
        <f>IFERROR(__xludf.DUMMYFUNCTION("""COMPUTED_VALUE"""),1.9125)</f>
        <v>1.9125</v>
      </c>
      <c r="ES6" s="1487">
        <f>IFERROR(__xludf.DUMMYFUNCTION("""COMPUTED_VALUE"""),2800000.0)</f>
        <v>2800000</v>
      </c>
      <c r="ET6" s="1486">
        <f>IFERROR(__xludf.DUMMYFUNCTION("""COMPUTED_VALUE"""),1.9125)</f>
        <v>1.9125</v>
      </c>
      <c r="EU6" s="1487">
        <f>IFERROR(__xludf.DUMMYFUNCTION("""COMPUTED_VALUE"""),3200000.0)</f>
        <v>3200000</v>
      </c>
      <c r="EV6" s="1518"/>
      <c r="EW6" s="1519"/>
      <c r="EX6" s="1486">
        <f>IFERROR(__xludf.DUMMYFUNCTION("""COMPUTED_VALUE"""),3.6840277777777777)</f>
        <v>3.684027778</v>
      </c>
      <c r="EY6" s="1487">
        <f>IFERROR(__xludf.DUMMYFUNCTION("""COMPUTED_VALUE"""),5750000.0)</f>
        <v>5750000</v>
      </c>
      <c r="EZ6" s="1518"/>
      <c r="FA6" s="1521"/>
      <c r="FB6" s="1486">
        <f>IFERROR(__xludf.DUMMYFUNCTION("""COMPUTED_VALUE"""),2.745833333333333)</f>
        <v>2.745833333</v>
      </c>
      <c r="FC6" s="1487">
        <f>IFERROR(__xludf.DUMMYFUNCTION("""COMPUTED_VALUE"""),2.405E7)</f>
        <v>24050000</v>
      </c>
      <c r="FD6" s="1520"/>
      <c r="FE6" s="1519"/>
      <c r="FF6" s="1486">
        <f>IFERROR(__xludf.DUMMYFUNCTION("""COMPUTED_VALUE"""),2.745833333333333)</f>
        <v>2.745833333</v>
      </c>
      <c r="FG6" s="1488">
        <f>IFERROR(__xludf.DUMMYFUNCTION("""COMPUTED_VALUE"""),2.6627027E7)</f>
        <v>26627027</v>
      </c>
      <c r="FH6" s="1486">
        <f>IFERROR(__xludf.DUMMYFUNCTION("""COMPUTED_VALUE"""),2.745833333333333)</f>
        <v>2.745833333</v>
      </c>
      <c r="FI6" s="1488">
        <f>IFERROR(__xludf.DUMMYFUNCTION("""COMPUTED_VALUE"""),2.6627027E7)</f>
        <v>26627027</v>
      </c>
      <c r="FJ6" s="1486">
        <f>IFERROR(__xludf.DUMMYFUNCTION("""COMPUTED_VALUE"""),7.744918981481481)</f>
        <v>7.744918981</v>
      </c>
      <c r="FK6" s="1487">
        <f>IFERROR(__xludf.DUMMYFUNCTION("""COMPUTED_VALUE"""),2.02551351E8)</f>
        <v>202551351</v>
      </c>
      <c r="FL6" s="1518"/>
      <c r="FM6" s="1519"/>
      <c r="FN6" s="1489">
        <f>IFERROR(__xludf.DUMMYFUNCTION("""COMPUTED_VALUE"""),9.965613425925927)</f>
        <v>9.965613426</v>
      </c>
      <c r="FO6" s="1487">
        <f>IFERROR(__xludf.DUMMYFUNCTION("""COMPUTED_VALUE"""),2.0499999999999998E12)</f>
        <v>2050000000000</v>
      </c>
      <c r="FP6" s="1486">
        <f>IFERROR(__xludf.DUMMYFUNCTION("""COMPUTED_VALUE"""),11.707731481481481)</f>
        <v>11.70773148</v>
      </c>
      <c r="FQ6" s="1488">
        <f>IFERROR(__xludf.DUMMYFUNCTION("""COMPUTED_VALUE"""),3.375E11)</f>
        <v>337500000000</v>
      </c>
      <c r="FR6" s="1490">
        <f>IFERROR(__xludf.DUMMYFUNCTION("""COMPUTED_VALUE"""),11.707731481481481)</f>
        <v>11.70773148</v>
      </c>
      <c r="FS6" s="1488">
        <f>IFERROR(__xludf.DUMMYFUNCTION("""COMPUTED_VALUE"""),3.375E11)</f>
        <v>337500000000</v>
      </c>
      <c r="FT6" s="1486">
        <f>IFERROR(__xludf.DUMMYFUNCTION("""COMPUTED_VALUE"""),11.707731481481481)</f>
        <v>11.70773148</v>
      </c>
      <c r="FU6" s="1488">
        <f>IFERROR(__xludf.DUMMYFUNCTION("""COMPUTED_VALUE"""),3.375E11)</f>
        <v>337500000000</v>
      </c>
      <c r="FV6" s="1486">
        <f>IFERROR(__xludf.DUMMYFUNCTION("""COMPUTED_VALUE"""),11.707731481481481)</f>
        <v>11.70773148</v>
      </c>
      <c r="FW6" s="1488">
        <f>IFERROR(__xludf.DUMMYFUNCTION("""COMPUTED_VALUE"""),3.375E11)</f>
        <v>337500000000</v>
      </c>
      <c r="FX6" s="1491">
        <f>IFERROR(__xludf.DUMMYFUNCTION("""COMPUTED_VALUE"""),4.300879629629629)</f>
        <v>4.30087963</v>
      </c>
      <c r="FY6" s="1492">
        <f>IFERROR(__xludf.DUMMYFUNCTION("""COMPUTED_VALUE"""),3.38E9)</f>
        <v>3380000000</v>
      </c>
      <c r="FZ6" s="1491">
        <f>IFERROR(__xludf.DUMMYFUNCTION("""COMPUTED_VALUE"""),11.707731481481481)</f>
        <v>11.70773148</v>
      </c>
      <c r="GA6" s="1492">
        <f>IFERROR(__xludf.DUMMYFUNCTION("""COMPUTED_VALUE"""),3.375E11)</f>
        <v>337500000000</v>
      </c>
      <c r="GB6" s="1493">
        <f>IFERROR(__xludf.DUMMYFUNCTION("""COMPUTED_VALUE"""),16.44851851851852)</f>
        <v>16.44851852</v>
      </c>
      <c r="GC6" s="1492">
        <f>IFERROR(__xludf.DUMMYFUNCTION("""COMPUTED_VALUE"""),1.14E12)</f>
        <v>1140000000000</v>
      </c>
      <c r="GD6" s="1486">
        <f>IFERROR(__xludf.DUMMYFUNCTION("""COMPUTED_VALUE"""),66.66666666666667)</f>
        <v>66.66666667</v>
      </c>
      <c r="GE6" s="1488">
        <f>IFERROR(__xludf.DUMMYFUNCTION("""COMPUTED_VALUE"""),8.6E15)</f>
        <v>8.6E+15</v>
      </c>
      <c r="GF6" s="1494">
        <f>IFERROR(__xludf.DUMMYFUNCTION("""COMPUTED_VALUE"""),3.4715277777777778)</f>
        <v>3.471527778</v>
      </c>
      <c r="GG6" s="1495">
        <f>IFERROR(__xludf.DUMMYFUNCTION("""COMPUTED_VALUE"""),7.5E7)</f>
        <v>75000000</v>
      </c>
      <c r="GH6" s="1494">
        <f>IFERROR(__xludf.DUMMYFUNCTION("""COMPUTED_VALUE"""),1.1208333333333333)</f>
        <v>1.120833333</v>
      </c>
      <c r="GI6" s="1495">
        <f>IFERROR(__xludf.DUMMYFUNCTION("""COMPUTED_VALUE"""),5830000.0)</f>
        <v>5830000</v>
      </c>
      <c r="GJ6" s="1518"/>
      <c r="GK6" s="1519"/>
      <c r="GL6" s="1518"/>
      <c r="GM6" s="1519"/>
      <c r="GN6" s="1520"/>
      <c r="GO6" s="1519"/>
      <c r="GP6" s="1496">
        <f>IFERROR(__xludf.DUMMYFUNCTION("""COMPUTED_VALUE"""),1.2875)</f>
        <v>1.2875</v>
      </c>
      <c r="GQ6" s="1497">
        <f>IFERROR(__xludf.DUMMYFUNCTION("""COMPUTED_VALUE"""),5.33E9)</f>
        <v>5330000000</v>
      </c>
      <c r="GR6" s="1498">
        <f>IFERROR(__xludf.DUMMYFUNCTION("""COMPUTED_VALUE"""),9.965613425925927)</f>
        <v>9.965613426</v>
      </c>
      <c r="GS6" s="1497">
        <f>IFERROR(__xludf.DUMMYFUNCTION("""COMPUTED_VALUE"""),2.0499999999999998E12)</f>
        <v>2050000000000</v>
      </c>
      <c r="GT6" s="1498">
        <f>IFERROR(__xludf.DUMMYFUNCTION("""COMPUTED_VALUE"""),9.965613425925927)</f>
        <v>9.965613426</v>
      </c>
      <c r="GU6" s="1497">
        <f>IFERROR(__xludf.DUMMYFUNCTION("""COMPUTED_VALUE"""),2.0499999999999998E12)</f>
        <v>2050000000000</v>
      </c>
      <c r="GV6" s="1498">
        <f>IFERROR(__xludf.DUMMYFUNCTION("""COMPUTED_VALUE"""),9.965613425925927)</f>
        <v>9.965613426</v>
      </c>
      <c r="GW6" s="1497">
        <f>IFERROR(__xludf.DUMMYFUNCTION("""COMPUTED_VALUE"""),2.0499999999999998E12)</f>
        <v>2050000000000</v>
      </c>
      <c r="GX6" s="1499">
        <f>IFERROR(__xludf.DUMMYFUNCTION("""COMPUTED_VALUE"""),52.083333333333336)</f>
        <v>52.08333333</v>
      </c>
      <c r="GY6" s="1500">
        <f>IFERROR(__xludf.DUMMYFUNCTION("""COMPUTED_VALUE"""),3.4E15)</f>
        <v>3.4E+15</v>
      </c>
      <c r="GZ6" s="1518"/>
      <c r="HA6" s="1519"/>
      <c r="HB6" s="1501">
        <f>IFERROR(__xludf.DUMMYFUNCTION("""COMPUTED_VALUE"""),0.5236111111111111)</f>
        <v>0.5236111111</v>
      </c>
      <c r="HC6" s="1502">
        <f>IFERROR(__xludf.DUMMYFUNCTION("""COMPUTED_VALUE"""),5260000.0)</f>
        <v>5260000</v>
      </c>
      <c r="HD6" s="1518"/>
      <c r="HE6" s="1519"/>
      <c r="HF6" s="1501">
        <f>IFERROR(__xludf.DUMMYFUNCTION("""COMPUTED_VALUE"""),0.5930555555555556)</f>
        <v>0.5930555556</v>
      </c>
      <c r="HG6" s="1502">
        <f>IFERROR(__xludf.DUMMYFUNCTION("""COMPUTED_VALUE"""),7840000.0)</f>
        <v>7840000</v>
      </c>
      <c r="HH6" s="1518"/>
      <c r="HI6" s="1519"/>
      <c r="HJ6" s="1518"/>
      <c r="HK6" s="1519"/>
      <c r="HL6" s="1501">
        <f>IFERROR(__xludf.DUMMYFUNCTION("""COMPUTED_VALUE"""),20.832638888888887)</f>
        <v>20.83263889</v>
      </c>
      <c r="HM6" s="1502">
        <f>IFERROR(__xludf.DUMMYFUNCTION("""COMPUTED_VALUE"""),1.5E10)</f>
        <v>15000000000</v>
      </c>
      <c r="HN6" s="1501">
        <f>IFERROR(__xludf.DUMMYFUNCTION("""COMPUTED_VALUE"""),2.8194444444444446)</f>
        <v>2.819444444</v>
      </c>
      <c r="HO6" s="1502">
        <f>IFERROR(__xludf.DUMMYFUNCTION("""COMPUTED_VALUE"""),9.1014E8)</f>
        <v>910140000</v>
      </c>
      <c r="HP6" s="1501">
        <f>IFERROR(__xludf.DUMMYFUNCTION("""COMPUTED_VALUE"""),2.769178240740741)</f>
        <v>2.769178241</v>
      </c>
      <c r="HQ6" s="1503">
        <f>IFERROR(__xludf.DUMMYFUNCTION("""COMPUTED_VALUE"""),4460000.0)</f>
        <v>4460000</v>
      </c>
      <c r="HR6" s="1522">
        <f>IFERROR(__xludf.DUMMYFUNCTION("""COMPUTED_VALUE"""),2.7041666666666666)</f>
        <v>2.704166667</v>
      </c>
      <c r="HS6" s="1523">
        <f>IFERROR(__xludf.DUMMYFUNCTION("""COMPUTED_VALUE"""),1.3215E8)</f>
        <v>132150000</v>
      </c>
      <c r="HT6" s="1522">
        <f>IFERROR(__xludf.DUMMYFUNCTION("""COMPUTED_VALUE"""),2.7041666666666666)</f>
        <v>2.704166667</v>
      </c>
      <c r="HU6" s="1523">
        <f>IFERROR(__xludf.DUMMYFUNCTION("""COMPUTED_VALUE"""),1.3215E8)</f>
        <v>132150000</v>
      </c>
      <c r="HV6" s="1522">
        <f>IFERROR(__xludf.DUMMYFUNCTION("""COMPUTED_VALUE"""),2.7041666666666666)</f>
        <v>2.704166667</v>
      </c>
      <c r="HW6" s="1523">
        <f>IFERROR(__xludf.DUMMYFUNCTION("""COMPUTED_VALUE"""),1.3215E8)</f>
        <v>132150000</v>
      </c>
      <c r="HX6" s="1524">
        <f>IFERROR(__xludf.DUMMYFUNCTION("""COMPUTED_VALUE"""),2.7041666666666666)</f>
        <v>2.704166667</v>
      </c>
      <c r="HY6" s="1523">
        <f>IFERROR(__xludf.DUMMYFUNCTION("""COMPUTED_VALUE"""),1.3215E8)</f>
        <v>132150000</v>
      </c>
      <c r="HZ6" s="1524">
        <f>IFERROR(__xludf.DUMMYFUNCTION("""COMPUTED_VALUE"""),69.3899074074074)</f>
        <v>69.38990741</v>
      </c>
      <c r="IA6" s="1523">
        <f>IFERROR(__xludf.DUMMYFUNCTION("""COMPUTED_VALUE"""),1.4513E14)</f>
        <v>145130000000000</v>
      </c>
      <c r="IB6" s="1524">
        <f>IFERROR(__xludf.DUMMYFUNCTION("""COMPUTED_VALUE"""),12.673946759259259)</f>
        <v>12.67394676</v>
      </c>
      <c r="IC6" s="1523">
        <f>IFERROR(__xludf.DUMMYFUNCTION("""COMPUTED_VALUE"""),3.375E11)</f>
        <v>337500000000</v>
      </c>
      <c r="ID6" s="1524">
        <f>IFERROR(__xludf.DUMMYFUNCTION("""COMPUTED_VALUE"""),12.673946759259259)</f>
        <v>12.67394676</v>
      </c>
      <c r="IE6" s="1523">
        <f>IFERROR(__xludf.DUMMYFUNCTION("""COMPUTED_VALUE"""),3.375E11)</f>
        <v>337500000000</v>
      </c>
      <c r="IF6" s="1524">
        <f>IFERROR(__xludf.DUMMYFUNCTION("""COMPUTED_VALUE"""),12.673946759259259)</f>
        <v>12.67394676</v>
      </c>
      <c r="IG6" s="1523">
        <f>IFERROR(__xludf.DUMMYFUNCTION("""COMPUTED_VALUE"""),3.375E11)</f>
        <v>337500000000</v>
      </c>
      <c r="IH6" s="1507">
        <f>IFERROR(__xludf.DUMMYFUNCTION("""COMPUTED_VALUE"""),3.3986111111111112)</f>
        <v>3.398611111</v>
      </c>
      <c r="II6" s="1508">
        <f>IFERROR(__xludf.DUMMYFUNCTION("""COMPUTED_VALUE"""),8.033E10)</f>
        <v>80330000000</v>
      </c>
      <c r="IJ6" s="1507">
        <f>IFERROR(__xludf.DUMMYFUNCTION("""COMPUTED_VALUE"""),3.3986111111111112)</f>
        <v>3.398611111</v>
      </c>
      <c r="IK6" s="1508">
        <f>IFERROR(__xludf.DUMMYFUNCTION("""COMPUTED_VALUE"""),8.033E10)</f>
        <v>80330000000</v>
      </c>
      <c r="IL6" s="1507">
        <f>IFERROR(__xludf.DUMMYFUNCTION("""COMPUTED_VALUE"""),3.3986111111111112)</f>
        <v>3.398611111</v>
      </c>
      <c r="IM6" s="1508">
        <f>IFERROR(__xludf.DUMMYFUNCTION("""COMPUTED_VALUE"""),1.2033E11)</f>
        <v>120330000000</v>
      </c>
      <c r="IN6" s="1507">
        <f>IFERROR(__xludf.DUMMYFUNCTION("""COMPUTED_VALUE"""),3.3986111111111112)</f>
        <v>3.398611111</v>
      </c>
      <c r="IO6" s="1508">
        <f>IFERROR(__xludf.DUMMYFUNCTION("""COMPUTED_VALUE"""),1.2033E11)</f>
        <v>120330000000</v>
      </c>
      <c r="IP6" s="1507">
        <f>IFERROR(__xludf.DUMMYFUNCTION("""COMPUTED_VALUE"""),3.861111111111111)</f>
        <v>3.861111111</v>
      </c>
      <c r="IQ6" s="1508">
        <f>IFERROR(__xludf.DUMMYFUNCTION("""COMPUTED_VALUE"""),2.4033E11)</f>
        <v>240330000000</v>
      </c>
      <c r="IR6" s="1507">
        <f>IFERROR(__xludf.DUMMYFUNCTION("""COMPUTED_VALUE"""),3.3986111111111112)</f>
        <v>3.398611111</v>
      </c>
      <c r="IS6" s="1508">
        <f>IFERROR(__xludf.DUMMYFUNCTION("""COMPUTED_VALUE"""),1.2033E11)</f>
        <v>120330000000</v>
      </c>
      <c r="IT6" s="1507">
        <f>IFERROR(__xludf.DUMMYFUNCTION("""COMPUTED_VALUE"""),3.3986111111111112)</f>
        <v>3.398611111</v>
      </c>
      <c r="IU6" s="1508">
        <f>IFERROR(__xludf.DUMMYFUNCTION("""COMPUTED_VALUE"""),1.2033E11)</f>
        <v>120330000000</v>
      </c>
      <c r="IV6" s="1507">
        <f>IFERROR(__xludf.DUMMYFUNCTION("""COMPUTED_VALUE"""),3.3986111111111112)</f>
        <v>3.398611111</v>
      </c>
      <c r="IW6" s="1508">
        <f>IFERROR(__xludf.DUMMYFUNCTION("""COMPUTED_VALUE"""),1.2033E11)</f>
        <v>120330000000</v>
      </c>
      <c r="IX6" s="1507">
        <f>IFERROR(__xludf.DUMMYFUNCTION("""COMPUTED_VALUE"""),3.3986111111111112)</f>
        <v>3.398611111</v>
      </c>
      <c r="IY6" s="1508">
        <f>IFERROR(__xludf.DUMMYFUNCTION("""COMPUTED_VALUE"""),1.2033E11)</f>
        <v>120330000000</v>
      </c>
      <c r="IZ6" s="1507">
        <f>IFERROR(__xludf.DUMMYFUNCTION("""COMPUTED_VALUE"""),3.3986111111111112)</f>
        <v>3.398611111</v>
      </c>
      <c r="JA6" s="1508">
        <f>IFERROR(__xludf.DUMMYFUNCTION("""COMPUTED_VALUE"""),1.6033E11)</f>
        <v>160330000000</v>
      </c>
      <c r="JB6" s="1507">
        <f>IFERROR(__xludf.DUMMYFUNCTION("""COMPUTED_VALUE"""),3.3986111111111112)</f>
        <v>3.398611111</v>
      </c>
      <c r="JC6" s="1508">
        <f>IFERROR(__xludf.DUMMYFUNCTION("""COMPUTED_VALUE"""),1.6033E11)</f>
        <v>160330000000</v>
      </c>
      <c r="JD6" s="1507">
        <f>IFERROR(__xludf.DUMMYFUNCTION("""COMPUTED_VALUE"""),3.3986111111111112)</f>
        <v>3.398611111</v>
      </c>
      <c r="JE6" s="1508">
        <f>IFERROR(__xludf.DUMMYFUNCTION("""COMPUTED_VALUE"""),1.6033E11)</f>
        <v>160330000000</v>
      </c>
      <c r="JF6" s="1507">
        <f>IFERROR(__xludf.DUMMYFUNCTION("""COMPUTED_VALUE"""),3.3986111111111112)</f>
        <v>3.398611111</v>
      </c>
      <c r="JG6" s="1508">
        <f>IFERROR(__xludf.DUMMYFUNCTION("""COMPUTED_VALUE"""),1.6033E11)</f>
        <v>160330000000</v>
      </c>
      <c r="JH6" s="1507">
        <f>IFERROR(__xludf.DUMMYFUNCTION("""COMPUTED_VALUE"""),3.861111111111111)</f>
        <v>3.861111111</v>
      </c>
      <c r="JI6" s="1508">
        <f>IFERROR(__xludf.DUMMYFUNCTION("""COMPUTED_VALUE"""),2.9033E11)</f>
        <v>290330000000</v>
      </c>
      <c r="JJ6" s="1507">
        <f>IFERROR(__xludf.DUMMYFUNCTION("""COMPUTED_VALUE"""),43.197916666666664)</f>
        <v>43.19791667</v>
      </c>
      <c r="JK6" s="1509">
        <f>IFERROR(__xludf.DUMMYFUNCTION("""COMPUTED_VALUE"""),1.0E18)</f>
        <v>1E+18</v>
      </c>
      <c r="JL6" s="1507">
        <f>IFERROR(__xludf.DUMMYFUNCTION("""COMPUTED_VALUE"""),43.197916666666664)</f>
        <v>43.19791667</v>
      </c>
      <c r="JM6" s="1509">
        <f>IFERROR(__xludf.DUMMYFUNCTION("""COMPUTED_VALUE"""),1.0E18)</f>
        <v>1E+18</v>
      </c>
      <c r="JN6" s="1507">
        <f>IFERROR(__xludf.DUMMYFUNCTION("""COMPUTED_VALUE"""),43.197916666666664)</f>
        <v>43.19791667</v>
      </c>
      <c r="JO6" s="1509">
        <f>IFERROR(__xludf.DUMMYFUNCTION("""COMPUTED_VALUE"""),1.0E18)</f>
        <v>1E+18</v>
      </c>
      <c r="JP6" s="1507">
        <f>IFERROR(__xludf.DUMMYFUNCTION("""COMPUTED_VALUE"""),43.197916666666664)</f>
        <v>43.19791667</v>
      </c>
      <c r="JQ6" s="1509">
        <f>IFERROR(__xludf.DUMMYFUNCTION("""COMPUTED_VALUE"""),1.0E18)</f>
        <v>1E+18</v>
      </c>
      <c r="JR6" s="1507">
        <f>IFERROR(__xludf.DUMMYFUNCTION("""COMPUTED_VALUE"""),43.197916666666664)</f>
        <v>43.19791667</v>
      </c>
      <c r="JS6" s="1509">
        <f>IFERROR(__xludf.DUMMYFUNCTION("""COMPUTED_VALUE"""),1.0E18)</f>
        <v>1E+18</v>
      </c>
      <c r="JT6" s="1507">
        <f>IFERROR(__xludf.DUMMYFUNCTION("""COMPUTED_VALUE"""),43.197916666666664)</f>
        <v>43.19791667</v>
      </c>
      <c r="JU6" s="1509">
        <f>IFERROR(__xludf.DUMMYFUNCTION("""COMPUTED_VALUE"""),1.0E18)</f>
        <v>1E+18</v>
      </c>
      <c r="JV6" s="1507">
        <f>IFERROR(__xludf.DUMMYFUNCTION("""COMPUTED_VALUE"""),10.799305555555556)</f>
        <v>10.79930556</v>
      </c>
      <c r="JW6" s="1509">
        <f>IFERROR(__xludf.DUMMYFUNCTION("""COMPUTED_VALUE"""),2.744E12)</f>
        <v>2744000000000</v>
      </c>
      <c r="JX6" s="1510">
        <f>IFERROR(__xludf.DUMMYFUNCTION("""COMPUTED_VALUE"""),5.235578704)</f>
        <v>5.235578704</v>
      </c>
      <c r="JY6" s="1511">
        <f>IFERROR(__xludf.DUMMYFUNCTION("""COMPUTED_VALUE"""),2.827E8)</f>
        <v>282700000</v>
      </c>
      <c r="JZ6" s="1525">
        <f>IFERROR(__xludf.DUMMYFUNCTION("""COMPUTED_VALUE"""),1.499583333)</f>
        <v>1.499583333</v>
      </c>
      <c r="KA6" s="1526">
        <f>IFERROR(__xludf.DUMMYFUNCTION("""COMPUTED_VALUE"""),3.98E7)</f>
        <v>39800000</v>
      </c>
      <c r="KB6" s="1510">
        <f>IFERROR(__xludf.DUMMYFUNCTION("""COMPUTED_VALUE"""),1.504363426)</f>
        <v>1.504363426</v>
      </c>
      <c r="KC6" s="1514">
        <f>IFERROR(__xludf.DUMMYFUNCTION("""COMPUTED_VALUE"""),8.229E7)</f>
        <v>82290000</v>
      </c>
      <c r="KD6" s="1510">
        <f>IFERROR(__xludf.DUMMYFUNCTION("""COMPUTED_VALUE"""),5.746724537)</f>
        <v>5.746724537</v>
      </c>
      <c r="KE6" s="1514">
        <f>IFERROR(__xludf.DUMMYFUNCTION("""COMPUTED_VALUE"""),8.42E9)</f>
        <v>8420000000</v>
      </c>
      <c r="KF6" s="1510">
        <f>IFERROR(__xludf.DUMMYFUNCTION("""COMPUTED_VALUE"""),5.746724537)</f>
        <v>5.746724537</v>
      </c>
      <c r="KG6" s="1514">
        <f>IFERROR(__xludf.DUMMYFUNCTION("""COMPUTED_VALUE"""),8.42E9)</f>
        <v>8420000000</v>
      </c>
      <c r="KH6" s="1510">
        <f>IFERROR(__xludf.DUMMYFUNCTION("""COMPUTED_VALUE"""),10.09668981)</f>
        <v>10.09668981</v>
      </c>
      <c r="KI6" s="1514">
        <f>IFERROR(__xludf.DUMMYFUNCTION("""COMPUTED_VALUE"""),3.0683E11)</f>
        <v>306830000000</v>
      </c>
      <c r="KJ6" s="1527"/>
      <c r="KK6" s="1527"/>
      <c r="KL6" s="1515">
        <f>IFERROR(__xludf.DUMMYFUNCTION("""COMPUTED_VALUE"""),359.33966435185187)</f>
        <v>359.3396644</v>
      </c>
      <c r="KM6" s="1514">
        <f>IFERROR(__xludf.DUMMYFUNCTION("""COMPUTED_VALUE"""),5.4736E14)</f>
        <v>547360000000000</v>
      </c>
      <c r="KN6" s="1515">
        <f>IFERROR(__xludf.DUMMYFUNCTION("""COMPUTED_VALUE"""),204.16666666666666)</f>
        <v>204.1666667</v>
      </c>
      <c r="KO6" s="1514">
        <f>IFERROR(__xludf.DUMMYFUNCTION("""COMPUTED_VALUE"""),5.0E16)</f>
        <v>5E+16</v>
      </c>
      <c r="KP6" s="1515">
        <f>IFERROR(__xludf.DUMMYFUNCTION("""COMPUTED_VALUE"""),204.16666666666666)</f>
        <v>204.1666667</v>
      </c>
      <c r="KQ6" s="1514">
        <f>IFERROR(__xludf.DUMMYFUNCTION("""COMPUTED_VALUE"""),5.0E16)</f>
        <v>5E+16</v>
      </c>
      <c r="KR6" s="1528"/>
      <c r="KS6" s="1529"/>
      <c r="KT6" s="1515">
        <f>IFERROR(__xludf.DUMMYFUNCTION("""COMPUTED_VALUE"""),125.0)</f>
        <v>125</v>
      </c>
      <c r="KU6" s="1514">
        <f>IFERROR(__xludf.DUMMYFUNCTION("""COMPUTED_VALUE"""),5.0E14)</f>
        <v>500000000000000</v>
      </c>
      <c r="KV6" s="1525">
        <f>IFERROR(__xludf.DUMMYFUNCTION("""COMPUTED_VALUE"""),43.197916666666664)</f>
        <v>43.19791667</v>
      </c>
      <c r="KW6" s="1526">
        <f>IFERROR(__xludf.DUMMYFUNCTION("""COMPUTED_VALUE"""),1.0E18)</f>
        <v>1E+18</v>
      </c>
      <c r="KX6" s="1525">
        <f>IFERROR(__xludf.DUMMYFUNCTION("""COMPUTED_VALUE"""),43.197916666666664)</f>
        <v>43.19791667</v>
      </c>
      <c r="KY6" s="1526">
        <f>IFERROR(__xludf.DUMMYFUNCTION("""COMPUTED_VALUE"""),1.0E18)</f>
        <v>1E+18</v>
      </c>
      <c r="KZ6" s="1525">
        <f>IFERROR(__xludf.DUMMYFUNCTION("""COMPUTED_VALUE"""),43.197916666666664)</f>
        <v>43.19791667</v>
      </c>
      <c r="LA6" s="1526">
        <f>IFERROR(__xludf.DUMMYFUNCTION("""COMPUTED_VALUE"""),1.0E18)</f>
        <v>1E+18</v>
      </c>
      <c r="LB6" s="1525">
        <f>IFERROR(__xludf.DUMMYFUNCTION("""COMPUTED_VALUE"""),43.197916666666664)</f>
        <v>43.19791667</v>
      </c>
      <c r="LC6" s="1526">
        <f>IFERROR(__xludf.DUMMYFUNCTION("""COMPUTED_VALUE"""),1.0E18)</f>
        <v>1E+18</v>
      </c>
      <c r="LD6" s="1525">
        <f>IFERROR(__xludf.DUMMYFUNCTION("""COMPUTED_VALUE"""),43.197916666666664)</f>
        <v>43.19791667</v>
      </c>
      <c r="LE6" s="1526">
        <f>IFERROR(__xludf.DUMMYFUNCTION("""COMPUTED_VALUE"""),1.0E18)</f>
        <v>1E+18</v>
      </c>
      <c r="LF6" s="1525">
        <f>IFERROR(__xludf.DUMMYFUNCTION("""COMPUTED_VALUE"""),43.197916666666664)</f>
        <v>43.19791667</v>
      </c>
      <c r="LG6" s="1526">
        <f>IFERROR(__xludf.DUMMYFUNCTION("""COMPUTED_VALUE"""),1.0E18)</f>
        <v>1E+18</v>
      </c>
      <c r="LH6" s="1525">
        <f>IFERROR(__xludf.DUMMYFUNCTION("""COMPUTED_VALUE"""),43.197916666666664)</f>
        <v>43.19791667</v>
      </c>
      <c r="LI6" s="1526">
        <f>IFERROR(__xludf.DUMMYFUNCTION("""COMPUTED_VALUE"""),1.0E18)</f>
        <v>1E+18</v>
      </c>
      <c r="LJ6" s="1525">
        <f>IFERROR(__xludf.DUMMYFUNCTION("""COMPUTED_VALUE"""),43.197916666666664)</f>
        <v>43.19791667</v>
      </c>
      <c r="LK6" s="1526">
        <f>IFERROR(__xludf.DUMMYFUNCTION("""COMPUTED_VALUE"""),1.0E18)</f>
        <v>1E+18</v>
      </c>
      <c r="LL6" s="1494">
        <f>IFERROR(__xludf.DUMMYFUNCTION("""COMPUTED_VALUE"""),66.66666666666667)</f>
        <v>66.66666667</v>
      </c>
      <c r="LM6" s="1495">
        <f>IFERROR(__xludf.DUMMYFUNCTION("""COMPUTED_VALUE"""),8.6E15)</f>
        <v>8.6E+15</v>
      </c>
      <c r="LN6" s="1516">
        <f>IFERROR(__xludf.DUMMYFUNCTION("""COMPUTED_VALUE"""),53.99722222222222)</f>
        <v>53.99722222</v>
      </c>
      <c r="LO6" s="1495">
        <f>IFERROR(__xludf.DUMMYFUNCTION("""COMPUTED_VALUE"""),8.0E17)</f>
        <v>8E+17</v>
      </c>
      <c r="LP6" s="1516">
        <f>IFERROR(__xludf.DUMMYFUNCTION("""COMPUTED_VALUE"""),53.99722222222222)</f>
        <v>53.99722222</v>
      </c>
      <c r="LQ6" s="1495">
        <f>IFERROR(__xludf.DUMMYFUNCTION("""COMPUTED_VALUE"""),8.0E17)</f>
        <v>8E+17</v>
      </c>
      <c r="LR6" s="1516">
        <f>IFERROR(__xludf.DUMMYFUNCTION("""COMPUTED_VALUE"""),53.99722222222222)</f>
        <v>53.99722222</v>
      </c>
      <c r="LS6" s="1495">
        <f>IFERROR(__xludf.DUMMYFUNCTION("""COMPUTED_VALUE"""),8.0E17)</f>
        <v>8E+17</v>
      </c>
      <c r="LT6" s="1516">
        <f>IFERROR(__xludf.DUMMYFUNCTION("""COMPUTED_VALUE"""),53.99722222222222)</f>
        <v>53.99722222</v>
      </c>
      <c r="LU6" s="1495">
        <f>IFERROR(__xludf.DUMMYFUNCTION("""COMPUTED_VALUE"""),8.0E17)</f>
        <v>8E+17</v>
      </c>
      <c r="LV6" s="1516">
        <f>IFERROR(__xludf.DUMMYFUNCTION("""COMPUTED_VALUE"""),53.99722222222222)</f>
        <v>53.99722222</v>
      </c>
      <c r="LW6" s="1495">
        <f>IFERROR(__xludf.DUMMYFUNCTION("""COMPUTED_VALUE"""),8.0E17)</f>
        <v>8E+17</v>
      </c>
      <c r="LX6" s="1516">
        <f>IFERROR(__xludf.DUMMYFUNCTION("""COMPUTED_VALUE"""),64.79652777777778)</f>
        <v>64.79652778</v>
      </c>
      <c r="LY6" s="1517">
        <f>IFERROR(__xludf.DUMMYFUNCTION("""COMPUTED_VALUE"""),2.0E18)</f>
        <v>2E+18</v>
      </c>
      <c r="LZ6" s="1516">
        <f>IFERROR(__xludf.DUMMYFUNCTION("""COMPUTED_VALUE"""),64.79652777777778)</f>
        <v>64.79652778</v>
      </c>
      <c r="MA6" s="1517">
        <f>IFERROR(__xludf.DUMMYFUNCTION("""COMPUTED_VALUE"""),2.0E18)</f>
        <v>2E+18</v>
      </c>
      <c r="MB6" s="1516">
        <f>IFERROR(__xludf.DUMMYFUNCTION("""COMPUTED_VALUE"""),64.79652777777778)</f>
        <v>64.79652778</v>
      </c>
      <c r="MC6" s="1517">
        <f>IFERROR(__xludf.DUMMYFUNCTION("""COMPUTED_VALUE"""),2.0E18)</f>
        <v>2E+18</v>
      </c>
      <c r="MD6" s="1516">
        <f>IFERROR(__xludf.DUMMYFUNCTION("""COMPUTED_VALUE"""),64.79652777777778)</f>
        <v>64.79652778</v>
      </c>
      <c r="ME6" s="1517">
        <f>IFERROR(__xludf.DUMMYFUNCTION("""COMPUTED_VALUE"""),2.0E18)</f>
        <v>2E+18</v>
      </c>
      <c r="MF6" s="1516">
        <f>IFERROR(__xludf.DUMMYFUNCTION("""COMPUTED_VALUE"""),59.397222222222226)</f>
        <v>59.39722222</v>
      </c>
      <c r="MG6" s="1517">
        <f>IFERROR(__xludf.DUMMYFUNCTION("""COMPUTED_VALUE"""),3.375E18)</f>
        <v>3.375E+18</v>
      </c>
      <c r="MH6" s="1516">
        <f>IFERROR(__xludf.DUMMYFUNCTION("""COMPUTED_VALUE"""),59.397222222222226)</f>
        <v>59.39722222</v>
      </c>
      <c r="MI6" s="1517">
        <f>IFERROR(__xludf.DUMMYFUNCTION("""COMPUTED_VALUE"""),3.375E18)</f>
        <v>3.375E+18</v>
      </c>
      <c r="MJ6" s="1516">
        <f>IFERROR(__xludf.DUMMYFUNCTION("""COMPUTED_VALUE"""),59.397222222222226)</f>
        <v>59.39722222</v>
      </c>
      <c r="MK6" s="1517">
        <f>IFERROR(__xludf.DUMMYFUNCTION("""COMPUTED_VALUE"""),3.375E18)</f>
        <v>3.375E+18</v>
      </c>
      <c r="ML6" s="1516">
        <f>IFERROR(__xludf.DUMMYFUNCTION("""COMPUTED_VALUE"""),59.397222222222226)</f>
        <v>59.39722222</v>
      </c>
      <c r="MM6" s="1517">
        <f>IFERROR(__xludf.DUMMYFUNCTION("""COMPUTED_VALUE"""),3.375E18)</f>
        <v>3.375E+18</v>
      </c>
      <c r="MN6" s="1516">
        <f>IFERROR(__xludf.DUMMYFUNCTION("""COMPUTED_VALUE"""),59.397222222222226)</f>
        <v>59.39722222</v>
      </c>
      <c r="MO6" s="1517">
        <f>IFERROR(__xludf.DUMMYFUNCTION("""COMPUTED_VALUE"""),3.375E18)</f>
        <v>3.375E+18</v>
      </c>
      <c r="MP6" s="1516">
        <f>IFERROR(__xludf.DUMMYFUNCTION("""COMPUTED_VALUE"""),59.397222222222226)</f>
        <v>59.39722222</v>
      </c>
      <c r="MQ6" s="1517">
        <f>IFERROR(__xludf.DUMMYFUNCTION("""COMPUTED_VALUE"""),3.375E18)</f>
        <v>3.375E+18</v>
      </c>
      <c r="MR6" s="1516">
        <f>IFERROR(__xludf.DUMMYFUNCTION("""COMPUTED_VALUE"""),80.45625)</f>
        <v>80.45625</v>
      </c>
      <c r="MS6" s="1517">
        <f>IFERROR(__xludf.DUMMYFUNCTION("""COMPUTED_VALUE"""),1.6E19)</f>
        <v>1.6E+19</v>
      </c>
      <c r="MT6" s="1516">
        <f>IFERROR(__xludf.DUMMYFUNCTION("""COMPUTED_VALUE"""),80.45625)</f>
        <v>80.45625</v>
      </c>
      <c r="MU6" s="1517">
        <f>IFERROR(__xludf.DUMMYFUNCTION("""COMPUTED_VALUE"""),1.6E19)</f>
        <v>1.6E+19</v>
      </c>
      <c r="MV6" s="1516">
        <f>IFERROR(__xludf.DUMMYFUNCTION("""COMPUTED_VALUE"""),80.45625)</f>
        <v>80.45625</v>
      </c>
      <c r="MW6" s="1517">
        <f>IFERROR(__xludf.DUMMYFUNCTION("""COMPUTED_VALUE"""),1.6E19)</f>
        <v>1.6E+19</v>
      </c>
      <c r="MX6" s="1516">
        <f>IFERROR(__xludf.DUMMYFUNCTION("""COMPUTED_VALUE"""),80.45625)</f>
        <v>80.45625</v>
      </c>
      <c r="MY6" s="1517">
        <f>IFERROR(__xludf.DUMMYFUNCTION("""COMPUTED_VALUE"""),1.6E19)</f>
        <v>1.6E+19</v>
      </c>
    </row>
    <row r="7">
      <c r="A7" s="1465">
        <f>IFERROR(__xludf.DUMMYFUNCTION("""COMPUTED_VALUE"""),5.0)</f>
        <v>5</v>
      </c>
      <c r="B7" s="1466">
        <f>IFERROR(__xludf.DUMMYFUNCTION("""COMPUTED_VALUE"""),3.81875)</f>
        <v>3.81875</v>
      </c>
      <c r="C7" s="1467">
        <f>IFERROR(__xludf.DUMMYFUNCTION("""COMPUTED_VALUE"""),150000.0)</f>
        <v>150000</v>
      </c>
      <c r="D7" s="1466">
        <f>IFERROR(__xludf.DUMMYFUNCTION("""COMPUTED_VALUE"""),0.036631944444444446)</f>
        <v>0.03663194444</v>
      </c>
      <c r="E7" s="1467">
        <f>IFERROR(__xludf.DUMMYFUNCTION("""COMPUTED_VALUE"""),772.0)</f>
        <v>772</v>
      </c>
      <c r="F7" s="1466">
        <f>IFERROR(__xludf.DUMMYFUNCTION("""COMPUTED_VALUE"""),0.036631944444444446)</f>
        <v>0.03663194444</v>
      </c>
      <c r="G7" s="1468">
        <f>IFERROR(__xludf.DUMMYFUNCTION("""COMPUTED_VALUE"""),772.0)</f>
        <v>772</v>
      </c>
      <c r="H7" s="1466">
        <f>IFERROR(__xludf.DUMMYFUNCTION("""COMPUTED_VALUE"""),0.036631944444444446)</f>
        <v>0.03663194444</v>
      </c>
      <c r="I7" s="1467">
        <f>IFERROR(__xludf.DUMMYFUNCTION("""COMPUTED_VALUE"""),772.0)</f>
        <v>772</v>
      </c>
      <c r="J7" s="1466">
        <f>IFERROR(__xludf.DUMMYFUNCTION("""COMPUTED_VALUE"""),0.036631944444444446)</f>
        <v>0.03663194444</v>
      </c>
      <c r="K7" s="1467">
        <f>IFERROR(__xludf.DUMMYFUNCTION("""COMPUTED_VALUE"""),772.0)</f>
        <v>772</v>
      </c>
      <c r="L7" s="1466">
        <f>IFERROR(__xludf.DUMMYFUNCTION("""COMPUTED_VALUE"""),0.050694444444444445)</f>
        <v>0.05069444444</v>
      </c>
      <c r="M7" s="1469">
        <f>IFERROR(__xludf.DUMMYFUNCTION("""COMPUTED_VALUE"""),1100.0)</f>
        <v>1100</v>
      </c>
      <c r="N7" s="1470">
        <f>IFERROR(__xludf.DUMMYFUNCTION("""COMPUTED_VALUE"""),0.04722222222222222)</f>
        <v>0.04722222222</v>
      </c>
      <c r="O7" s="1467">
        <f>IFERROR(__xludf.DUMMYFUNCTION("""COMPUTED_VALUE"""),1120.0)</f>
        <v>1120</v>
      </c>
      <c r="P7" s="1518"/>
      <c r="Q7" s="1519"/>
      <c r="R7" s="1518"/>
      <c r="S7" s="1519"/>
      <c r="T7" s="1518"/>
      <c r="U7" s="1519"/>
      <c r="V7" s="1518"/>
      <c r="W7" s="1519"/>
      <c r="X7" s="1518"/>
      <c r="Y7" s="1519"/>
      <c r="Z7" s="1518"/>
      <c r="AA7" s="1519"/>
      <c r="AB7" s="1518"/>
      <c r="AC7" s="1519"/>
      <c r="AD7" s="1466">
        <f>IFERROR(__xludf.DUMMYFUNCTION("""COMPUTED_VALUE"""),5.399305555555555)</f>
        <v>5.399305556</v>
      </c>
      <c r="AE7" s="1474">
        <f>IFERROR(__xludf.DUMMYFUNCTION("""COMPUTED_VALUE"""),2.8561E9)</f>
        <v>2856100000</v>
      </c>
      <c r="AF7" s="1466">
        <f>IFERROR(__xludf.DUMMYFUNCTION("""COMPUTED_VALUE"""),5.399305555555555)</f>
        <v>5.399305556</v>
      </c>
      <c r="AG7" s="1474">
        <f>IFERROR(__xludf.DUMMYFUNCTION("""COMPUTED_VALUE"""),2.8561E9)</f>
        <v>2856100000</v>
      </c>
      <c r="AH7" s="1466">
        <f>IFERROR(__xludf.DUMMYFUNCTION("""COMPUTED_VALUE"""),5.399305555555555)</f>
        <v>5.399305556</v>
      </c>
      <c r="AI7" s="1474">
        <f>IFERROR(__xludf.DUMMYFUNCTION("""COMPUTED_VALUE"""),2.8561E9)</f>
        <v>2856100000</v>
      </c>
      <c r="AJ7" s="1475">
        <f>IFERROR(__xludf.DUMMYFUNCTION("""COMPUTED_VALUE"""),0.036631944444444446)</f>
        <v>0.03663194444</v>
      </c>
      <c r="AK7" s="1476">
        <f>IFERROR(__xludf.DUMMYFUNCTION("""COMPUTED_VALUE"""),772.0)</f>
        <v>772</v>
      </c>
      <c r="AL7" s="1475">
        <f>IFERROR(__xludf.DUMMYFUNCTION("""COMPUTED_VALUE"""),0.036631944444444446)</f>
        <v>0.03663194444</v>
      </c>
      <c r="AM7" s="1476">
        <f>IFERROR(__xludf.DUMMYFUNCTION("""COMPUTED_VALUE"""),772.0)</f>
        <v>772</v>
      </c>
      <c r="AN7" s="1475">
        <f>IFERROR(__xludf.DUMMYFUNCTION("""COMPUTED_VALUE"""),0.036631944444444446)</f>
        <v>0.03663194444</v>
      </c>
      <c r="AO7" s="1476">
        <f>IFERROR(__xludf.DUMMYFUNCTION("""COMPUTED_VALUE"""),772.0)</f>
        <v>772</v>
      </c>
      <c r="AP7" s="1475">
        <f>IFERROR(__xludf.DUMMYFUNCTION("""COMPUTED_VALUE"""),0.036631944444444446)</f>
        <v>0.03663194444</v>
      </c>
      <c r="AQ7" s="1476">
        <f>IFERROR(__xludf.DUMMYFUNCTION("""COMPUTED_VALUE"""),772.0)</f>
        <v>772</v>
      </c>
      <c r="AR7" s="1475">
        <f>IFERROR(__xludf.DUMMYFUNCTION("""COMPUTED_VALUE"""),0.036689814814814814)</f>
        <v>0.03668981481</v>
      </c>
      <c r="AS7" s="1476">
        <f>IFERROR(__xludf.DUMMYFUNCTION("""COMPUTED_VALUE"""),782.0)</f>
        <v>782</v>
      </c>
      <c r="AT7" s="1475">
        <f>IFERROR(__xludf.DUMMYFUNCTION("""COMPUTED_VALUE"""),3.745833333333333)</f>
        <v>3.745833333</v>
      </c>
      <c r="AU7" s="1476">
        <f>IFERROR(__xludf.DUMMYFUNCTION("""COMPUTED_VALUE"""),1680000.0)</f>
        <v>1680000</v>
      </c>
      <c r="AV7" s="1475">
        <f>IFERROR(__xludf.DUMMYFUNCTION("""COMPUTED_VALUE"""),3.6791666666666667)</f>
        <v>3.679166667</v>
      </c>
      <c r="AW7" s="1476">
        <f>IFERROR(__xludf.DUMMYFUNCTION("""COMPUTED_VALUE"""),1680000.0)</f>
        <v>1680000</v>
      </c>
      <c r="AX7" s="1475">
        <f>IFERROR(__xludf.DUMMYFUNCTION("""COMPUTED_VALUE"""),5.803472222222222)</f>
        <v>5.803472222</v>
      </c>
      <c r="AY7" s="1476">
        <f>IFERROR(__xludf.DUMMYFUNCTION("""COMPUTED_VALUE"""),3.601E11)</f>
        <v>360100000000</v>
      </c>
      <c r="AZ7" s="1518"/>
      <c r="BA7" s="1518"/>
      <c r="BB7" s="1477">
        <f>IFERROR(__xludf.DUMMYFUNCTION("""COMPUTED_VALUE"""),0.036631944444444446)</f>
        <v>0.03663194444</v>
      </c>
      <c r="BC7" s="1478">
        <f>IFERROR(__xludf.DUMMYFUNCTION("""COMPUTED_VALUE"""),772.0)</f>
        <v>772</v>
      </c>
      <c r="BD7" s="1477">
        <f>IFERROR(__xludf.DUMMYFUNCTION("""COMPUTED_VALUE"""),0.036631944444444446)</f>
        <v>0.03663194444</v>
      </c>
      <c r="BE7" s="1478">
        <f>IFERROR(__xludf.DUMMYFUNCTION("""COMPUTED_VALUE"""),772.0)</f>
        <v>772</v>
      </c>
      <c r="BF7" s="1477">
        <f>IFERROR(__xludf.DUMMYFUNCTION("""COMPUTED_VALUE"""),0.036631944444444446)</f>
        <v>0.03663194444</v>
      </c>
      <c r="BG7" s="1478">
        <f>IFERROR(__xludf.DUMMYFUNCTION("""COMPUTED_VALUE"""),772.0)</f>
        <v>772</v>
      </c>
      <c r="BH7" s="1477">
        <f>IFERROR(__xludf.DUMMYFUNCTION("""COMPUTED_VALUE"""),0.2590277777777778)</f>
        <v>0.2590277778</v>
      </c>
      <c r="BI7" s="1478">
        <f>IFERROR(__xludf.DUMMYFUNCTION("""COMPUTED_VALUE"""),267000.0)</f>
        <v>267000</v>
      </c>
      <c r="BJ7" s="1477">
        <f>IFERROR(__xludf.DUMMYFUNCTION("""COMPUTED_VALUE"""),0.4236111111111111)</f>
        <v>0.4236111111</v>
      </c>
      <c r="BK7" s="1478">
        <f>IFERROR(__xludf.DUMMYFUNCTION("""COMPUTED_VALUE"""),1500000.0)</f>
        <v>1500000</v>
      </c>
      <c r="BL7" s="1477">
        <f>IFERROR(__xludf.DUMMYFUNCTION("""COMPUTED_VALUE"""),0.7284722222222222)</f>
        <v>0.7284722222</v>
      </c>
      <c r="BM7" s="1478">
        <f>IFERROR(__xludf.DUMMYFUNCTION("""COMPUTED_VALUE"""),3930000.0)</f>
        <v>3930000</v>
      </c>
      <c r="BN7" s="1477">
        <f>IFERROR(__xludf.DUMMYFUNCTION("""COMPUTED_VALUE"""),0.7284722222222222)</f>
        <v>0.7284722222</v>
      </c>
      <c r="BO7" s="1478">
        <f>IFERROR(__xludf.DUMMYFUNCTION("""COMPUTED_VALUE"""),3930000.0)</f>
        <v>3930000</v>
      </c>
      <c r="BP7" s="1477">
        <f>IFERROR(__xludf.DUMMYFUNCTION("""COMPUTED_VALUE"""),0.8909722222222223)</f>
        <v>0.8909722222</v>
      </c>
      <c r="BQ7" s="1478">
        <f>IFERROR(__xludf.DUMMYFUNCTION("""COMPUTED_VALUE"""),4020000.0)</f>
        <v>4020000</v>
      </c>
      <c r="BR7" s="1477">
        <f>IFERROR(__xludf.DUMMYFUNCTION("""COMPUTED_VALUE"""),2.665277777777778)</f>
        <v>2.665277778</v>
      </c>
      <c r="BS7" s="1478">
        <f>IFERROR(__xludf.DUMMYFUNCTION("""COMPUTED_VALUE"""),3.37E9)</f>
        <v>3370000000</v>
      </c>
      <c r="BT7" s="1479">
        <f>IFERROR(__xludf.DUMMYFUNCTION("""COMPUTED_VALUE"""),0.26319444444444445)</f>
        <v>0.2631944444</v>
      </c>
      <c r="BU7" s="1480">
        <f>IFERROR(__xludf.DUMMYFUNCTION("""COMPUTED_VALUE"""),1.81E9)</f>
        <v>1810000000</v>
      </c>
      <c r="BV7" s="1479">
        <f>IFERROR(__xludf.DUMMYFUNCTION("""COMPUTED_VALUE"""),2.5493055555555553)</f>
        <v>2.549305556</v>
      </c>
      <c r="BW7" s="1480">
        <f>IFERROR(__xludf.DUMMYFUNCTION("""COMPUTED_VALUE"""),3.04E9)</f>
        <v>3040000000</v>
      </c>
      <c r="BX7" s="1479">
        <f>IFERROR(__xludf.DUMMYFUNCTION("""COMPUTED_VALUE"""),2.397222222222222)</f>
        <v>2.397222222</v>
      </c>
      <c r="BY7" s="1480">
        <f>IFERROR(__xludf.DUMMYFUNCTION("""COMPUTED_VALUE"""),5.121E10)</f>
        <v>51210000000</v>
      </c>
      <c r="BZ7" s="1479">
        <f>IFERROR(__xludf.DUMMYFUNCTION("""COMPUTED_VALUE"""),2.8604166666666666)</f>
        <v>2.860416667</v>
      </c>
      <c r="CA7" s="1480">
        <f>IFERROR(__xludf.DUMMYFUNCTION("""COMPUTED_VALUE"""),6.321E10)</f>
        <v>63210000000</v>
      </c>
      <c r="CB7" s="1479">
        <f>IFERROR(__xludf.DUMMYFUNCTION("""COMPUTED_VALUE"""),6.101388888888889)</f>
        <v>6.101388889</v>
      </c>
      <c r="CC7" s="1480">
        <f>IFERROR(__xludf.DUMMYFUNCTION("""COMPUTED_VALUE"""),5.0919E11)</f>
        <v>509190000000</v>
      </c>
      <c r="CD7" s="1477">
        <f>IFERROR(__xludf.DUMMYFUNCTION("""COMPUTED_VALUE"""),2.7656828703703704)</f>
        <v>2.76568287</v>
      </c>
      <c r="CE7" s="1481">
        <f>IFERROR(__xludf.DUMMYFUNCTION("""COMPUTED_VALUE"""),3.0328E11)</f>
        <v>303280000000</v>
      </c>
      <c r="CF7" s="1477">
        <f>IFERROR(__xludf.DUMMYFUNCTION("""COMPUTED_VALUE"""),1.920787037037037)</f>
        <v>1.920787037</v>
      </c>
      <c r="CG7" s="1481">
        <f>IFERROR(__xludf.DUMMYFUNCTION("""COMPUTED_VALUE"""),50900.0)</f>
        <v>50900</v>
      </c>
      <c r="CH7" s="1482">
        <f>IFERROR(__xludf.DUMMYFUNCTION("""COMPUTED_VALUE"""),0.036689814814814814)</f>
        <v>0.03668981481</v>
      </c>
      <c r="CI7" s="1483">
        <f>IFERROR(__xludf.DUMMYFUNCTION("""COMPUTED_VALUE"""),782.0)</f>
        <v>782</v>
      </c>
      <c r="CJ7" s="1482">
        <f>IFERROR(__xludf.DUMMYFUNCTION("""COMPUTED_VALUE"""),0.036689814814814814)</f>
        <v>0.03668981481</v>
      </c>
      <c r="CK7" s="1483">
        <f>IFERROR(__xludf.DUMMYFUNCTION("""COMPUTED_VALUE"""),782.0)</f>
        <v>782</v>
      </c>
      <c r="CL7" s="1482">
        <f>IFERROR(__xludf.DUMMYFUNCTION("""COMPUTED_VALUE"""),0.036689814814814814)</f>
        <v>0.03668981481</v>
      </c>
      <c r="CM7" s="1483">
        <f>IFERROR(__xludf.DUMMYFUNCTION("""COMPUTED_VALUE"""),782.0)</f>
        <v>782</v>
      </c>
      <c r="CN7" s="1482">
        <f>IFERROR(__xludf.DUMMYFUNCTION("""COMPUTED_VALUE"""),0.036689814814814814)</f>
        <v>0.03668981481</v>
      </c>
      <c r="CO7" s="1483">
        <f>IFERROR(__xludf.DUMMYFUNCTION("""COMPUTED_VALUE"""),782.0)</f>
        <v>782</v>
      </c>
      <c r="CP7" s="1482">
        <f>IFERROR(__xludf.DUMMYFUNCTION("""COMPUTED_VALUE"""),0.05277777777777778)</f>
        <v>0.05277777778</v>
      </c>
      <c r="CQ7" s="1483">
        <f>IFERROR(__xludf.DUMMYFUNCTION("""COMPUTED_VALUE"""),1130.0)</f>
        <v>1130</v>
      </c>
      <c r="CR7" s="1482">
        <f>IFERROR(__xludf.DUMMYFUNCTION("""COMPUTED_VALUE"""),0.4041666666666667)</f>
        <v>0.4041666667</v>
      </c>
      <c r="CS7" s="1483">
        <f>IFERROR(__xludf.DUMMYFUNCTION("""COMPUTED_VALUE"""),10330.0)</f>
        <v>10330</v>
      </c>
      <c r="CT7" s="1520"/>
      <c r="CU7" s="1519"/>
      <c r="CV7" s="1484">
        <f>IFERROR(__xludf.DUMMYFUNCTION("""COMPUTED_VALUE"""),3.822222222222222)</f>
        <v>3.822222222</v>
      </c>
      <c r="CW7" s="1485">
        <f>IFERROR(__xludf.DUMMYFUNCTION("""COMPUTED_VALUE"""),4.097E10)</f>
        <v>40970000000</v>
      </c>
      <c r="CX7" s="1484">
        <f>IFERROR(__xludf.DUMMYFUNCTION("""COMPUTED_VALUE"""),3.822222222222222)</f>
        <v>3.822222222</v>
      </c>
      <c r="CY7" s="1485">
        <f>IFERROR(__xludf.DUMMYFUNCTION("""COMPUTED_VALUE"""),4.097E10)</f>
        <v>40970000000</v>
      </c>
      <c r="CZ7" s="1484">
        <f>IFERROR(__xludf.DUMMYFUNCTION("""COMPUTED_VALUE"""),3.822222222222222)</f>
        <v>3.822222222</v>
      </c>
      <c r="DA7" s="1485">
        <f>IFERROR(__xludf.DUMMYFUNCTION("""COMPUTED_VALUE"""),4.097E10)</f>
        <v>40970000000</v>
      </c>
      <c r="DB7" s="1484">
        <f>IFERROR(__xludf.DUMMYFUNCTION("""COMPUTED_VALUE"""),2.151388888888889)</f>
        <v>2.151388889</v>
      </c>
      <c r="DC7" s="1485">
        <f>IFERROR(__xludf.DUMMYFUNCTION("""COMPUTED_VALUE"""),1.94E9)</f>
        <v>1940000000</v>
      </c>
      <c r="DD7" s="1484">
        <f>IFERROR(__xludf.DUMMYFUNCTION("""COMPUTED_VALUE"""),2.151388888888889)</f>
        <v>2.151388889</v>
      </c>
      <c r="DE7" s="1485">
        <f>IFERROR(__xludf.DUMMYFUNCTION("""COMPUTED_VALUE"""),1.94E9)</f>
        <v>1940000000</v>
      </c>
      <c r="DF7" s="1486">
        <f>IFERROR(__xludf.DUMMYFUNCTION("""COMPUTED_VALUE"""),1.492361111111111)</f>
        <v>1.492361111</v>
      </c>
      <c r="DG7" s="1487">
        <f>IFERROR(__xludf.DUMMYFUNCTION("""COMPUTED_VALUE"""),4230000.0)</f>
        <v>4230000</v>
      </c>
      <c r="DH7" s="1518"/>
      <c r="DI7" s="1519"/>
      <c r="DJ7" s="1486">
        <f>IFERROR(__xludf.DUMMYFUNCTION("""COMPUTED_VALUE"""),2.279166666666667)</f>
        <v>2.279166667</v>
      </c>
      <c r="DK7" s="1487">
        <f>IFERROR(__xludf.DUMMYFUNCTION("""COMPUTED_VALUE"""),4780000.0)</f>
        <v>4780000</v>
      </c>
      <c r="DL7" s="1486">
        <f>IFERROR(__xludf.DUMMYFUNCTION("""COMPUTED_VALUE"""),1.492361111111111)</f>
        <v>1.492361111</v>
      </c>
      <c r="DM7" s="1487">
        <f>IFERROR(__xludf.DUMMYFUNCTION("""COMPUTED_VALUE"""),4230000.0)</f>
        <v>4230000</v>
      </c>
      <c r="DN7" s="1518"/>
      <c r="DO7" s="1519"/>
      <c r="DP7" s="1486">
        <f>IFERROR(__xludf.DUMMYFUNCTION("""COMPUTED_VALUE"""),1.492361111111111)</f>
        <v>1.492361111</v>
      </c>
      <c r="DQ7" s="1487">
        <f>IFERROR(__xludf.DUMMYFUNCTION("""COMPUTED_VALUE"""),4230000.0)</f>
        <v>4230000</v>
      </c>
      <c r="DR7" s="1486">
        <f>IFERROR(__xludf.DUMMYFUNCTION("""COMPUTED_VALUE"""),1.492361111111111)</f>
        <v>1.492361111</v>
      </c>
      <c r="DS7" s="1487">
        <f>IFERROR(__xludf.DUMMYFUNCTION("""COMPUTED_VALUE"""),4230000.0)</f>
        <v>4230000</v>
      </c>
      <c r="DT7" s="1518"/>
      <c r="DU7" s="1519"/>
      <c r="DV7" s="1486">
        <f>IFERROR(__xludf.DUMMYFUNCTION("""COMPUTED_VALUE"""),1.492361111111111)</f>
        <v>1.492361111</v>
      </c>
      <c r="DW7" s="1487">
        <f>IFERROR(__xludf.DUMMYFUNCTION("""COMPUTED_VALUE"""),4230000.0)</f>
        <v>4230000</v>
      </c>
      <c r="DX7" s="1486">
        <f>IFERROR(__xludf.DUMMYFUNCTION("""COMPUTED_VALUE"""),1.492361111111111)</f>
        <v>1.492361111</v>
      </c>
      <c r="DY7" s="1487">
        <f>IFERROR(__xludf.DUMMYFUNCTION("""COMPUTED_VALUE"""),4230000.0)</f>
        <v>4230000</v>
      </c>
      <c r="DZ7" s="1486">
        <f>IFERROR(__xludf.DUMMYFUNCTION("""COMPUTED_VALUE"""),3.1590277777777778)</f>
        <v>3.159027778</v>
      </c>
      <c r="EA7" s="1487">
        <f>IFERROR(__xludf.DUMMYFUNCTION("""COMPUTED_VALUE"""),8500000.0)</f>
        <v>8500000</v>
      </c>
      <c r="EB7" s="1486">
        <f>IFERROR(__xludf.DUMMYFUNCTION("""COMPUTED_VALUE"""),3.1590277777777778)</f>
        <v>3.159027778</v>
      </c>
      <c r="EC7" s="1487">
        <f>IFERROR(__xludf.DUMMYFUNCTION("""COMPUTED_VALUE"""),8500000.0)</f>
        <v>8500000</v>
      </c>
      <c r="ED7" s="1518"/>
      <c r="EE7" s="1519"/>
      <c r="EF7" s="1486">
        <f>IFERROR(__xludf.DUMMYFUNCTION("""COMPUTED_VALUE"""),2.3256944444444443)</f>
        <v>2.325694444</v>
      </c>
      <c r="EG7" s="1487">
        <f>IFERROR(__xludf.DUMMYFUNCTION("""COMPUTED_VALUE"""),7750000.0)</f>
        <v>7750000</v>
      </c>
      <c r="EH7" s="1486">
        <f>IFERROR(__xludf.DUMMYFUNCTION("""COMPUTED_VALUE"""),2.3256944444444443)</f>
        <v>2.325694444</v>
      </c>
      <c r="EI7" s="1487">
        <f>IFERROR(__xludf.DUMMYFUNCTION("""COMPUTED_VALUE"""),7750000.0)</f>
        <v>7750000</v>
      </c>
      <c r="EJ7" s="1486">
        <f>IFERROR(__xludf.DUMMYFUNCTION("""COMPUTED_VALUE"""),2.3259143518518517)</f>
        <v>2.325914352</v>
      </c>
      <c r="EK7" s="1487">
        <f>IFERROR(__xludf.DUMMYFUNCTION("""COMPUTED_VALUE"""),7750000.0)</f>
        <v>7750000</v>
      </c>
      <c r="EL7" s="1486">
        <f>IFERROR(__xludf.DUMMYFUNCTION("""COMPUTED_VALUE"""),2.3259143518518517)</f>
        <v>2.325914352</v>
      </c>
      <c r="EM7" s="1487">
        <f>IFERROR(__xludf.DUMMYFUNCTION("""COMPUTED_VALUE"""),7750000.0)</f>
        <v>7750000</v>
      </c>
      <c r="EN7" s="1486">
        <f>IFERROR(__xludf.DUMMYFUNCTION("""COMPUTED_VALUE"""),2.3256944444444443)</f>
        <v>2.325694444</v>
      </c>
      <c r="EO7" s="1487">
        <f>IFERROR(__xludf.DUMMYFUNCTION("""COMPUTED_VALUE"""),7750000.0)</f>
        <v>7750000</v>
      </c>
      <c r="EP7" s="1486">
        <f>IFERROR(__xludf.DUMMYFUNCTION("""COMPUTED_VALUE"""),2.3256944444444443)</f>
        <v>2.325694444</v>
      </c>
      <c r="EQ7" s="1487">
        <f>IFERROR(__xludf.DUMMYFUNCTION("""COMPUTED_VALUE"""),7750000.0)</f>
        <v>7750000</v>
      </c>
      <c r="ER7" s="1486">
        <f>IFERROR(__xludf.DUMMYFUNCTION("""COMPUTED_VALUE"""),2.3256944444444443)</f>
        <v>2.325694444</v>
      </c>
      <c r="ES7" s="1487">
        <f>IFERROR(__xludf.DUMMYFUNCTION("""COMPUTED_VALUE"""),7750000.0)</f>
        <v>7750000</v>
      </c>
      <c r="ET7" s="1486">
        <f>IFERROR(__xludf.DUMMYFUNCTION("""COMPUTED_VALUE"""),2.3256944444444443)</f>
        <v>2.325694444</v>
      </c>
      <c r="EU7" s="1487">
        <f>IFERROR(__xludf.DUMMYFUNCTION("""COMPUTED_VALUE"""),8200000.0)</f>
        <v>8200000</v>
      </c>
      <c r="EV7" s="1518"/>
      <c r="EW7" s="1519"/>
      <c r="EX7" s="1486">
        <f>IFERROR(__xludf.DUMMYFUNCTION("""COMPUTED_VALUE"""),4.775)</f>
        <v>4.775</v>
      </c>
      <c r="EY7" s="1487">
        <f>IFERROR(__xludf.DUMMYFUNCTION("""COMPUTED_VALUE"""),1.39E7)</f>
        <v>13900000</v>
      </c>
      <c r="EZ7" s="1518"/>
      <c r="FA7" s="1521"/>
      <c r="FB7" s="1486">
        <f>IFERROR(__xludf.DUMMYFUNCTION("""COMPUTED_VALUE"""),3.1590277777777778)</f>
        <v>3.159027778</v>
      </c>
      <c r="FC7" s="1487">
        <f>IFERROR(__xludf.DUMMYFUNCTION("""COMPUTED_VALUE"""),2.95E7)</f>
        <v>29500000</v>
      </c>
      <c r="FD7" s="1520"/>
      <c r="FE7" s="1519"/>
      <c r="FF7" s="1486">
        <f>IFERROR(__xludf.DUMMYFUNCTION("""COMPUTED_VALUE"""),3.1590277777777778)</f>
        <v>3.159027778</v>
      </c>
      <c r="FG7" s="1488">
        <f>IFERROR(__xludf.DUMMYFUNCTION("""COMPUTED_VALUE"""),3.5837838E7)</f>
        <v>35837838</v>
      </c>
      <c r="FH7" s="1486">
        <f>IFERROR(__xludf.DUMMYFUNCTION("""COMPUTED_VALUE"""),3.1590277777777778)</f>
        <v>3.159027778</v>
      </c>
      <c r="FI7" s="1488">
        <f>IFERROR(__xludf.DUMMYFUNCTION("""COMPUTED_VALUE"""),3.5837838E7)</f>
        <v>35837838</v>
      </c>
      <c r="FJ7" s="1486">
        <f>IFERROR(__xludf.DUMMYFUNCTION("""COMPUTED_VALUE"""),8.158587962962963)</f>
        <v>8.158587963</v>
      </c>
      <c r="FK7" s="1487">
        <f>IFERROR(__xludf.DUMMYFUNCTION("""COMPUTED_VALUE"""),2.07502703E8)</f>
        <v>207502703</v>
      </c>
      <c r="FL7" s="1518"/>
      <c r="FM7" s="1519"/>
      <c r="FN7" s="1489">
        <f>IFERROR(__xludf.DUMMYFUNCTION("""COMPUTED_VALUE"""),14.082395833333333)</f>
        <v>14.08239583</v>
      </c>
      <c r="FO7" s="1487">
        <f>IFERROR(__xludf.DUMMYFUNCTION("""COMPUTED_VALUE"""),2.56E12)</f>
        <v>2560000000000</v>
      </c>
      <c r="FP7" s="1486">
        <f>IFERROR(__xludf.DUMMYFUNCTION("""COMPUTED_VALUE"""),13.112650462962963)</f>
        <v>13.11265046</v>
      </c>
      <c r="FQ7" s="1488">
        <f>IFERROR(__xludf.DUMMYFUNCTION("""COMPUTED_VALUE"""),5.0625E11)</f>
        <v>506250000000</v>
      </c>
      <c r="FR7" s="1490">
        <f>IFERROR(__xludf.DUMMYFUNCTION("""COMPUTED_VALUE"""),13.112650462962963)</f>
        <v>13.11265046</v>
      </c>
      <c r="FS7" s="1488">
        <f>IFERROR(__xludf.DUMMYFUNCTION("""COMPUTED_VALUE"""),5.0625E11)</f>
        <v>506250000000</v>
      </c>
      <c r="FT7" s="1486">
        <f>IFERROR(__xludf.DUMMYFUNCTION("""COMPUTED_VALUE"""),13.112650462962963)</f>
        <v>13.11265046</v>
      </c>
      <c r="FU7" s="1488">
        <f>IFERROR(__xludf.DUMMYFUNCTION("""COMPUTED_VALUE"""),5.0625E11)</f>
        <v>506250000000</v>
      </c>
      <c r="FV7" s="1486">
        <f>IFERROR(__xludf.DUMMYFUNCTION("""COMPUTED_VALUE"""),13.112650462962963)</f>
        <v>13.11265046</v>
      </c>
      <c r="FW7" s="1488">
        <f>IFERROR(__xludf.DUMMYFUNCTION("""COMPUTED_VALUE"""),5.0625E11)</f>
        <v>506250000000</v>
      </c>
      <c r="FX7" s="1491">
        <f>IFERROR(__xludf.DUMMYFUNCTION("""COMPUTED_VALUE"""),5.084780092592593)</f>
        <v>5.084780093</v>
      </c>
      <c r="FY7" s="1492">
        <f>IFERROR(__xludf.DUMMYFUNCTION("""COMPUTED_VALUE"""),5.06E9)</f>
        <v>5060000000</v>
      </c>
      <c r="FZ7" s="1491">
        <f>IFERROR(__xludf.DUMMYFUNCTION("""COMPUTED_VALUE"""),13.112650462962963)</f>
        <v>13.11265046</v>
      </c>
      <c r="GA7" s="1492">
        <f>IFERROR(__xludf.DUMMYFUNCTION("""COMPUTED_VALUE"""),5.0625E11)</f>
        <v>506250000000</v>
      </c>
      <c r="GB7" s="1493">
        <f>IFERROR(__xludf.DUMMYFUNCTION("""COMPUTED_VALUE"""),20.633020833333333)</f>
        <v>20.63302083</v>
      </c>
      <c r="GC7" s="1492">
        <f>IFERROR(__xludf.DUMMYFUNCTION("""COMPUTED_VALUE"""),2.56E12)</f>
        <v>2560000000000</v>
      </c>
      <c r="GD7" s="1486">
        <f>IFERROR(__xludf.DUMMYFUNCTION("""COMPUTED_VALUE"""),83.33333333333333)</f>
        <v>83.33333333</v>
      </c>
      <c r="GE7" s="1488">
        <f>IFERROR(__xludf.DUMMYFUNCTION("""COMPUTED_VALUE"""),1.77E16)</f>
        <v>1.77E+16</v>
      </c>
      <c r="GF7" s="1518"/>
      <c r="GG7" s="1519"/>
      <c r="GH7" s="1494">
        <f>IFERROR(__xludf.DUMMYFUNCTION("""COMPUTED_VALUE"""),1.5340277777777778)</f>
        <v>1.534027778</v>
      </c>
      <c r="GI7" s="1495">
        <f>IFERROR(__xludf.DUMMYFUNCTION("""COMPUTED_VALUE"""),1.394E7)</f>
        <v>13940000</v>
      </c>
      <c r="GJ7" s="1518"/>
      <c r="GK7" s="1519"/>
      <c r="GL7" s="1518"/>
      <c r="GM7" s="1519"/>
      <c r="GN7" s="1520"/>
      <c r="GO7" s="1519"/>
      <c r="GP7" s="1496">
        <f>IFERROR(__xludf.DUMMYFUNCTION("""COMPUTED_VALUE"""),1.7006944444444443)</f>
        <v>1.700694444</v>
      </c>
      <c r="GQ7" s="1497">
        <f>IFERROR(__xludf.DUMMYFUNCTION("""COMPUTED_VALUE"""),6.97E9)</f>
        <v>6970000000</v>
      </c>
      <c r="GR7" s="1498">
        <f>IFERROR(__xludf.DUMMYFUNCTION("""COMPUTED_VALUE"""),14.082395833333333)</f>
        <v>14.08239583</v>
      </c>
      <c r="GS7" s="1497">
        <f>IFERROR(__xludf.DUMMYFUNCTION("""COMPUTED_VALUE"""),2.56E12)</f>
        <v>2560000000000</v>
      </c>
      <c r="GT7" s="1498">
        <f>IFERROR(__xludf.DUMMYFUNCTION("""COMPUTED_VALUE"""),14.082395833333333)</f>
        <v>14.08239583</v>
      </c>
      <c r="GU7" s="1497">
        <f>IFERROR(__xludf.DUMMYFUNCTION("""COMPUTED_VALUE"""),2.56E12)</f>
        <v>2560000000000</v>
      </c>
      <c r="GV7" s="1498">
        <f>IFERROR(__xludf.DUMMYFUNCTION("""COMPUTED_VALUE"""),14.082395833333333)</f>
        <v>14.08239583</v>
      </c>
      <c r="GW7" s="1497">
        <f>IFERROR(__xludf.DUMMYFUNCTION("""COMPUTED_VALUE"""),2.56E12)</f>
        <v>2560000000000</v>
      </c>
      <c r="GX7" s="1499">
        <f>IFERROR(__xludf.DUMMYFUNCTION("""COMPUTED_VALUE"""),62.5)</f>
        <v>62.5</v>
      </c>
      <c r="GY7" s="1500">
        <f>IFERROR(__xludf.DUMMYFUNCTION("""COMPUTED_VALUE"""),5.6E15)</f>
        <v>5.6E+15</v>
      </c>
      <c r="GZ7" s="1518"/>
      <c r="HA7" s="1519"/>
      <c r="HB7" s="1501">
        <f>IFERROR(__xludf.DUMMYFUNCTION("""COMPUTED_VALUE"""),0.7284722222222222)</f>
        <v>0.7284722222</v>
      </c>
      <c r="HC7" s="1502">
        <f>IFERROR(__xludf.DUMMYFUNCTION("""COMPUTED_VALUE"""),2.098E7)</f>
        <v>20980000</v>
      </c>
      <c r="HD7" s="1518"/>
      <c r="HE7" s="1519"/>
      <c r="HF7" s="1501">
        <f>IFERROR(__xludf.DUMMYFUNCTION("""COMPUTED_VALUE"""),0.8208333333333333)</f>
        <v>0.8208333333</v>
      </c>
      <c r="HG7" s="1502">
        <f>IFERROR(__xludf.DUMMYFUNCTION("""COMPUTED_VALUE"""),3.142E7)</f>
        <v>31420000</v>
      </c>
      <c r="HH7" s="1518"/>
      <c r="HI7" s="1519"/>
      <c r="HJ7" s="1518"/>
      <c r="HK7" s="1519"/>
      <c r="HL7" s="1530">
        <f>IFERROR(__xludf.DUMMYFUNCTION("""COMPUTED_VALUE"""),41.666666666666664)</f>
        <v>41.66666667</v>
      </c>
      <c r="HM7" s="1502">
        <f>IFERROR(__xludf.DUMMYFUNCTION("""COMPUTED_VALUE"""),1.0E11)</f>
        <v>100000000000</v>
      </c>
      <c r="HN7" s="1501">
        <f>IFERROR(__xludf.DUMMYFUNCTION("""COMPUTED_VALUE"""),3.475)</f>
        <v>3.475</v>
      </c>
      <c r="HO7" s="1502">
        <f>IFERROR(__xludf.DUMMYFUNCTION("""COMPUTED_VALUE"""),1.05E9)</f>
        <v>1050000000</v>
      </c>
      <c r="HP7" s="1501">
        <f>IFERROR(__xludf.DUMMYFUNCTION("""COMPUTED_VALUE"""),3.1746064814814816)</f>
        <v>3.174606481</v>
      </c>
      <c r="HQ7" s="1503">
        <f>IFERROR(__xludf.DUMMYFUNCTION("""COMPUTED_VALUE"""),1.566E7)</f>
        <v>15660000</v>
      </c>
      <c r="HR7" s="1522">
        <f>IFERROR(__xludf.DUMMYFUNCTION("""COMPUTED_VALUE"""),3.1277777777777778)</f>
        <v>3.127777778</v>
      </c>
      <c r="HS7" s="1523">
        <f>IFERROR(__xludf.DUMMYFUNCTION("""COMPUTED_VALUE"""),2.012E8)</f>
        <v>201200000</v>
      </c>
      <c r="HT7" s="1522">
        <f>IFERROR(__xludf.DUMMYFUNCTION("""COMPUTED_VALUE"""),3.1277777777777778)</f>
        <v>3.127777778</v>
      </c>
      <c r="HU7" s="1523">
        <f>IFERROR(__xludf.DUMMYFUNCTION("""COMPUTED_VALUE"""),2.012E8)</f>
        <v>201200000</v>
      </c>
      <c r="HV7" s="1522">
        <f>IFERROR(__xludf.DUMMYFUNCTION("""COMPUTED_VALUE"""),3.1277777777777778)</f>
        <v>3.127777778</v>
      </c>
      <c r="HW7" s="1523">
        <f>IFERROR(__xludf.DUMMYFUNCTION("""COMPUTED_VALUE"""),2.012E8)</f>
        <v>201200000</v>
      </c>
      <c r="HX7" s="1524">
        <f>IFERROR(__xludf.DUMMYFUNCTION("""COMPUTED_VALUE"""),3.1277777777777778)</f>
        <v>3.127777778</v>
      </c>
      <c r="HY7" s="1523">
        <f>IFERROR(__xludf.DUMMYFUNCTION("""COMPUTED_VALUE"""),2.012E8)</f>
        <v>201200000</v>
      </c>
      <c r="HZ7" s="1524">
        <f>IFERROR(__xludf.DUMMYFUNCTION("""COMPUTED_VALUE"""),79.7983912037037)</f>
        <v>79.7983912</v>
      </c>
      <c r="IA7" s="1523">
        <f>IFERROR(__xludf.DUMMYFUNCTION("""COMPUTED_VALUE"""),2.1769E14)</f>
        <v>217690000000000</v>
      </c>
      <c r="IB7" s="1524">
        <f>IFERROR(__xludf.DUMMYFUNCTION("""COMPUTED_VALUE"""),14.575046296296296)</f>
        <v>14.5750463</v>
      </c>
      <c r="IC7" s="1523">
        <f>IFERROR(__xludf.DUMMYFUNCTION("""COMPUTED_VALUE"""),5.0625E11)</f>
        <v>506250000000</v>
      </c>
      <c r="ID7" s="1524">
        <f>IFERROR(__xludf.DUMMYFUNCTION("""COMPUTED_VALUE"""),14.575046296296296)</f>
        <v>14.5750463</v>
      </c>
      <c r="IE7" s="1523">
        <f>IFERROR(__xludf.DUMMYFUNCTION("""COMPUTED_VALUE"""),5.0625E11)</f>
        <v>506250000000</v>
      </c>
      <c r="IF7" s="1524">
        <f>IFERROR(__xludf.DUMMYFUNCTION("""COMPUTED_VALUE"""),14.575046296296296)</f>
        <v>14.5750463</v>
      </c>
      <c r="IG7" s="1523">
        <f>IFERROR(__xludf.DUMMYFUNCTION("""COMPUTED_VALUE"""),5.0625E11)</f>
        <v>506250000000</v>
      </c>
      <c r="IH7" s="1507">
        <f>IFERROR(__xludf.DUMMYFUNCTION("""COMPUTED_VALUE"""),3.822222222222222)</f>
        <v>3.822222222</v>
      </c>
      <c r="II7" s="1508">
        <f>IFERROR(__xludf.DUMMYFUNCTION("""COMPUTED_VALUE"""),1.0097E11)</f>
        <v>100970000000</v>
      </c>
      <c r="IJ7" s="1507">
        <f>IFERROR(__xludf.DUMMYFUNCTION("""COMPUTED_VALUE"""),3.822222222222222)</f>
        <v>3.822222222</v>
      </c>
      <c r="IK7" s="1508">
        <f>IFERROR(__xludf.DUMMYFUNCTION("""COMPUTED_VALUE"""),1.0097E11)</f>
        <v>100970000000</v>
      </c>
      <c r="IL7" s="1507">
        <f>IFERROR(__xludf.DUMMYFUNCTION("""COMPUTED_VALUE"""),3.822222222222222)</f>
        <v>3.822222222</v>
      </c>
      <c r="IM7" s="1508">
        <f>IFERROR(__xludf.DUMMYFUNCTION("""COMPUTED_VALUE"""),1.5097E11)</f>
        <v>150970000000</v>
      </c>
      <c r="IN7" s="1507">
        <f>IFERROR(__xludf.DUMMYFUNCTION("""COMPUTED_VALUE"""),3.822222222222222)</f>
        <v>3.822222222</v>
      </c>
      <c r="IO7" s="1508">
        <f>IFERROR(__xludf.DUMMYFUNCTION("""COMPUTED_VALUE"""),1.5097E11)</f>
        <v>150970000000</v>
      </c>
      <c r="IP7" s="1507">
        <f>IFERROR(__xludf.DUMMYFUNCTION("""COMPUTED_VALUE"""),4.285416666666666)</f>
        <v>4.285416667</v>
      </c>
      <c r="IQ7" s="1508">
        <f>IFERROR(__xludf.DUMMYFUNCTION("""COMPUTED_VALUE"""),3.0097E11)</f>
        <v>300970000000</v>
      </c>
      <c r="IR7" s="1507">
        <f>IFERROR(__xludf.DUMMYFUNCTION("""COMPUTED_VALUE"""),3.822222222222222)</f>
        <v>3.822222222</v>
      </c>
      <c r="IS7" s="1508">
        <f>IFERROR(__xludf.DUMMYFUNCTION("""COMPUTED_VALUE"""),1.5097E11)</f>
        <v>150970000000</v>
      </c>
      <c r="IT7" s="1507">
        <f>IFERROR(__xludf.DUMMYFUNCTION("""COMPUTED_VALUE"""),3.822222222222222)</f>
        <v>3.822222222</v>
      </c>
      <c r="IU7" s="1508">
        <f>IFERROR(__xludf.DUMMYFUNCTION("""COMPUTED_VALUE"""),1.5097E11)</f>
        <v>150970000000</v>
      </c>
      <c r="IV7" s="1507">
        <f>IFERROR(__xludf.DUMMYFUNCTION("""COMPUTED_VALUE"""),3.822222222222222)</f>
        <v>3.822222222</v>
      </c>
      <c r="IW7" s="1508">
        <f>IFERROR(__xludf.DUMMYFUNCTION("""COMPUTED_VALUE"""),1.5097E11)</f>
        <v>150970000000</v>
      </c>
      <c r="IX7" s="1507">
        <f>IFERROR(__xludf.DUMMYFUNCTION("""COMPUTED_VALUE"""),3.822222222222222)</f>
        <v>3.822222222</v>
      </c>
      <c r="IY7" s="1508">
        <f>IFERROR(__xludf.DUMMYFUNCTION("""COMPUTED_VALUE"""),1.5097E11)</f>
        <v>150970000000</v>
      </c>
      <c r="IZ7" s="1507">
        <f>IFERROR(__xludf.DUMMYFUNCTION("""COMPUTED_VALUE"""),3.822222222222222)</f>
        <v>3.822222222</v>
      </c>
      <c r="JA7" s="1508">
        <f>IFERROR(__xludf.DUMMYFUNCTION("""COMPUTED_VALUE"""),2.0097E11)</f>
        <v>200970000000</v>
      </c>
      <c r="JB7" s="1507">
        <f>IFERROR(__xludf.DUMMYFUNCTION("""COMPUTED_VALUE"""),3.822222222222222)</f>
        <v>3.822222222</v>
      </c>
      <c r="JC7" s="1508">
        <f>IFERROR(__xludf.DUMMYFUNCTION("""COMPUTED_VALUE"""),2.0097E11)</f>
        <v>200970000000</v>
      </c>
      <c r="JD7" s="1507">
        <f>IFERROR(__xludf.DUMMYFUNCTION("""COMPUTED_VALUE"""),3.822222222222222)</f>
        <v>3.822222222</v>
      </c>
      <c r="JE7" s="1508">
        <f>IFERROR(__xludf.DUMMYFUNCTION("""COMPUTED_VALUE"""),2.0097E11)</f>
        <v>200970000000</v>
      </c>
      <c r="JF7" s="1507">
        <f>IFERROR(__xludf.DUMMYFUNCTION("""COMPUTED_VALUE"""),3.822222222222222)</f>
        <v>3.822222222</v>
      </c>
      <c r="JG7" s="1508">
        <f>IFERROR(__xludf.DUMMYFUNCTION("""COMPUTED_VALUE"""),2.0097E11)</f>
        <v>200970000000</v>
      </c>
      <c r="JH7" s="1507">
        <f>IFERROR(__xludf.DUMMYFUNCTION("""COMPUTED_VALUE"""),4.285416666666666)</f>
        <v>4.285416667</v>
      </c>
      <c r="JI7" s="1508">
        <f>IFERROR(__xludf.DUMMYFUNCTION("""COMPUTED_VALUE"""),3.6097E11)</f>
        <v>360970000000</v>
      </c>
      <c r="JJ7" s="1507">
        <f>IFERROR(__xludf.DUMMYFUNCTION("""COMPUTED_VALUE"""),53.99722222222222)</f>
        <v>53.99722222</v>
      </c>
      <c r="JK7" s="1509">
        <f>IFERROR(__xludf.DUMMYFUNCTION("""COMPUTED_VALUE"""),1.25E18)</f>
        <v>1.25E+18</v>
      </c>
      <c r="JL7" s="1507">
        <f>IFERROR(__xludf.DUMMYFUNCTION("""COMPUTED_VALUE"""),53.99722222222222)</f>
        <v>53.99722222</v>
      </c>
      <c r="JM7" s="1509">
        <f>IFERROR(__xludf.DUMMYFUNCTION("""COMPUTED_VALUE"""),1.25E18)</f>
        <v>1.25E+18</v>
      </c>
      <c r="JN7" s="1507">
        <f>IFERROR(__xludf.DUMMYFUNCTION("""COMPUTED_VALUE"""),53.99722222222222)</f>
        <v>53.99722222</v>
      </c>
      <c r="JO7" s="1509">
        <f>IFERROR(__xludf.DUMMYFUNCTION("""COMPUTED_VALUE"""),1.25E18)</f>
        <v>1.25E+18</v>
      </c>
      <c r="JP7" s="1507">
        <f>IFERROR(__xludf.DUMMYFUNCTION("""COMPUTED_VALUE"""),53.99722222222222)</f>
        <v>53.99722222</v>
      </c>
      <c r="JQ7" s="1509">
        <f>IFERROR(__xludf.DUMMYFUNCTION("""COMPUTED_VALUE"""),1.25E18)</f>
        <v>1.25E+18</v>
      </c>
      <c r="JR7" s="1507">
        <f>IFERROR(__xludf.DUMMYFUNCTION("""COMPUTED_VALUE"""),53.99722222222222)</f>
        <v>53.99722222</v>
      </c>
      <c r="JS7" s="1509">
        <f>IFERROR(__xludf.DUMMYFUNCTION("""COMPUTED_VALUE"""),1.25E18)</f>
        <v>1.25E+18</v>
      </c>
      <c r="JT7" s="1507">
        <f>IFERROR(__xludf.DUMMYFUNCTION("""COMPUTED_VALUE"""),53.99722222222222)</f>
        <v>53.99722222</v>
      </c>
      <c r="JU7" s="1509">
        <f>IFERROR(__xludf.DUMMYFUNCTION("""COMPUTED_VALUE"""),1.25E18)</f>
        <v>1.25E+18</v>
      </c>
      <c r="JV7" s="1507">
        <f>IFERROR(__xludf.DUMMYFUNCTION("""COMPUTED_VALUE"""),13.499305555555555)</f>
        <v>13.49930556</v>
      </c>
      <c r="JW7" s="1509">
        <f>IFERROR(__xludf.DUMMYFUNCTION("""COMPUTED_VALUE"""),3.8416E12)</f>
        <v>3841600000000</v>
      </c>
      <c r="JX7" s="1510">
        <f>IFERROR(__xludf.DUMMYFUNCTION("""COMPUTED_VALUE"""),5.623969907)</f>
        <v>5.623969907</v>
      </c>
      <c r="JY7" s="1511">
        <f>IFERROR(__xludf.DUMMYFUNCTION("""COMPUTED_VALUE"""),6.1003E8)</f>
        <v>610030000</v>
      </c>
      <c r="JZ7" s="1525">
        <f>IFERROR(__xludf.DUMMYFUNCTION("""COMPUTED_VALUE"""),1.539050926)</f>
        <v>1.539050926</v>
      </c>
      <c r="KA7" s="1526">
        <f>IFERROR(__xludf.DUMMYFUNCTION("""COMPUTED_VALUE"""),8.543E7)</f>
        <v>85430000</v>
      </c>
      <c r="KB7" s="1510">
        <f>IFERROR(__xludf.DUMMYFUNCTION("""COMPUTED_VALUE"""),1.550347222)</f>
        <v>1.550347222</v>
      </c>
      <c r="KC7" s="1514">
        <f>IFERROR(__xludf.DUMMYFUNCTION("""COMPUTED_VALUE"""),1.9232E8)</f>
        <v>192320000</v>
      </c>
      <c r="KD7" s="1510">
        <f>IFERROR(__xludf.DUMMYFUNCTION("""COMPUTED_VALUE"""),5.942071759)</f>
        <v>5.942071759</v>
      </c>
      <c r="KE7" s="1514">
        <f>IFERROR(__xludf.DUMMYFUNCTION("""COMPUTED_VALUE"""),1.352E10)</f>
        <v>13520000000</v>
      </c>
      <c r="KF7" s="1510">
        <f>IFERROR(__xludf.DUMMYFUNCTION("""COMPUTED_VALUE"""),5.942071759)</f>
        <v>5.942071759</v>
      </c>
      <c r="KG7" s="1514">
        <f>IFERROR(__xludf.DUMMYFUNCTION("""COMPUTED_VALUE"""),1.352E10)</f>
        <v>13520000000</v>
      </c>
      <c r="KH7" s="1510">
        <f>IFERROR(__xludf.DUMMYFUNCTION("""COMPUTED_VALUE"""),10.60082176)</f>
        <v>10.60082176</v>
      </c>
      <c r="KI7" s="1514">
        <f>IFERROR(__xludf.DUMMYFUNCTION("""COMPUTED_VALUE"""),7.14E11)</f>
        <v>714000000000</v>
      </c>
      <c r="KJ7" s="1527"/>
      <c r="KK7" s="1527"/>
      <c r="KL7" s="1515">
        <f>IFERROR(__xludf.DUMMYFUNCTION("""COMPUTED_VALUE"""),523.2604513888889)</f>
        <v>523.2604514</v>
      </c>
      <c r="KM7" s="1514">
        <f>IFERROR(__xludf.DUMMYFUNCTION("""COMPUTED_VALUE"""),1.19E15)</f>
        <v>1.19E+15</v>
      </c>
      <c r="KN7" s="1528"/>
      <c r="KO7" s="1529"/>
      <c r="KP7" s="1528"/>
      <c r="KQ7" s="1529"/>
      <c r="KR7" s="1528"/>
      <c r="KS7" s="1529"/>
      <c r="KT7" s="1515">
        <f>IFERROR(__xludf.DUMMYFUNCTION("""COMPUTED_VALUE"""),162.5)</f>
        <v>162.5</v>
      </c>
      <c r="KU7" s="1514">
        <f>IFERROR(__xludf.DUMMYFUNCTION("""COMPUTED_VALUE"""),5.0E15)</f>
        <v>5E+15</v>
      </c>
      <c r="KV7" s="1525">
        <f>IFERROR(__xludf.DUMMYFUNCTION("""COMPUTED_VALUE"""),53.99722222222222)</f>
        <v>53.99722222</v>
      </c>
      <c r="KW7" s="1526">
        <f>IFERROR(__xludf.DUMMYFUNCTION("""COMPUTED_VALUE"""),1.25E18)</f>
        <v>1.25E+18</v>
      </c>
      <c r="KX7" s="1525">
        <f>IFERROR(__xludf.DUMMYFUNCTION("""COMPUTED_VALUE"""),53.99722222222222)</f>
        <v>53.99722222</v>
      </c>
      <c r="KY7" s="1526">
        <f>IFERROR(__xludf.DUMMYFUNCTION("""COMPUTED_VALUE"""),1.25E18)</f>
        <v>1.25E+18</v>
      </c>
      <c r="KZ7" s="1525">
        <f>IFERROR(__xludf.DUMMYFUNCTION("""COMPUTED_VALUE"""),53.99722222222222)</f>
        <v>53.99722222</v>
      </c>
      <c r="LA7" s="1526">
        <f>IFERROR(__xludf.DUMMYFUNCTION("""COMPUTED_VALUE"""),1.25E18)</f>
        <v>1.25E+18</v>
      </c>
      <c r="LB7" s="1525">
        <f>IFERROR(__xludf.DUMMYFUNCTION("""COMPUTED_VALUE"""),53.99722222222222)</f>
        <v>53.99722222</v>
      </c>
      <c r="LC7" s="1526">
        <f>IFERROR(__xludf.DUMMYFUNCTION("""COMPUTED_VALUE"""),1.25E18)</f>
        <v>1.25E+18</v>
      </c>
      <c r="LD7" s="1525">
        <f>IFERROR(__xludf.DUMMYFUNCTION("""COMPUTED_VALUE"""),53.99722222222222)</f>
        <v>53.99722222</v>
      </c>
      <c r="LE7" s="1526">
        <f>IFERROR(__xludf.DUMMYFUNCTION("""COMPUTED_VALUE"""),1.25E18)</f>
        <v>1.25E+18</v>
      </c>
      <c r="LF7" s="1525">
        <f>IFERROR(__xludf.DUMMYFUNCTION("""COMPUTED_VALUE"""),53.99722222222222)</f>
        <v>53.99722222</v>
      </c>
      <c r="LG7" s="1526">
        <f>IFERROR(__xludf.DUMMYFUNCTION("""COMPUTED_VALUE"""),1.25E18)</f>
        <v>1.25E+18</v>
      </c>
      <c r="LH7" s="1525">
        <f>IFERROR(__xludf.DUMMYFUNCTION("""COMPUTED_VALUE"""),53.99722222222222)</f>
        <v>53.99722222</v>
      </c>
      <c r="LI7" s="1526">
        <f>IFERROR(__xludf.DUMMYFUNCTION("""COMPUTED_VALUE"""),1.25E18)</f>
        <v>1.25E+18</v>
      </c>
      <c r="LJ7" s="1525">
        <f>IFERROR(__xludf.DUMMYFUNCTION("""COMPUTED_VALUE"""),53.99722222222222)</f>
        <v>53.99722222</v>
      </c>
      <c r="LK7" s="1526">
        <f>IFERROR(__xludf.DUMMYFUNCTION("""COMPUTED_VALUE"""),1.25E18)</f>
        <v>1.25E+18</v>
      </c>
      <c r="LL7" s="1494">
        <f>IFERROR(__xludf.DUMMYFUNCTION("""COMPUTED_VALUE"""),83.33333333333333)</f>
        <v>83.33333333</v>
      </c>
      <c r="LM7" s="1495">
        <f>IFERROR(__xludf.DUMMYFUNCTION("""COMPUTED_VALUE"""),1.77E16)</f>
        <v>1.77E+16</v>
      </c>
      <c r="LN7" s="1516">
        <f>IFERROR(__xludf.DUMMYFUNCTION("""COMPUTED_VALUE"""),67.49652777777777)</f>
        <v>67.49652778</v>
      </c>
      <c r="LO7" s="1495">
        <f>IFERROR(__xludf.DUMMYFUNCTION("""COMPUTED_VALUE"""),1.0E18)</f>
        <v>1E+18</v>
      </c>
      <c r="LP7" s="1516">
        <f>IFERROR(__xludf.DUMMYFUNCTION("""COMPUTED_VALUE"""),67.49652777777777)</f>
        <v>67.49652778</v>
      </c>
      <c r="LQ7" s="1495">
        <f>IFERROR(__xludf.DUMMYFUNCTION("""COMPUTED_VALUE"""),1.0E18)</f>
        <v>1E+18</v>
      </c>
      <c r="LR7" s="1516">
        <f>IFERROR(__xludf.DUMMYFUNCTION("""COMPUTED_VALUE"""),67.49652777777777)</f>
        <v>67.49652778</v>
      </c>
      <c r="LS7" s="1495">
        <f>IFERROR(__xludf.DUMMYFUNCTION("""COMPUTED_VALUE"""),1.0E18)</f>
        <v>1E+18</v>
      </c>
      <c r="LT7" s="1516">
        <f>IFERROR(__xludf.DUMMYFUNCTION("""COMPUTED_VALUE"""),67.49652777777777)</f>
        <v>67.49652778</v>
      </c>
      <c r="LU7" s="1495">
        <f>IFERROR(__xludf.DUMMYFUNCTION("""COMPUTED_VALUE"""),1.0E18)</f>
        <v>1E+18</v>
      </c>
      <c r="LV7" s="1516">
        <f>IFERROR(__xludf.DUMMYFUNCTION("""COMPUTED_VALUE"""),67.49652777777777)</f>
        <v>67.49652778</v>
      </c>
      <c r="LW7" s="1495">
        <f>IFERROR(__xludf.DUMMYFUNCTION("""COMPUTED_VALUE"""),1.0E18)</f>
        <v>1E+18</v>
      </c>
      <c r="LX7" s="1516">
        <f>IFERROR(__xludf.DUMMYFUNCTION("""COMPUTED_VALUE"""),80.99583333333334)</f>
        <v>80.99583333</v>
      </c>
      <c r="LY7" s="1517">
        <f>IFERROR(__xludf.DUMMYFUNCTION("""COMPUTED_VALUE"""),2.5E18)</f>
        <v>2.5E+18</v>
      </c>
      <c r="LZ7" s="1516">
        <f>IFERROR(__xludf.DUMMYFUNCTION("""COMPUTED_VALUE"""),80.99583333333334)</f>
        <v>80.99583333</v>
      </c>
      <c r="MA7" s="1517">
        <f>IFERROR(__xludf.DUMMYFUNCTION("""COMPUTED_VALUE"""),2.5E18)</f>
        <v>2.5E+18</v>
      </c>
      <c r="MB7" s="1516">
        <f>IFERROR(__xludf.DUMMYFUNCTION("""COMPUTED_VALUE"""),80.99583333333334)</f>
        <v>80.99583333</v>
      </c>
      <c r="MC7" s="1517">
        <f>IFERROR(__xludf.DUMMYFUNCTION("""COMPUTED_VALUE"""),2.5E18)</f>
        <v>2.5E+18</v>
      </c>
      <c r="MD7" s="1516">
        <f>IFERROR(__xludf.DUMMYFUNCTION("""COMPUTED_VALUE"""),80.99583333333334)</f>
        <v>80.99583333</v>
      </c>
      <c r="ME7" s="1517">
        <f>IFERROR(__xludf.DUMMYFUNCTION("""COMPUTED_VALUE"""),2.5E18)</f>
        <v>2.5E+18</v>
      </c>
      <c r="MF7" s="1516">
        <f>IFERROR(__xludf.DUMMYFUNCTION("""COMPUTED_VALUE"""),70.19652777777777)</f>
        <v>70.19652778</v>
      </c>
      <c r="MG7" s="1517">
        <f>IFERROR(__xludf.DUMMYFUNCTION("""COMPUTED_VALUE"""),5.0625E18)</f>
        <v>5.0625E+18</v>
      </c>
      <c r="MH7" s="1516">
        <f>IFERROR(__xludf.DUMMYFUNCTION("""COMPUTED_VALUE"""),70.19652777777777)</f>
        <v>70.19652778</v>
      </c>
      <c r="MI7" s="1517">
        <f>IFERROR(__xludf.DUMMYFUNCTION("""COMPUTED_VALUE"""),5.0625E18)</f>
        <v>5.0625E+18</v>
      </c>
      <c r="MJ7" s="1516">
        <f>IFERROR(__xludf.DUMMYFUNCTION("""COMPUTED_VALUE"""),70.19652777777777)</f>
        <v>70.19652778</v>
      </c>
      <c r="MK7" s="1517">
        <f>IFERROR(__xludf.DUMMYFUNCTION("""COMPUTED_VALUE"""),5.0625E18)</f>
        <v>5.0625E+18</v>
      </c>
      <c r="ML7" s="1516">
        <f>IFERROR(__xludf.DUMMYFUNCTION("""COMPUTED_VALUE"""),70.19652777777777)</f>
        <v>70.19652778</v>
      </c>
      <c r="MM7" s="1517">
        <f>IFERROR(__xludf.DUMMYFUNCTION("""COMPUTED_VALUE"""),5.0625E18)</f>
        <v>5.0625E+18</v>
      </c>
      <c r="MN7" s="1516">
        <f>IFERROR(__xludf.DUMMYFUNCTION("""COMPUTED_VALUE"""),70.19652777777777)</f>
        <v>70.19652778</v>
      </c>
      <c r="MO7" s="1517">
        <f>IFERROR(__xludf.DUMMYFUNCTION("""COMPUTED_VALUE"""),5.0625E18)</f>
        <v>5.0625E+18</v>
      </c>
      <c r="MP7" s="1516">
        <f>IFERROR(__xludf.DUMMYFUNCTION("""COMPUTED_VALUE"""),70.19652777777777)</f>
        <v>70.19652778</v>
      </c>
      <c r="MQ7" s="1517">
        <f>IFERROR(__xludf.DUMMYFUNCTION("""COMPUTED_VALUE"""),5.0625E18)</f>
        <v>5.0625E+18</v>
      </c>
      <c r="MR7" s="1516">
        <f>IFERROR(__xludf.DUMMYFUNCTION("""COMPUTED_VALUE"""),98.275)</f>
        <v>98.275</v>
      </c>
      <c r="MS7" s="1517">
        <f>IFERROR(__xludf.DUMMYFUNCTION("""COMPUTED_VALUE"""),3.2E19)</f>
        <v>3.2E+19</v>
      </c>
      <c r="MT7" s="1516">
        <f>IFERROR(__xludf.DUMMYFUNCTION("""COMPUTED_VALUE"""),98.275)</f>
        <v>98.275</v>
      </c>
      <c r="MU7" s="1517">
        <f>IFERROR(__xludf.DUMMYFUNCTION("""COMPUTED_VALUE"""),3.2E19)</f>
        <v>3.2E+19</v>
      </c>
      <c r="MV7" s="1516">
        <f>IFERROR(__xludf.DUMMYFUNCTION("""COMPUTED_VALUE"""),98.275)</f>
        <v>98.275</v>
      </c>
      <c r="MW7" s="1517">
        <f>IFERROR(__xludf.DUMMYFUNCTION("""COMPUTED_VALUE"""),3.2E19)</f>
        <v>3.2E+19</v>
      </c>
      <c r="MX7" s="1516">
        <f>IFERROR(__xludf.DUMMYFUNCTION("""COMPUTED_VALUE"""),98.275)</f>
        <v>98.275</v>
      </c>
      <c r="MY7" s="1517">
        <f>IFERROR(__xludf.DUMMYFUNCTION("""COMPUTED_VALUE"""),3.2E19)</f>
        <v>3.2E+19</v>
      </c>
    </row>
    <row r="8">
      <c r="A8" s="1465">
        <f>IFERROR(__xludf.DUMMYFUNCTION("""COMPUTED_VALUE"""),6.0)</f>
        <v>6</v>
      </c>
      <c r="B8" s="1466">
        <f>IFERROR(__xludf.DUMMYFUNCTION("""COMPUTED_VALUE"""),14.073611111111111)</f>
        <v>14.07361111</v>
      </c>
      <c r="C8" s="1467">
        <f>IFERROR(__xludf.DUMMYFUNCTION("""COMPUTED_VALUE"""),500000.0)</f>
        <v>500000</v>
      </c>
      <c r="D8" s="1466">
        <f>IFERROR(__xludf.DUMMYFUNCTION("""COMPUTED_VALUE"""),0.05555555555555555)</f>
        <v>0.05555555556</v>
      </c>
      <c r="E8" s="1467">
        <f>IFERROR(__xludf.DUMMYFUNCTION("""COMPUTED_VALUE"""),1340.0)</f>
        <v>1340</v>
      </c>
      <c r="F8" s="1466">
        <f>IFERROR(__xludf.DUMMYFUNCTION("""COMPUTED_VALUE"""),0.05555555555555555)</f>
        <v>0.05555555556</v>
      </c>
      <c r="G8" s="1468">
        <f>IFERROR(__xludf.DUMMYFUNCTION("""COMPUTED_VALUE"""),1340.0)</f>
        <v>1340</v>
      </c>
      <c r="H8" s="1466">
        <f>IFERROR(__xludf.DUMMYFUNCTION("""COMPUTED_VALUE"""),0.05555555555555555)</f>
        <v>0.05555555556</v>
      </c>
      <c r="I8" s="1467">
        <f>IFERROR(__xludf.DUMMYFUNCTION("""COMPUTED_VALUE"""),1340.0)</f>
        <v>1340</v>
      </c>
      <c r="J8" s="1466">
        <f>IFERROR(__xludf.DUMMYFUNCTION("""COMPUTED_VALUE"""),0.05555555555555555)</f>
        <v>0.05555555556</v>
      </c>
      <c r="K8" s="1467">
        <f>IFERROR(__xludf.DUMMYFUNCTION("""COMPUTED_VALUE"""),1340.0)</f>
        <v>1340</v>
      </c>
      <c r="L8" s="1466">
        <f>IFERROR(__xludf.DUMMYFUNCTION("""COMPUTED_VALUE"""),0.07777777777777778)</f>
        <v>0.07777777778</v>
      </c>
      <c r="M8" s="1469">
        <f>IFERROR(__xludf.DUMMYFUNCTION("""COMPUTED_VALUE"""),2070.0)</f>
        <v>2070</v>
      </c>
      <c r="N8" s="1470">
        <f>IFERROR(__xludf.DUMMYFUNCTION("""COMPUTED_VALUE"""),0.07083333333333333)</f>
        <v>0.07083333333</v>
      </c>
      <c r="O8" s="1467">
        <f>IFERROR(__xludf.DUMMYFUNCTION("""COMPUTED_VALUE"""),2100.0)</f>
        <v>2100</v>
      </c>
      <c r="P8" s="1518"/>
      <c r="Q8" s="1519"/>
      <c r="R8" s="1518"/>
      <c r="S8" s="1519"/>
      <c r="T8" s="1518"/>
      <c r="U8" s="1519"/>
      <c r="V8" s="1518"/>
      <c r="W8" s="1519"/>
      <c r="X8" s="1518"/>
      <c r="Y8" s="1519"/>
      <c r="Z8" s="1518"/>
      <c r="AA8" s="1519"/>
      <c r="AB8" s="1518"/>
      <c r="AC8" s="1519"/>
      <c r="AD8" s="1466">
        <f>IFERROR(__xludf.DUMMYFUNCTION("""COMPUTED_VALUE"""),6.479166666666667)</f>
        <v>6.479166667</v>
      </c>
      <c r="AE8" s="1474">
        <f>IFERROR(__xludf.DUMMYFUNCTION("""COMPUTED_VALUE"""),3.71293E9)</f>
        <v>3712930000</v>
      </c>
      <c r="AF8" s="1466">
        <f>IFERROR(__xludf.DUMMYFUNCTION("""COMPUTED_VALUE"""),6.479166666666667)</f>
        <v>6.479166667</v>
      </c>
      <c r="AG8" s="1474">
        <f>IFERROR(__xludf.DUMMYFUNCTION("""COMPUTED_VALUE"""),3.71293E9)</f>
        <v>3712930000</v>
      </c>
      <c r="AH8" s="1466">
        <f>IFERROR(__xludf.DUMMYFUNCTION("""COMPUTED_VALUE"""),6.479166666666667)</f>
        <v>6.479166667</v>
      </c>
      <c r="AI8" s="1474">
        <f>IFERROR(__xludf.DUMMYFUNCTION("""COMPUTED_VALUE"""),3.71293E9)</f>
        <v>3712930000</v>
      </c>
      <c r="AJ8" s="1475">
        <f>IFERROR(__xludf.DUMMYFUNCTION("""COMPUTED_VALUE"""),0.05555555555555555)</f>
        <v>0.05555555556</v>
      </c>
      <c r="AK8" s="1476">
        <f>IFERROR(__xludf.DUMMYFUNCTION("""COMPUTED_VALUE"""),1340.0)</f>
        <v>1340</v>
      </c>
      <c r="AL8" s="1475">
        <f>IFERROR(__xludf.DUMMYFUNCTION("""COMPUTED_VALUE"""),0.05555555555555555)</f>
        <v>0.05555555556</v>
      </c>
      <c r="AM8" s="1476">
        <f>IFERROR(__xludf.DUMMYFUNCTION("""COMPUTED_VALUE"""),1340.0)</f>
        <v>1340</v>
      </c>
      <c r="AN8" s="1475">
        <f>IFERROR(__xludf.DUMMYFUNCTION("""COMPUTED_VALUE"""),0.05555555555555555)</f>
        <v>0.05555555556</v>
      </c>
      <c r="AO8" s="1476">
        <f>IFERROR(__xludf.DUMMYFUNCTION("""COMPUTED_VALUE"""),1340.0)</f>
        <v>1340</v>
      </c>
      <c r="AP8" s="1475">
        <f>IFERROR(__xludf.DUMMYFUNCTION("""COMPUTED_VALUE"""),0.05555555555555555)</f>
        <v>0.05555555556</v>
      </c>
      <c r="AQ8" s="1476">
        <f>IFERROR(__xludf.DUMMYFUNCTION("""COMPUTED_VALUE"""),1340.0)</f>
        <v>1340</v>
      </c>
      <c r="AR8" s="1475">
        <f>IFERROR(__xludf.DUMMYFUNCTION("""COMPUTED_VALUE"""),0.05555555555555555)</f>
        <v>0.05555555556</v>
      </c>
      <c r="AS8" s="1476">
        <f>IFERROR(__xludf.DUMMYFUNCTION("""COMPUTED_VALUE"""),1350.0)</f>
        <v>1350</v>
      </c>
      <c r="AT8" s="1475">
        <f>IFERROR(__xludf.DUMMYFUNCTION("""COMPUTED_VALUE"""),4.749305555555556)</f>
        <v>4.749305556</v>
      </c>
      <c r="AU8" s="1476">
        <f>IFERROR(__xludf.DUMMYFUNCTION("""COMPUTED_VALUE"""),3130000.0)</f>
        <v>3130000</v>
      </c>
      <c r="AV8" s="1475">
        <f>IFERROR(__xludf.DUMMYFUNCTION("""COMPUTED_VALUE"""),4.5569444444444445)</f>
        <v>4.556944444</v>
      </c>
      <c r="AW8" s="1476">
        <f>IFERROR(__xludf.DUMMYFUNCTION("""COMPUTED_VALUE"""),3130000.0)</f>
        <v>3130000</v>
      </c>
      <c r="AX8" s="1475">
        <f>IFERROR(__xludf.DUMMYFUNCTION("""COMPUTED_VALUE"""),6.393055555555556)</f>
        <v>6.393055556</v>
      </c>
      <c r="AY8" s="1476">
        <f>IFERROR(__xludf.DUMMYFUNCTION("""COMPUTED_VALUE"""),4.0023E11)</f>
        <v>400230000000</v>
      </c>
      <c r="AZ8" s="1518"/>
      <c r="BA8" s="1518"/>
      <c r="BB8" s="1477">
        <f>IFERROR(__xludf.DUMMYFUNCTION("""COMPUTED_VALUE"""),0.05555555555555555)</f>
        <v>0.05555555556</v>
      </c>
      <c r="BC8" s="1478">
        <f>IFERROR(__xludf.DUMMYFUNCTION("""COMPUTED_VALUE"""),1340.0)</f>
        <v>1340</v>
      </c>
      <c r="BD8" s="1477">
        <f>IFERROR(__xludf.DUMMYFUNCTION("""COMPUTED_VALUE"""),0.05555555555555555)</f>
        <v>0.05555555556</v>
      </c>
      <c r="BE8" s="1478">
        <f>IFERROR(__xludf.DUMMYFUNCTION("""COMPUTED_VALUE"""),1340.0)</f>
        <v>1340</v>
      </c>
      <c r="BF8" s="1477">
        <f>IFERROR(__xludf.DUMMYFUNCTION("""COMPUTED_VALUE"""),0.05555555555555555)</f>
        <v>0.05555555556</v>
      </c>
      <c r="BG8" s="1478">
        <f>IFERROR(__xludf.DUMMYFUNCTION("""COMPUTED_VALUE"""),1340.0)</f>
        <v>1340</v>
      </c>
      <c r="BH8" s="1477">
        <f>IFERROR(__xludf.DUMMYFUNCTION("""COMPUTED_VALUE"""),0.37916666666666665)</f>
        <v>0.3791666667</v>
      </c>
      <c r="BI8" s="1478">
        <f>IFERROR(__xludf.DUMMYFUNCTION("""COMPUTED_VALUE"""),637500.0)</f>
        <v>637500</v>
      </c>
      <c r="BJ8" s="1477">
        <f>IFERROR(__xludf.DUMMYFUNCTION("""COMPUTED_VALUE"""),0.5951388888888889)</f>
        <v>0.5951388889</v>
      </c>
      <c r="BK8" s="1478">
        <f>IFERROR(__xludf.DUMMYFUNCTION("""COMPUTED_VALUE"""),3700000.0)</f>
        <v>3700000</v>
      </c>
      <c r="BL8" s="1477">
        <f>IFERROR(__xludf.DUMMYFUNCTION("""COMPUTED_VALUE"""),0.9902777777777778)</f>
        <v>0.9902777778</v>
      </c>
      <c r="BM8" s="1478">
        <f>IFERROR(__xludf.DUMMYFUNCTION("""COMPUTED_VALUE"""),1.018E7)</f>
        <v>10180000</v>
      </c>
      <c r="BN8" s="1477">
        <f>IFERROR(__xludf.DUMMYFUNCTION("""COMPUTED_VALUE"""),0.9902777777777778)</f>
        <v>0.9902777778</v>
      </c>
      <c r="BO8" s="1478">
        <f>IFERROR(__xludf.DUMMYFUNCTION("""COMPUTED_VALUE"""),1.018E7)</f>
        <v>10180000</v>
      </c>
      <c r="BP8" s="1477">
        <f>IFERROR(__xludf.DUMMYFUNCTION("""COMPUTED_VALUE"""),1.2138888888888888)</f>
        <v>1.213888889</v>
      </c>
      <c r="BQ8" s="1478">
        <f>IFERROR(__xludf.DUMMYFUNCTION("""COMPUTED_VALUE"""),1.027E7)</f>
        <v>10270000</v>
      </c>
      <c r="BR8" s="1477">
        <f>IFERROR(__xludf.DUMMYFUNCTION("""COMPUTED_VALUE"""),3.1590277777777778)</f>
        <v>3.159027778</v>
      </c>
      <c r="BS8" s="1478">
        <f>IFERROR(__xludf.DUMMYFUNCTION("""COMPUTED_VALUE"""),5.06E9)</f>
        <v>5060000000</v>
      </c>
      <c r="BT8" s="1479">
        <f>IFERROR(__xludf.DUMMYFUNCTION("""COMPUTED_VALUE"""),0.28125)</f>
        <v>0.28125</v>
      </c>
      <c r="BU8" s="1480">
        <f>IFERROR(__xludf.DUMMYFUNCTION("""COMPUTED_VALUE"""),2.02E9)</f>
        <v>2020000000</v>
      </c>
      <c r="BV8" s="1479">
        <f>IFERROR(__xludf.DUMMYFUNCTION("""COMPUTED_VALUE"""),3.1590277777777778)</f>
        <v>3.159027778</v>
      </c>
      <c r="BW8" s="1480">
        <f>IFERROR(__xludf.DUMMYFUNCTION("""COMPUTED_VALUE"""),3.55E9)</f>
        <v>3550000000</v>
      </c>
      <c r="BX8" s="1479">
        <f>IFERROR(__xludf.DUMMYFUNCTION("""COMPUTED_VALUE"""),3.1354166666666665)</f>
        <v>3.135416667</v>
      </c>
      <c r="BY8" s="1480">
        <f>IFERROR(__xludf.DUMMYFUNCTION("""COMPUTED_VALUE"""),5.681E10)</f>
        <v>56810000000</v>
      </c>
      <c r="BZ8" s="1479">
        <f>IFERROR(__xludf.DUMMYFUNCTION("""COMPUTED_VALUE"""),3.713888888888889)</f>
        <v>3.713888889</v>
      </c>
      <c r="CA8" s="1480">
        <f>IFERROR(__xludf.DUMMYFUNCTION("""COMPUTED_VALUE"""),7.181E10)</f>
        <v>71810000000</v>
      </c>
      <c r="CB8" s="1479">
        <f>IFERROR(__xludf.DUMMYFUNCTION("""COMPUTED_VALUE"""),7.186111111111112)</f>
        <v>7.186111111</v>
      </c>
      <c r="CC8" s="1480">
        <f>IFERROR(__xludf.DUMMYFUNCTION("""COMPUTED_VALUE"""),5.6313E11)</f>
        <v>563130000000</v>
      </c>
      <c r="CD8" s="1477">
        <f>IFERROR(__xludf.DUMMYFUNCTION("""COMPUTED_VALUE"""),2.898125)</f>
        <v>2.898125</v>
      </c>
      <c r="CE8" s="1481">
        <f>IFERROR(__xludf.DUMMYFUNCTION("""COMPUTED_VALUE"""),3.0635E11)</f>
        <v>306350000000</v>
      </c>
      <c r="CF8" s="1477">
        <f>IFERROR(__xludf.DUMMYFUNCTION("""COMPUTED_VALUE"""),2.314699074074074)</f>
        <v>2.314699074</v>
      </c>
      <c r="CG8" s="1481">
        <f>IFERROR(__xludf.DUMMYFUNCTION("""COMPUTED_VALUE"""),89500.0)</f>
        <v>89500</v>
      </c>
      <c r="CH8" s="1482">
        <f>IFERROR(__xludf.DUMMYFUNCTION("""COMPUTED_VALUE"""),0.05555555555555555)</f>
        <v>0.05555555556</v>
      </c>
      <c r="CI8" s="1483">
        <f>IFERROR(__xludf.DUMMYFUNCTION("""COMPUTED_VALUE"""),1350.0)</f>
        <v>1350</v>
      </c>
      <c r="CJ8" s="1482">
        <f>IFERROR(__xludf.DUMMYFUNCTION("""COMPUTED_VALUE"""),0.05555555555555555)</f>
        <v>0.05555555556</v>
      </c>
      <c r="CK8" s="1483">
        <f>IFERROR(__xludf.DUMMYFUNCTION("""COMPUTED_VALUE"""),1350.0)</f>
        <v>1350</v>
      </c>
      <c r="CL8" s="1482">
        <f>IFERROR(__xludf.DUMMYFUNCTION("""COMPUTED_VALUE"""),0.05555555555555555)</f>
        <v>0.05555555556</v>
      </c>
      <c r="CM8" s="1483">
        <f>IFERROR(__xludf.DUMMYFUNCTION("""COMPUTED_VALUE"""),1350.0)</f>
        <v>1350</v>
      </c>
      <c r="CN8" s="1482">
        <f>IFERROR(__xludf.DUMMYFUNCTION("""COMPUTED_VALUE"""),0.05555555555555555)</f>
        <v>0.05555555556</v>
      </c>
      <c r="CO8" s="1483">
        <f>IFERROR(__xludf.DUMMYFUNCTION("""COMPUTED_VALUE"""),1350.0)</f>
        <v>1350</v>
      </c>
      <c r="CP8" s="1482">
        <f>IFERROR(__xludf.DUMMYFUNCTION("""COMPUTED_VALUE"""),0.08194444444444444)</f>
        <v>0.08194444444</v>
      </c>
      <c r="CQ8" s="1483">
        <f>IFERROR(__xludf.DUMMYFUNCTION("""COMPUTED_VALUE"""),2110.0)</f>
        <v>2110</v>
      </c>
      <c r="CR8" s="1482">
        <f>IFERROR(__xludf.DUMMYFUNCTION("""COMPUTED_VALUE"""),0.7993055555555556)</f>
        <v>0.7993055556</v>
      </c>
      <c r="CS8" s="1483">
        <f>IFERROR(__xludf.DUMMYFUNCTION("""COMPUTED_VALUE"""),20020.0)</f>
        <v>20020</v>
      </c>
      <c r="CT8" s="1520"/>
      <c r="CU8" s="1519"/>
      <c r="CV8" s="1484">
        <f>IFERROR(__xludf.DUMMYFUNCTION("""COMPUTED_VALUE"""),4.316666666666667)</f>
        <v>4.316666667</v>
      </c>
      <c r="CW8" s="1485">
        <f>IFERROR(__xludf.DUMMYFUNCTION("""COMPUTED_VALUE"""),4.726E10)</f>
        <v>47260000000</v>
      </c>
      <c r="CX8" s="1484">
        <f>IFERROR(__xludf.DUMMYFUNCTION("""COMPUTED_VALUE"""),4.316666666666667)</f>
        <v>4.316666667</v>
      </c>
      <c r="CY8" s="1485">
        <f>IFERROR(__xludf.DUMMYFUNCTION("""COMPUTED_VALUE"""),4.726E10)</f>
        <v>47260000000</v>
      </c>
      <c r="CZ8" s="1484">
        <f>IFERROR(__xludf.DUMMYFUNCTION("""COMPUTED_VALUE"""),4.316666666666667)</f>
        <v>4.316666667</v>
      </c>
      <c r="DA8" s="1485">
        <f>IFERROR(__xludf.DUMMYFUNCTION("""COMPUTED_VALUE"""),4.726E10)</f>
        <v>47260000000</v>
      </c>
      <c r="DB8" s="1484">
        <f>IFERROR(__xludf.DUMMYFUNCTION("""COMPUTED_VALUE"""),2.5701388888888888)</f>
        <v>2.570138889</v>
      </c>
      <c r="DC8" s="1485">
        <f>IFERROR(__xludf.DUMMYFUNCTION("""COMPUTED_VALUE"""),2.8E9)</f>
        <v>2800000000</v>
      </c>
      <c r="DD8" s="1484">
        <f>IFERROR(__xludf.DUMMYFUNCTION("""COMPUTED_VALUE"""),2.5701388888888888)</f>
        <v>2.570138889</v>
      </c>
      <c r="DE8" s="1485">
        <f>IFERROR(__xludf.DUMMYFUNCTION("""COMPUTED_VALUE"""),2.8E9)</f>
        <v>2800000000</v>
      </c>
      <c r="DF8" s="1486">
        <f>IFERROR(__xludf.DUMMYFUNCTION("""COMPUTED_VALUE"""),1.7541666666666667)</f>
        <v>1.754166667</v>
      </c>
      <c r="DG8" s="1487">
        <f>IFERROR(__xludf.DUMMYFUNCTION("""COMPUTED_VALUE"""),1.05E7)</f>
        <v>10500000</v>
      </c>
      <c r="DH8" s="1518"/>
      <c r="DI8" s="1519"/>
      <c r="DJ8" s="1486">
        <f>IFERROR(__xludf.DUMMYFUNCTION("""COMPUTED_VALUE"""),2.5409722222222224)</f>
        <v>2.540972222</v>
      </c>
      <c r="DK8" s="1487">
        <f>IFERROR(__xludf.DUMMYFUNCTION("""COMPUTED_VALUE"""),1.105E7)</f>
        <v>11050000</v>
      </c>
      <c r="DL8" s="1486">
        <f>IFERROR(__xludf.DUMMYFUNCTION("""COMPUTED_VALUE"""),1.7541666666666667)</f>
        <v>1.754166667</v>
      </c>
      <c r="DM8" s="1487">
        <f>IFERROR(__xludf.DUMMYFUNCTION("""COMPUTED_VALUE"""),1.05E7)</f>
        <v>10500000</v>
      </c>
      <c r="DN8" s="1518"/>
      <c r="DO8" s="1519"/>
      <c r="DP8" s="1486">
        <f>IFERROR(__xludf.DUMMYFUNCTION("""COMPUTED_VALUE"""),1.7541666666666667)</f>
        <v>1.754166667</v>
      </c>
      <c r="DQ8" s="1487">
        <f>IFERROR(__xludf.DUMMYFUNCTION("""COMPUTED_VALUE"""),1.05E7)</f>
        <v>10500000</v>
      </c>
      <c r="DR8" s="1486">
        <f>IFERROR(__xludf.DUMMYFUNCTION("""COMPUTED_VALUE"""),1.7541666666666667)</f>
        <v>1.754166667</v>
      </c>
      <c r="DS8" s="1487">
        <f>IFERROR(__xludf.DUMMYFUNCTION("""COMPUTED_VALUE"""),1.05E7)</f>
        <v>10500000</v>
      </c>
      <c r="DT8" s="1518"/>
      <c r="DU8" s="1519"/>
      <c r="DV8" s="1486">
        <f>IFERROR(__xludf.DUMMYFUNCTION("""COMPUTED_VALUE"""),1.7541666666666667)</f>
        <v>1.754166667</v>
      </c>
      <c r="DW8" s="1487">
        <f>IFERROR(__xludf.DUMMYFUNCTION("""COMPUTED_VALUE"""),1.05E7)</f>
        <v>10500000</v>
      </c>
      <c r="DX8" s="1486">
        <f>IFERROR(__xludf.DUMMYFUNCTION("""COMPUTED_VALUE"""),1.7541666666666667)</f>
        <v>1.754166667</v>
      </c>
      <c r="DY8" s="1487">
        <f>IFERROR(__xludf.DUMMYFUNCTION("""COMPUTED_VALUE"""),1.05E7)</f>
        <v>10500000</v>
      </c>
      <c r="DZ8" s="1486">
        <f>IFERROR(__xludf.DUMMYFUNCTION("""COMPUTED_VALUE"""),3.629166666666667)</f>
        <v>3.629166667</v>
      </c>
      <c r="EA8" s="1487">
        <f>IFERROR(__xludf.DUMMYFUNCTION("""COMPUTED_VALUE"""),2.029E7)</f>
        <v>20290000</v>
      </c>
      <c r="EB8" s="1486">
        <f>IFERROR(__xludf.DUMMYFUNCTION("""COMPUTED_VALUE"""),3.629166666666667)</f>
        <v>3.629166667</v>
      </c>
      <c r="EC8" s="1487">
        <f>IFERROR(__xludf.DUMMYFUNCTION("""COMPUTED_VALUE"""),2.029E7)</f>
        <v>20290000</v>
      </c>
      <c r="ED8" s="1518"/>
      <c r="EE8" s="1519"/>
      <c r="EF8" s="1486">
        <f>IFERROR(__xludf.DUMMYFUNCTION("""COMPUTED_VALUE"""),2.7958333333333334)</f>
        <v>2.795833333</v>
      </c>
      <c r="EG8" s="1487">
        <f>IFERROR(__xludf.DUMMYFUNCTION("""COMPUTED_VALUE"""),1.954E7)</f>
        <v>19540000</v>
      </c>
      <c r="EH8" s="1486">
        <f>IFERROR(__xludf.DUMMYFUNCTION("""COMPUTED_VALUE"""),2.7958333333333334)</f>
        <v>2.795833333</v>
      </c>
      <c r="EI8" s="1487">
        <f>IFERROR(__xludf.DUMMYFUNCTION("""COMPUTED_VALUE"""),1.954E7)</f>
        <v>19540000</v>
      </c>
      <c r="EJ8" s="1486">
        <f>IFERROR(__xludf.DUMMYFUNCTION("""COMPUTED_VALUE"""),2.795891203703704)</f>
        <v>2.795891204</v>
      </c>
      <c r="EK8" s="1487">
        <f>IFERROR(__xludf.DUMMYFUNCTION("""COMPUTED_VALUE"""),1.954E7)</f>
        <v>19540000</v>
      </c>
      <c r="EL8" s="1486">
        <f>IFERROR(__xludf.DUMMYFUNCTION("""COMPUTED_VALUE"""),2.795891203703704)</f>
        <v>2.795891204</v>
      </c>
      <c r="EM8" s="1487">
        <f>IFERROR(__xludf.DUMMYFUNCTION("""COMPUTED_VALUE"""),1.954E7)</f>
        <v>19540000</v>
      </c>
      <c r="EN8" s="1486">
        <f>IFERROR(__xludf.DUMMYFUNCTION("""COMPUTED_VALUE"""),2.7958333333333334)</f>
        <v>2.795833333</v>
      </c>
      <c r="EO8" s="1487">
        <f>IFERROR(__xludf.DUMMYFUNCTION("""COMPUTED_VALUE"""),1.954E7)</f>
        <v>19540000</v>
      </c>
      <c r="EP8" s="1486">
        <f>IFERROR(__xludf.DUMMYFUNCTION("""COMPUTED_VALUE"""),2.7958333333333334)</f>
        <v>2.795833333</v>
      </c>
      <c r="EQ8" s="1487">
        <f>IFERROR(__xludf.DUMMYFUNCTION("""COMPUTED_VALUE"""),1.954E7)</f>
        <v>19540000</v>
      </c>
      <c r="ER8" s="1486">
        <f>IFERROR(__xludf.DUMMYFUNCTION("""COMPUTED_VALUE"""),2.7958333333333334)</f>
        <v>2.795833333</v>
      </c>
      <c r="ES8" s="1487">
        <f>IFERROR(__xludf.DUMMYFUNCTION("""COMPUTED_VALUE"""),1.954E7)</f>
        <v>19540000</v>
      </c>
      <c r="ET8" s="1486">
        <f>IFERROR(__xludf.DUMMYFUNCTION("""COMPUTED_VALUE"""),2.7958333333333334)</f>
        <v>2.795833333</v>
      </c>
      <c r="EU8" s="1487">
        <f>IFERROR(__xludf.DUMMYFUNCTION("""COMPUTED_VALUE"""),2.004E7)</f>
        <v>20040000</v>
      </c>
      <c r="EV8" s="1518"/>
      <c r="EW8" s="1519"/>
      <c r="EX8" s="1486">
        <f>IFERROR(__xludf.DUMMYFUNCTION("""COMPUTED_VALUE"""),6.057638888888889)</f>
        <v>6.057638889</v>
      </c>
      <c r="EY8" s="1487">
        <f>IFERROR(__xludf.DUMMYFUNCTION("""COMPUTED_VALUE"""),3.408E7)</f>
        <v>34080000</v>
      </c>
      <c r="EZ8" s="1518"/>
      <c r="FA8" s="1521"/>
      <c r="FB8" s="1486">
        <f>IFERROR(__xludf.DUMMYFUNCTION("""COMPUTED_VALUE"""),3.629166666666667)</f>
        <v>3.629166667</v>
      </c>
      <c r="FC8" s="1487">
        <f>IFERROR(__xludf.DUMMYFUNCTION("""COMPUTED_VALUE"""),4.179E7)</f>
        <v>41790000</v>
      </c>
      <c r="FD8" s="1520"/>
      <c r="FE8" s="1519"/>
      <c r="FF8" s="1486">
        <f>IFERROR(__xludf.DUMMYFUNCTION("""COMPUTED_VALUE"""),3.629166666666667)</f>
        <v>3.629166667</v>
      </c>
      <c r="FG8" s="1488">
        <f>IFERROR(__xludf.DUMMYFUNCTION("""COMPUTED_VALUE"""),5.8248649E7)</f>
        <v>58248649</v>
      </c>
      <c r="FH8" s="1486">
        <f>IFERROR(__xludf.DUMMYFUNCTION("""COMPUTED_VALUE"""),3.629166666666667)</f>
        <v>3.629166667</v>
      </c>
      <c r="FI8" s="1488">
        <f>IFERROR(__xludf.DUMMYFUNCTION("""COMPUTED_VALUE"""),5.8248649E7)</f>
        <v>58248649</v>
      </c>
      <c r="FJ8" s="1486">
        <f>IFERROR(__xludf.DUMMYFUNCTION("""COMPUTED_VALUE"""),8.628912037037036)</f>
        <v>8.628912037</v>
      </c>
      <c r="FK8" s="1487">
        <f>IFERROR(__xludf.DUMMYFUNCTION("""COMPUTED_VALUE"""),2.19286486E8)</f>
        <v>219286486</v>
      </c>
      <c r="FL8" s="1518"/>
      <c r="FM8" s="1519"/>
      <c r="FN8" s="1489">
        <f>IFERROR(__xludf.DUMMYFUNCTION("""COMPUTED_VALUE"""),24.81190972222222)</f>
        <v>24.81190972</v>
      </c>
      <c r="FO8" s="1487">
        <f>IFERROR(__xludf.DUMMYFUNCTION("""COMPUTED_VALUE"""),3.07E12)</f>
        <v>3070000000000</v>
      </c>
      <c r="FP8" s="1486">
        <f>IFERROR(__xludf.DUMMYFUNCTION("""COMPUTED_VALUE"""),14.686168981481481)</f>
        <v>14.68616898</v>
      </c>
      <c r="FQ8" s="1488">
        <f>IFERROR(__xludf.DUMMYFUNCTION("""COMPUTED_VALUE"""),7.5938E11)</f>
        <v>759380000000</v>
      </c>
      <c r="FR8" s="1490">
        <f>IFERROR(__xludf.DUMMYFUNCTION("""COMPUTED_VALUE"""),14.686168981481481)</f>
        <v>14.68616898</v>
      </c>
      <c r="FS8" s="1488">
        <f>IFERROR(__xludf.DUMMYFUNCTION("""COMPUTED_VALUE"""),7.5938E11)</f>
        <v>759380000000</v>
      </c>
      <c r="FT8" s="1486">
        <f>IFERROR(__xludf.DUMMYFUNCTION("""COMPUTED_VALUE"""),14.686168981481481)</f>
        <v>14.68616898</v>
      </c>
      <c r="FU8" s="1488">
        <f>IFERROR(__xludf.DUMMYFUNCTION("""COMPUTED_VALUE"""),7.5938E11)</f>
        <v>759380000000</v>
      </c>
      <c r="FV8" s="1486">
        <f>IFERROR(__xludf.DUMMYFUNCTION("""COMPUTED_VALUE"""),14.686168981481481)</f>
        <v>14.68616898</v>
      </c>
      <c r="FW8" s="1488">
        <f>IFERROR(__xludf.DUMMYFUNCTION("""COMPUTED_VALUE"""),7.5938E11)</f>
        <v>759380000000</v>
      </c>
      <c r="FX8" s="1491">
        <f>IFERROR(__xludf.DUMMYFUNCTION("""COMPUTED_VALUE"""),5.720185185185185)</f>
        <v>5.720185185</v>
      </c>
      <c r="FY8" s="1492">
        <f>IFERROR(__xludf.DUMMYFUNCTION("""COMPUTED_VALUE"""),7.59E9)</f>
        <v>7590000000</v>
      </c>
      <c r="FZ8" s="1491">
        <f>IFERROR(__xludf.DUMMYFUNCTION("""COMPUTED_VALUE"""),14.68619212962963)</f>
        <v>14.68619213</v>
      </c>
      <c r="GA8" s="1492">
        <f>IFERROR(__xludf.DUMMYFUNCTION("""COMPUTED_VALUE"""),7.59375E11)</f>
        <v>759375000000</v>
      </c>
      <c r="GB8" s="1493">
        <f>IFERROR(__xludf.DUMMYFUNCTION("""COMPUTED_VALUE"""),25.882060185185185)</f>
        <v>25.88206019</v>
      </c>
      <c r="GC8" s="1492">
        <f>IFERROR(__xludf.DUMMYFUNCTION("""COMPUTED_VALUE"""),5.77E12)</f>
        <v>5770000000000</v>
      </c>
      <c r="GD8" s="1486">
        <f>IFERROR(__xludf.DUMMYFUNCTION("""COMPUTED_VALUE"""),100.0)</f>
        <v>100</v>
      </c>
      <c r="GE8" s="1488">
        <f>IFERROR(__xludf.DUMMYFUNCTION("""COMPUTED_VALUE"""),3.62E16)</f>
        <v>3.62E+16</v>
      </c>
      <c r="GF8" s="1518"/>
      <c r="GG8" s="1519"/>
      <c r="GH8" s="1494">
        <f>IFERROR(__xludf.DUMMYFUNCTION("""COMPUTED_VALUE"""),2.004166666666667)</f>
        <v>2.004166667</v>
      </c>
      <c r="GI8" s="1495">
        <f>IFERROR(__xludf.DUMMYFUNCTION("""COMPUTED_VALUE"""),3.525E7)</f>
        <v>35250000</v>
      </c>
      <c r="GJ8" s="1518"/>
      <c r="GK8" s="1519"/>
      <c r="GL8" s="1518"/>
      <c r="GM8" s="1519"/>
      <c r="GN8" s="1520"/>
      <c r="GO8" s="1519"/>
      <c r="GP8" s="1496">
        <f>IFERROR(__xludf.DUMMYFUNCTION("""COMPUTED_VALUE"""),2.1708333333333334)</f>
        <v>2.170833333</v>
      </c>
      <c r="GQ8" s="1497">
        <f>IFERROR(__xludf.DUMMYFUNCTION("""COMPUTED_VALUE"""),9.26E9)</f>
        <v>9260000000</v>
      </c>
      <c r="GR8" s="1498">
        <f>IFERROR(__xludf.DUMMYFUNCTION("""COMPUTED_VALUE"""),24.81190972222222)</f>
        <v>24.81190972</v>
      </c>
      <c r="GS8" s="1497">
        <f>IFERROR(__xludf.DUMMYFUNCTION("""COMPUTED_VALUE"""),3.07E12)</f>
        <v>3070000000000</v>
      </c>
      <c r="GT8" s="1498">
        <f>IFERROR(__xludf.DUMMYFUNCTION("""COMPUTED_VALUE"""),24.81190972222222)</f>
        <v>24.81190972</v>
      </c>
      <c r="GU8" s="1497">
        <f>IFERROR(__xludf.DUMMYFUNCTION("""COMPUTED_VALUE"""),3.07E12)</f>
        <v>3070000000000</v>
      </c>
      <c r="GV8" s="1498">
        <f>IFERROR(__xludf.DUMMYFUNCTION("""COMPUTED_VALUE"""),24.81190972222222)</f>
        <v>24.81190972</v>
      </c>
      <c r="GW8" s="1497">
        <f>IFERROR(__xludf.DUMMYFUNCTION("""COMPUTED_VALUE"""),3.07E12)</f>
        <v>3070000000000</v>
      </c>
      <c r="GX8" s="1499">
        <f>IFERROR(__xludf.DUMMYFUNCTION("""COMPUTED_VALUE"""),72.91666666666667)</f>
        <v>72.91666667</v>
      </c>
      <c r="GY8" s="1500">
        <f>IFERROR(__xludf.DUMMYFUNCTION("""COMPUTED_VALUE"""),7.7E15)</f>
        <v>7.7E+15</v>
      </c>
      <c r="GZ8" s="1518"/>
      <c r="HA8" s="1519"/>
      <c r="HB8" s="1501">
        <f>IFERROR(__xludf.DUMMYFUNCTION("""COMPUTED_VALUE"""),0.9902777777777778)</f>
        <v>0.9902777778</v>
      </c>
      <c r="HC8" s="1502">
        <f>IFERROR(__xludf.DUMMYFUNCTION("""COMPUTED_VALUE"""),6.31E7)</f>
        <v>63100000</v>
      </c>
      <c r="HD8" s="1518"/>
      <c r="HE8" s="1519"/>
      <c r="HF8" s="1501">
        <f>IFERROR(__xludf.DUMMYFUNCTION("""COMPUTED_VALUE"""),1.1055555555555556)</f>
        <v>1.105555556</v>
      </c>
      <c r="HG8" s="1502">
        <f>IFERROR(__xludf.DUMMYFUNCTION("""COMPUTED_VALUE"""),9.46E7)</f>
        <v>94600000</v>
      </c>
      <c r="HH8" s="1518"/>
      <c r="HI8" s="1519"/>
      <c r="HJ8" s="1518"/>
      <c r="HK8" s="1519"/>
      <c r="HL8" s="1530">
        <f>IFERROR(__xludf.DUMMYFUNCTION("""COMPUTED_VALUE"""),83.33333333333333)</f>
        <v>83.33333333</v>
      </c>
      <c r="HM8" s="1502">
        <f>IFERROR(__xludf.DUMMYFUNCTION("""COMPUTED_VALUE"""),1.0E12)</f>
        <v>1000000000000</v>
      </c>
      <c r="HN8" s="1501">
        <f>IFERROR(__xludf.DUMMYFUNCTION("""COMPUTED_VALUE"""),4.200694444444444)</f>
        <v>4.200694444</v>
      </c>
      <c r="HO8" s="1502">
        <f>IFERROR(__xludf.DUMMYFUNCTION("""COMPUTED_VALUE"""),1.25E9)</f>
        <v>1250000000</v>
      </c>
      <c r="HP8" s="1501">
        <f>IFERROR(__xludf.DUMMYFUNCTION("""COMPUTED_VALUE"""),3.7639814814814816)</f>
        <v>3.763981481</v>
      </c>
      <c r="HQ8" s="1503">
        <f>IFERROR(__xludf.DUMMYFUNCTION("""COMPUTED_VALUE"""),4.228E7)</f>
        <v>42280000</v>
      </c>
      <c r="HR8" s="1522">
        <f>IFERROR(__xludf.DUMMYFUNCTION("""COMPUTED_VALUE"""),3.6222222222222222)</f>
        <v>3.622222222</v>
      </c>
      <c r="HS8" s="1523">
        <f>IFERROR(__xludf.DUMMYFUNCTION("""COMPUTED_VALUE"""),3.3625E8)</f>
        <v>336250000</v>
      </c>
      <c r="HT8" s="1522">
        <f>IFERROR(__xludf.DUMMYFUNCTION("""COMPUTED_VALUE"""),3.6222222222222222)</f>
        <v>3.622222222</v>
      </c>
      <c r="HU8" s="1523">
        <f>IFERROR(__xludf.DUMMYFUNCTION("""COMPUTED_VALUE"""),3.3625E8)</f>
        <v>336250000</v>
      </c>
      <c r="HV8" s="1522">
        <f>IFERROR(__xludf.DUMMYFUNCTION("""COMPUTED_VALUE"""),3.6222222222222222)</f>
        <v>3.622222222</v>
      </c>
      <c r="HW8" s="1523">
        <f>IFERROR(__xludf.DUMMYFUNCTION("""COMPUTED_VALUE"""),3.3625E8)</f>
        <v>336250000</v>
      </c>
      <c r="HX8" s="1524">
        <f>IFERROR(__xludf.DUMMYFUNCTION("""COMPUTED_VALUE"""),3.6222222222222222)</f>
        <v>3.622222222</v>
      </c>
      <c r="HY8" s="1523">
        <f>IFERROR(__xludf.DUMMYFUNCTION("""COMPUTED_VALUE"""),3.3625E8)</f>
        <v>336250000</v>
      </c>
      <c r="HZ8" s="1518"/>
      <c r="IA8" s="1519"/>
      <c r="IB8" s="1524">
        <f>IFERROR(__xludf.DUMMYFUNCTION("""COMPUTED_VALUE"""),16.761296296296297)</f>
        <v>16.7612963</v>
      </c>
      <c r="IC8" s="1523">
        <f>IFERROR(__xludf.DUMMYFUNCTION("""COMPUTED_VALUE"""),7.5938E11)</f>
        <v>759380000000</v>
      </c>
      <c r="ID8" s="1524">
        <f>IFERROR(__xludf.DUMMYFUNCTION("""COMPUTED_VALUE"""),16.761296296296297)</f>
        <v>16.7612963</v>
      </c>
      <c r="IE8" s="1523">
        <f>IFERROR(__xludf.DUMMYFUNCTION("""COMPUTED_VALUE"""),7.5938E11)</f>
        <v>759380000000</v>
      </c>
      <c r="IF8" s="1524">
        <f>IFERROR(__xludf.DUMMYFUNCTION("""COMPUTED_VALUE"""),16.761296296296297)</f>
        <v>16.7612963</v>
      </c>
      <c r="IG8" s="1523">
        <f>IFERROR(__xludf.DUMMYFUNCTION("""COMPUTED_VALUE"""),7.5938E11)</f>
        <v>759380000000</v>
      </c>
      <c r="IH8" s="1507">
        <f>IFERROR(__xludf.DUMMYFUNCTION("""COMPUTED_VALUE"""),4.316666666666667)</f>
        <v>4.316666667</v>
      </c>
      <c r="II8" s="1508">
        <f>IFERROR(__xludf.DUMMYFUNCTION("""COMPUTED_VALUE"""),1.2226E11)</f>
        <v>122260000000</v>
      </c>
      <c r="IJ8" s="1507">
        <f>IFERROR(__xludf.DUMMYFUNCTION("""COMPUTED_VALUE"""),4.316666666666667)</f>
        <v>4.316666667</v>
      </c>
      <c r="IK8" s="1508">
        <f>IFERROR(__xludf.DUMMYFUNCTION("""COMPUTED_VALUE"""),1.2226E11)</f>
        <v>122260000000</v>
      </c>
      <c r="IL8" s="1507">
        <f>IFERROR(__xludf.DUMMYFUNCTION("""COMPUTED_VALUE"""),4.316666666666667)</f>
        <v>4.316666667</v>
      </c>
      <c r="IM8" s="1508">
        <f>IFERROR(__xludf.DUMMYFUNCTION("""COMPUTED_VALUE"""),1.8226E11)</f>
        <v>182260000000</v>
      </c>
      <c r="IN8" s="1507">
        <f>IFERROR(__xludf.DUMMYFUNCTION("""COMPUTED_VALUE"""),4.316666666666667)</f>
        <v>4.316666667</v>
      </c>
      <c r="IO8" s="1508">
        <f>IFERROR(__xludf.DUMMYFUNCTION("""COMPUTED_VALUE"""),1.8226E11)</f>
        <v>182260000000</v>
      </c>
      <c r="IP8" s="1507">
        <f>IFERROR(__xludf.DUMMYFUNCTION("""COMPUTED_VALUE"""),4.779861111111111)</f>
        <v>4.779861111</v>
      </c>
      <c r="IQ8" s="1508">
        <f>IFERROR(__xludf.DUMMYFUNCTION("""COMPUTED_VALUE"""),3.6226E11)</f>
        <v>362260000000</v>
      </c>
      <c r="IR8" s="1507">
        <f>IFERROR(__xludf.DUMMYFUNCTION("""COMPUTED_VALUE"""),4.316666666666667)</f>
        <v>4.316666667</v>
      </c>
      <c r="IS8" s="1508">
        <f>IFERROR(__xludf.DUMMYFUNCTION("""COMPUTED_VALUE"""),1.8226E11)</f>
        <v>182260000000</v>
      </c>
      <c r="IT8" s="1507">
        <f>IFERROR(__xludf.DUMMYFUNCTION("""COMPUTED_VALUE"""),4.316666666666667)</f>
        <v>4.316666667</v>
      </c>
      <c r="IU8" s="1508">
        <f>IFERROR(__xludf.DUMMYFUNCTION("""COMPUTED_VALUE"""),1.8226E11)</f>
        <v>182260000000</v>
      </c>
      <c r="IV8" s="1507">
        <f>IFERROR(__xludf.DUMMYFUNCTION("""COMPUTED_VALUE"""),4.316666666666667)</f>
        <v>4.316666667</v>
      </c>
      <c r="IW8" s="1508">
        <f>IFERROR(__xludf.DUMMYFUNCTION("""COMPUTED_VALUE"""),1.8226E11)</f>
        <v>182260000000</v>
      </c>
      <c r="IX8" s="1507">
        <f>IFERROR(__xludf.DUMMYFUNCTION("""COMPUTED_VALUE"""),4.316666666666667)</f>
        <v>4.316666667</v>
      </c>
      <c r="IY8" s="1508">
        <f>IFERROR(__xludf.DUMMYFUNCTION("""COMPUTED_VALUE"""),1.8226E11)</f>
        <v>182260000000</v>
      </c>
      <c r="IZ8" s="1507">
        <f>IFERROR(__xludf.DUMMYFUNCTION("""COMPUTED_VALUE"""),4.316666666666667)</f>
        <v>4.316666667</v>
      </c>
      <c r="JA8" s="1508">
        <f>IFERROR(__xludf.DUMMYFUNCTION("""COMPUTED_VALUE"""),2.4226E11)</f>
        <v>242260000000</v>
      </c>
      <c r="JB8" s="1507">
        <f>IFERROR(__xludf.DUMMYFUNCTION("""COMPUTED_VALUE"""),4.316666666666667)</f>
        <v>4.316666667</v>
      </c>
      <c r="JC8" s="1508">
        <f>IFERROR(__xludf.DUMMYFUNCTION("""COMPUTED_VALUE"""),2.4226E11)</f>
        <v>242260000000</v>
      </c>
      <c r="JD8" s="1507">
        <f>IFERROR(__xludf.DUMMYFUNCTION("""COMPUTED_VALUE"""),4.316666666666667)</f>
        <v>4.316666667</v>
      </c>
      <c r="JE8" s="1508">
        <f>IFERROR(__xludf.DUMMYFUNCTION("""COMPUTED_VALUE"""),2.4226E11)</f>
        <v>242260000000</v>
      </c>
      <c r="JF8" s="1507">
        <f>IFERROR(__xludf.DUMMYFUNCTION("""COMPUTED_VALUE"""),4.316666666666667)</f>
        <v>4.316666667</v>
      </c>
      <c r="JG8" s="1508">
        <f>IFERROR(__xludf.DUMMYFUNCTION("""COMPUTED_VALUE"""),2.4226E11)</f>
        <v>242260000000</v>
      </c>
      <c r="JH8" s="1507">
        <f>IFERROR(__xludf.DUMMYFUNCTION("""COMPUTED_VALUE"""),4.779861111111111)</f>
        <v>4.779861111</v>
      </c>
      <c r="JI8" s="1508">
        <f>IFERROR(__xludf.DUMMYFUNCTION("""COMPUTED_VALUE"""),4.3226E11)</f>
        <v>432260000000</v>
      </c>
      <c r="JJ8" s="1507">
        <f>IFERROR(__xludf.DUMMYFUNCTION("""COMPUTED_VALUE"""),64.79652777777778)</f>
        <v>64.79652778</v>
      </c>
      <c r="JK8" s="1509">
        <f>IFERROR(__xludf.DUMMYFUNCTION("""COMPUTED_VALUE"""),1.5E18)</f>
        <v>1.5E+18</v>
      </c>
      <c r="JL8" s="1507">
        <f>IFERROR(__xludf.DUMMYFUNCTION("""COMPUTED_VALUE"""),64.79652777777778)</f>
        <v>64.79652778</v>
      </c>
      <c r="JM8" s="1509">
        <f>IFERROR(__xludf.DUMMYFUNCTION("""COMPUTED_VALUE"""),1.5E18)</f>
        <v>1.5E+18</v>
      </c>
      <c r="JN8" s="1507">
        <f>IFERROR(__xludf.DUMMYFUNCTION("""COMPUTED_VALUE"""),64.79652777777778)</f>
        <v>64.79652778</v>
      </c>
      <c r="JO8" s="1509">
        <f>IFERROR(__xludf.DUMMYFUNCTION("""COMPUTED_VALUE"""),1.5E18)</f>
        <v>1.5E+18</v>
      </c>
      <c r="JP8" s="1507">
        <f>IFERROR(__xludf.DUMMYFUNCTION("""COMPUTED_VALUE"""),64.79652777777778)</f>
        <v>64.79652778</v>
      </c>
      <c r="JQ8" s="1509">
        <f>IFERROR(__xludf.DUMMYFUNCTION("""COMPUTED_VALUE"""),1.5E18)</f>
        <v>1.5E+18</v>
      </c>
      <c r="JR8" s="1507">
        <f>IFERROR(__xludf.DUMMYFUNCTION("""COMPUTED_VALUE"""),64.79652777777778)</f>
        <v>64.79652778</v>
      </c>
      <c r="JS8" s="1509">
        <f>IFERROR(__xludf.DUMMYFUNCTION("""COMPUTED_VALUE"""),1.5E18)</f>
        <v>1.5E+18</v>
      </c>
      <c r="JT8" s="1507">
        <f>IFERROR(__xludf.DUMMYFUNCTION("""COMPUTED_VALUE"""),64.79652777777778)</f>
        <v>64.79652778</v>
      </c>
      <c r="JU8" s="1509">
        <f>IFERROR(__xludf.DUMMYFUNCTION("""COMPUTED_VALUE"""),1.5E18)</f>
        <v>1.5E+18</v>
      </c>
      <c r="JV8" s="1507">
        <f>IFERROR(__xludf.DUMMYFUNCTION("""COMPUTED_VALUE"""),16.198611111111113)</f>
        <v>16.19861111</v>
      </c>
      <c r="JW8" s="1509">
        <f>IFERROR(__xludf.DUMMYFUNCTION("""COMPUTED_VALUE"""),5.37824E12)</f>
        <v>5378240000000</v>
      </c>
      <c r="JX8" s="1510">
        <f>IFERROR(__xludf.DUMMYFUNCTION("""COMPUTED_VALUE"""),6.0425)</f>
        <v>6.0425</v>
      </c>
      <c r="JY8" s="1511">
        <f>IFERROR(__xludf.DUMMYFUNCTION("""COMPUTED_VALUE"""),1.17E9)</f>
        <v>1170000000</v>
      </c>
      <c r="JZ8" s="1525">
        <f>IFERROR(__xludf.DUMMYFUNCTION("""COMPUTED_VALUE"""),1.579733796)</f>
        <v>1.579733796</v>
      </c>
      <c r="KA8" s="1526">
        <f>IFERROR(__xludf.DUMMYFUNCTION("""COMPUTED_VALUE"""),1.1526E8)</f>
        <v>115260000</v>
      </c>
      <c r="KB8" s="1510">
        <f>IFERROR(__xludf.DUMMYFUNCTION("""COMPUTED_VALUE"""),1.601053241)</f>
        <v>1.601053241</v>
      </c>
      <c r="KC8" s="1514">
        <f>IFERROR(__xludf.DUMMYFUNCTION("""COMPUTED_VALUE"""),3.7635E8)</f>
        <v>376350000</v>
      </c>
      <c r="KD8" s="1510">
        <f>IFERROR(__xludf.DUMMYFUNCTION("""COMPUTED_VALUE"""),6.149791667)</f>
        <v>6.149791667</v>
      </c>
      <c r="KE8" s="1514">
        <f>IFERROR(__xludf.DUMMYFUNCTION("""COMPUTED_VALUE"""),2.235E10)</f>
        <v>22350000000</v>
      </c>
      <c r="KF8" s="1510">
        <f>IFERROR(__xludf.DUMMYFUNCTION("""COMPUTED_VALUE"""),6.149791667)</f>
        <v>6.149791667</v>
      </c>
      <c r="KG8" s="1514">
        <f>IFERROR(__xludf.DUMMYFUNCTION("""COMPUTED_VALUE"""),2.235E10)</f>
        <v>22350000000</v>
      </c>
      <c r="KH8" s="1510">
        <f>IFERROR(__xludf.DUMMYFUNCTION("""COMPUTED_VALUE"""),11.13509259)</f>
        <v>11.13509259</v>
      </c>
      <c r="KI8" s="1514">
        <f>IFERROR(__xludf.DUMMYFUNCTION("""COMPUTED_VALUE"""),1.47E12)</f>
        <v>1470000000000</v>
      </c>
      <c r="KJ8" s="1527"/>
      <c r="KK8" s="1527"/>
      <c r="KL8" s="1527"/>
      <c r="KM8" s="1527"/>
      <c r="KN8" s="1527"/>
      <c r="KO8" s="1527"/>
      <c r="KP8" s="1527"/>
      <c r="KQ8" s="1527"/>
      <c r="KR8" s="1527"/>
      <c r="KS8" s="1527"/>
      <c r="KT8" s="1531">
        <f>IFERROR(__xludf.DUMMYFUNCTION("""COMPUTED_VALUE"""),204.16666666666666)</f>
        <v>204.1666667</v>
      </c>
      <c r="KU8" s="1531">
        <f>IFERROR(__xludf.DUMMYFUNCTION("""COMPUTED_VALUE"""),5.0E16)</f>
        <v>5E+16</v>
      </c>
      <c r="KV8" s="1525">
        <f>IFERROR(__xludf.DUMMYFUNCTION("""COMPUTED_VALUE"""),64.79652777777778)</f>
        <v>64.79652778</v>
      </c>
      <c r="KW8" s="1526">
        <f>IFERROR(__xludf.DUMMYFUNCTION("""COMPUTED_VALUE"""),1.5E18)</f>
        <v>1.5E+18</v>
      </c>
      <c r="KX8" s="1525">
        <f>IFERROR(__xludf.DUMMYFUNCTION("""COMPUTED_VALUE"""),64.79652777777778)</f>
        <v>64.79652778</v>
      </c>
      <c r="KY8" s="1526">
        <f>IFERROR(__xludf.DUMMYFUNCTION("""COMPUTED_VALUE"""),1.5E18)</f>
        <v>1.5E+18</v>
      </c>
      <c r="KZ8" s="1525">
        <f>IFERROR(__xludf.DUMMYFUNCTION("""COMPUTED_VALUE"""),64.79652777777778)</f>
        <v>64.79652778</v>
      </c>
      <c r="LA8" s="1526">
        <f>IFERROR(__xludf.DUMMYFUNCTION("""COMPUTED_VALUE"""),1.5E18)</f>
        <v>1.5E+18</v>
      </c>
      <c r="LB8" s="1525">
        <f>IFERROR(__xludf.DUMMYFUNCTION("""COMPUTED_VALUE"""),64.79652777777778)</f>
        <v>64.79652778</v>
      </c>
      <c r="LC8" s="1526">
        <f>IFERROR(__xludf.DUMMYFUNCTION("""COMPUTED_VALUE"""),1.5E18)</f>
        <v>1.5E+18</v>
      </c>
      <c r="LD8" s="1525">
        <f>IFERROR(__xludf.DUMMYFUNCTION("""COMPUTED_VALUE"""),64.79652777777778)</f>
        <v>64.79652778</v>
      </c>
      <c r="LE8" s="1526">
        <f>IFERROR(__xludf.DUMMYFUNCTION("""COMPUTED_VALUE"""),1.5E18)</f>
        <v>1.5E+18</v>
      </c>
      <c r="LF8" s="1525">
        <f>IFERROR(__xludf.DUMMYFUNCTION("""COMPUTED_VALUE"""),64.79652777777778)</f>
        <v>64.79652778</v>
      </c>
      <c r="LG8" s="1526">
        <f>IFERROR(__xludf.DUMMYFUNCTION("""COMPUTED_VALUE"""),1.5E18)</f>
        <v>1.5E+18</v>
      </c>
      <c r="LH8" s="1525">
        <f>IFERROR(__xludf.DUMMYFUNCTION("""COMPUTED_VALUE"""),64.79652777777778)</f>
        <v>64.79652778</v>
      </c>
      <c r="LI8" s="1526">
        <f>IFERROR(__xludf.DUMMYFUNCTION("""COMPUTED_VALUE"""),1.5E18)</f>
        <v>1.5E+18</v>
      </c>
      <c r="LJ8" s="1525">
        <f>IFERROR(__xludf.DUMMYFUNCTION("""COMPUTED_VALUE"""),64.79652777777778)</f>
        <v>64.79652778</v>
      </c>
      <c r="LK8" s="1526">
        <f>IFERROR(__xludf.DUMMYFUNCTION("""COMPUTED_VALUE"""),1.5E18)</f>
        <v>1.5E+18</v>
      </c>
      <c r="LL8" s="1494">
        <f>IFERROR(__xludf.DUMMYFUNCTION("""COMPUTED_VALUE"""),100.0)</f>
        <v>100</v>
      </c>
      <c r="LM8" s="1495">
        <f>IFERROR(__xludf.DUMMYFUNCTION("""COMPUTED_VALUE"""),3.62E16)</f>
        <v>3.62E+16</v>
      </c>
      <c r="LN8" s="1516">
        <f>IFERROR(__xludf.DUMMYFUNCTION("""COMPUTED_VALUE"""),80.99583333333334)</f>
        <v>80.99583333</v>
      </c>
      <c r="LO8" s="1495">
        <f>IFERROR(__xludf.DUMMYFUNCTION("""COMPUTED_VALUE"""),1.2E18)</f>
        <v>1.2E+18</v>
      </c>
      <c r="LP8" s="1516">
        <f>IFERROR(__xludf.DUMMYFUNCTION("""COMPUTED_VALUE"""),80.99583333333334)</f>
        <v>80.99583333</v>
      </c>
      <c r="LQ8" s="1495">
        <f>IFERROR(__xludf.DUMMYFUNCTION("""COMPUTED_VALUE"""),1.2E18)</f>
        <v>1.2E+18</v>
      </c>
      <c r="LR8" s="1516">
        <f>IFERROR(__xludf.DUMMYFUNCTION("""COMPUTED_VALUE"""),80.99583333333334)</f>
        <v>80.99583333</v>
      </c>
      <c r="LS8" s="1495">
        <f>IFERROR(__xludf.DUMMYFUNCTION("""COMPUTED_VALUE"""),1.2E18)</f>
        <v>1.2E+18</v>
      </c>
      <c r="LT8" s="1516">
        <f>IFERROR(__xludf.DUMMYFUNCTION("""COMPUTED_VALUE"""),80.99583333333334)</f>
        <v>80.99583333</v>
      </c>
      <c r="LU8" s="1495">
        <f>IFERROR(__xludf.DUMMYFUNCTION("""COMPUTED_VALUE"""),1.2E18)</f>
        <v>1.2E+18</v>
      </c>
      <c r="LV8" s="1516">
        <f>IFERROR(__xludf.DUMMYFUNCTION("""COMPUTED_VALUE"""),80.99583333333334)</f>
        <v>80.99583333</v>
      </c>
      <c r="LW8" s="1495">
        <f>IFERROR(__xludf.DUMMYFUNCTION("""COMPUTED_VALUE"""),1.2E18)</f>
        <v>1.2E+18</v>
      </c>
      <c r="LX8" s="1516">
        <f>IFERROR(__xludf.DUMMYFUNCTION("""COMPUTED_VALUE"""),97.19513888888889)</f>
        <v>97.19513889</v>
      </c>
      <c r="LY8" s="1517">
        <f>IFERROR(__xludf.DUMMYFUNCTION("""COMPUTED_VALUE"""),3.0E18)</f>
        <v>3E+18</v>
      </c>
      <c r="LZ8" s="1516">
        <f>IFERROR(__xludf.DUMMYFUNCTION("""COMPUTED_VALUE"""),97.19513888888889)</f>
        <v>97.19513889</v>
      </c>
      <c r="MA8" s="1517">
        <f>IFERROR(__xludf.DUMMYFUNCTION("""COMPUTED_VALUE"""),3.0E18)</f>
        <v>3E+18</v>
      </c>
      <c r="MB8" s="1516">
        <f>IFERROR(__xludf.DUMMYFUNCTION("""COMPUTED_VALUE"""),97.19513888888889)</f>
        <v>97.19513889</v>
      </c>
      <c r="MC8" s="1517">
        <f>IFERROR(__xludf.DUMMYFUNCTION("""COMPUTED_VALUE"""),3.0E18)</f>
        <v>3E+18</v>
      </c>
      <c r="MD8" s="1516">
        <f>IFERROR(__xludf.DUMMYFUNCTION("""COMPUTED_VALUE"""),97.19513888888889)</f>
        <v>97.19513889</v>
      </c>
      <c r="ME8" s="1517">
        <f>IFERROR(__xludf.DUMMYFUNCTION("""COMPUTED_VALUE"""),3.0E18)</f>
        <v>3E+18</v>
      </c>
      <c r="MF8" s="1516">
        <f>IFERROR(__xludf.DUMMYFUNCTION("""COMPUTED_VALUE"""),80.99583333333334)</f>
        <v>80.99583333</v>
      </c>
      <c r="MG8" s="1517">
        <f>IFERROR(__xludf.DUMMYFUNCTION("""COMPUTED_VALUE"""),7.59375E18)</f>
        <v>7.59375E+18</v>
      </c>
      <c r="MH8" s="1516">
        <f>IFERROR(__xludf.DUMMYFUNCTION("""COMPUTED_VALUE"""),80.99583333333334)</f>
        <v>80.99583333</v>
      </c>
      <c r="MI8" s="1517">
        <f>IFERROR(__xludf.DUMMYFUNCTION("""COMPUTED_VALUE"""),7.59375E18)</f>
        <v>7.59375E+18</v>
      </c>
      <c r="MJ8" s="1516">
        <f>IFERROR(__xludf.DUMMYFUNCTION("""COMPUTED_VALUE"""),80.99583333333334)</f>
        <v>80.99583333</v>
      </c>
      <c r="MK8" s="1517">
        <f>IFERROR(__xludf.DUMMYFUNCTION("""COMPUTED_VALUE"""),7.59375E18)</f>
        <v>7.59375E+18</v>
      </c>
      <c r="ML8" s="1516">
        <f>IFERROR(__xludf.DUMMYFUNCTION("""COMPUTED_VALUE"""),80.99583333333334)</f>
        <v>80.99583333</v>
      </c>
      <c r="MM8" s="1517">
        <f>IFERROR(__xludf.DUMMYFUNCTION("""COMPUTED_VALUE"""),7.59375E18)</f>
        <v>7.59375E+18</v>
      </c>
      <c r="MN8" s="1516">
        <f>IFERROR(__xludf.DUMMYFUNCTION("""COMPUTED_VALUE"""),80.99583333333334)</f>
        <v>80.99583333</v>
      </c>
      <c r="MO8" s="1517">
        <f>IFERROR(__xludf.DUMMYFUNCTION("""COMPUTED_VALUE"""),7.59375E18)</f>
        <v>7.59375E+18</v>
      </c>
      <c r="MP8" s="1516">
        <f>IFERROR(__xludf.DUMMYFUNCTION("""COMPUTED_VALUE"""),80.99583333333334)</f>
        <v>80.99583333</v>
      </c>
      <c r="MQ8" s="1517">
        <f>IFERROR(__xludf.DUMMYFUNCTION("""COMPUTED_VALUE"""),7.59375E18)</f>
        <v>7.59375E+18</v>
      </c>
      <c r="MR8" s="1516">
        <f>IFERROR(__xludf.DUMMYFUNCTION("""COMPUTED_VALUE"""),116.09444444444445)</f>
        <v>116.0944444</v>
      </c>
      <c r="MS8" s="1517">
        <f>IFERROR(__xludf.DUMMYFUNCTION("""COMPUTED_VALUE"""),6.4E19)</f>
        <v>6.4E+19</v>
      </c>
      <c r="MT8" s="1516">
        <f>IFERROR(__xludf.DUMMYFUNCTION("""COMPUTED_VALUE"""),116.09444444444445)</f>
        <v>116.0944444</v>
      </c>
      <c r="MU8" s="1517">
        <f>IFERROR(__xludf.DUMMYFUNCTION("""COMPUTED_VALUE"""),6.4E19)</f>
        <v>6.4E+19</v>
      </c>
      <c r="MV8" s="1516">
        <f>IFERROR(__xludf.DUMMYFUNCTION("""COMPUTED_VALUE"""),116.09444444444445)</f>
        <v>116.0944444</v>
      </c>
      <c r="MW8" s="1517">
        <f>IFERROR(__xludf.DUMMYFUNCTION("""COMPUTED_VALUE"""),6.4E19)</f>
        <v>6.4E+19</v>
      </c>
      <c r="MX8" s="1516">
        <f>IFERROR(__xludf.DUMMYFUNCTION("""COMPUTED_VALUE"""),116.09444444444445)</f>
        <v>116.0944444</v>
      </c>
      <c r="MY8" s="1517">
        <f>IFERROR(__xludf.DUMMYFUNCTION("""COMPUTED_VALUE"""),6.4E19)</f>
        <v>6.4E+19</v>
      </c>
    </row>
    <row r="9">
      <c r="A9" s="1465">
        <f>IFERROR(__xludf.DUMMYFUNCTION("""COMPUTED_VALUE"""),7.0)</f>
        <v>7</v>
      </c>
      <c r="B9" s="1466">
        <f>IFERROR(__xludf.DUMMYFUNCTION("""COMPUTED_VALUE"""),25.4625)</f>
        <v>25.4625</v>
      </c>
      <c r="C9" s="1467">
        <f>IFERROR(__xludf.DUMMYFUNCTION("""COMPUTED_VALUE"""),1000000.0)</f>
        <v>1000000</v>
      </c>
      <c r="D9" s="1466">
        <f>IFERROR(__xludf.DUMMYFUNCTION("""COMPUTED_VALUE"""),0.08055555555555556)</f>
        <v>0.08055555556</v>
      </c>
      <c r="E9" s="1467">
        <f>IFERROR(__xludf.DUMMYFUNCTION("""COMPUTED_VALUE"""),2120.0)</f>
        <v>2120</v>
      </c>
      <c r="F9" s="1466">
        <f>IFERROR(__xludf.DUMMYFUNCTION("""COMPUTED_VALUE"""),0.08055555555555556)</f>
        <v>0.08055555556</v>
      </c>
      <c r="G9" s="1468">
        <f>IFERROR(__xludf.DUMMYFUNCTION("""COMPUTED_VALUE"""),2120.0)</f>
        <v>2120</v>
      </c>
      <c r="H9" s="1466">
        <f>IFERROR(__xludf.DUMMYFUNCTION("""COMPUTED_VALUE"""),0.08055555555555556)</f>
        <v>0.08055555556</v>
      </c>
      <c r="I9" s="1467">
        <f>IFERROR(__xludf.DUMMYFUNCTION("""COMPUTED_VALUE"""),2120.0)</f>
        <v>2120</v>
      </c>
      <c r="J9" s="1466">
        <f>IFERROR(__xludf.DUMMYFUNCTION("""COMPUTED_VALUE"""),0.08055555555555556)</f>
        <v>0.08055555556</v>
      </c>
      <c r="K9" s="1467">
        <f>IFERROR(__xludf.DUMMYFUNCTION("""COMPUTED_VALUE"""),2120.0)</f>
        <v>2120</v>
      </c>
      <c r="L9" s="1466">
        <f>IFERROR(__xludf.DUMMYFUNCTION("""COMPUTED_VALUE"""),0.1125)</f>
        <v>0.1125</v>
      </c>
      <c r="M9" s="1469">
        <f>IFERROR(__xludf.DUMMYFUNCTION("""COMPUTED_VALUE"""),3510.0)</f>
        <v>3510</v>
      </c>
      <c r="N9" s="1470">
        <f>IFERROR(__xludf.DUMMYFUNCTION("""COMPUTED_VALUE"""),0.10069444444444445)</f>
        <v>0.1006944444</v>
      </c>
      <c r="O9" s="1467">
        <f>IFERROR(__xludf.DUMMYFUNCTION("""COMPUTED_VALUE"""),3580.0)</f>
        <v>3580</v>
      </c>
      <c r="P9" s="1518"/>
      <c r="Q9" s="1519"/>
      <c r="R9" s="1518"/>
      <c r="S9" s="1519"/>
      <c r="T9" s="1518"/>
      <c r="U9" s="1519"/>
      <c r="V9" s="1518"/>
      <c r="W9" s="1519"/>
      <c r="X9" s="1518"/>
      <c r="Y9" s="1519"/>
      <c r="Z9" s="1518"/>
      <c r="AA9" s="1519"/>
      <c r="AB9" s="1518"/>
      <c r="AC9" s="1519"/>
      <c r="AD9" s="1466">
        <f>IFERROR(__xludf.DUMMYFUNCTION("""COMPUTED_VALUE"""),7.559027777777778)</f>
        <v>7.559027778</v>
      </c>
      <c r="AE9" s="1474">
        <f>IFERROR(__xludf.DUMMYFUNCTION("""COMPUTED_VALUE"""),4.826809E9)</f>
        <v>4826809000</v>
      </c>
      <c r="AF9" s="1466">
        <f>IFERROR(__xludf.DUMMYFUNCTION("""COMPUTED_VALUE"""),7.559027777777778)</f>
        <v>7.559027778</v>
      </c>
      <c r="AG9" s="1474">
        <f>IFERROR(__xludf.DUMMYFUNCTION("""COMPUTED_VALUE"""),4.826809E9)</f>
        <v>4826809000</v>
      </c>
      <c r="AH9" s="1466">
        <f>IFERROR(__xludf.DUMMYFUNCTION("""COMPUTED_VALUE"""),7.559027777777778)</f>
        <v>7.559027778</v>
      </c>
      <c r="AI9" s="1474">
        <f>IFERROR(__xludf.DUMMYFUNCTION("""COMPUTED_VALUE"""),4.826809E9)</f>
        <v>4826809000</v>
      </c>
      <c r="AJ9" s="1475">
        <f>IFERROR(__xludf.DUMMYFUNCTION("""COMPUTED_VALUE"""),0.08055555555555556)</f>
        <v>0.08055555556</v>
      </c>
      <c r="AK9" s="1476">
        <f>IFERROR(__xludf.DUMMYFUNCTION("""COMPUTED_VALUE"""),2120.0)</f>
        <v>2120</v>
      </c>
      <c r="AL9" s="1475">
        <f>IFERROR(__xludf.DUMMYFUNCTION("""COMPUTED_VALUE"""),0.08055555555555556)</f>
        <v>0.08055555556</v>
      </c>
      <c r="AM9" s="1476">
        <f>IFERROR(__xludf.DUMMYFUNCTION("""COMPUTED_VALUE"""),2120.0)</f>
        <v>2120</v>
      </c>
      <c r="AN9" s="1475">
        <f>IFERROR(__xludf.DUMMYFUNCTION("""COMPUTED_VALUE"""),0.08055555555555556)</f>
        <v>0.08055555556</v>
      </c>
      <c r="AO9" s="1476">
        <f>IFERROR(__xludf.DUMMYFUNCTION("""COMPUTED_VALUE"""),2120.0)</f>
        <v>2120</v>
      </c>
      <c r="AP9" s="1475">
        <f>IFERROR(__xludf.DUMMYFUNCTION("""COMPUTED_VALUE"""),0.08055555555555556)</f>
        <v>0.08055555556</v>
      </c>
      <c r="AQ9" s="1476">
        <f>IFERROR(__xludf.DUMMYFUNCTION("""COMPUTED_VALUE"""),2120.0)</f>
        <v>2120</v>
      </c>
      <c r="AR9" s="1475">
        <f>IFERROR(__xludf.DUMMYFUNCTION("""COMPUTED_VALUE"""),0.08055555555555556)</f>
        <v>0.08055555556</v>
      </c>
      <c r="AS9" s="1476">
        <f>IFERROR(__xludf.DUMMYFUNCTION("""COMPUTED_VALUE"""),2130.0)</f>
        <v>2130</v>
      </c>
      <c r="AT9" s="1475">
        <f>IFERROR(__xludf.DUMMYFUNCTION("""COMPUTED_VALUE"""),6.131944444444445)</f>
        <v>6.131944444</v>
      </c>
      <c r="AU9" s="1476">
        <f>IFERROR(__xludf.DUMMYFUNCTION("""COMPUTED_VALUE"""),5940000.0)</f>
        <v>5940000</v>
      </c>
      <c r="AV9" s="1475">
        <f>IFERROR(__xludf.DUMMYFUNCTION("""COMPUTED_VALUE"""),5.679166666666666)</f>
        <v>5.679166667</v>
      </c>
      <c r="AW9" s="1476">
        <f>IFERROR(__xludf.DUMMYFUNCTION("""COMPUTED_VALUE"""),5940000.0)</f>
        <v>5940000</v>
      </c>
      <c r="AX9" s="1475">
        <f>IFERROR(__xludf.DUMMYFUNCTION("""COMPUTED_VALUE"""),6.986111111111111)</f>
        <v>6.986111111</v>
      </c>
      <c r="AY9" s="1476">
        <f>IFERROR(__xludf.DUMMYFUNCTION("""COMPUTED_VALUE"""),4.4045E11)</f>
        <v>440450000000</v>
      </c>
      <c r="AZ9" s="1518"/>
      <c r="BA9" s="1518"/>
      <c r="BB9" s="1477">
        <f>IFERROR(__xludf.DUMMYFUNCTION("""COMPUTED_VALUE"""),0.08055555555555556)</f>
        <v>0.08055555556</v>
      </c>
      <c r="BC9" s="1478">
        <f>IFERROR(__xludf.DUMMYFUNCTION("""COMPUTED_VALUE"""),2120.0)</f>
        <v>2120</v>
      </c>
      <c r="BD9" s="1477">
        <f>IFERROR(__xludf.DUMMYFUNCTION("""COMPUTED_VALUE"""),0.08055555555555556)</f>
        <v>0.08055555556</v>
      </c>
      <c r="BE9" s="1478">
        <f>IFERROR(__xludf.DUMMYFUNCTION("""COMPUTED_VALUE"""),2120.0)</f>
        <v>2120</v>
      </c>
      <c r="BF9" s="1477">
        <f>IFERROR(__xludf.DUMMYFUNCTION("""COMPUTED_VALUE"""),0.08055555555555556)</f>
        <v>0.08055555556</v>
      </c>
      <c r="BG9" s="1478">
        <f>IFERROR(__xludf.DUMMYFUNCTION("""COMPUTED_VALUE"""),2120.0)</f>
        <v>2120</v>
      </c>
      <c r="BH9" s="1477">
        <f>IFERROR(__xludf.DUMMYFUNCTION("""COMPUTED_VALUE"""),0.5493055555555556)</f>
        <v>0.5493055556</v>
      </c>
      <c r="BI9" s="1478">
        <f>IFERROR(__xludf.DUMMYFUNCTION("""COMPUTED_VALUE"""),1310000.0)</f>
        <v>1310000</v>
      </c>
      <c r="BJ9" s="1477">
        <f>IFERROR(__xludf.DUMMYFUNCTION("""COMPUTED_VALUE"""),0.8305555555555556)</f>
        <v>0.8305555556</v>
      </c>
      <c r="BK9" s="1478">
        <f>IFERROR(__xludf.DUMMYFUNCTION("""COMPUTED_VALUE"""),7780000.0)</f>
        <v>7780000</v>
      </c>
      <c r="BL9" s="1477">
        <f>IFERROR(__xludf.DUMMYFUNCTION("""COMPUTED_VALUE"""),1.33125)</f>
        <v>1.33125</v>
      </c>
      <c r="BM9" s="1478">
        <f>IFERROR(__xludf.DUMMYFUNCTION("""COMPUTED_VALUE"""),2.224E7)</f>
        <v>22240000</v>
      </c>
      <c r="BN9" s="1477">
        <f>IFERROR(__xludf.DUMMYFUNCTION("""COMPUTED_VALUE"""),1.33125)</f>
        <v>1.33125</v>
      </c>
      <c r="BO9" s="1478">
        <f>IFERROR(__xludf.DUMMYFUNCTION("""COMPUTED_VALUE"""),2.224E7)</f>
        <v>22240000</v>
      </c>
      <c r="BP9" s="1477">
        <f>IFERROR(__xludf.DUMMYFUNCTION("""COMPUTED_VALUE"""),1.648611111111111)</f>
        <v>1.648611111</v>
      </c>
      <c r="BQ9" s="1478">
        <f>IFERROR(__xludf.DUMMYFUNCTION("""COMPUTED_VALUE"""),2.234E7)</f>
        <v>22340000</v>
      </c>
      <c r="BR9" s="1477">
        <f>IFERROR(__xludf.DUMMYFUNCTION("""COMPUTED_VALUE"""),3.7534722222222223)</f>
        <v>3.753472222</v>
      </c>
      <c r="BS9" s="1478">
        <f>IFERROR(__xludf.DUMMYFUNCTION("""COMPUTED_VALUE"""),7.73E9)</f>
        <v>7730000000</v>
      </c>
      <c r="BT9" s="1479">
        <f>IFERROR(__xludf.DUMMYFUNCTION("""COMPUTED_VALUE"""),0.30486111111111114)</f>
        <v>0.3048611111</v>
      </c>
      <c r="BU9" s="1480">
        <f>IFERROR(__xludf.DUMMYFUNCTION("""COMPUTED_VALUE"""),2.24E9)</f>
        <v>2240000000</v>
      </c>
      <c r="BV9" s="1479">
        <f>IFERROR(__xludf.DUMMYFUNCTION("""COMPUTED_VALUE"""),3.8687500000000004)</f>
        <v>3.86875</v>
      </c>
      <c r="BW9" s="1480">
        <f>IFERROR(__xludf.DUMMYFUNCTION("""COMPUTED_VALUE"""),4.15E9)</f>
        <v>4150000000</v>
      </c>
      <c r="BX9" s="1479">
        <f>IFERROR(__xludf.DUMMYFUNCTION("""COMPUTED_VALUE"""),4.343055555555555)</f>
        <v>4.343055556</v>
      </c>
      <c r="BY9" s="1480">
        <f>IFERROR(__xludf.DUMMYFUNCTION("""COMPUTED_VALUE"""),6.252E10)</f>
        <v>62520000000</v>
      </c>
      <c r="BZ9" s="1479">
        <f>IFERROR(__xludf.DUMMYFUNCTION("""COMPUTED_VALUE"""),5.0375)</f>
        <v>5.0375</v>
      </c>
      <c r="CA9" s="1480">
        <f>IFERROR(__xludf.DUMMYFUNCTION("""COMPUTED_VALUE"""),8.052E10)</f>
        <v>80520000000</v>
      </c>
      <c r="CB9" s="1479">
        <f>IFERROR(__xludf.DUMMYFUNCTION("""COMPUTED_VALUE"""),8.741666666666667)</f>
        <v>8.741666667</v>
      </c>
      <c r="CC9" s="1480">
        <f>IFERROR(__xludf.DUMMYFUNCTION("""COMPUTED_VALUE"""),6.1758E11)</f>
        <v>617580000000</v>
      </c>
      <c r="CD9" s="1477">
        <f>IFERROR(__xludf.DUMMYFUNCTION("""COMPUTED_VALUE"""),3.042037037037037)</f>
        <v>3.042037037</v>
      </c>
      <c r="CE9" s="1481">
        <f>IFERROR(__xludf.DUMMYFUNCTION("""COMPUTED_VALUE"""),3.1092E11)</f>
        <v>310920000000</v>
      </c>
      <c r="CF9" s="1477">
        <f>IFERROR(__xludf.DUMMYFUNCTION("""COMPUTED_VALUE"""),2.8232523148148148)</f>
        <v>2.823252315</v>
      </c>
      <c r="CG9" s="1481">
        <f>IFERROR(__xludf.DUMMYFUNCTION("""COMPUTED_VALUE"""),146100.0)</f>
        <v>146100</v>
      </c>
      <c r="CH9" s="1482">
        <f>IFERROR(__xludf.DUMMYFUNCTION("""COMPUTED_VALUE"""),0.08055555555555556)</f>
        <v>0.08055555556</v>
      </c>
      <c r="CI9" s="1483">
        <f>IFERROR(__xludf.DUMMYFUNCTION("""COMPUTED_VALUE"""),2130.0)</f>
        <v>2130</v>
      </c>
      <c r="CJ9" s="1482">
        <f>IFERROR(__xludf.DUMMYFUNCTION("""COMPUTED_VALUE"""),0.08055555555555556)</f>
        <v>0.08055555556</v>
      </c>
      <c r="CK9" s="1483">
        <f>IFERROR(__xludf.DUMMYFUNCTION("""COMPUTED_VALUE"""),2130.0)</f>
        <v>2130</v>
      </c>
      <c r="CL9" s="1482">
        <f>IFERROR(__xludf.DUMMYFUNCTION("""COMPUTED_VALUE"""),0.08055555555555556)</f>
        <v>0.08055555556</v>
      </c>
      <c r="CM9" s="1483">
        <f>IFERROR(__xludf.DUMMYFUNCTION("""COMPUTED_VALUE"""),2130.0)</f>
        <v>2130</v>
      </c>
      <c r="CN9" s="1482">
        <f>IFERROR(__xludf.DUMMYFUNCTION("""COMPUTED_VALUE"""),0.08055555555555556)</f>
        <v>0.08055555556</v>
      </c>
      <c r="CO9" s="1483">
        <f>IFERROR(__xludf.DUMMYFUNCTION("""COMPUTED_VALUE"""),2130.0)</f>
        <v>2130</v>
      </c>
      <c r="CP9" s="1482">
        <f>IFERROR(__xludf.DUMMYFUNCTION("""COMPUTED_VALUE"""),0.12013888888888888)</f>
        <v>0.1201388889</v>
      </c>
      <c r="CQ9" s="1483">
        <f>IFERROR(__xludf.DUMMYFUNCTION("""COMPUTED_VALUE"""),3590.0)</f>
        <v>3590</v>
      </c>
      <c r="CR9" s="1482">
        <f>IFERROR(__xludf.DUMMYFUNCTION("""COMPUTED_VALUE"""),1.4513888888888888)</f>
        <v>1.451388889</v>
      </c>
      <c r="CS9" s="1483">
        <f>IFERROR(__xludf.DUMMYFUNCTION("""COMPUTED_VALUE"""),35600.0)</f>
        <v>35600</v>
      </c>
      <c r="CT9" s="1520"/>
      <c r="CU9" s="1519"/>
      <c r="CV9" s="1484">
        <f>IFERROR(__xludf.DUMMYFUNCTION("""COMPUTED_VALUE"""),4.910416666666666)</f>
        <v>4.910416667</v>
      </c>
      <c r="CW9" s="1485">
        <f>IFERROR(__xludf.DUMMYFUNCTION("""COMPUTED_VALUE"""),5.453E10)</f>
        <v>54530000000</v>
      </c>
      <c r="CX9" s="1484">
        <f>IFERROR(__xludf.DUMMYFUNCTION("""COMPUTED_VALUE"""),4.910416666666666)</f>
        <v>4.910416667</v>
      </c>
      <c r="CY9" s="1485">
        <f>IFERROR(__xludf.DUMMYFUNCTION("""COMPUTED_VALUE"""),5.453E10)</f>
        <v>54530000000</v>
      </c>
      <c r="CZ9" s="1484">
        <f>IFERROR(__xludf.DUMMYFUNCTION("""COMPUTED_VALUE"""),4.910416666666666)</f>
        <v>4.910416667</v>
      </c>
      <c r="DA9" s="1485">
        <f>IFERROR(__xludf.DUMMYFUNCTION("""COMPUTED_VALUE"""),5.453E10)</f>
        <v>54530000000</v>
      </c>
      <c r="DB9" s="1484">
        <f>IFERROR(__xludf.DUMMYFUNCTION("""COMPUTED_VALUE"""),3.0277777777777777)</f>
        <v>3.027777778</v>
      </c>
      <c r="DC9" s="1485">
        <f>IFERROR(__xludf.DUMMYFUNCTION("""COMPUTED_VALUE"""),4.15E9)</f>
        <v>4150000000</v>
      </c>
      <c r="DD9" s="1484">
        <f>IFERROR(__xludf.DUMMYFUNCTION("""COMPUTED_VALUE"""),3.0277777777777777)</f>
        <v>3.027777778</v>
      </c>
      <c r="DE9" s="1485">
        <f>IFERROR(__xludf.DUMMYFUNCTION("""COMPUTED_VALUE"""),4.15E9)</f>
        <v>4150000000</v>
      </c>
      <c r="DF9" s="1486">
        <f>IFERROR(__xludf.DUMMYFUNCTION("""COMPUTED_VALUE"""),2.095138888888889)</f>
        <v>2.095138889</v>
      </c>
      <c r="DG9" s="1487">
        <f>IFERROR(__xludf.DUMMYFUNCTION("""COMPUTED_VALUE"""),2.258E7)</f>
        <v>22580000</v>
      </c>
      <c r="DH9" s="1518"/>
      <c r="DI9" s="1519"/>
      <c r="DJ9" s="1486">
        <f>IFERROR(__xludf.DUMMYFUNCTION("""COMPUTED_VALUE"""),2.8819444444444446)</f>
        <v>2.881944444</v>
      </c>
      <c r="DK9" s="1487">
        <f>IFERROR(__xludf.DUMMYFUNCTION("""COMPUTED_VALUE"""),2.313E7)</f>
        <v>23130000</v>
      </c>
      <c r="DL9" s="1486">
        <f>IFERROR(__xludf.DUMMYFUNCTION("""COMPUTED_VALUE"""),2.095138888888889)</f>
        <v>2.095138889</v>
      </c>
      <c r="DM9" s="1487">
        <f>IFERROR(__xludf.DUMMYFUNCTION("""COMPUTED_VALUE"""),2.258E7)</f>
        <v>22580000</v>
      </c>
      <c r="DN9" s="1518"/>
      <c r="DO9" s="1519"/>
      <c r="DP9" s="1486">
        <f>IFERROR(__xludf.DUMMYFUNCTION("""COMPUTED_VALUE"""),2.095138888888889)</f>
        <v>2.095138889</v>
      </c>
      <c r="DQ9" s="1487">
        <f>IFERROR(__xludf.DUMMYFUNCTION("""COMPUTED_VALUE"""),2.258E7)</f>
        <v>22580000</v>
      </c>
      <c r="DR9" s="1486">
        <f>IFERROR(__xludf.DUMMYFUNCTION("""COMPUTED_VALUE"""),2.095138888888889)</f>
        <v>2.095138889</v>
      </c>
      <c r="DS9" s="1487">
        <f>IFERROR(__xludf.DUMMYFUNCTION("""COMPUTED_VALUE"""),2.258E7)</f>
        <v>22580000</v>
      </c>
      <c r="DT9" s="1518"/>
      <c r="DU9" s="1519"/>
      <c r="DV9" s="1486">
        <f>IFERROR(__xludf.DUMMYFUNCTION("""COMPUTED_VALUE"""),2.095138888888889)</f>
        <v>2.095138889</v>
      </c>
      <c r="DW9" s="1487">
        <f>IFERROR(__xludf.DUMMYFUNCTION("""COMPUTED_VALUE"""),2.258E7)</f>
        <v>22580000</v>
      </c>
      <c r="DX9" s="1486">
        <f>IFERROR(__xludf.DUMMYFUNCTION("""COMPUTED_VALUE"""),2.095138888888889)</f>
        <v>2.095138889</v>
      </c>
      <c r="DY9" s="1487">
        <f>IFERROR(__xludf.DUMMYFUNCTION("""COMPUTED_VALUE"""),2.258E7)</f>
        <v>22580000</v>
      </c>
      <c r="DZ9" s="1486">
        <f>IFERROR(__xludf.DUMMYFUNCTION("""COMPUTED_VALUE"""),4.178472222222222)</f>
        <v>4.178472222</v>
      </c>
      <c r="EA9" s="1487">
        <f>IFERROR(__xludf.DUMMYFUNCTION("""COMPUTED_VALUE"""),4.433E7)</f>
        <v>44330000</v>
      </c>
      <c r="EB9" s="1486">
        <f>IFERROR(__xludf.DUMMYFUNCTION("""COMPUTED_VALUE"""),4.178472222222222)</f>
        <v>4.178472222</v>
      </c>
      <c r="EC9" s="1487">
        <f>IFERROR(__xludf.DUMMYFUNCTION("""COMPUTED_VALUE"""),4.433E7)</f>
        <v>44330000</v>
      </c>
      <c r="ED9" s="1518"/>
      <c r="EE9" s="1519"/>
      <c r="EF9" s="1486">
        <f>IFERROR(__xludf.DUMMYFUNCTION("""COMPUTED_VALUE"""),3.345138888888889)</f>
        <v>3.345138889</v>
      </c>
      <c r="EG9" s="1487">
        <f>IFERROR(__xludf.DUMMYFUNCTION("""COMPUTED_VALUE"""),4.358E7)</f>
        <v>43580000</v>
      </c>
      <c r="EH9" s="1486">
        <f>IFERROR(__xludf.DUMMYFUNCTION("""COMPUTED_VALUE"""),3.345138888888889)</f>
        <v>3.345138889</v>
      </c>
      <c r="EI9" s="1487">
        <f>IFERROR(__xludf.DUMMYFUNCTION("""COMPUTED_VALUE"""),4.358E7)</f>
        <v>43580000</v>
      </c>
      <c r="EJ9" s="1486">
        <f>IFERROR(__xludf.DUMMYFUNCTION("""COMPUTED_VALUE"""),3.345324074074074)</f>
        <v>3.345324074</v>
      </c>
      <c r="EK9" s="1487">
        <f>IFERROR(__xludf.DUMMYFUNCTION("""COMPUTED_VALUE"""),4.358E7)</f>
        <v>43580000</v>
      </c>
      <c r="EL9" s="1486">
        <f>IFERROR(__xludf.DUMMYFUNCTION("""COMPUTED_VALUE"""),3.345324074074074)</f>
        <v>3.345324074</v>
      </c>
      <c r="EM9" s="1487">
        <f>IFERROR(__xludf.DUMMYFUNCTION("""COMPUTED_VALUE"""),4.358E7)</f>
        <v>43580000</v>
      </c>
      <c r="EN9" s="1486">
        <f>IFERROR(__xludf.DUMMYFUNCTION("""COMPUTED_VALUE"""),3.345138888888889)</f>
        <v>3.345138889</v>
      </c>
      <c r="EO9" s="1487">
        <f>IFERROR(__xludf.DUMMYFUNCTION("""COMPUTED_VALUE"""),4.358E7)</f>
        <v>43580000</v>
      </c>
      <c r="EP9" s="1486">
        <f>IFERROR(__xludf.DUMMYFUNCTION("""COMPUTED_VALUE"""),3.345138888888889)</f>
        <v>3.345138889</v>
      </c>
      <c r="EQ9" s="1487">
        <f>IFERROR(__xludf.DUMMYFUNCTION("""COMPUTED_VALUE"""),4.358E7)</f>
        <v>43580000</v>
      </c>
      <c r="ER9" s="1486">
        <f>IFERROR(__xludf.DUMMYFUNCTION("""COMPUTED_VALUE"""),3.345138888888889)</f>
        <v>3.345138889</v>
      </c>
      <c r="ES9" s="1487">
        <f>IFERROR(__xludf.DUMMYFUNCTION("""COMPUTED_VALUE"""),4.358E7)</f>
        <v>43580000</v>
      </c>
      <c r="ET9" s="1486">
        <f>IFERROR(__xludf.DUMMYFUNCTION("""COMPUTED_VALUE"""),3.345138888888889)</f>
        <v>3.345138889</v>
      </c>
      <c r="EU9" s="1487">
        <f>IFERROR(__xludf.DUMMYFUNCTION("""COMPUTED_VALUE"""),4.413E7)</f>
        <v>44130000</v>
      </c>
      <c r="EV9" s="1518"/>
      <c r="EW9" s="1519"/>
      <c r="EX9" s="1520"/>
      <c r="EY9" s="1519"/>
      <c r="EZ9" s="1518"/>
      <c r="FA9" s="1521"/>
      <c r="FB9" s="1486">
        <f>IFERROR(__xludf.DUMMYFUNCTION("""COMPUTED_VALUE"""),4.178472222222222)</f>
        <v>4.178472222</v>
      </c>
      <c r="FC9" s="1487">
        <f>IFERROR(__xludf.DUMMYFUNCTION("""COMPUTED_VALUE"""),6.633E7)</f>
        <v>66330000</v>
      </c>
      <c r="FD9" s="1520"/>
      <c r="FE9" s="1519"/>
      <c r="FF9" s="1486">
        <f>IFERROR(__xludf.DUMMYFUNCTION("""COMPUTED_VALUE"""),4.178472222222222)</f>
        <v>4.178472222</v>
      </c>
      <c r="FG9" s="1488">
        <f>IFERROR(__xludf.DUMMYFUNCTION("""COMPUTED_VALUE"""),1.06162162E8)</f>
        <v>106162162</v>
      </c>
      <c r="FH9" s="1486">
        <f>IFERROR(__xludf.DUMMYFUNCTION("""COMPUTED_VALUE"""),4.178472222222222)</f>
        <v>4.178472222</v>
      </c>
      <c r="FI9" s="1488">
        <f>IFERROR(__xludf.DUMMYFUNCTION("""COMPUTED_VALUE"""),1.06162162E8)</f>
        <v>106162162</v>
      </c>
      <c r="FJ9" s="1486">
        <f>IFERROR(__xludf.DUMMYFUNCTION("""COMPUTED_VALUE"""),9.178587962962963)</f>
        <v>9.178587963</v>
      </c>
      <c r="FK9" s="1487">
        <f>IFERROR(__xludf.DUMMYFUNCTION("""COMPUTED_VALUE"""),2.4332973E8)</f>
        <v>243329730</v>
      </c>
      <c r="FL9" s="1518"/>
      <c r="FM9" s="1519"/>
      <c r="FN9" s="1489">
        <f>IFERROR(__xludf.DUMMYFUNCTION("""COMPUTED_VALUE"""),51.34166666666667)</f>
        <v>51.34166667</v>
      </c>
      <c r="FO9" s="1487">
        <f>IFERROR(__xludf.DUMMYFUNCTION("""COMPUTED_VALUE"""),3.6E12)</f>
        <v>3600000000000</v>
      </c>
      <c r="FP9" s="1486">
        <f>IFERROR(__xludf.DUMMYFUNCTION("""COMPUTED_VALUE"""),16.44851851851852)</f>
        <v>16.44851852</v>
      </c>
      <c r="FQ9" s="1488">
        <f>IFERROR(__xludf.DUMMYFUNCTION("""COMPUTED_VALUE"""),1.14E12)</f>
        <v>1140000000000</v>
      </c>
      <c r="FR9" s="1532"/>
      <c r="FS9" s="1520"/>
      <c r="FT9" s="1486">
        <f>IFERROR(__xludf.DUMMYFUNCTION("""COMPUTED_VALUE"""),16.44851851851852)</f>
        <v>16.44851852</v>
      </c>
      <c r="FU9" s="1488">
        <f>IFERROR(__xludf.DUMMYFUNCTION("""COMPUTED_VALUE"""),1.14E12)</f>
        <v>1140000000000</v>
      </c>
      <c r="FV9" s="1486">
        <f>IFERROR(__xludf.DUMMYFUNCTION("""COMPUTED_VALUE"""),16.44851851851852)</f>
        <v>16.44851852</v>
      </c>
      <c r="FW9" s="1488">
        <f>IFERROR(__xludf.DUMMYFUNCTION("""COMPUTED_VALUE"""),1.14E12)</f>
        <v>1140000000000</v>
      </c>
      <c r="FX9" s="1491">
        <f>IFERROR(__xludf.DUMMYFUNCTION("""COMPUTED_VALUE"""),6.381597222222222)</f>
        <v>6.381597222</v>
      </c>
      <c r="FY9" s="1492">
        <f>IFERROR(__xludf.DUMMYFUNCTION("""COMPUTED_VALUE"""),1.139E10)</f>
        <v>11390000000</v>
      </c>
      <c r="FZ9" s="1491">
        <f>IFERROR(__xludf.DUMMYFUNCTION("""COMPUTED_VALUE"""),16.44851851851852)</f>
        <v>16.44851852</v>
      </c>
      <c r="GA9" s="1492">
        <f>IFERROR(__xludf.DUMMYFUNCTION("""COMPUTED_VALUE"""),1.14E12)</f>
        <v>1140000000000</v>
      </c>
      <c r="GB9" s="1493">
        <f>IFERROR(__xludf.DUMMYFUNCTION("""COMPUTED_VALUE"""),32.466458333333335)</f>
        <v>32.46645833</v>
      </c>
      <c r="GC9" s="1492">
        <f>IFERROR(__xludf.DUMMYFUNCTION("""COMPUTED_VALUE"""),1.297E13)</f>
        <v>12970000000000</v>
      </c>
      <c r="GD9" s="1486">
        <f>IFERROR(__xludf.DUMMYFUNCTION("""COMPUTED_VALUE"""),116.66666666666667)</f>
        <v>116.6666667</v>
      </c>
      <c r="GE9" s="1488">
        <f>IFERROR(__xludf.DUMMYFUNCTION("""COMPUTED_VALUE"""),7.42E16)</f>
        <v>7.42E+16</v>
      </c>
      <c r="GF9" s="1518"/>
      <c r="GG9" s="1519"/>
      <c r="GH9" s="1494">
        <f>IFERROR(__xludf.DUMMYFUNCTION("""COMPUTED_VALUE"""),2.553472222222222)</f>
        <v>2.553472222</v>
      </c>
      <c r="GI9" s="1495">
        <f>IFERROR(__xludf.DUMMYFUNCTION("""COMPUTED_VALUE"""),8.206E7)</f>
        <v>82060000</v>
      </c>
      <c r="GJ9" s="1518"/>
      <c r="GK9" s="1519"/>
      <c r="GL9" s="1518"/>
      <c r="GM9" s="1519"/>
      <c r="GN9" s="1520"/>
      <c r="GO9" s="1519"/>
      <c r="GP9" s="1496">
        <f>IFERROR(__xludf.DUMMYFUNCTION("""COMPUTED_VALUE"""),2.720138888888889)</f>
        <v>2.720138889</v>
      </c>
      <c r="GQ9" s="1497">
        <f>IFERROR(__xludf.DUMMYFUNCTION("""COMPUTED_VALUE"""),8.23E9)</f>
        <v>8230000000</v>
      </c>
      <c r="GR9" s="1498">
        <f>IFERROR(__xludf.DUMMYFUNCTION("""COMPUTED_VALUE"""),51.341655092592596)</f>
        <v>51.34165509</v>
      </c>
      <c r="GS9" s="1497">
        <f>IFERROR(__xludf.DUMMYFUNCTION("""COMPUTED_VALUE"""),3.6E12)</f>
        <v>3600000000000</v>
      </c>
      <c r="GT9" s="1498">
        <f>IFERROR(__xludf.DUMMYFUNCTION("""COMPUTED_VALUE"""),51.341655092592596)</f>
        <v>51.34165509</v>
      </c>
      <c r="GU9" s="1497">
        <f>IFERROR(__xludf.DUMMYFUNCTION("""COMPUTED_VALUE"""),3.6E12)</f>
        <v>3600000000000</v>
      </c>
      <c r="GV9" s="1498">
        <f>IFERROR(__xludf.DUMMYFUNCTION("""COMPUTED_VALUE"""),51.34166666666667)</f>
        <v>51.34166667</v>
      </c>
      <c r="GW9" s="1497">
        <f>IFERROR(__xludf.DUMMYFUNCTION("""COMPUTED_VALUE"""),3.6E12)</f>
        <v>3600000000000</v>
      </c>
      <c r="GX9" s="1499">
        <f>IFERROR(__xludf.DUMMYFUNCTION("""COMPUTED_VALUE"""),83.33333333333333)</f>
        <v>83.33333333</v>
      </c>
      <c r="GY9" s="1500">
        <f>IFERROR(__xludf.DUMMYFUNCTION("""COMPUTED_VALUE"""),9.1E15)</f>
        <v>9.1E+15</v>
      </c>
      <c r="GZ9" s="1518"/>
      <c r="HA9" s="1519"/>
      <c r="HB9" s="1501">
        <f>IFERROR(__xludf.DUMMYFUNCTION("""COMPUTED_VALUE"""),1.33125)</f>
        <v>1.33125</v>
      </c>
      <c r="HC9" s="1502">
        <f>IFERROR(__xludf.DUMMYFUNCTION("""COMPUTED_VALUE"""),1.5622E8)</f>
        <v>156220000</v>
      </c>
      <c r="HD9" s="1518"/>
      <c r="HE9" s="1519"/>
      <c r="HF9" s="1501">
        <f>IFERROR(__xludf.DUMMYFUNCTION("""COMPUTED_VALUE"""),1.4701388888888889)</f>
        <v>1.470138889</v>
      </c>
      <c r="HG9" s="1502">
        <f>IFERROR(__xludf.DUMMYFUNCTION("""COMPUTED_VALUE"""),2.3428E8)</f>
        <v>234280000</v>
      </c>
      <c r="HH9" s="1518"/>
      <c r="HI9" s="1519"/>
      <c r="HJ9" s="1518"/>
      <c r="HK9" s="1519"/>
      <c r="HL9" s="1530">
        <f>IFERROR(__xludf.DUMMYFUNCTION("""COMPUTED_VALUE"""),166.6666550925926)</f>
        <v>166.6666551</v>
      </c>
      <c r="HM9" s="1502">
        <f>IFERROR(__xludf.DUMMYFUNCTION("""COMPUTED_VALUE"""),1.0E14)</f>
        <v>100000000000000</v>
      </c>
      <c r="HN9" s="1501">
        <f>IFERROR(__xludf.DUMMYFUNCTION("""COMPUTED_VALUE"""),5.026388888888889)</f>
        <v>5.026388889</v>
      </c>
      <c r="HO9" s="1502">
        <f>IFERROR(__xludf.DUMMYFUNCTION("""COMPUTED_VALUE"""),1.6E9)</f>
        <v>1600000000</v>
      </c>
      <c r="HP9" s="1501">
        <f>IFERROR(__xludf.DUMMYFUNCTION("""COMPUTED_VALUE"""),4.6335648148148145)</f>
        <v>4.633564815</v>
      </c>
      <c r="HQ9" s="1503">
        <f>IFERROR(__xludf.DUMMYFUNCTION("""COMPUTED_VALUE"""),9.564E7)</f>
        <v>95640000</v>
      </c>
      <c r="HR9" s="1522">
        <f>IFERROR(__xludf.DUMMYFUNCTION("""COMPUTED_VALUE"""),4.215972222222222)</f>
        <v>4.215972222</v>
      </c>
      <c r="HS9" s="1523">
        <f>IFERROR(__xludf.DUMMYFUNCTION("""COMPUTED_VALUE"""),5.988E8)</f>
        <v>598800000</v>
      </c>
      <c r="HT9" s="1522">
        <f>IFERROR(__xludf.DUMMYFUNCTION("""COMPUTED_VALUE"""),4.215972222222222)</f>
        <v>4.215972222</v>
      </c>
      <c r="HU9" s="1523">
        <f>IFERROR(__xludf.DUMMYFUNCTION("""COMPUTED_VALUE"""),5.988E8)</f>
        <v>598800000</v>
      </c>
      <c r="HV9" s="1522">
        <f>IFERROR(__xludf.DUMMYFUNCTION("""COMPUTED_VALUE"""),4.215972222222222)</f>
        <v>4.215972222</v>
      </c>
      <c r="HW9" s="1523">
        <f>IFERROR(__xludf.DUMMYFUNCTION("""COMPUTED_VALUE"""),5.988E8)</f>
        <v>598800000</v>
      </c>
      <c r="HX9" s="1524">
        <f>IFERROR(__xludf.DUMMYFUNCTION("""COMPUTED_VALUE"""),4.215972222222222)</f>
        <v>4.215972222</v>
      </c>
      <c r="HY9" s="1523">
        <f>IFERROR(__xludf.DUMMYFUNCTION("""COMPUTED_VALUE"""),5.988E8)</f>
        <v>598800000</v>
      </c>
      <c r="HZ9" s="1518"/>
      <c r="IA9" s="1519"/>
      <c r="IB9" s="1524">
        <f>IFERROR(__xludf.DUMMYFUNCTION("""COMPUTED_VALUE"""),19.275497685185186)</f>
        <v>19.27549769</v>
      </c>
      <c r="IC9" s="1523">
        <f>IFERROR(__xludf.DUMMYFUNCTION("""COMPUTED_VALUE"""),1.14E12)</f>
        <v>1140000000000</v>
      </c>
      <c r="ID9" s="1524">
        <f>IFERROR(__xludf.DUMMYFUNCTION("""COMPUTED_VALUE"""),19.275497685185186)</f>
        <v>19.27549769</v>
      </c>
      <c r="IE9" s="1523">
        <f>IFERROR(__xludf.DUMMYFUNCTION("""COMPUTED_VALUE"""),1.14E12)</f>
        <v>1140000000000</v>
      </c>
      <c r="IF9" s="1524">
        <f>IFERROR(__xludf.DUMMYFUNCTION("""COMPUTED_VALUE"""),19.275497685185186)</f>
        <v>19.27549769</v>
      </c>
      <c r="IG9" s="1523">
        <f>IFERROR(__xludf.DUMMYFUNCTION("""COMPUTED_VALUE"""),1.14E12)</f>
        <v>1140000000000</v>
      </c>
      <c r="IH9" s="1507">
        <f>IFERROR(__xludf.DUMMYFUNCTION("""COMPUTED_VALUE"""),4.910416666666666)</f>
        <v>4.910416667</v>
      </c>
      <c r="II9" s="1508">
        <f>IFERROR(__xludf.DUMMYFUNCTION("""COMPUTED_VALUE"""),1.4453E11)</f>
        <v>144530000000</v>
      </c>
      <c r="IJ9" s="1507">
        <f>IFERROR(__xludf.DUMMYFUNCTION("""COMPUTED_VALUE"""),4.910416666666666)</f>
        <v>4.910416667</v>
      </c>
      <c r="IK9" s="1508">
        <f>IFERROR(__xludf.DUMMYFUNCTION("""COMPUTED_VALUE"""),1.4453E11)</f>
        <v>144530000000</v>
      </c>
      <c r="IL9" s="1507">
        <f>IFERROR(__xludf.DUMMYFUNCTION("""COMPUTED_VALUE"""),4.910416666666666)</f>
        <v>4.910416667</v>
      </c>
      <c r="IM9" s="1508">
        <f>IFERROR(__xludf.DUMMYFUNCTION("""COMPUTED_VALUE"""),2.1453E11)</f>
        <v>214530000000</v>
      </c>
      <c r="IN9" s="1507">
        <f>IFERROR(__xludf.DUMMYFUNCTION("""COMPUTED_VALUE"""),4.910416666666666)</f>
        <v>4.910416667</v>
      </c>
      <c r="IO9" s="1508">
        <f>IFERROR(__xludf.DUMMYFUNCTION("""COMPUTED_VALUE"""),2.1453E11)</f>
        <v>214530000000</v>
      </c>
      <c r="IP9" s="1507">
        <f>IFERROR(__xludf.DUMMYFUNCTION("""COMPUTED_VALUE"""),5.373611111111111)</f>
        <v>5.373611111</v>
      </c>
      <c r="IQ9" s="1508">
        <f>IFERROR(__xludf.DUMMYFUNCTION("""COMPUTED_VALUE"""),4.2453E11)</f>
        <v>424530000000</v>
      </c>
      <c r="IR9" s="1507">
        <f>IFERROR(__xludf.DUMMYFUNCTION("""COMPUTED_VALUE"""),4.910416666666666)</f>
        <v>4.910416667</v>
      </c>
      <c r="IS9" s="1508">
        <f>IFERROR(__xludf.DUMMYFUNCTION("""COMPUTED_VALUE"""),2.1453E11)</f>
        <v>214530000000</v>
      </c>
      <c r="IT9" s="1507">
        <f>IFERROR(__xludf.DUMMYFUNCTION("""COMPUTED_VALUE"""),4.910416666666666)</f>
        <v>4.910416667</v>
      </c>
      <c r="IU9" s="1508">
        <f>IFERROR(__xludf.DUMMYFUNCTION("""COMPUTED_VALUE"""),2.1453E11)</f>
        <v>214530000000</v>
      </c>
      <c r="IV9" s="1507">
        <f>IFERROR(__xludf.DUMMYFUNCTION("""COMPUTED_VALUE"""),4.910416666666666)</f>
        <v>4.910416667</v>
      </c>
      <c r="IW9" s="1508">
        <f>IFERROR(__xludf.DUMMYFUNCTION("""COMPUTED_VALUE"""),2.1453E11)</f>
        <v>214530000000</v>
      </c>
      <c r="IX9" s="1507">
        <f>IFERROR(__xludf.DUMMYFUNCTION("""COMPUTED_VALUE"""),4.910416666666666)</f>
        <v>4.910416667</v>
      </c>
      <c r="IY9" s="1508">
        <f>IFERROR(__xludf.DUMMYFUNCTION("""COMPUTED_VALUE"""),2.1453E11)</f>
        <v>214530000000</v>
      </c>
      <c r="IZ9" s="1507">
        <f>IFERROR(__xludf.DUMMYFUNCTION("""COMPUTED_VALUE"""),4.910416666666666)</f>
        <v>4.910416667</v>
      </c>
      <c r="JA9" s="1508">
        <f>IFERROR(__xludf.DUMMYFUNCTION("""COMPUTED_VALUE"""),2.8453E11)</f>
        <v>284530000000</v>
      </c>
      <c r="JB9" s="1507">
        <f>IFERROR(__xludf.DUMMYFUNCTION("""COMPUTED_VALUE"""),4.910416666666666)</f>
        <v>4.910416667</v>
      </c>
      <c r="JC9" s="1508">
        <f>IFERROR(__xludf.DUMMYFUNCTION("""COMPUTED_VALUE"""),2.8453E11)</f>
        <v>284530000000</v>
      </c>
      <c r="JD9" s="1507">
        <f>IFERROR(__xludf.DUMMYFUNCTION("""COMPUTED_VALUE"""),4.910416666666666)</f>
        <v>4.910416667</v>
      </c>
      <c r="JE9" s="1508">
        <f>IFERROR(__xludf.DUMMYFUNCTION("""COMPUTED_VALUE"""),2.8453E11)</f>
        <v>284530000000</v>
      </c>
      <c r="JF9" s="1507">
        <f>IFERROR(__xludf.DUMMYFUNCTION("""COMPUTED_VALUE"""),4.910416666666666)</f>
        <v>4.910416667</v>
      </c>
      <c r="JG9" s="1508">
        <f>IFERROR(__xludf.DUMMYFUNCTION("""COMPUTED_VALUE"""),2.8453E11)</f>
        <v>284530000000</v>
      </c>
      <c r="JH9" s="1507">
        <f>IFERROR(__xludf.DUMMYFUNCTION("""COMPUTED_VALUE"""),5.373611111111111)</f>
        <v>5.373611111</v>
      </c>
      <c r="JI9" s="1508">
        <f>IFERROR(__xludf.DUMMYFUNCTION("""COMPUTED_VALUE"""),5.0453E11)</f>
        <v>504530000000</v>
      </c>
      <c r="JJ9" s="1507">
        <f>IFERROR(__xludf.DUMMYFUNCTION("""COMPUTED_VALUE"""),75.59652777777778)</f>
        <v>75.59652778</v>
      </c>
      <c r="JK9" s="1509">
        <f>IFERROR(__xludf.DUMMYFUNCTION("""COMPUTED_VALUE"""),1.75E18)</f>
        <v>1.75E+18</v>
      </c>
      <c r="JL9" s="1507">
        <f>IFERROR(__xludf.DUMMYFUNCTION("""COMPUTED_VALUE"""),75.59652777777778)</f>
        <v>75.59652778</v>
      </c>
      <c r="JM9" s="1509">
        <f>IFERROR(__xludf.DUMMYFUNCTION("""COMPUTED_VALUE"""),1.75E18)</f>
        <v>1.75E+18</v>
      </c>
      <c r="JN9" s="1507">
        <f>IFERROR(__xludf.DUMMYFUNCTION("""COMPUTED_VALUE"""),75.59652777777778)</f>
        <v>75.59652778</v>
      </c>
      <c r="JO9" s="1509">
        <f>IFERROR(__xludf.DUMMYFUNCTION("""COMPUTED_VALUE"""),1.75E18)</f>
        <v>1.75E+18</v>
      </c>
      <c r="JP9" s="1507">
        <f>IFERROR(__xludf.DUMMYFUNCTION("""COMPUTED_VALUE"""),75.59652777777778)</f>
        <v>75.59652778</v>
      </c>
      <c r="JQ9" s="1509">
        <f>IFERROR(__xludf.DUMMYFUNCTION("""COMPUTED_VALUE"""),1.75E18)</f>
        <v>1.75E+18</v>
      </c>
      <c r="JR9" s="1507">
        <f>IFERROR(__xludf.DUMMYFUNCTION("""COMPUTED_VALUE"""),75.59652777777778)</f>
        <v>75.59652778</v>
      </c>
      <c r="JS9" s="1509">
        <f>IFERROR(__xludf.DUMMYFUNCTION("""COMPUTED_VALUE"""),1.75E18)</f>
        <v>1.75E+18</v>
      </c>
      <c r="JT9" s="1507">
        <f>IFERROR(__xludf.DUMMYFUNCTION("""COMPUTED_VALUE"""),75.59652777777778)</f>
        <v>75.59652778</v>
      </c>
      <c r="JU9" s="1509">
        <f>IFERROR(__xludf.DUMMYFUNCTION("""COMPUTED_VALUE"""),1.75E18)</f>
        <v>1.75E+18</v>
      </c>
      <c r="JV9" s="1507">
        <f>IFERROR(__xludf.DUMMYFUNCTION("""COMPUTED_VALUE"""),18.898611111111112)</f>
        <v>18.89861111</v>
      </c>
      <c r="JW9" s="1509">
        <f>IFERROR(__xludf.DUMMYFUNCTION("""COMPUTED_VALUE"""),7.529536E12)</f>
        <v>7529536000000</v>
      </c>
      <c r="JX9" s="1510">
        <f>IFERROR(__xludf.DUMMYFUNCTION("""COMPUTED_VALUE"""),6.500405093)</f>
        <v>6.500405093</v>
      </c>
      <c r="JY9" s="1511">
        <f>IFERROR(__xludf.DUMMYFUNCTION("""COMPUTED_VALUE"""),2.03E9)</f>
        <v>2030000000</v>
      </c>
      <c r="JZ9" s="1525">
        <f>IFERROR(__xludf.DUMMYFUNCTION("""COMPUTED_VALUE"""),1.621597222)</f>
        <v>1.621597222</v>
      </c>
      <c r="KA9" s="1526">
        <f>IFERROR(__xludf.DUMMYFUNCTION("""COMPUTED_VALUE"""),2.5339E8)</f>
        <v>253390000</v>
      </c>
      <c r="KB9" s="1510">
        <f>IFERROR(__xludf.DUMMYFUNCTION("""COMPUTED_VALUE"""),1.656944444)</f>
        <v>1.656944444</v>
      </c>
      <c r="KC9" s="1514">
        <f>IFERROR(__xludf.DUMMYFUNCTION("""COMPUTED_VALUE"""),6.4938E8)</f>
        <v>649380000</v>
      </c>
      <c r="KD9" s="1510">
        <f>IFERROR(__xludf.DUMMYFUNCTION("""COMPUTED_VALUE"""),6.372291667)</f>
        <v>6.372291667</v>
      </c>
      <c r="KE9" s="1514">
        <f>IFERROR(__xludf.DUMMYFUNCTION("""COMPUTED_VALUE"""),3.603E10)</f>
        <v>36030000000</v>
      </c>
      <c r="KF9" s="1510">
        <f>IFERROR(__xludf.DUMMYFUNCTION("""COMPUTED_VALUE"""),6.372291667)</f>
        <v>6.372291667</v>
      </c>
      <c r="KG9" s="1514">
        <f>IFERROR(__xludf.DUMMYFUNCTION("""COMPUTED_VALUE"""),3.603E10)</f>
        <v>36030000000</v>
      </c>
      <c r="KH9" s="1510">
        <f>IFERROR(__xludf.DUMMYFUNCTION("""COMPUTED_VALUE"""),11.70875)</f>
        <v>11.70875</v>
      </c>
      <c r="KI9" s="1514">
        <f>IFERROR(__xludf.DUMMYFUNCTION("""COMPUTED_VALUE"""),2.72E12)</f>
        <v>2720000000000</v>
      </c>
      <c r="KJ9" s="1527"/>
      <c r="KK9" s="1527"/>
      <c r="KL9" s="1527"/>
      <c r="KM9" s="1527"/>
      <c r="KN9" s="1527"/>
      <c r="KO9" s="1527"/>
      <c r="KP9" s="1527"/>
      <c r="KQ9" s="1527"/>
      <c r="KR9" s="1527"/>
      <c r="KS9" s="1527"/>
      <c r="KT9" s="1531">
        <f>IFERROR(__xludf.DUMMYFUNCTION("""COMPUTED_VALUE"""),250.0)</f>
        <v>250</v>
      </c>
      <c r="KU9" s="1531">
        <f>IFERROR(__xludf.DUMMYFUNCTION("""COMPUTED_VALUE"""),5.0E17)</f>
        <v>5E+17</v>
      </c>
      <c r="KV9" s="1525">
        <f>IFERROR(__xludf.DUMMYFUNCTION("""COMPUTED_VALUE"""),75.59652777777778)</f>
        <v>75.59652778</v>
      </c>
      <c r="KW9" s="1526">
        <f>IFERROR(__xludf.DUMMYFUNCTION("""COMPUTED_VALUE"""),1.75E18)</f>
        <v>1.75E+18</v>
      </c>
      <c r="KX9" s="1525">
        <f>IFERROR(__xludf.DUMMYFUNCTION("""COMPUTED_VALUE"""),75.59652777777778)</f>
        <v>75.59652778</v>
      </c>
      <c r="KY9" s="1526">
        <f>IFERROR(__xludf.DUMMYFUNCTION("""COMPUTED_VALUE"""),1.75E18)</f>
        <v>1.75E+18</v>
      </c>
      <c r="KZ9" s="1525">
        <f>IFERROR(__xludf.DUMMYFUNCTION("""COMPUTED_VALUE"""),75.59652777777778)</f>
        <v>75.59652778</v>
      </c>
      <c r="LA9" s="1526">
        <f>IFERROR(__xludf.DUMMYFUNCTION("""COMPUTED_VALUE"""),1.75E18)</f>
        <v>1.75E+18</v>
      </c>
      <c r="LB9" s="1525">
        <f>IFERROR(__xludf.DUMMYFUNCTION("""COMPUTED_VALUE"""),75.59652777777778)</f>
        <v>75.59652778</v>
      </c>
      <c r="LC9" s="1526">
        <f>IFERROR(__xludf.DUMMYFUNCTION("""COMPUTED_VALUE"""),1.75E18)</f>
        <v>1.75E+18</v>
      </c>
      <c r="LD9" s="1525">
        <f>IFERROR(__xludf.DUMMYFUNCTION("""COMPUTED_VALUE"""),75.59652777777778)</f>
        <v>75.59652778</v>
      </c>
      <c r="LE9" s="1526">
        <f>IFERROR(__xludf.DUMMYFUNCTION("""COMPUTED_VALUE"""),1.75E18)</f>
        <v>1.75E+18</v>
      </c>
      <c r="LF9" s="1525">
        <f>IFERROR(__xludf.DUMMYFUNCTION("""COMPUTED_VALUE"""),75.59652777777778)</f>
        <v>75.59652778</v>
      </c>
      <c r="LG9" s="1526">
        <f>IFERROR(__xludf.DUMMYFUNCTION("""COMPUTED_VALUE"""),1.75E18)</f>
        <v>1.75E+18</v>
      </c>
      <c r="LH9" s="1525">
        <f>IFERROR(__xludf.DUMMYFUNCTION("""COMPUTED_VALUE"""),75.59652777777778)</f>
        <v>75.59652778</v>
      </c>
      <c r="LI9" s="1526">
        <f>IFERROR(__xludf.DUMMYFUNCTION("""COMPUTED_VALUE"""),1.75E18)</f>
        <v>1.75E+18</v>
      </c>
      <c r="LJ9" s="1525">
        <f>IFERROR(__xludf.DUMMYFUNCTION("""COMPUTED_VALUE"""),75.59652777777778)</f>
        <v>75.59652778</v>
      </c>
      <c r="LK9" s="1526">
        <f>IFERROR(__xludf.DUMMYFUNCTION("""COMPUTED_VALUE"""),1.75E18)</f>
        <v>1.75E+18</v>
      </c>
      <c r="LL9" s="1494">
        <f>IFERROR(__xludf.DUMMYFUNCTION("""COMPUTED_VALUE"""),116.66666666666667)</f>
        <v>116.6666667</v>
      </c>
      <c r="LM9" s="1495">
        <f>IFERROR(__xludf.DUMMYFUNCTION("""COMPUTED_VALUE"""),7.42E16)</f>
        <v>7.42E+16</v>
      </c>
      <c r="LN9" s="1516">
        <f>IFERROR(__xludf.DUMMYFUNCTION("""COMPUTED_VALUE"""),94.49513888888889)</f>
        <v>94.49513889</v>
      </c>
      <c r="LO9" s="1495">
        <f>IFERROR(__xludf.DUMMYFUNCTION("""COMPUTED_VALUE"""),1.4E18)</f>
        <v>1.4E+18</v>
      </c>
      <c r="LP9" s="1516">
        <f>IFERROR(__xludf.DUMMYFUNCTION("""COMPUTED_VALUE"""),94.49513888888889)</f>
        <v>94.49513889</v>
      </c>
      <c r="LQ9" s="1495">
        <f>IFERROR(__xludf.DUMMYFUNCTION("""COMPUTED_VALUE"""),1.4E18)</f>
        <v>1.4E+18</v>
      </c>
      <c r="LR9" s="1516">
        <f>IFERROR(__xludf.DUMMYFUNCTION("""COMPUTED_VALUE"""),94.49513888888889)</f>
        <v>94.49513889</v>
      </c>
      <c r="LS9" s="1495">
        <f>IFERROR(__xludf.DUMMYFUNCTION("""COMPUTED_VALUE"""),1.4E18)</f>
        <v>1.4E+18</v>
      </c>
      <c r="LT9" s="1516">
        <f>IFERROR(__xludf.DUMMYFUNCTION("""COMPUTED_VALUE"""),94.49513888888889)</f>
        <v>94.49513889</v>
      </c>
      <c r="LU9" s="1495">
        <f>IFERROR(__xludf.DUMMYFUNCTION("""COMPUTED_VALUE"""),1.4E18)</f>
        <v>1.4E+18</v>
      </c>
      <c r="LV9" s="1516">
        <f>IFERROR(__xludf.DUMMYFUNCTION("""COMPUTED_VALUE"""),94.49513888888889)</f>
        <v>94.49513889</v>
      </c>
      <c r="LW9" s="1495">
        <f>IFERROR(__xludf.DUMMYFUNCTION("""COMPUTED_VALUE"""),1.4E18)</f>
        <v>1.4E+18</v>
      </c>
      <c r="LX9" s="1516">
        <f>IFERROR(__xludf.DUMMYFUNCTION("""COMPUTED_VALUE"""),113.39444444444445)</f>
        <v>113.3944444</v>
      </c>
      <c r="LY9" s="1517">
        <f>IFERROR(__xludf.DUMMYFUNCTION("""COMPUTED_VALUE"""),3.5E18)</f>
        <v>3.5E+18</v>
      </c>
      <c r="LZ9" s="1516">
        <f>IFERROR(__xludf.DUMMYFUNCTION("""COMPUTED_VALUE"""),113.39444444444445)</f>
        <v>113.3944444</v>
      </c>
      <c r="MA9" s="1517">
        <f>IFERROR(__xludf.DUMMYFUNCTION("""COMPUTED_VALUE"""),3.5E18)</f>
        <v>3.5E+18</v>
      </c>
      <c r="MB9" s="1516">
        <f>IFERROR(__xludf.DUMMYFUNCTION("""COMPUTED_VALUE"""),113.39444444444445)</f>
        <v>113.3944444</v>
      </c>
      <c r="MC9" s="1517">
        <f>IFERROR(__xludf.DUMMYFUNCTION("""COMPUTED_VALUE"""),3.5E18)</f>
        <v>3.5E+18</v>
      </c>
      <c r="MD9" s="1516">
        <f>IFERROR(__xludf.DUMMYFUNCTION("""COMPUTED_VALUE"""),113.39444444444445)</f>
        <v>113.3944444</v>
      </c>
      <c r="ME9" s="1517">
        <f>IFERROR(__xludf.DUMMYFUNCTION("""COMPUTED_VALUE"""),3.5E18)</f>
        <v>3.5E+18</v>
      </c>
      <c r="MF9" s="1516">
        <f>IFERROR(__xludf.DUMMYFUNCTION("""COMPUTED_VALUE"""),91.79583333333333)</f>
        <v>91.79583333</v>
      </c>
      <c r="MG9" s="1517">
        <f>IFERROR(__xludf.DUMMYFUNCTION("""COMPUTED_VALUE"""),1.1390625E19)</f>
        <v>1.13906E+19</v>
      </c>
      <c r="MH9" s="1516">
        <f>IFERROR(__xludf.DUMMYFUNCTION("""COMPUTED_VALUE"""),91.79583333333333)</f>
        <v>91.79583333</v>
      </c>
      <c r="MI9" s="1517">
        <f>IFERROR(__xludf.DUMMYFUNCTION("""COMPUTED_VALUE"""),1.1390625E19)</f>
        <v>1.13906E+19</v>
      </c>
      <c r="MJ9" s="1516">
        <f>IFERROR(__xludf.DUMMYFUNCTION("""COMPUTED_VALUE"""),91.79583333333333)</f>
        <v>91.79583333</v>
      </c>
      <c r="MK9" s="1517">
        <f>IFERROR(__xludf.DUMMYFUNCTION("""COMPUTED_VALUE"""),1.1390625E19)</f>
        <v>1.13906E+19</v>
      </c>
      <c r="ML9" s="1516">
        <f>IFERROR(__xludf.DUMMYFUNCTION("""COMPUTED_VALUE"""),91.79583333333333)</f>
        <v>91.79583333</v>
      </c>
      <c r="MM9" s="1517">
        <f>IFERROR(__xludf.DUMMYFUNCTION("""COMPUTED_VALUE"""),1.1390625E19)</f>
        <v>1.13906E+19</v>
      </c>
      <c r="MN9" s="1516">
        <f>IFERROR(__xludf.DUMMYFUNCTION("""COMPUTED_VALUE"""),91.79583333333333)</f>
        <v>91.79583333</v>
      </c>
      <c r="MO9" s="1517">
        <f>IFERROR(__xludf.DUMMYFUNCTION("""COMPUTED_VALUE"""),1.1390625E19)</f>
        <v>1.13906E+19</v>
      </c>
      <c r="MP9" s="1516">
        <f>IFERROR(__xludf.DUMMYFUNCTION("""COMPUTED_VALUE"""),91.79583333333333)</f>
        <v>91.79583333</v>
      </c>
      <c r="MQ9" s="1517">
        <f>IFERROR(__xludf.DUMMYFUNCTION("""COMPUTED_VALUE"""),1.1390625E19)</f>
        <v>1.13906E+19</v>
      </c>
      <c r="MR9" s="1516">
        <f>IFERROR(__xludf.DUMMYFUNCTION("""COMPUTED_VALUE"""),133.9138888888889)</f>
        <v>133.9138889</v>
      </c>
      <c r="MS9" s="1517">
        <f>IFERROR(__xludf.DUMMYFUNCTION("""COMPUTED_VALUE"""),1.28E20)</f>
        <v>1.28E+20</v>
      </c>
      <c r="MT9" s="1516">
        <f>IFERROR(__xludf.DUMMYFUNCTION("""COMPUTED_VALUE"""),133.9138888888889)</f>
        <v>133.9138889</v>
      </c>
      <c r="MU9" s="1517">
        <f>IFERROR(__xludf.DUMMYFUNCTION("""COMPUTED_VALUE"""),1.28E20)</f>
        <v>1.28E+20</v>
      </c>
      <c r="MV9" s="1516">
        <f>IFERROR(__xludf.DUMMYFUNCTION("""COMPUTED_VALUE"""),133.9138888888889)</f>
        <v>133.9138889</v>
      </c>
      <c r="MW9" s="1517">
        <f>IFERROR(__xludf.DUMMYFUNCTION("""COMPUTED_VALUE"""),1.28E20)</f>
        <v>1.28E+20</v>
      </c>
      <c r="MX9" s="1516">
        <f>IFERROR(__xludf.DUMMYFUNCTION("""COMPUTED_VALUE"""),133.9138888888889)</f>
        <v>133.9138889</v>
      </c>
      <c r="MY9" s="1517">
        <f>IFERROR(__xludf.DUMMYFUNCTION("""COMPUTED_VALUE"""),1.28E20)</f>
        <v>1.28E+20</v>
      </c>
    </row>
    <row r="10">
      <c r="A10" s="1465">
        <f>IFERROR(__xludf.DUMMYFUNCTION("""COMPUTED_VALUE"""),8.0)</f>
        <v>8</v>
      </c>
      <c r="B10" s="1518"/>
      <c r="C10" s="1519"/>
      <c r="D10" s="1466">
        <f>IFERROR(__xludf.DUMMYFUNCTION("""COMPUTED_VALUE"""),0.11041666666666666)</f>
        <v>0.1104166667</v>
      </c>
      <c r="E10" s="1467">
        <f>IFERROR(__xludf.DUMMYFUNCTION("""COMPUTED_VALUE"""),3170.0)</f>
        <v>3170</v>
      </c>
      <c r="F10" s="1466">
        <f>IFERROR(__xludf.DUMMYFUNCTION("""COMPUTED_VALUE"""),0.11041666666666666)</f>
        <v>0.1104166667</v>
      </c>
      <c r="G10" s="1468">
        <f>IFERROR(__xludf.DUMMYFUNCTION("""COMPUTED_VALUE"""),3170.0)</f>
        <v>3170</v>
      </c>
      <c r="H10" s="1466">
        <f>IFERROR(__xludf.DUMMYFUNCTION("""COMPUTED_VALUE"""),0.11041666666666666)</f>
        <v>0.1104166667</v>
      </c>
      <c r="I10" s="1467">
        <f>IFERROR(__xludf.DUMMYFUNCTION("""COMPUTED_VALUE"""),3170.0)</f>
        <v>3170</v>
      </c>
      <c r="J10" s="1466">
        <f>IFERROR(__xludf.DUMMYFUNCTION("""COMPUTED_VALUE"""),0.11041666666666666)</f>
        <v>0.1104166667</v>
      </c>
      <c r="K10" s="1467">
        <f>IFERROR(__xludf.DUMMYFUNCTION("""COMPUTED_VALUE"""),3170.0)</f>
        <v>3170</v>
      </c>
      <c r="L10" s="1466">
        <f>IFERROR(__xludf.DUMMYFUNCTION("""COMPUTED_VALUE"""),0.15625)</f>
        <v>0.15625</v>
      </c>
      <c r="M10" s="1469">
        <f>IFERROR(__xludf.DUMMYFUNCTION("""COMPUTED_VALUE"""),5550.0)</f>
        <v>5550</v>
      </c>
      <c r="N10" s="1470">
        <f>IFERROR(__xludf.DUMMYFUNCTION("""COMPUTED_VALUE"""),0.13680555555555557)</f>
        <v>0.1368055556</v>
      </c>
      <c r="O10" s="1467">
        <f>IFERROR(__xludf.DUMMYFUNCTION("""COMPUTED_VALUE"""),5670.0)</f>
        <v>5670</v>
      </c>
      <c r="P10" s="1518"/>
      <c r="Q10" s="1519"/>
      <c r="R10" s="1518"/>
      <c r="S10" s="1519"/>
      <c r="T10" s="1518"/>
      <c r="U10" s="1519"/>
      <c r="V10" s="1518"/>
      <c r="W10" s="1519"/>
      <c r="X10" s="1518"/>
      <c r="Y10" s="1519"/>
      <c r="Z10" s="1518"/>
      <c r="AA10" s="1519"/>
      <c r="AB10" s="1518"/>
      <c r="AC10" s="1519"/>
      <c r="AD10" s="1466">
        <f>IFERROR(__xludf.DUMMYFUNCTION("""COMPUTED_VALUE"""),8.639583333333333)</f>
        <v>8.639583333</v>
      </c>
      <c r="AE10" s="1474">
        <f>IFERROR(__xludf.DUMMYFUNCTION("""COMPUTED_VALUE"""),6.2748517E9)</f>
        <v>6274851700</v>
      </c>
      <c r="AF10" s="1466">
        <f>IFERROR(__xludf.DUMMYFUNCTION("""COMPUTED_VALUE"""),8.639583333333333)</f>
        <v>8.639583333</v>
      </c>
      <c r="AG10" s="1474">
        <f>IFERROR(__xludf.DUMMYFUNCTION("""COMPUTED_VALUE"""),6.2748517E9)</f>
        <v>6274851700</v>
      </c>
      <c r="AH10" s="1466">
        <f>IFERROR(__xludf.DUMMYFUNCTION("""COMPUTED_VALUE"""),8.639583333333333)</f>
        <v>8.639583333</v>
      </c>
      <c r="AI10" s="1474">
        <f>IFERROR(__xludf.DUMMYFUNCTION("""COMPUTED_VALUE"""),6.2748517E9)</f>
        <v>6274851700</v>
      </c>
      <c r="AJ10" s="1475">
        <f>IFERROR(__xludf.DUMMYFUNCTION("""COMPUTED_VALUE"""),0.11041666666666666)</f>
        <v>0.1104166667</v>
      </c>
      <c r="AK10" s="1476">
        <f>IFERROR(__xludf.DUMMYFUNCTION("""COMPUTED_VALUE"""),3170.0)</f>
        <v>3170</v>
      </c>
      <c r="AL10" s="1475">
        <f>IFERROR(__xludf.DUMMYFUNCTION("""COMPUTED_VALUE"""),0.11041666666666666)</f>
        <v>0.1104166667</v>
      </c>
      <c r="AM10" s="1476">
        <f>IFERROR(__xludf.DUMMYFUNCTION("""COMPUTED_VALUE"""),3170.0)</f>
        <v>3170</v>
      </c>
      <c r="AN10" s="1475">
        <f>IFERROR(__xludf.DUMMYFUNCTION("""COMPUTED_VALUE"""),0.11041666666666666)</f>
        <v>0.1104166667</v>
      </c>
      <c r="AO10" s="1476">
        <f>IFERROR(__xludf.DUMMYFUNCTION("""COMPUTED_VALUE"""),3170.0)</f>
        <v>3170</v>
      </c>
      <c r="AP10" s="1475">
        <f>IFERROR(__xludf.DUMMYFUNCTION("""COMPUTED_VALUE"""),0.11041666666666666)</f>
        <v>0.1104166667</v>
      </c>
      <c r="AQ10" s="1476">
        <f>IFERROR(__xludf.DUMMYFUNCTION("""COMPUTED_VALUE"""),3170.0)</f>
        <v>3170</v>
      </c>
      <c r="AR10" s="1475">
        <f>IFERROR(__xludf.DUMMYFUNCTION("""COMPUTED_VALUE"""),0.11041666666666666)</f>
        <v>0.1104166667</v>
      </c>
      <c r="AS10" s="1476">
        <f>IFERROR(__xludf.DUMMYFUNCTION("""COMPUTED_VALUE"""),3180.0)</f>
        <v>3180</v>
      </c>
      <c r="AT10" s="1475">
        <f>IFERROR(__xludf.DUMMYFUNCTION("""COMPUTED_VALUE"""),8.078472222222222)</f>
        <v>8.078472222</v>
      </c>
      <c r="AU10" s="1476">
        <f>IFERROR(__xludf.DUMMYFUNCTION("""COMPUTED_VALUE"""),1.097E7)</f>
        <v>10970000</v>
      </c>
      <c r="AV10" s="1475">
        <f>IFERROR(__xludf.DUMMYFUNCTION("""COMPUTED_VALUE"""),7.153472222222222)</f>
        <v>7.153472222</v>
      </c>
      <c r="AW10" s="1476">
        <f>IFERROR(__xludf.DUMMYFUNCTION("""COMPUTED_VALUE"""),1.097E7)</f>
        <v>10970000</v>
      </c>
      <c r="AX10" s="1475">
        <f>IFERROR(__xludf.DUMMYFUNCTION("""COMPUTED_VALUE"""),7.581250000000001)</f>
        <v>7.58125</v>
      </c>
      <c r="AY10" s="1476">
        <f>IFERROR(__xludf.DUMMYFUNCTION("""COMPUTED_VALUE"""),4.8081E11)</f>
        <v>480810000000</v>
      </c>
      <c r="AZ10" s="1518"/>
      <c r="BA10" s="1518"/>
      <c r="BB10" s="1477">
        <f>IFERROR(__xludf.DUMMYFUNCTION("""COMPUTED_VALUE"""),0.11041666666666666)</f>
        <v>0.1104166667</v>
      </c>
      <c r="BC10" s="1478">
        <f>IFERROR(__xludf.DUMMYFUNCTION("""COMPUTED_VALUE"""),3170.0)</f>
        <v>3170</v>
      </c>
      <c r="BD10" s="1477">
        <f>IFERROR(__xludf.DUMMYFUNCTION("""COMPUTED_VALUE"""),0.11041666666666666)</f>
        <v>0.1104166667</v>
      </c>
      <c r="BE10" s="1478">
        <f>IFERROR(__xludf.DUMMYFUNCTION("""COMPUTED_VALUE"""),3170.0)</f>
        <v>3170</v>
      </c>
      <c r="BF10" s="1477">
        <f>IFERROR(__xludf.DUMMYFUNCTION("""COMPUTED_VALUE"""),0.11041666666666666)</f>
        <v>0.1104166667</v>
      </c>
      <c r="BG10" s="1478">
        <f>IFERROR(__xludf.DUMMYFUNCTION("""COMPUTED_VALUE"""),3170.0)</f>
        <v>3170</v>
      </c>
      <c r="BH10" s="1477">
        <f>IFERROR(__xludf.DUMMYFUNCTION("""COMPUTED_VALUE"""),0.7826388888888889)</f>
        <v>0.7826388889</v>
      </c>
      <c r="BI10" s="1478">
        <f>IFERROR(__xludf.DUMMYFUNCTION("""COMPUTED_VALUE"""),2420000.0)</f>
        <v>2420000</v>
      </c>
      <c r="BJ10" s="1477">
        <f>IFERROR(__xludf.DUMMYFUNCTION("""COMPUTED_VALUE"""),1.1465277777777778)</f>
        <v>1.146527778</v>
      </c>
      <c r="BK10" s="1478">
        <f>IFERROR(__xludf.DUMMYFUNCTION("""COMPUTED_VALUE"""),1.462E7)</f>
        <v>14620000</v>
      </c>
      <c r="BL10" s="1477">
        <f>IFERROR(__xludf.DUMMYFUNCTION("""COMPUTED_VALUE"""),1.7763888888888888)</f>
        <v>1.776388889</v>
      </c>
      <c r="BM10" s="1478">
        <f>IFERROR(__xludf.DUMMYFUNCTION("""COMPUTED_VALUE"""),4.31E7)</f>
        <v>43100000</v>
      </c>
      <c r="BN10" s="1477">
        <f>IFERROR(__xludf.DUMMYFUNCTION("""COMPUTED_VALUE"""),1.7763888888888888)</f>
        <v>1.776388889</v>
      </c>
      <c r="BO10" s="1478">
        <f>IFERROR(__xludf.DUMMYFUNCTION("""COMPUTED_VALUE"""),4.31E7)</f>
        <v>43100000</v>
      </c>
      <c r="BP10" s="1477">
        <f>IFERROR(__xludf.DUMMYFUNCTION("""COMPUTED_VALUE"""),2.234027777777778)</f>
        <v>2.234027778</v>
      </c>
      <c r="BQ10" s="1478">
        <f>IFERROR(__xludf.DUMMYFUNCTION("""COMPUTED_VALUE"""),4.321E7)</f>
        <v>43210000</v>
      </c>
      <c r="BR10" s="1477">
        <f>IFERROR(__xludf.DUMMYFUNCTION("""COMPUTED_VALUE"""),4.480555555555555)</f>
        <v>4.480555556</v>
      </c>
      <c r="BS10" s="1478">
        <f>IFERROR(__xludf.DUMMYFUNCTION("""COMPUTED_VALUE"""),1.173E10)</f>
        <v>11730000000</v>
      </c>
      <c r="BT10" s="1479">
        <f>IFERROR(__xludf.DUMMYFUNCTION("""COMPUTED_VALUE"""),0.33402777777777776)</f>
        <v>0.3340277778</v>
      </c>
      <c r="BU10" s="1480">
        <f>IFERROR(__xludf.DUMMYFUNCTION("""COMPUTED_VALUE"""),2.46E9)</f>
        <v>2460000000</v>
      </c>
      <c r="BV10" s="1479">
        <f>IFERROR(__xludf.DUMMYFUNCTION("""COMPUTED_VALUE"""),4.7124999999999995)</f>
        <v>4.7125</v>
      </c>
      <c r="BW10" s="1480">
        <f>IFERROR(__xludf.DUMMYFUNCTION("""COMPUTED_VALUE"""),4.86E9)</f>
        <v>4860000000</v>
      </c>
      <c r="BX10" s="1479">
        <f>IFERROR(__xludf.DUMMYFUNCTION("""COMPUTED_VALUE"""),6.264583333333333)</f>
        <v>6.264583333</v>
      </c>
      <c r="BY10" s="1480">
        <f>IFERROR(__xludf.DUMMYFUNCTION("""COMPUTED_VALUE"""),6.832E10)</f>
        <v>68320000000</v>
      </c>
      <c r="BZ10" s="1479">
        <f>IFERROR(__xludf.DUMMYFUNCTION("""COMPUTED_VALUE"""),7.075)</f>
        <v>7.075</v>
      </c>
      <c r="CA10" s="1480">
        <f>IFERROR(__xludf.DUMMYFUNCTION("""COMPUTED_VALUE"""),8.932E10)</f>
        <v>89320000000</v>
      </c>
      <c r="CB10" s="1479">
        <f>IFERROR(__xludf.DUMMYFUNCTION("""COMPUTED_VALUE"""),11.010416666666666)</f>
        <v>11.01041667</v>
      </c>
      <c r="CC10" s="1480">
        <f>IFERROR(__xludf.DUMMYFUNCTION("""COMPUTED_VALUE"""),6.725E11)</f>
        <v>672500000000</v>
      </c>
      <c r="CD10" s="1477">
        <f>IFERROR(__xludf.DUMMYFUNCTION("""COMPUTED_VALUE"""),3.1989814814814816)</f>
        <v>3.198981481</v>
      </c>
      <c r="CE10" s="1481">
        <f>IFERROR(__xludf.DUMMYFUNCTION("""COMPUTED_VALUE"""),3.1729E11)</f>
        <v>317290000000</v>
      </c>
      <c r="CF10" s="1477">
        <f>IFERROR(__xludf.DUMMYFUNCTION("""COMPUTED_VALUE"""),3.4620949074074074)</f>
        <v>3.462094907</v>
      </c>
      <c r="CG10" s="1481">
        <f>IFERROR(__xludf.DUMMYFUNCTION("""COMPUTED_VALUE"""),224300.0)</f>
        <v>224300</v>
      </c>
      <c r="CH10" s="1482">
        <f>IFERROR(__xludf.DUMMYFUNCTION("""COMPUTED_VALUE"""),0.11041666666666666)</f>
        <v>0.1104166667</v>
      </c>
      <c r="CI10" s="1483">
        <f>IFERROR(__xludf.DUMMYFUNCTION("""COMPUTED_VALUE"""),3180.0)</f>
        <v>3180</v>
      </c>
      <c r="CJ10" s="1482">
        <f>IFERROR(__xludf.DUMMYFUNCTION("""COMPUTED_VALUE"""),0.11041666666666666)</f>
        <v>0.1104166667</v>
      </c>
      <c r="CK10" s="1483">
        <f>IFERROR(__xludf.DUMMYFUNCTION("""COMPUTED_VALUE"""),3180.0)</f>
        <v>3180</v>
      </c>
      <c r="CL10" s="1482">
        <f>IFERROR(__xludf.DUMMYFUNCTION("""COMPUTED_VALUE"""),0.11041666666666666)</f>
        <v>0.1104166667</v>
      </c>
      <c r="CM10" s="1483">
        <f>IFERROR(__xludf.DUMMYFUNCTION("""COMPUTED_VALUE"""),3180.0)</f>
        <v>3180</v>
      </c>
      <c r="CN10" s="1482">
        <f>IFERROR(__xludf.DUMMYFUNCTION("""COMPUTED_VALUE"""),0.11041666666666666)</f>
        <v>0.1104166667</v>
      </c>
      <c r="CO10" s="1483">
        <f>IFERROR(__xludf.DUMMYFUNCTION("""COMPUTED_VALUE"""),3180.0)</f>
        <v>3180</v>
      </c>
      <c r="CP10" s="1482">
        <f>IFERROR(__xludf.DUMMYFUNCTION("""COMPUTED_VALUE"""),0.16805555555555554)</f>
        <v>0.1680555556</v>
      </c>
      <c r="CQ10" s="1483">
        <f>IFERROR(__xludf.DUMMYFUNCTION("""COMPUTED_VALUE"""),5680.0)</f>
        <v>5680</v>
      </c>
      <c r="CR10" s="1482">
        <f>IFERROR(__xludf.DUMMYFUNCTION("""COMPUTED_VALUE"""),2.446527777777778)</f>
        <v>2.446527778</v>
      </c>
      <c r="CS10" s="1483">
        <f>IFERROR(__xludf.DUMMYFUNCTION("""COMPUTED_VALUE"""),58900.0)</f>
        <v>58900</v>
      </c>
      <c r="CT10" s="1520"/>
      <c r="CU10" s="1519"/>
      <c r="CV10" s="1484">
        <f>IFERROR(__xludf.DUMMYFUNCTION("""COMPUTED_VALUE"""),5.638194444444444)</f>
        <v>5.638194444</v>
      </c>
      <c r="CW10" s="1485">
        <f>IFERROR(__xludf.DUMMYFUNCTION("""COMPUTED_VALUE"""),6.313E10)</f>
        <v>63130000000</v>
      </c>
      <c r="CX10" s="1484">
        <f>IFERROR(__xludf.DUMMYFUNCTION("""COMPUTED_VALUE"""),5.638194444444444)</f>
        <v>5.638194444</v>
      </c>
      <c r="CY10" s="1485">
        <f>IFERROR(__xludf.DUMMYFUNCTION("""COMPUTED_VALUE"""),6.313E10)</f>
        <v>63130000000</v>
      </c>
      <c r="CZ10" s="1484">
        <f>IFERROR(__xludf.DUMMYFUNCTION("""COMPUTED_VALUE"""),5.638194444444444)</f>
        <v>5.638194444</v>
      </c>
      <c r="DA10" s="1485">
        <f>IFERROR(__xludf.DUMMYFUNCTION("""COMPUTED_VALUE"""),6.313E10)</f>
        <v>63130000000</v>
      </c>
      <c r="DB10" s="1484">
        <f>IFERROR(__xludf.DUMMYFUNCTION("""COMPUTED_VALUE"""),3.5347222222222223)</f>
        <v>3.534722222</v>
      </c>
      <c r="DC10" s="1485">
        <f>IFERROR(__xludf.DUMMYFUNCTION("""COMPUTED_VALUE"""),6.14E9)</f>
        <v>6140000000</v>
      </c>
      <c r="DD10" s="1484">
        <f>IFERROR(__xludf.DUMMYFUNCTION("""COMPUTED_VALUE"""),3.5347222222222223)</f>
        <v>3.534722222</v>
      </c>
      <c r="DE10" s="1485">
        <f>IFERROR(__xludf.DUMMYFUNCTION("""COMPUTED_VALUE"""),6.14E9)</f>
        <v>6140000000</v>
      </c>
      <c r="DF10" s="1486">
        <f>IFERROR(__xludf.DUMMYFUNCTION("""COMPUTED_VALUE"""),2.540277777777778)</f>
        <v>2.540277778</v>
      </c>
      <c r="DG10" s="1487">
        <f>IFERROR(__xludf.DUMMYFUNCTION("""COMPUTED_VALUE"""),4.347E7)</f>
        <v>43470000</v>
      </c>
      <c r="DH10" s="1518"/>
      <c r="DI10" s="1519"/>
      <c r="DJ10" s="1486">
        <f>IFERROR(__xludf.DUMMYFUNCTION("""COMPUTED_VALUE"""),3.327777777777778)</f>
        <v>3.327777778</v>
      </c>
      <c r="DK10" s="1487">
        <f>IFERROR(__xludf.DUMMYFUNCTION("""COMPUTED_VALUE"""),4.402E7)</f>
        <v>44020000</v>
      </c>
      <c r="DL10" s="1486">
        <f>IFERROR(__xludf.DUMMYFUNCTION("""COMPUTED_VALUE"""),2.540277777777778)</f>
        <v>2.540277778</v>
      </c>
      <c r="DM10" s="1487">
        <f>IFERROR(__xludf.DUMMYFUNCTION("""COMPUTED_VALUE"""),4.347E7)</f>
        <v>43470000</v>
      </c>
      <c r="DN10" s="1518"/>
      <c r="DO10" s="1519"/>
      <c r="DP10" s="1486">
        <f>IFERROR(__xludf.DUMMYFUNCTION("""COMPUTED_VALUE"""),2.540277777777778)</f>
        <v>2.540277778</v>
      </c>
      <c r="DQ10" s="1487">
        <f>IFERROR(__xludf.DUMMYFUNCTION("""COMPUTED_VALUE"""),4.347E7)</f>
        <v>43470000</v>
      </c>
      <c r="DR10" s="1486">
        <f>IFERROR(__xludf.DUMMYFUNCTION("""COMPUTED_VALUE"""),2.540277777777778)</f>
        <v>2.540277778</v>
      </c>
      <c r="DS10" s="1487">
        <f>IFERROR(__xludf.DUMMYFUNCTION("""COMPUTED_VALUE"""),4.347E7)</f>
        <v>43470000</v>
      </c>
      <c r="DT10" s="1518"/>
      <c r="DU10" s="1519"/>
      <c r="DV10" s="1486">
        <f>IFERROR(__xludf.DUMMYFUNCTION("""COMPUTED_VALUE"""),2.540277777777778)</f>
        <v>2.540277778</v>
      </c>
      <c r="DW10" s="1487">
        <f>IFERROR(__xludf.DUMMYFUNCTION("""COMPUTED_VALUE"""),4.347E7)</f>
        <v>43470000</v>
      </c>
      <c r="DX10" s="1486">
        <f>IFERROR(__xludf.DUMMYFUNCTION("""COMPUTED_VALUE"""),2.540277777777778)</f>
        <v>2.540277778</v>
      </c>
      <c r="DY10" s="1487">
        <f>IFERROR(__xludf.DUMMYFUNCTION("""COMPUTED_VALUE"""),4.347E7)</f>
        <v>43470000</v>
      </c>
      <c r="DZ10" s="1486">
        <f>IFERROR(__xludf.DUMMYFUNCTION("""COMPUTED_VALUE"""),4.831944444444445)</f>
        <v>4.831944444</v>
      </c>
      <c r="EA10" s="1487">
        <f>IFERROR(__xludf.DUMMYFUNCTION("""COMPUTED_VALUE"""),8.816E7)</f>
        <v>88160000</v>
      </c>
      <c r="EB10" s="1486">
        <f>IFERROR(__xludf.DUMMYFUNCTION("""COMPUTED_VALUE"""),4.831944444444445)</f>
        <v>4.831944444</v>
      </c>
      <c r="EC10" s="1487">
        <f>IFERROR(__xludf.DUMMYFUNCTION("""COMPUTED_VALUE"""),8.816E7)</f>
        <v>88160000</v>
      </c>
      <c r="ED10" s="1518"/>
      <c r="EE10" s="1519"/>
      <c r="EF10" s="1486">
        <f>IFERROR(__xludf.DUMMYFUNCTION("""COMPUTED_VALUE"""),3.998611111111111)</f>
        <v>3.998611111</v>
      </c>
      <c r="EG10" s="1487">
        <f>IFERROR(__xludf.DUMMYFUNCTION("""COMPUTED_VALUE"""),8.741E7)</f>
        <v>87410000</v>
      </c>
      <c r="EH10" s="1486">
        <f>IFERROR(__xludf.DUMMYFUNCTION("""COMPUTED_VALUE"""),3.998611111111111)</f>
        <v>3.998611111</v>
      </c>
      <c r="EI10" s="1487">
        <f>IFERROR(__xludf.DUMMYFUNCTION("""COMPUTED_VALUE"""),8.741E7)</f>
        <v>87410000</v>
      </c>
      <c r="EJ10" s="1486">
        <f>IFERROR(__xludf.DUMMYFUNCTION("""COMPUTED_VALUE"""),3.9991203703703704)</f>
        <v>3.99912037</v>
      </c>
      <c r="EK10" s="1487">
        <f>IFERROR(__xludf.DUMMYFUNCTION("""COMPUTED_VALUE"""),8.741E7)</f>
        <v>87410000</v>
      </c>
      <c r="EL10" s="1486">
        <f>IFERROR(__xludf.DUMMYFUNCTION("""COMPUTED_VALUE"""),3.9991203703703704)</f>
        <v>3.99912037</v>
      </c>
      <c r="EM10" s="1487">
        <f>IFERROR(__xludf.DUMMYFUNCTION("""COMPUTED_VALUE"""),8.741E7)</f>
        <v>87410000</v>
      </c>
      <c r="EN10" s="1486">
        <f>IFERROR(__xludf.DUMMYFUNCTION("""COMPUTED_VALUE"""),3.998611111111111)</f>
        <v>3.998611111</v>
      </c>
      <c r="EO10" s="1487">
        <f>IFERROR(__xludf.DUMMYFUNCTION("""COMPUTED_VALUE"""),8.741E7)</f>
        <v>87410000</v>
      </c>
      <c r="EP10" s="1486">
        <f>IFERROR(__xludf.DUMMYFUNCTION("""COMPUTED_VALUE"""),3.998611111111111)</f>
        <v>3.998611111</v>
      </c>
      <c r="EQ10" s="1487">
        <f>IFERROR(__xludf.DUMMYFUNCTION("""COMPUTED_VALUE"""),8.741E7)</f>
        <v>87410000</v>
      </c>
      <c r="ER10" s="1486">
        <f>IFERROR(__xludf.DUMMYFUNCTION("""COMPUTED_VALUE"""),3.998611111111111)</f>
        <v>3.998611111</v>
      </c>
      <c r="ES10" s="1487">
        <f>IFERROR(__xludf.DUMMYFUNCTION("""COMPUTED_VALUE"""),8.741E7)</f>
        <v>87410000</v>
      </c>
      <c r="ET10" s="1486">
        <f>IFERROR(__xludf.DUMMYFUNCTION("""COMPUTED_VALUE"""),3.998611111111111)</f>
        <v>3.998611111</v>
      </c>
      <c r="EU10" s="1487">
        <f>IFERROR(__xludf.DUMMYFUNCTION("""COMPUTED_VALUE"""),8.801E7)</f>
        <v>88010000</v>
      </c>
      <c r="EV10" s="1518"/>
      <c r="EW10" s="1519"/>
      <c r="EX10" s="1518"/>
      <c r="EY10" s="1519"/>
      <c r="EZ10" s="1518"/>
      <c r="FA10" s="1521"/>
      <c r="FB10" s="1486">
        <f>IFERROR(__xludf.DUMMYFUNCTION("""COMPUTED_VALUE"""),4.831944444444445)</f>
        <v>4.831944444</v>
      </c>
      <c r="FC10" s="1487">
        <f>IFERROR(__xludf.DUMMYFUNCTION("""COMPUTED_VALUE"""),1.1066E8)</f>
        <v>110660000</v>
      </c>
      <c r="FD10" s="1520"/>
      <c r="FE10" s="1519"/>
      <c r="FF10" s="1486">
        <f>IFERROR(__xludf.DUMMYFUNCTION("""COMPUTED_VALUE"""),4.831944444444445)</f>
        <v>4.831944444</v>
      </c>
      <c r="FG10" s="1488">
        <f>IFERROR(__xludf.DUMMYFUNCTION("""COMPUTED_VALUE"""),1.9787027E8)</f>
        <v>197870270</v>
      </c>
      <c r="FH10" s="1486">
        <f>IFERROR(__xludf.DUMMYFUNCTION("""COMPUTED_VALUE"""),4.831944444444445)</f>
        <v>4.831944444</v>
      </c>
      <c r="FI10" s="1488">
        <f>IFERROR(__xludf.DUMMYFUNCTION("""COMPUTED_VALUE"""),1.9787027E8)</f>
        <v>197870270</v>
      </c>
      <c r="FJ10" s="1486">
        <f>IFERROR(__xludf.DUMMYFUNCTION("""COMPUTED_VALUE"""),9.831666666666667)</f>
        <v>9.831666667</v>
      </c>
      <c r="FK10" s="1487">
        <f>IFERROR(__xludf.DUMMYFUNCTION("""COMPUTED_VALUE"""),2.87156757E8)</f>
        <v>287156757</v>
      </c>
      <c r="FL10" s="1518"/>
      <c r="FM10" s="1519"/>
      <c r="FN10" s="1532"/>
      <c r="FO10" s="1520"/>
      <c r="FP10" s="1486">
        <f>IFERROR(__xludf.DUMMYFUNCTION("""COMPUTED_VALUE"""),18.422337962962963)</f>
        <v>18.42233796</v>
      </c>
      <c r="FQ10" s="1488">
        <f>IFERROR(__xludf.DUMMYFUNCTION("""COMPUTED_VALUE"""),1.71E12)</f>
        <v>1710000000000</v>
      </c>
      <c r="FR10" s="1532"/>
      <c r="FS10" s="1520"/>
      <c r="FT10" s="1486">
        <f>IFERROR(__xludf.DUMMYFUNCTION("""COMPUTED_VALUE"""),18.422337962962963)</f>
        <v>18.42233796</v>
      </c>
      <c r="FU10" s="1488">
        <f>IFERROR(__xludf.DUMMYFUNCTION("""COMPUTED_VALUE"""),1.71E12)</f>
        <v>1710000000000</v>
      </c>
      <c r="FV10" s="1486">
        <f>IFERROR(__xludf.DUMMYFUNCTION("""COMPUTED_VALUE"""),18.422337962962963)</f>
        <v>18.42233796</v>
      </c>
      <c r="FW10" s="1488">
        <f>IFERROR(__xludf.DUMMYFUNCTION("""COMPUTED_VALUE"""),1.71E12)</f>
        <v>1710000000000</v>
      </c>
      <c r="FX10" s="1491">
        <f>IFERROR(__xludf.DUMMYFUNCTION("""COMPUTED_VALUE"""),7.127731481481481)</f>
        <v>7.127731481</v>
      </c>
      <c r="FY10" s="1492">
        <f>IFERROR(__xludf.DUMMYFUNCTION("""COMPUTED_VALUE"""),1.709E10)</f>
        <v>17090000000</v>
      </c>
      <c r="FZ10" s="1491">
        <f>IFERROR(__xludf.DUMMYFUNCTION("""COMPUTED_VALUE"""),18.422337962962963)</f>
        <v>18.42233796</v>
      </c>
      <c r="GA10" s="1492">
        <f>IFERROR(__xludf.DUMMYFUNCTION("""COMPUTED_VALUE"""),1.71E12)</f>
        <v>1710000000000</v>
      </c>
      <c r="GB10" s="1491">
        <f>IFERROR(__xludf.DUMMYFUNCTION("""COMPUTED_VALUE"""),40.72592592592593)</f>
        <v>40.72592593</v>
      </c>
      <c r="GC10" s="1492">
        <f>IFERROR(__xludf.DUMMYFUNCTION("""COMPUTED_VALUE"""),2.919E13)</f>
        <v>29190000000000</v>
      </c>
      <c r="GD10" s="1486">
        <f>IFERROR(__xludf.DUMMYFUNCTION("""COMPUTED_VALUE"""),133.33333333333334)</f>
        <v>133.3333333</v>
      </c>
      <c r="GE10" s="1488">
        <f>IFERROR(__xludf.DUMMYFUNCTION("""COMPUTED_VALUE"""),1.522E17)</f>
        <v>1.522E+17</v>
      </c>
      <c r="GF10" s="1518"/>
      <c r="GG10" s="1519"/>
      <c r="GH10" s="1494">
        <f>IFERROR(__xludf.DUMMYFUNCTION("""COMPUTED_VALUE"""),3.2069444444444444)</f>
        <v>3.206944444</v>
      </c>
      <c r="GI10" s="1495">
        <f>IFERROR(__xludf.DUMMYFUNCTION("""COMPUTED_VALUE"""),1.7267E8)</f>
        <v>172670000</v>
      </c>
      <c r="GJ10" s="1518"/>
      <c r="GK10" s="1519"/>
      <c r="GL10" s="1518"/>
      <c r="GM10" s="1519"/>
      <c r="GN10" s="1520"/>
      <c r="GO10" s="1519"/>
      <c r="GP10" s="1496">
        <f>IFERROR(__xludf.DUMMYFUNCTION("""COMPUTED_VALUE"""),3.3736111111111113)</f>
        <v>3.373611111</v>
      </c>
      <c r="GQ10" s="1497">
        <f>IFERROR(__xludf.DUMMYFUNCTION("""COMPUTED_VALUE"""),1.253E10)</f>
        <v>12530000000</v>
      </c>
      <c r="GR10" s="1518"/>
      <c r="GS10" s="1519"/>
      <c r="GT10" s="1518"/>
      <c r="GU10" s="1519"/>
      <c r="GV10" s="1520"/>
      <c r="GW10" s="1519"/>
      <c r="GX10" s="1499">
        <f>IFERROR(__xludf.DUMMYFUNCTION("""COMPUTED_VALUE"""),93.75)</f>
        <v>93.75</v>
      </c>
      <c r="GY10" s="1500">
        <f>IFERROR(__xludf.DUMMYFUNCTION("""COMPUTED_VALUE"""),9.8E15)</f>
        <v>9.8E+15</v>
      </c>
      <c r="GZ10" s="1518"/>
      <c r="HA10" s="1519"/>
      <c r="HB10" s="1501">
        <f>IFERROR(__xludf.DUMMYFUNCTION("""COMPUTED_VALUE"""),1.7763888888888888)</f>
        <v>1.776388889</v>
      </c>
      <c r="HC10" s="1502">
        <f>IFERROR(__xludf.DUMMYFUNCTION("""COMPUTED_VALUE"""),3.3694E8)</f>
        <v>336940000</v>
      </c>
      <c r="HD10" s="1518"/>
      <c r="HE10" s="1519"/>
      <c r="HF10" s="1501">
        <f>IFERROR(__xludf.DUMMYFUNCTION("""COMPUTED_VALUE"""),1.9388888888888889)</f>
        <v>1.938888889</v>
      </c>
      <c r="HG10" s="1502">
        <f>IFERROR(__xludf.DUMMYFUNCTION("""COMPUTED_VALUE"""),5.0536E8)</f>
        <v>505360000</v>
      </c>
      <c r="HH10" s="1518"/>
      <c r="HI10" s="1519"/>
      <c r="HJ10" s="1518"/>
      <c r="HK10" s="1519"/>
      <c r="HL10" s="1530">
        <f>IFERROR(__xludf.DUMMYFUNCTION("""COMPUTED_VALUE"""),333.3333333333333)</f>
        <v>333.3333333</v>
      </c>
      <c r="HM10" s="1502">
        <f>IFERROR(__xludf.DUMMYFUNCTION("""COMPUTED_VALUE"""),1.0E15)</f>
        <v>1E+15</v>
      </c>
      <c r="HN10" s="1501">
        <f>IFERROR(__xludf.DUMMYFUNCTION("""COMPUTED_VALUE"""),5.985416666666667)</f>
        <v>5.985416667</v>
      </c>
      <c r="HO10" s="1502">
        <f>IFERROR(__xludf.DUMMYFUNCTION("""COMPUTED_VALUE"""),2.2E9)</f>
        <v>2200000000</v>
      </c>
      <c r="HP10" s="1501">
        <f>IFERROR(__xludf.DUMMYFUNCTION("""COMPUTED_VALUE"""),5.898645833333333)</f>
        <v>5.898645833</v>
      </c>
      <c r="HQ10" s="1503">
        <f>IFERROR(__xludf.DUMMYFUNCTION("""COMPUTED_VALUE"""),1.9102E8)</f>
        <v>191020000</v>
      </c>
      <c r="HR10" s="1522">
        <f>IFERROR(__xludf.DUMMYFUNCTION("""COMPUTED_VALUE"""),4.9437500000000005)</f>
        <v>4.94375</v>
      </c>
      <c r="HS10" s="1523">
        <f>IFERROR(__xludf.DUMMYFUNCTION("""COMPUTED_VALUE"""),1.08E9)</f>
        <v>1080000000</v>
      </c>
      <c r="HT10" s="1522">
        <f>IFERROR(__xludf.DUMMYFUNCTION("""COMPUTED_VALUE"""),4.9437500000000005)</f>
        <v>4.94375</v>
      </c>
      <c r="HU10" s="1523">
        <f>IFERROR(__xludf.DUMMYFUNCTION("""COMPUTED_VALUE"""),1.08E9)</f>
        <v>1080000000</v>
      </c>
      <c r="HV10" s="1522">
        <f>IFERROR(__xludf.DUMMYFUNCTION("""COMPUTED_VALUE"""),4.9437500000000005)</f>
        <v>4.94375</v>
      </c>
      <c r="HW10" s="1523">
        <f>IFERROR(__xludf.DUMMYFUNCTION("""COMPUTED_VALUE"""),1.08E9)</f>
        <v>1080000000</v>
      </c>
      <c r="HX10" s="1524">
        <f>IFERROR(__xludf.DUMMYFUNCTION("""COMPUTED_VALUE"""),4.94375)</f>
        <v>4.94375</v>
      </c>
      <c r="HY10" s="1523">
        <f>IFERROR(__xludf.DUMMYFUNCTION("""COMPUTED_VALUE"""),1.08E9)</f>
        <v>1080000000</v>
      </c>
      <c r="HZ10" s="1518"/>
      <c r="IA10" s="1519"/>
      <c r="IB10" s="1524">
        <f>IFERROR(__xludf.DUMMYFUNCTION("""COMPUTED_VALUE"""),22.166817129629628)</f>
        <v>22.16681713</v>
      </c>
      <c r="IC10" s="1523">
        <f>IFERROR(__xludf.DUMMYFUNCTION("""COMPUTED_VALUE"""),1.71E12)</f>
        <v>1710000000000</v>
      </c>
      <c r="ID10" s="1524">
        <f>IFERROR(__xludf.DUMMYFUNCTION("""COMPUTED_VALUE"""),22.166817129629628)</f>
        <v>22.16681713</v>
      </c>
      <c r="IE10" s="1523">
        <f>IFERROR(__xludf.DUMMYFUNCTION("""COMPUTED_VALUE"""),1.71E12)</f>
        <v>1710000000000</v>
      </c>
      <c r="IF10" s="1524">
        <f>IFERROR(__xludf.DUMMYFUNCTION("""COMPUTED_VALUE"""),22.166817129629628)</f>
        <v>22.16681713</v>
      </c>
      <c r="IG10" s="1523">
        <f>IFERROR(__xludf.DUMMYFUNCTION("""COMPUTED_VALUE"""),1.71E12)</f>
        <v>1710000000000</v>
      </c>
      <c r="IH10" s="1507">
        <f>IFERROR(__xludf.DUMMYFUNCTION("""COMPUTED_VALUE"""),5.638194444444444)</f>
        <v>5.638194444</v>
      </c>
      <c r="II10" s="1508">
        <f>IFERROR(__xludf.DUMMYFUNCTION("""COMPUTED_VALUE"""),1.6813E11)</f>
        <v>168130000000</v>
      </c>
      <c r="IJ10" s="1507">
        <f>IFERROR(__xludf.DUMMYFUNCTION("""COMPUTED_VALUE"""),5.638194444444444)</f>
        <v>5.638194444</v>
      </c>
      <c r="IK10" s="1508">
        <f>IFERROR(__xludf.DUMMYFUNCTION("""COMPUTED_VALUE"""),1.6813E11)</f>
        <v>168130000000</v>
      </c>
      <c r="IL10" s="1507">
        <f>IFERROR(__xludf.DUMMYFUNCTION("""COMPUTED_VALUE"""),5.638194444444444)</f>
        <v>5.638194444</v>
      </c>
      <c r="IM10" s="1508">
        <f>IFERROR(__xludf.DUMMYFUNCTION("""COMPUTED_VALUE"""),2.4813E11)</f>
        <v>248130000000</v>
      </c>
      <c r="IN10" s="1507">
        <f>IFERROR(__xludf.DUMMYFUNCTION("""COMPUTED_VALUE"""),5.638194444444444)</f>
        <v>5.638194444</v>
      </c>
      <c r="IO10" s="1508">
        <f>IFERROR(__xludf.DUMMYFUNCTION("""COMPUTED_VALUE"""),2.4813E11)</f>
        <v>248130000000</v>
      </c>
      <c r="IP10" s="1507">
        <f>IFERROR(__xludf.DUMMYFUNCTION("""COMPUTED_VALUE"""),6.101388888888889)</f>
        <v>6.101388889</v>
      </c>
      <c r="IQ10" s="1508">
        <f>IFERROR(__xludf.DUMMYFUNCTION("""COMPUTED_VALUE"""),4.8813E11)</f>
        <v>488130000000</v>
      </c>
      <c r="IR10" s="1507">
        <f>IFERROR(__xludf.DUMMYFUNCTION("""COMPUTED_VALUE"""),5.638194444444444)</f>
        <v>5.638194444</v>
      </c>
      <c r="IS10" s="1508">
        <f>IFERROR(__xludf.DUMMYFUNCTION("""COMPUTED_VALUE"""),2.4813E11)</f>
        <v>248130000000</v>
      </c>
      <c r="IT10" s="1507">
        <f>IFERROR(__xludf.DUMMYFUNCTION("""COMPUTED_VALUE"""),5.638194444444444)</f>
        <v>5.638194444</v>
      </c>
      <c r="IU10" s="1508">
        <f>IFERROR(__xludf.DUMMYFUNCTION("""COMPUTED_VALUE"""),2.4813E11)</f>
        <v>248130000000</v>
      </c>
      <c r="IV10" s="1507">
        <f>IFERROR(__xludf.DUMMYFUNCTION("""COMPUTED_VALUE"""),5.638194444444444)</f>
        <v>5.638194444</v>
      </c>
      <c r="IW10" s="1508">
        <f>IFERROR(__xludf.DUMMYFUNCTION("""COMPUTED_VALUE"""),2.4813E11)</f>
        <v>248130000000</v>
      </c>
      <c r="IX10" s="1507">
        <f>IFERROR(__xludf.DUMMYFUNCTION("""COMPUTED_VALUE"""),5.638194444444444)</f>
        <v>5.638194444</v>
      </c>
      <c r="IY10" s="1508">
        <f>IFERROR(__xludf.DUMMYFUNCTION("""COMPUTED_VALUE"""),2.4813E11)</f>
        <v>248130000000</v>
      </c>
      <c r="IZ10" s="1507">
        <f>IFERROR(__xludf.DUMMYFUNCTION("""COMPUTED_VALUE"""),5.638194444444444)</f>
        <v>5.638194444</v>
      </c>
      <c r="JA10" s="1508">
        <f>IFERROR(__xludf.DUMMYFUNCTION("""COMPUTED_VALUE"""),3.2813E11)</f>
        <v>328130000000</v>
      </c>
      <c r="JB10" s="1507">
        <f>IFERROR(__xludf.DUMMYFUNCTION("""COMPUTED_VALUE"""),5.638194444444444)</f>
        <v>5.638194444</v>
      </c>
      <c r="JC10" s="1508">
        <f>IFERROR(__xludf.DUMMYFUNCTION("""COMPUTED_VALUE"""),3.2813E11)</f>
        <v>328130000000</v>
      </c>
      <c r="JD10" s="1507">
        <f>IFERROR(__xludf.DUMMYFUNCTION("""COMPUTED_VALUE"""),5.638194444444444)</f>
        <v>5.638194444</v>
      </c>
      <c r="JE10" s="1508">
        <f>IFERROR(__xludf.DUMMYFUNCTION("""COMPUTED_VALUE"""),3.2813E11)</f>
        <v>328130000000</v>
      </c>
      <c r="JF10" s="1507">
        <f>IFERROR(__xludf.DUMMYFUNCTION("""COMPUTED_VALUE"""),5.638194444444444)</f>
        <v>5.638194444</v>
      </c>
      <c r="JG10" s="1508">
        <f>IFERROR(__xludf.DUMMYFUNCTION("""COMPUTED_VALUE"""),3.2813E11)</f>
        <v>328130000000</v>
      </c>
      <c r="JH10" s="1507">
        <f>IFERROR(__xludf.DUMMYFUNCTION("""COMPUTED_VALUE"""),6.101388888888889)</f>
        <v>6.101388889</v>
      </c>
      <c r="JI10" s="1508">
        <f>IFERROR(__xludf.DUMMYFUNCTION("""COMPUTED_VALUE"""),5.7813E11)</f>
        <v>578130000000</v>
      </c>
      <c r="JJ10" s="1507">
        <f>IFERROR(__xludf.DUMMYFUNCTION("""COMPUTED_VALUE"""),86.39583333333333)</f>
        <v>86.39583333</v>
      </c>
      <c r="JK10" s="1509">
        <f>IFERROR(__xludf.DUMMYFUNCTION("""COMPUTED_VALUE"""),2.0E18)</f>
        <v>2E+18</v>
      </c>
      <c r="JL10" s="1507">
        <f>IFERROR(__xludf.DUMMYFUNCTION("""COMPUTED_VALUE"""),86.39583333333333)</f>
        <v>86.39583333</v>
      </c>
      <c r="JM10" s="1509">
        <f>IFERROR(__xludf.DUMMYFUNCTION("""COMPUTED_VALUE"""),2.0E18)</f>
        <v>2E+18</v>
      </c>
      <c r="JN10" s="1507">
        <f>IFERROR(__xludf.DUMMYFUNCTION("""COMPUTED_VALUE"""),86.39583333333333)</f>
        <v>86.39583333</v>
      </c>
      <c r="JO10" s="1509">
        <f>IFERROR(__xludf.DUMMYFUNCTION("""COMPUTED_VALUE"""),2.0E18)</f>
        <v>2E+18</v>
      </c>
      <c r="JP10" s="1507">
        <f>IFERROR(__xludf.DUMMYFUNCTION("""COMPUTED_VALUE"""),86.39583333333333)</f>
        <v>86.39583333</v>
      </c>
      <c r="JQ10" s="1509">
        <f>IFERROR(__xludf.DUMMYFUNCTION("""COMPUTED_VALUE"""),2.0E18)</f>
        <v>2E+18</v>
      </c>
      <c r="JR10" s="1507">
        <f>IFERROR(__xludf.DUMMYFUNCTION("""COMPUTED_VALUE"""),86.39583333333333)</f>
        <v>86.39583333</v>
      </c>
      <c r="JS10" s="1509">
        <f>IFERROR(__xludf.DUMMYFUNCTION("""COMPUTED_VALUE"""),2.0E18)</f>
        <v>2E+18</v>
      </c>
      <c r="JT10" s="1507">
        <f>IFERROR(__xludf.DUMMYFUNCTION("""COMPUTED_VALUE"""),86.39583333333333)</f>
        <v>86.39583333</v>
      </c>
      <c r="JU10" s="1509">
        <f>IFERROR(__xludf.DUMMYFUNCTION("""COMPUTED_VALUE"""),2.0E18)</f>
        <v>2E+18</v>
      </c>
      <c r="JV10" s="1507">
        <f>IFERROR(__xludf.DUMMYFUNCTION("""COMPUTED_VALUE"""),21.59861111111111)</f>
        <v>21.59861111</v>
      </c>
      <c r="JW10" s="1509">
        <f>IFERROR(__xludf.DUMMYFUNCTION("""COMPUTED_VALUE"""),1.05413504E13)</f>
        <v>10541350400000</v>
      </c>
      <c r="JX10" s="1510">
        <f>IFERROR(__xludf.DUMMYFUNCTION("""COMPUTED_VALUE"""),7.007314815)</f>
        <v>7.007314815</v>
      </c>
      <c r="JY10" s="1511">
        <f>IFERROR(__xludf.DUMMYFUNCTION("""COMPUTED_VALUE"""),3.29E9)</f>
        <v>3290000000</v>
      </c>
      <c r="JZ10" s="1525">
        <f>IFERROR(__xludf.DUMMYFUNCTION("""COMPUTED_VALUE"""),1.664618056)</f>
        <v>1.664618056</v>
      </c>
      <c r="KA10" s="1526">
        <f>IFERROR(__xludf.DUMMYFUNCTION("""COMPUTED_VALUE"""),3.8368E8)</f>
        <v>383680000</v>
      </c>
      <c r="KB10" s="1510">
        <f>IFERROR(__xludf.DUMMYFUNCTION("""COMPUTED_VALUE"""),1.718402778)</f>
        <v>1.718402778</v>
      </c>
      <c r="KC10" s="1514">
        <f>IFERROR(__xludf.DUMMYFUNCTION("""COMPUTED_VALUE"""),1.03E9)</f>
        <v>1030000000</v>
      </c>
      <c r="KD10" s="1510">
        <f>IFERROR(__xludf.DUMMYFUNCTION("""COMPUTED_VALUE"""),6.611909722)</f>
        <v>6.611909722</v>
      </c>
      <c r="KE10" s="1514">
        <f>IFERROR(__xludf.DUMMYFUNCTION("""COMPUTED_VALUE"""),5.576E10)</f>
        <v>55760000000</v>
      </c>
      <c r="KF10" s="1510">
        <f>IFERROR(__xludf.DUMMYFUNCTION("""COMPUTED_VALUE"""),6.611909722)</f>
        <v>6.611909722</v>
      </c>
      <c r="KG10" s="1514">
        <f>IFERROR(__xludf.DUMMYFUNCTION("""COMPUTED_VALUE"""),5.576E10)</f>
        <v>55760000000</v>
      </c>
      <c r="KH10" s="1510">
        <f>IFERROR(__xludf.DUMMYFUNCTION("""COMPUTED_VALUE"""),12.33140046)</f>
        <v>12.33140046</v>
      </c>
      <c r="KI10" s="1514">
        <f>IFERROR(__xludf.DUMMYFUNCTION("""COMPUTED_VALUE"""),4.61E12)</f>
        <v>4610000000000</v>
      </c>
      <c r="KJ10" s="1527"/>
      <c r="KK10" s="1527"/>
      <c r="KL10" s="1527"/>
      <c r="KM10" s="1527"/>
      <c r="KN10" s="1527"/>
      <c r="KO10" s="1527"/>
      <c r="KP10" s="1527"/>
      <c r="KQ10" s="1527"/>
      <c r="KR10" s="1527"/>
      <c r="KS10" s="1527"/>
      <c r="KT10" s="1527"/>
      <c r="KU10" s="1527"/>
      <c r="KV10" s="1525">
        <f>IFERROR(__xludf.DUMMYFUNCTION("""COMPUTED_VALUE"""),86.39583333333333)</f>
        <v>86.39583333</v>
      </c>
      <c r="KW10" s="1526">
        <f>IFERROR(__xludf.DUMMYFUNCTION("""COMPUTED_VALUE"""),2.0E18)</f>
        <v>2E+18</v>
      </c>
      <c r="KX10" s="1525">
        <f>IFERROR(__xludf.DUMMYFUNCTION("""COMPUTED_VALUE"""),86.39583333333333)</f>
        <v>86.39583333</v>
      </c>
      <c r="KY10" s="1526">
        <f>IFERROR(__xludf.DUMMYFUNCTION("""COMPUTED_VALUE"""),2.0E18)</f>
        <v>2E+18</v>
      </c>
      <c r="KZ10" s="1525">
        <f>IFERROR(__xludf.DUMMYFUNCTION("""COMPUTED_VALUE"""),86.39583333333333)</f>
        <v>86.39583333</v>
      </c>
      <c r="LA10" s="1526">
        <f>IFERROR(__xludf.DUMMYFUNCTION("""COMPUTED_VALUE"""),2.0E18)</f>
        <v>2E+18</v>
      </c>
      <c r="LB10" s="1525">
        <f>IFERROR(__xludf.DUMMYFUNCTION("""COMPUTED_VALUE"""),86.39583333333333)</f>
        <v>86.39583333</v>
      </c>
      <c r="LC10" s="1526">
        <f>IFERROR(__xludf.DUMMYFUNCTION("""COMPUTED_VALUE"""),2.0E18)</f>
        <v>2E+18</v>
      </c>
      <c r="LD10" s="1525">
        <f>IFERROR(__xludf.DUMMYFUNCTION("""COMPUTED_VALUE"""),86.39583333333333)</f>
        <v>86.39583333</v>
      </c>
      <c r="LE10" s="1526">
        <f>IFERROR(__xludf.DUMMYFUNCTION("""COMPUTED_VALUE"""),2.0E18)</f>
        <v>2E+18</v>
      </c>
      <c r="LF10" s="1525">
        <f>IFERROR(__xludf.DUMMYFUNCTION("""COMPUTED_VALUE"""),86.39583333333333)</f>
        <v>86.39583333</v>
      </c>
      <c r="LG10" s="1526">
        <f>IFERROR(__xludf.DUMMYFUNCTION("""COMPUTED_VALUE"""),2.0E18)</f>
        <v>2E+18</v>
      </c>
      <c r="LH10" s="1525">
        <f>IFERROR(__xludf.DUMMYFUNCTION("""COMPUTED_VALUE"""),86.39583333333333)</f>
        <v>86.39583333</v>
      </c>
      <c r="LI10" s="1526">
        <f>IFERROR(__xludf.DUMMYFUNCTION("""COMPUTED_VALUE"""),2.0E18)</f>
        <v>2E+18</v>
      </c>
      <c r="LJ10" s="1525">
        <f>IFERROR(__xludf.DUMMYFUNCTION("""COMPUTED_VALUE"""),86.39583333333333)</f>
        <v>86.39583333</v>
      </c>
      <c r="LK10" s="1526">
        <f>IFERROR(__xludf.DUMMYFUNCTION("""COMPUTED_VALUE"""),2.0E18)</f>
        <v>2E+18</v>
      </c>
      <c r="LL10" s="1494">
        <f>IFERROR(__xludf.DUMMYFUNCTION("""COMPUTED_VALUE"""),133.33333333333334)</f>
        <v>133.3333333</v>
      </c>
      <c r="LM10" s="1495">
        <f>IFERROR(__xludf.DUMMYFUNCTION("""COMPUTED_VALUE"""),1.522E17)</f>
        <v>1.522E+17</v>
      </c>
      <c r="LN10" s="1516">
        <f>IFERROR(__xludf.DUMMYFUNCTION("""COMPUTED_VALUE"""),107.99513888888889)</f>
        <v>107.9951389</v>
      </c>
      <c r="LO10" s="1495">
        <f>IFERROR(__xludf.DUMMYFUNCTION("""COMPUTED_VALUE"""),1.5999999999999997E18)</f>
        <v>1.6E+18</v>
      </c>
      <c r="LP10" s="1516">
        <f>IFERROR(__xludf.DUMMYFUNCTION("""COMPUTED_VALUE"""),107.99513888888889)</f>
        <v>107.9951389</v>
      </c>
      <c r="LQ10" s="1495">
        <f>IFERROR(__xludf.DUMMYFUNCTION("""COMPUTED_VALUE"""),1.5999999999999997E18)</f>
        <v>1.6E+18</v>
      </c>
      <c r="LR10" s="1516">
        <f>IFERROR(__xludf.DUMMYFUNCTION("""COMPUTED_VALUE"""),107.99513888888889)</f>
        <v>107.9951389</v>
      </c>
      <c r="LS10" s="1495">
        <f>IFERROR(__xludf.DUMMYFUNCTION("""COMPUTED_VALUE"""),1.5999999999999997E18)</f>
        <v>1.6E+18</v>
      </c>
      <c r="LT10" s="1516">
        <f>IFERROR(__xludf.DUMMYFUNCTION("""COMPUTED_VALUE"""),107.99513888888889)</f>
        <v>107.9951389</v>
      </c>
      <c r="LU10" s="1495">
        <f>IFERROR(__xludf.DUMMYFUNCTION("""COMPUTED_VALUE"""),1.5999999999999997E18)</f>
        <v>1.6E+18</v>
      </c>
      <c r="LV10" s="1516">
        <f>IFERROR(__xludf.DUMMYFUNCTION("""COMPUTED_VALUE"""),107.99513888888889)</f>
        <v>107.9951389</v>
      </c>
      <c r="LW10" s="1495">
        <f>IFERROR(__xludf.DUMMYFUNCTION("""COMPUTED_VALUE"""),1.5999999999999997E18)</f>
        <v>1.6E+18</v>
      </c>
      <c r="LX10" s="1516">
        <f>IFERROR(__xludf.DUMMYFUNCTION("""COMPUTED_VALUE"""),129.59375)</f>
        <v>129.59375</v>
      </c>
      <c r="LY10" s="1517">
        <f>IFERROR(__xludf.DUMMYFUNCTION("""COMPUTED_VALUE"""),4.0E18)</f>
        <v>4E+18</v>
      </c>
      <c r="LZ10" s="1516">
        <f>IFERROR(__xludf.DUMMYFUNCTION("""COMPUTED_VALUE"""),129.59375)</f>
        <v>129.59375</v>
      </c>
      <c r="MA10" s="1517">
        <f>IFERROR(__xludf.DUMMYFUNCTION("""COMPUTED_VALUE"""),4.0E18)</f>
        <v>4E+18</v>
      </c>
      <c r="MB10" s="1516">
        <f>IFERROR(__xludf.DUMMYFUNCTION("""COMPUTED_VALUE"""),129.59375)</f>
        <v>129.59375</v>
      </c>
      <c r="MC10" s="1517">
        <f>IFERROR(__xludf.DUMMYFUNCTION("""COMPUTED_VALUE"""),4.0E18)</f>
        <v>4E+18</v>
      </c>
      <c r="MD10" s="1516">
        <f>IFERROR(__xludf.DUMMYFUNCTION("""COMPUTED_VALUE"""),129.59375)</f>
        <v>129.59375</v>
      </c>
      <c r="ME10" s="1517">
        <f>IFERROR(__xludf.DUMMYFUNCTION("""COMPUTED_VALUE"""),4.0E18)</f>
        <v>4E+18</v>
      </c>
      <c r="MF10" s="1516">
        <f>IFERROR(__xludf.DUMMYFUNCTION("""COMPUTED_VALUE"""),102.59513888888888)</f>
        <v>102.5951389</v>
      </c>
      <c r="MG10" s="1517">
        <f>IFERROR(__xludf.DUMMYFUNCTION("""COMPUTED_VALUE"""),1.70859375E19)</f>
        <v>1.70859E+19</v>
      </c>
      <c r="MH10" s="1516">
        <f>IFERROR(__xludf.DUMMYFUNCTION("""COMPUTED_VALUE"""),102.59513888888888)</f>
        <v>102.5951389</v>
      </c>
      <c r="MI10" s="1517">
        <f>IFERROR(__xludf.DUMMYFUNCTION("""COMPUTED_VALUE"""),1.70859375E19)</f>
        <v>1.70859E+19</v>
      </c>
      <c r="MJ10" s="1516">
        <f>IFERROR(__xludf.DUMMYFUNCTION("""COMPUTED_VALUE"""),102.59513888888888)</f>
        <v>102.5951389</v>
      </c>
      <c r="MK10" s="1517">
        <f>IFERROR(__xludf.DUMMYFUNCTION("""COMPUTED_VALUE"""),1.70859375E19)</f>
        <v>1.70859E+19</v>
      </c>
      <c r="ML10" s="1516">
        <f>IFERROR(__xludf.DUMMYFUNCTION("""COMPUTED_VALUE"""),102.59513888888888)</f>
        <v>102.5951389</v>
      </c>
      <c r="MM10" s="1517">
        <f>IFERROR(__xludf.DUMMYFUNCTION("""COMPUTED_VALUE"""),1.70859375E19)</f>
        <v>1.70859E+19</v>
      </c>
      <c r="MN10" s="1516">
        <f>IFERROR(__xludf.DUMMYFUNCTION("""COMPUTED_VALUE"""),102.59513888888888)</f>
        <v>102.5951389</v>
      </c>
      <c r="MO10" s="1517">
        <f>IFERROR(__xludf.DUMMYFUNCTION("""COMPUTED_VALUE"""),1.70859375E19)</f>
        <v>1.70859E+19</v>
      </c>
      <c r="MP10" s="1516">
        <f>IFERROR(__xludf.DUMMYFUNCTION("""COMPUTED_VALUE"""),102.59513888888888)</f>
        <v>102.5951389</v>
      </c>
      <c r="MQ10" s="1517">
        <f>IFERROR(__xludf.DUMMYFUNCTION("""COMPUTED_VALUE"""),1.70859375E19)</f>
        <v>1.70859E+19</v>
      </c>
      <c r="MR10" s="1516">
        <f>IFERROR(__xludf.DUMMYFUNCTION("""COMPUTED_VALUE"""),151.73263888888889)</f>
        <v>151.7326389</v>
      </c>
      <c r="MS10" s="1517">
        <f>IFERROR(__xludf.DUMMYFUNCTION("""COMPUTED_VALUE"""),2.56E20)</f>
        <v>2.56E+20</v>
      </c>
      <c r="MT10" s="1516">
        <f>IFERROR(__xludf.DUMMYFUNCTION("""COMPUTED_VALUE"""),151.73263888888889)</f>
        <v>151.7326389</v>
      </c>
      <c r="MU10" s="1517">
        <f>IFERROR(__xludf.DUMMYFUNCTION("""COMPUTED_VALUE"""),2.56E20)</f>
        <v>2.56E+20</v>
      </c>
      <c r="MV10" s="1516">
        <f>IFERROR(__xludf.DUMMYFUNCTION("""COMPUTED_VALUE"""),151.73263888888889)</f>
        <v>151.7326389</v>
      </c>
      <c r="MW10" s="1517">
        <f>IFERROR(__xludf.DUMMYFUNCTION("""COMPUTED_VALUE"""),2.56E20)</f>
        <v>2.56E+20</v>
      </c>
      <c r="MX10" s="1516">
        <f>IFERROR(__xludf.DUMMYFUNCTION("""COMPUTED_VALUE"""),151.73263888888889)</f>
        <v>151.7326389</v>
      </c>
      <c r="MY10" s="1517">
        <f>IFERROR(__xludf.DUMMYFUNCTION("""COMPUTED_VALUE"""),2.56E20)</f>
        <v>2.56E+20</v>
      </c>
    </row>
    <row r="11">
      <c r="A11" s="1465">
        <f>IFERROR(__xludf.DUMMYFUNCTION("""COMPUTED_VALUE"""),9.0)</f>
        <v>9</v>
      </c>
      <c r="B11" s="1518"/>
      <c r="C11" s="1519"/>
      <c r="D11" s="1466">
        <f>IFERROR(__xludf.DUMMYFUNCTION("""COMPUTED_VALUE"""),0.14652777777777778)</f>
        <v>0.1465277778</v>
      </c>
      <c r="E11" s="1467">
        <f>IFERROR(__xludf.DUMMYFUNCTION("""COMPUTED_VALUE"""),4510.0)</f>
        <v>4510</v>
      </c>
      <c r="F11" s="1466">
        <f>IFERROR(__xludf.DUMMYFUNCTION("""COMPUTED_VALUE"""),0.14652777777777778)</f>
        <v>0.1465277778</v>
      </c>
      <c r="G11" s="1468">
        <f>IFERROR(__xludf.DUMMYFUNCTION("""COMPUTED_VALUE"""),4510.0)</f>
        <v>4510</v>
      </c>
      <c r="H11" s="1466">
        <f>IFERROR(__xludf.DUMMYFUNCTION("""COMPUTED_VALUE"""),0.14652777777777778)</f>
        <v>0.1465277778</v>
      </c>
      <c r="I11" s="1467">
        <f>IFERROR(__xludf.DUMMYFUNCTION("""COMPUTED_VALUE"""),4510.0)</f>
        <v>4510</v>
      </c>
      <c r="J11" s="1466">
        <f>IFERROR(__xludf.DUMMYFUNCTION("""COMPUTED_VALUE"""),0.14652777777777778)</f>
        <v>0.1465277778</v>
      </c>
      <c r="K11" s="1467">
        <f>IFERROR(__xludf.DUMMYFUNCTION("""COMPUTED_VALUE"""),4510.0)</f>
        <v>4510</v>
      </c>
      <c r="L11" s="1466">
        <f>IFERROR(__xludf.DUMMYFUNCTION("""COMPUTED_VALUE"""),0.20902777777777778)</f>
        <v>0.2090277778</v>
      </c>
      <c r="M11" s="1469">
        <f>IFERROR(__xludf.DUMMYFUNCTION("""COMPUTED_VALUE"""),8270.0)</f>
        <v>8270</v>
      </c>
      <c r="N11" s="1470">
        <f>IFERROR(__xludf.DUMMYFUNCTION("""COMPUTED_VALUE"""),0.1798611111111111)</f>
        <v>0.1798611111</v>
      </c>
      <c r="O11" s="1467">
        <f>IFERROR(__xludf.DUMMYFUNCTION("""COMPUTED_VALUE"""),8470.0)</f>
        <v>8470</v>
      </c>
      <c r="P11" s="1518"/>
      <c r="Q11" s="1519"/>
      <c r="R11" s="1518"/>
      <c r="S11" s="1519"/>
      <c r="T11" s="1518"/>
      <c r="U11" s="1519"/>
      <c r="V11" s="1518"/>
      <c r="W11" s="1519"/>
      <c r="X11" s="1518"/>
      <c r="Y11" s="1519"/>
      <c r="Z11" s="1518"/>
      <c r="AA11" s="1519"/>
      <c r="AB11" s="1518"/>
      <c r="AC11" s="1519"/>
      <c r="AD11" s="1466">
        <f>IFERROR(__xludf.DUMMYFUNCTION("""COMPUTED_VALUE"""),9.719444444444445)</f>
        <v>9.719444444</v>
      </c>
      <c r="AE11" s="1474">
        <f>IFERROR(__xludf.DUMMYFUNCTION("""COMPUTED_VALUE"""),8.157307210000001E9)</f>
        <v>8157307210</v>
      </c>
      <c r="AF11" s="1466">
        <f>IFERROR(__xludf.DUMMYFUNCTION("""COMPUTED_VALUE"""),9.719444444444445)</f>
        <v>9.719444444</v>
      </c>
      <c r="AG11" s="1474">
        <f>IFERROR(__xludf.DUMMYFUNCTION("""COMPUTED_VALUE"""),8.157307210000001E9)</f>
        <v>8157307210</v>
      </c>
      <c r="AH11" s="1466">
        <f>IFERROR(__xludf.DUMMYFUNCTION("""COMPUTED_VALUE"""),9.719444444444445)</f>
        <v>9.719444444</v>
      </c>
      <c r="AI11" s="1474">
        <f>IFERROR(__xludf.DUMMYFUNCTION("""COMPUTED_VALUE"""),8.157307210000001E9)</f>
        <v>8157307210</v>
      </c>
      <c r="AJ11" s="1475">
        <f>IFERROR(__xludf.DUMMYFUNCTION("""COMPUTED_VALUE"""),0.14652777777777778)</f>
        <v>0.1465277778</v>
      </c>
      <c r="AK11" s="1476">
        <f>IFERROR(__xludf.DUMMYFUNCTION("""COMPUTED_VALUE"""),4510.0)</f>
        <v>4510</v>
      </c>
      <c r="AL11" s="1475">
        <f>IFERROR(__xludf.DUMMYFUNCTION("""COMPUTED_VALUE"""),0.14652777777777778)</f>
        <v>0.1465277778</v>
      </c>
      <c r="AM11" s="1476">
        <f>IFERROR(__xludf.DUMMYFUNCTION("""COMPUTED_VALUE"""),4510.0)</f>
        <v>4510</v>
      </c>
      <c r="AN11" s="1475">
        <f>IFERROR(__xludf.DUMMYFUNCTION("""COMPUTED_VALUE"""),0.14652777777777778)</f>
        <v>0.1465277778</v>
      </c>
      <c r="AO11" s="1476">
        <f>IFERROR(__xludf.DUMMYFUNCTION("""COMPUTED_VALUE"""),4510.0)</f>
        <v>4510</v>
      </c>
      <c r="AP11" s="1475">
        <f>IFERROR(__xludf.DUMMYFUNCTION("""COMPUTED_VALUE"""),0.14652777777777778)</f>
        <v>0.1465277778</v>
      </c>
      <c r="AQ11" s="1476">
        <f>IFERROR(__xludf.DUMMYFUNCTION("""COMPUTED_VALUE"""),4510.0)</f>
        <v>4510</v>
      </c>
      <c r="AR11" s="1475">
        <f>IFERROR(__xludf.DUMMYFUNCTION("""COMPUTED_VALUE"""),0.14652777777777778)</f>
        <v>0.1465277778</v>
      </c>
      <c r="AS11" s="1476">
        <f>IFERROR(__xludf.DUMMYFUNCTION("""COMPUTED_VALUE"""),4520.0)</f>
        <v>4520</v>
      </c>
      <c r="AT11" s="1475">
        <f>IFERROR(__xludf.DUMMYFUNCTION("""COMPUTED_VALUE"""),10.816666666666666)</f>
        <v>10.81666667</v>
      </c>
      <c r="AU11" s="1476">
        <f>IFERROR(__xludf.DUMMYFUNCTION("""COMPUTED_VALUE"""),1.936E7)</f>
        <v>19360000</v>
      </c>
      <c r="AV11" s="1475">
        <f>IFERROR(__xludf.DUMMYFUNCTION("""COMPUTED_VALUE"""),9.104861111111111)</f>
        <v>9.104861111</v>
      </c>
      <c r="AW11" s="1476">
        <f>IFERROR(__xludf.DUMMYFUNCTION("""COMPUTED_VALUE"""),1.936E7)</f>
        <v>19360000</v>
      </c>
      <c r="AX11" s="1475">
        <f>IFERROR(__xludf.DUMMYFUNCTION("""COMPUTED_VALUE"""),8.17986111111111)</f>
        <v>8.179861111</v>
      </c>
      <c r="AY11" s="1476">
        <f>IFERROR(__xludf.DUMMYFUNCTION("""COMPUTED_VALUE"""),5.2135E11)</f>
        <v>521350000000</v>
      </c>
      <c r="AZ11" s="1518"/>
      <c r="BA11" s="1518"/>
      <c r="BB11" s="1477">
        <f>IFERROR(__xludf.DUMMYFUNCTION("""COMPUTED_VALUE"""),0.14652777777777778)</f>
        <v>0.1465277778</v>
      </c>
      <c r="BC11" s="1478">
        <f>IFERROR(__xludf.DUMMYFUNCTION("""COMPUTED_VALUE"""),4510.0)</f>
        <v>4510</v>
      </c>
      <c r="BD11" s="1477">
        <f>IFERROR(__xludf.DUMMYFUNCTION("""COMPUTED_VALUE"""),0.14652777777777778)</f>
        <v>0.1465277778</v>
      </c>
      <c r="BE11" s="1478">
        <f>IFERROR(__xludf.DUMMYFUNCTION("""COMPUTED_VALUE"""),4510.0)</f>
        <v>4510</v>
      </c>
      <c r="BF11" s="1477">
        <f>IFERROR(__xludf.DUMMYFUNCTION("""COMPUTED_VALUE"""),0.14652777777777778)</f>
        <v>0.1465277778</v>
      </c>
      <c r="BG11" s="1478">
        <f>IFERROR(__xludf.DUMMYFUNCTION("""COMPUTED_VALUE"""),4510.0)</f>
        <v>4510</v>
      </c>
      <c r="BH11" s="1477">
        <f>IFERROR(__xludf.DUMMYFUNCTION("""COMPUTED_VALUE"""),1.0930555555555554)</f>
        <v>1.093055556</v>
      </c>
      <c r="BI11" s="1478">
        <f>IFERROR(__xludf.DUMMYFUNCTION("""COMPUTED_VALUE"""),4110000.0)</f>
        <v>4110000</v>
      </c>
      <c r="BJ11" s="1477">
        <f>IFERROR(__xludf.DUMMYFUNCTION("""COMPUTED_VALUE"""),1.5638888888888889)</f>
        <v>1.563888889</v>
      </c>
      <c r="BK11" s="1478">
        <f>IFERROR(__xludf.DUMMYFUNCTION("""COMPUTED_VALUE"""),2.525E7)</f>
        <v>25250000</v>
      </c>
      <c r="BL11" s="1477">
        <f>IFERROR(__xludf.DUMMYFUNCTION("""COMPUTED_VALUE"""),2.3534722222222224)</f>
        <v>2.353472222</v>
      </c>
      <c r="BM11" s="1478">
        <f>IFERROR(__xludf.DUMMYFUNCTION("""COMPUTED_VALUE"""),7.65E7)</f>
        <v>76500000</v>
      </c>
      <c r="BN11" s="1477">
        <f>IFERROR(__xludf.DUMMYFUNCTION("""COMPUTED_VALUE"""),2.3534722222222224)</f>
        <v>2.353472222</v>
      </c>
      <c r="BO11" s="1478">
        <f>IFERROR(__xludf.DUMMYFUNCTION("""COMPUTED_VALUE"""),7.65E7)</f>
        <v>76500000</v>
      </c>
      <c r="BP11" s="1477">
        <f>IFERROR(__xludf.DUMMYFUNCTION("""COMPUTED_VALUE"""),3.0145833333333334)</f>
        <v>3.014583333</v>
      </c>
      <c r="BQ11" s="1478">
        <f>IFERROR(__xludf.DUMMYFUNCTION("""COMPUTED_VALUE"""),7.661E7)</f>
        <v>76610000</v>
      </c>
      <c r="BR11" s="1477">
        <f>IFERROR(__xludf.DUMMYFUNCTION("""COMPUTED_VALUE"""),5.379166666666666)</f>
        <v>5.379166667</v>
      </c>
      <c r="BS11" s="1478">
        <f>IFERROR(__xludf.DUMMYFUNCTION("""COMPUTED_VALUE"""),1.751E10)</f>
        <v>17510000000</v>
      </c>
      <c r="BT11" s="1479">
        <f>IFERROR(__xludf.DUMMYFUNCTION("""COMPUTED_VALUE"""),0.36874999999999997)</f>
        <v>0.36875</v>
      </c>
      <c r="BU11" s="1480">
        <f>IFERROR(__xludf.DUMMYFUNCTION("""COMPUTED_VALUE"""),2.7E9)</f>
        <v>2700000000</v>
      </c>
      <c r="BV11" s="1479">
        <f>IFERROR(__xludf.DUMMYFUNCTION("""COMPUTED_VALUE"""),5.726388888888889)</f>
        <v>5.726388889</v>
      </c>
      <c r="BW11" s="1480">
        <f>IFERROR(__xludf.DUMMYFUNCTION("""COMPUTED_VALUE"""),5.69E9)</f>
        <v>5690000000</v>
      </c>
      <c r="BX11" s="1479">
        <f>IFERROR(__xludf.DUMMYFUNCTION("""COMPUTED_VALUE"""),9.201388888888888)</f>
        <v>9.201388889</v>
      </c>
      <c r="BY11" s="1480">
        <f>IFERROR(__xludf.DUMMYFUNCTION("""COMPUTED_VALUE"""),7.422E10)</f>
        <v>74220000000</v>
      </c>
      <c r="BZ11" s="1479">
        <f>IFERROR(__xludf.DUMMYFUNCTION("""COMPUTED_VALUE"""),10.127083333333333)</f>
        <v>10.12708333</v>
      </c>
      <c r="CA11" s="1480">
        <f>IFERROR(__xludf.DUMMYFUNCTION("""COMPUTED_VALUE"""),9.822E10)</f>
        <v>98220000000</v>
      </c>
      <c r="CB11" s="1479">
        <f>IFERROR(__xludf.DUMMYFUNCTION("""COMPUTED_VALUE"""),14.29375)</f>
        <v>14.29375</v>
      </c>
      <c r="CC11" s="1480">
        <f>IFERROR(__xludf.DUMMYFUNCTION("""COMPUTED_VALUE"""),7.2786E11)</f>
        <v>727860000000</v>
      </c>
      <c r="CD11" s="1477">
        <f>IFERROR(__xludf.DUMMYFUNCTION("""COMPUTED_VALUE"""),3.3704282407407407)</f>
        <v>3.370428241</v>
      </c>
      <c r="CE11" s="1481">
        <f>IFERROR(__xludf.DUMMYFUNCTION("""COMPUTED_VALUE"""),3.2576E11)</f>
        <v>325760000000</v>
      </c>
      <c r="CF11" s="1477">
        <f>IFERROR(__xludf.DUMMYFUNCTION("""COMPUTED_VALUE"""),4.246076388888889)</f>
        <v>4.246076389</v>
      </c>
      <c r="CG11" s="1481">
        <f>IFERROR(__xludf.DUMMYFUNCTION("""COMPUTED_VALUE"""),327700.0)</f>
        <v>327700</v>
      </c>
      <c r="CH11" s="1482">
        <f>IFERROR(__xludf.DUMMYFUNCTION("""COMPUTED_VALUE"""),0.14652777777777778)</f>
        <v>0.1465277778</v>
      </c>
      <c r="CI11" s="1483">
        <f>IFERROR(__xludf.DUMMYFUNCTION("""COMPUTED_VALUE"""),4520.0)</f>
        <v>4520</v>
      </c>
      <c r="CJ11" s="1482">
        <f>IFERROR(__xludf.DUMMYFUNCTION("""COMPUTED_VALUE"""),0.14652777777777778)</f>
        <v>0.1465277778</v>
      </c>
      <c r="CK11" s="1483">
        <f>IFERROR(__xludf.DUMMYFUNCTION("""COMPUTED_VALUE"""),4520.0)</f>
        <v>4520</v>
      </c>
      <c r="CL11" s="1482">
        <f>IFERROR(__xludf.DUMMYFUNCTION("""COMPUTED_VALUE"""),0.14652777777777778)</f>
        <v>0.1465277778</v>
      </c>
      <c r="CM11" s="1483">
        <f>IFERROR(__xludf.DUMMYFUNCTION("""COMPUTED_VALUE"""),4520.0)</f>
        <v>4520</v>
      </c>
      <c r="CN11" s="1482">
        <f>IFERROR(__xludf.DUMMYFUNCTION("""COMPUTED_VALUE"""),0.14652777777777778)</f>
        <v>0.1465277778</v>
      </c>
      <c r="CO11" s="1483">
        <f>IFERROR(__xludf.DUMMYFUNCTION("""COMPUTED_VALUE"""),4520.0)</f>
        <v>4520</v>
      </c>
      <c r="CP11" s="1482">
        <f>IFERROR(__xludf.DUMMYFUNCTION("""COMPUTED_VALUE"""),0.22708333333333333)</f>
        <v>0.2270833333</v>
      </c>
      <c r="CQ11" s="1483">
        <f>IFERROR(__xludf.DUMMYFUNCTION("""COMPUTED_VALUE"""),8480.0)</f>
        <v>8480</v>
      </c>
      <c r="CR11" s="1482">
        <f>IFERROR(__xludf.DUMMYFUNCTION("""COMPUTED_VALUE"""),3.8819444444444446)</f>
        <v>3.881944444</v>
      </c>
      <c r="CS11" s="1483">
        <f>IFERROR(__xludf.DUMMYFUNCTION("""COMPUTED_VALUE"""),91940.0)</f>
        <v>91940</v>
      </c>
      <c r="CT11" s="1520"/>
      <c r="CU11" s="1519"/>
      <c r="CV11" s="1484">
        <f>IFERROR(__xludf.DUMMYFUNCTION("""COMPUTED_VALUE"""),6.5368055555555555)</f>
        <v>6.536805556</v>
      </c>
      <c r="CW11" s="1485">
        <f>IFERROR(__xludf.DUMMYFUNCTION("""COMPUTED_VALUE"""),7.351E10)</f>
        <v>73510000000</v>
      </c>
      <c r="CX11" s="1484">
        <f>IFERROR(__xludf.DUMMYFUNCTION("""COMPUTED_VALUE"""),6.5368055555555555)</f>
        <v>6.536805556</v>
      </c>
      <c r="CY11" s="1485">
        <f>IFERROR(__xludf.DUMMYFUNCTION("""COMPUTED_VALUE"""),7.351E10)</f>
        <v>73510000000</v>
      </c>
      <c r="CZ11" s="1484">
        <f>IFERROR(__xludf.DUMMYFUNCTION("""COMPUTED_VALUE"""),6.5368055555555555)</f>
        <v>6.536805556</v>
      </c>
      <c r="DA11" s="1485">
        <f>IFERROR(__xludf.DUMMYFUNCTION("""COMPUTED_VALUE"""),7.351E10)</f>
        <v>73510000000</v>
      </c>
      <c r="DB11" s="1484">
        <f>IFERROR(__xludf.DUMMYFUNCTION("""COMPUTED_VALUE"""),4.100694444444444)</f>
        <v>4.100694444</v>
      </c>
      <c r="DC11" s="1485">
        <f>IFERROR(__xludf.DUMMYFUNCTION("""COMPUTED_VALUE"""),8.94E9)</f>
        <v>8940000000</v>
      </c>
      <c r="DD11" s="1484">
        <f>IFERROR(__xludf.DUMMYFUNCTION("""COMPUTED_VALUE"""),4.100694444444444)</f>
        <v>4.100694444</v>
      </c>
      <c r="DE11" s="1485">
        <f>IFERROR(__xludf.DUMMYFUNCTION("""COMPUTED_VALUE"""),8.94E9)</f>
        <v>8940000000</v>
      </c>
      <c r="DF11" s="1486">
        <f>IFERROR(__xludf.DUMMYFUNCTION("""COMPUTED_VALUE"""),3.1173611111111112)</f>
        <v>3.117361111</v>
      </c>
      <c r="DG11" s="1487">
        <f>IFERROR(__xludf.DUMMYFUNCTION("""COMPUTED_VALUE"""),7.688E7)</f>
        <v>76880000</v>
      </c>
      <c r="DH11" s="1518"/>
      <c r="DI11" s="1519"/>
      <c r="DJ11" s="1486">
        <f>IFERROR(__xludf.DUMMYFUNCTION("""COMPUTED_VALUE"""),3.904166666666667)</f>
        <v>3.904166667</v>
      </c>
      <c r="DK11" s="1487">
        <f>IFERROR(__xludf.DUMMYFUNCTION("""COMPUTED_VALUE"""),7.743E7)</f>
        <v>77430000</v>
      </c>
      <c r="DL11" s="1486">
        <f>IFERROR(__xludf.DUMMYFUNCTION("""COMPUTED_VALUE"""),3.1173611111111112)</f>
        <v>3.117361111</v>
      </c>
      <c r="DM11" s="1487">
        <f>IFERROR(__xludf.DUMMYFUNCTION("""COMPUTED_VALUE"""),7.688E7)</f>
        <v>76880000</v>
      </c>
      <c r="DN11" s="1518"/>
      <c r="DO11" s="1519"/>
      <c r="DP11" s="1486">
        <f>IFERROR(__xludf.DUMMYFUNCTION("""COMPUTED_VALUE"""),3.1173611111111112)</f>
        <v>3.117361111</v>
      </c>
      <c r="DQ11" s="1487">
        <f>IFERROR(__xludf.DUMMYFUNCTION("""COMPUTED_VALUE"""),7.688E7)</f>
        <v>76880000</v>
      </c>
      <c r="DR11" s="1486">
        <f>IFERROR(__xludf.DUMMYFUNCTION("""COMPUTED_VALUE"""),3.1173611111111112)</f>
        <v>3.117361111</v>
      </c>
      <c r="DS11" s="1487">
        <f>IFERROR(__xludf.DUMMYFUNCTION("""COMPUTED_VALUE"""),7.688E7)</f>
        <v>76880000</v>
      </c>
      <c r="DT11" s="1518"/>
      <c r="DU11" s="1519"/>
      <c r="DV11" s="1486">
        <f>IFERROR(__xludf.DUMMYFUNCTION("""COMPUTED_VALUE"""),3.1173611111111112)</f>
        <v>3.117361111</v>
      </c>
      <c r="DW11" s="1487">
        <f>IFERROR(__xludf.DUMMYFUNCTION("""COMPUTED_VALUE"""),7.688E7)</f>
        <v>76880000</v>
      </c>
      <c r="DX11" s="1486">
        <f>IFERROR(__xludf.DUMMYFUNCTION("""COMPUTED_VALUE"""),3.1173611111111112)</f>
        <v>3.117361111</v>
      </c>
      <c r="DY11" s="1487">
        <f>IFERROR(__xludf.DUMMYFUNCTION("""COMPUTED_VALUE"""),7.688E7)</f>
        <v>76880000</v>
      </c>
      <c r="DZ11" s="1486">
        <f>IFERROR(__xludf.DUMMYFUNCTION("""COMPUTED_VALUE"""),5.617361111111111)</f>
        <v>5.617361111</v>
      </c>
      <c r="EA11" s="1487">
        <f>IFERROR(__xludf.DUMMYFUNCTION("""COMPUTED_VALUE"""),1.6166E8)</f>
        <v>161660000</v>
      </c>
      <c r="EB11" s="1486">
        <f>IFERROR(__xludf.DUMMYFUNCTION("""COMPUTED_VALUE"""),5.617361111111111)</f>
        <v>5.617361111</v>
      </c>
      <c r="EC11" s="1487">
        <f>IFERROR(__xludf.DUMMYFUNCTION("""COMPUTED_VALUE"""),1.6166E8)</f>
        <v>161660000</v>
      </c>
      <c r="ED11" s="1518"/>
      <c r="EE11" s="1519"/>
      <c r="EF11" s="1486">
        <f>IFERROR(__xludf.DUMMYFUNCTION("""COMPUTED_VALUE"""),4.784027777777778)</f>
        <v>4.784027778</v>
      </c>
      <c r="EG11" s="1487">
        <f>IFERROR(__xludf.DUMMYFUNCTION("""COMPUTED_VALUE"""),1.6091E8)</f>
        <v>160910000</v>
      </c>
      <c r="EH11" s="1486">
        <f>IFERROR(__xludf.DUMMYFUNCTION("""COMPUTED_VALUE"""),4.784027777777778)</f>
        <v>4.784027778</v>
      </c>
      <c r="EI11" s="1487">
        <f>IFERROR(__xludf.DUMMYFUNCTION("""COMPUTED_VALUE"""),1.6091E8)</f>
        <v>160910000</v>
      </c>
      <c r="EJ11" s="1486">
        <f>IFERROR(__xludf.DUMMYFUNCTION("""COMPUTED_VALUE"""),4.784375)</f>
        <v>4.784375</v>
      </c>
      <c r="EK11" s="1487">
        <f>IFERROR(__xludf.DUMMYFUNCTION("""COMPUTED_VALUE"""),1.6091E8)</f>
        <v>160910000</v>
      </c>
      <c r="EL11" s="1486">
        <f>IFERROR(__xludf.DUMMYFUNCTION("""COMPUTED_VALUE"""),4.784375)</f>
        <v>4.784375</v>
      </c>
      <c r="EM11" s="1487">
        <f>IFERROR(__xludf.DUMMYFUNCTION("""COMPUTED_VALUE"""),1.6091E8)</f>
        <v>160910000</v>
      </c>
      <c r="EN11" s="1486">
        <f>IFERROR(__xludf.DUMMYFUNCTION("""COMPUTED_VALUE"""),4.784027777777778)</f>
        <v>4.784027778</v>
      </c>
      <c r="EO11" s="1487">
        <f>IFERROR(__xludf.DUMMYFUNCTION("""COMPUTED_VALUE"""),1.6091E8)</f>
        <v>160910000</v>
      </c>
      <c r="EP11" s="1486">
        <f>IFERROR(__xludf.DUMMYFUNCTION("""COMPUTED_VALUE"""),4.784027777777778)</f>
        <v>4.784027778</v>
      </c>
      <c r="EQ11" s="1487">
        <f>IFERROR(__xludf.DUMMYFUNCTION("""COMPUTED_VALUE"""),1.6091E8)</f>
        <v>160910000</v>
      </c>
      <c r="ER11" s="1486">
        <f>IFERROR(__xludf.DUMMYFUNCTION("""COMPUTED_VALUE"""),4.784027777777778)</f>
        <v>4.784027778</v>
      </c>
      <c r="ES11" s="1487">
        <f>IFERROR(__xludf.DUMMYFUNCTION("""COMPUTED_VALUE"""),1.6091E8)</f>
        <v>160910000</v>
      </c>
      <c r="ET11" s="1486">
        <f>IFERROR(__xludf.DUMMYFUNCTION("""COMPUTED_VALUE"""),4.784027777777778)</f>
        <v>4.784027778</v>
      </c>
      <c r="EU11" s="1487">
        <f>IFERROR(__xludf.DUMMYFUNCTION("""COMPUTED_VALUE"""),1.6156E8)</f>
        <v>161560000</v>
      </c>
      <c r="EV11" s="1518"/>
      <c r="EW11" s="1519"/>
      <c r="EX11" s="1518"/>
      <c r="EY11" s="1519"/>
      <c r="EZ11" s="1518"/>
      <c r="FA11" s="1521"/>
      <c r="FB11" s="1486">
        <f>IFERROR(__xludf.DUMMYFUNCTION("""COMPUTED_VALUE"""),5.617361111111111)</f>
        <v>5.617361111</v>
      </c>
      <c r="FC11" s="1487">
        <f>IFERROR(__xludf.DUMMYFUNCTION("""COMPUTED_VALUE"""),1.8466E8)</f>
        <v>184660000</v>
      </c>
      <c r="FD11" s="1520"/>
      <c r="FE11" s="1519"/>
      <c r="FF11" s="1486">
        <f>IFERROR(__xludf.DUMMYFUNCTION("""COMPUTED_VALUE"""),5.617361111111111)</f>
        <v>5.617361111</v>
      </c>
      <c r="FG11" s="1488">
        <f>IFERROR(__xludf.DUMMYFUNCTION("""COMPUTED_VALUE"""),3.58875676E8)</f>
        <v>358875676</v>
      </c>
      <c r="FH11" s="1486">
        <f>IFERROR(__xludf.DUMMYFUNCTION("""COMPUTED_VALUE"""),5.617361111111111)</f>
        <v>5.617361111</v>
      </c>
      <c r="FI11" s="1488">
        <f>IFERROR(__xludf.DUMMYFUNCTION("""COMPUTED_VALUE"""),3.58875676E8)</f>
        <v>358875676</v>
      </c>
      <c r="FJ11" s="1486">
        <f>IFERROR(__xludf.DUMMYFUNCTION("""COMPUTED_VALUE"""),10.61650462962963)</f>
        <v>10.61650463</v>
      </c>
      <c r="FK11" s="1487">
        <f>IFERROR(__xludf.DUMMYFUNCTION("""COMPUTED_VALUE"""),3.60659459E8)</f>
        <v>360659459</v>
      </c>
      <c r="FL11" s="1518"/>
      <c r="FM11" s="1519"/>
      <c r="FN11" s="1532"/>
      <c r="FO11" s="1520"/>
      <c r="FP11" s="1486">
        <f>IFERROR(__xludf.DUMMYFUNCTION("""COMPUTED_VALUE"""),20.633020833333333)</f>
        <v>20.63302083</v>
      </c>
      <c r="FQ11" s="1488">
        <f>IFERROR(__xludf.DUMMYFUNCTION("""COMPUTED_VALUE"""),2.56E12)</f>
        <v>2560000000000</v>
      </c>
      <c r="FR11" s="1532"/>
      <c r="FS11" s="1520"/>
      <c r="FT11" s="1486">
        <f>IFERROR(__xludf.DUMMYFUNCTION("""COMPUTED_VALUE"""),20.633020833333333)</f>
        <v>20.63302083</v>
      </c>
      <c r="FU11" s="1488">
        <f>IFERROR(__xludf.DUMMYFUNCTION("""COMPUTED_VALUE"""),2.56E12)</f>
        <v>2560000000000</v>
      </c>
      <c r="FV11" s="1486">
        <f>IFERROR(__xludf.DUMMYFUNCTION("""COMPUTED_VALUE"""),20.633020833333333)</f>
        <v>20.63302083</v>
      </c>
      <c r="FW11" s="1488">
        <f>IFERROR(__xludf.DUMMYFUNCTION("""COMPUTED_VALUE"""),2.56E12)</f>
        <v>2560000000000</v>
      </c>
      <c r="FX11" s="1491">
        <f>IFERROR(__xludf.DUMMYFUNCTION("""COMPUTED_VALUE"""),8.648946759259259)</f>
        <v>8.648946759</v>
      </c>
      <c r="FY11" s="1492">
        <f>IFERROR(__xludf.DUMMYFUNCTION("""COMPUTED_VALUE"""),2.563E10)</f>
        <v>25630000000</v>
      </c>
      <c r="FZ11" s="1491">
        <f>IFERROR(__xludf.DUMMYFUNCTION("""COMPUTED_VALUE"""),20.633020833333333)</f>
        <v>20.63302083</v>
      </c>
      <c r="GA11" s="1492">
        <f>IFERROR(__xludf.DUMMYFUNCTION("""COMPUTED_VALUE"""),2.56E12)</f>
        <v>2560000000000</v>
      </c>
      <c r="GB11" s="1491">
        <f>IFERROR(__xludf.DUMMYFUNCTION("""COMPUTED_VALUE"""),51.0866087962963)</f>
        <v>51.0866088</v>
      </c>
      <c r="GC11" s="1492">
        <f>IFERROR(__xludf.DUMMYFUNCTION("""COMPUTED_VALUE"""),6.568E13)</f>
        <v>65680000000000</v>
      </c>
      <c r="GD11" s="1486">
        <f>IFERROR(__xludf.DUMMYFUNCTION("""COMPUTED_VALUE"""),150.0)</f>
        <v>150</v>
      </c>
      <c r="GE11" s="1488">
        <f>IFERROR(__xludf.DUMMYFUNCTION("""COMPUTED_VALUE"""),3.119E17)</f>
        <v>3.119E+17</v>
      </c>
      <c r="GF11" s="1518"/>
      <c r="GG11" s="1519"/>
      <c r="GH11" s="1494">
        <f>IFERROR(__xludf.DUMMYFUNCTION("""COMPUTED_VALUE"""),3.9923611111111112)</f>
        <v>3.992361111</v>
      </c>
      <c r="GI11" s="1495">
        <f>IFERROR(__xludf.DUMMYFUNCTION("""COMPUTED_VALUE"""),3.3258E8)</f>
        <v>332580000</v>
      </c>
      <c r="GJ11" s="1518"/>
      <c r="GK11" s="1519"/>
      <c r="GL11" s="1518"/>
      <c r="GM11" s="1519"/>
      <c r="GN11" s="1520"/>
      <c r="GO11" s="1519"/>
      <c r="GP11" s="1496">
        <f>IFERROR(__xludf.DUMMYFUNCTION("""COMPUTED_VALUE"""),4.159027777777778)</f>
        <v>4.159027778</v>
      </c>
      <c r="GQ11" s="1497">
        <f>IFERROR(__xludf.DUMMYFUNCTION("""COMPUTED_VALUE"""),1.713E10)</f>
        <v>17130000000</v>
      </c>
      <c r="GR11" s="1518"/>
      <c r="GS11" s="1519"/>
      <c r="GT11" s="1518"/>
      <c r="GU11" s="1519"/>
      <c r="GV11" s="1520"/>
      <c r="GW11" s="1519"/>
      <c r="GX11" s="1499">
        <f>IFERROR(__xludf.DUMMYFUNCTION("""COMPUTED_VALUE"""),104.16666666666667)</f>
        <v>104.1666667</v>
      </c>
      <c r="GY11" s="1500">
        <f>IFERROR(__xludf.DUMMYFUNCTION("""COMPUTED_VALUE"""),1.0E16)</f>
        <v>1E+16</v>
      </c>
      <c r="GZ11" s="1518"/>
      <c r="HA11" s="1519"/>
      <c r="HB11" s="1501">
        <f>IFERROR(__xludf.DUMMYFUNCTION("""COMPUTED_VALUE"""),2.3534722222222224)</f>
        <v>2.353472222</v>
      </c>
      <c r="HC11" s="1502">
        <f>IFERROR(__xludf.DUMMYFUNCTION("""COMPUTED_VALUE"""),6.5626E8)</f>
        <v>656260000</v>
      </c>
      <c r="HD11" s="1518"/>
      <c r="HE11" s="1519"/>
      <c r="HF11" s="1501">
        <f>IFERROR(__xludf.DUMMYFUNCTION("""COMPUTED_VALUE"""),2.5388888888888888)</f>
        <v>2.538888889</v>
      </c>
      <c r="HG11" s="1502">
        <f>IFERROR(__xludf.DUMMYFUNCTION("""COMPUTED_VALUE"""),9.8434E8)</f>
        <v>984340000</v>
      </c>
      <c r="HH11" s="1518"/>
      <c r="HI11" s="1519"/>
      <c r="HJ11" s="1518"/>
      <c r="HK11" s="1519"/>
      <c r="HL11" s="1518"/>
      <c r="HM11" s="1519"/>
      <c r="HN11" s="1501">
        <f>IFERROR(__xludf.DUMMYFUNCTION("""COMPUTED_VALUE"""),7.115277777777778)</f>
        <v>7.115277778</v>
      </c>
      <c r="HO11" s="1502">
        <f>IFERROR(__xludf.DUMMYFUNCTION("""COMPUTED_VALUE"""),3.23E9)</f>
        <v>3230000000</v>
      </c>
      <c r="HP11" s="1501">
        <f>IFERROR(__xludf.DUMMYFUNCTION("""COMPUTED_VALUE"""),7.693263888888889)</f>
        <v>7.693263889</v>
      </c>
      <c r="HQ11" s="1503">
        <f>IFERROR(__xludf.DUMMYFUNCTION("""COMPUTED_VALUE"""),3.4806E8)</f>
        <v>348060000</v>
      </c>
      <c r="HR11" s="1522">
        <f>IFERROR(__xludf.DUMMYFUNCTION("""COMPUTED_VALUE"""),5.842361111111111)</f>
        <v>5.842361111</v>
      </c>
      <c r="HS11" s="1523">
        <f>IFERROR(__xludf.DUMMYFUNCTION("""COMPUTED_VALUE"""),1.91E9)</f>
        <v>1910000000</v>
      </c>
      <c r="HT11" s="1522">
        <f>IFERROR(__xludf.DUMMYFUNCTION("""COMPUTED_VALUE"""),5.842361111111111)</f>
        <v>5.842361111</v>
      </c>
      <c r="HU11" s="1523">
        <f>IFERROR(__xludf.DUMMYFUNCTION("""COMPUTED_VALUE"""),1.91E9)</f>
        <v>1910000000</v>
      </c>
      <c r="HV11" s="1522">
        <f>IFERROR(__xludf.DUMMYFUNCTION("""COMPUTED_VALUE"""),5.842361111111111)</f>
        <v>5.842361111</v>
      </c>
      <c r="HW11" s="1523">
        <f>IFERROR(__xludf.DUMMYFUNCTION("""COMPUTED_VALUE"""),1.91E9)</f>
        <v>1910000000</v>
      </c>
      <c r="HX11" s="1524">
        <f>IFERROR(__xludf.DUMMYFUNCTION("""COMPUTED_VALUE"""),5.842361111111111)</f>
        <v>5.842361111</v>
      </c>
      <c r="HY11" s="1523">
        <f>IFERROR(__xludf.DUMMYFUNCTION("""COMPUTED_VALUE"""),1.91E9)</f>
        <v>1910000000</v>
      </c>
      <c r="HZ11" s="1518"/>
      <c r="IA11" s="1519"/>
      <c r="IB11" s="1524">
        <f>IFERROR(__xludf.DUMMYFUNCTION("""COMPUTED_VALUE"""),25.49184027777778)</f>
        <v>25.49184028</v>
      </c>
      <c r="IC11" s="1523">
        <f>IFERROR(__xludf.DUMMYFUNCTION("""COMPUTED_VALUE"""),2.56E12)</f>
        <v>2560000000000</v>
      </c>
      <c r="ID11" s="1524">
        <f>IFERROR(__xludf.DUMMYFUNCTION("""COMPUTED_VALUE"""),25.49184027777778)</f>
        <v>25.49184028</v>
      </c>
      <c r="IE11" s="1523">
        <f>IFERROR(__xludf.DUMMYFUNCTION("""COMPUTED_VALUE"""),2.56E12)</f>
        <v>2560000000000</v>
      </c>
      <c r="IF11" s="1524">
        <f>IFERROR(__xludf.DUMMYFUNCTION("""COMPUTED_VALUE"""),25.49184027777778)</f>
        <v>25.49184028</v>
      </c>
      <c r="IG11" s="1523">
        <f>IFERROR(__xludf.DUMMYFUNCTION("""COMPUTED_VALUE"""),2.56E12)</f>
        <v>2560000000000</v>
      </c>
      <c r="IH11" s="1507">
        <f>IFERROR(__xludf.DUMMYFUNCTION("""COMPUTED_VALUE"""),6.5368055555555555)</f>
        <v>6.536805556</v>
      </c>
      <c r="II11" s="1508">
        <f>IFERROR(__xludf.DUMMYFUNCTION("""COMPUTED_VALUE"""),1.9351E11)</f>
        <v>193510000000</v>
      </c>
      <c r="IJ11" s="1507">
        <f>IFERROR(__xludf.DUMMYFUNCTION("""COMPUTED_VALUE"""),6.5368055555555555)</f>
        <v>6.536805556</v>
      </c>
      <c r="IK11" s="1508">
        <f>IFERROR(__xludf.DUMMYFUNCTION("""COMPUTED_VALUE"""),1.9351E11)</f>
        <v>193510000000</v>
      </c>
      <c r="IL11" s="1507">
        <f>IFERROR(__xludf.DUMMYFUNCTION("""COMPUTED_VALUE"""),6.5368055555555555)</f>
        <v>6.536805556</v>
      </c>
      <c r="IM11" s="1508">
        <f>IFERROR(__xludf.DUMMYFUNCTION("""COMPUTED_VALUE"""),2.8351E11)</f>
        <v>283510000000</v>
      </c>
      <c r="IN11" s="1507">
        <f>IFERROR(__xludf.DUMMYFUNCTION("""COMPUTED_VALUE"""),6.5368055555555555)</f>
        <v>6.536805556</v>
      </c>
      <c r="IO11" s="1508">
        <f>IFERROR(__xludf.DUMMYFUNCTION("""COMPUTED_VALUE"""),2.8351E11)</f>
        <v>283510000000</v>
      </c>
      <c r="IP11" s="1507">
        <f>IFERROR(__xludf.DUMMYFUNCTION("""COMPUTED_VALUE"""),7.0)</f>
        <v>7</v>
      </c>
      <c r="IQ11" s="1508">
        <f>IFERROR(__xludf.DUMMYFUNCTION("""COMPUTED_VALUE"""),5.5351E11)</f>
        <v>553510000000</v>
      </c>
      <c r="IR11" s="1507">
        <f>IFERROR(__xludf.DUMMYFUNCTION("""COMPUTED_VALUE"""),6.5368055555555555)</f>
        <v>6.536805556</v>
      </c>
      <c r="IS11" s="1508">
        <f>IFERROR(__xludf.DUMMYFUNCTION("""COMPUTED_VALUE"""),2.8351E11)</f>
        <v>283510000000</v>
      </c>
      <c r="IT11" s="1507">
        <f>IFERROR(__xludf.DUMMYFUNCTION("""COMPUTED_VALUE"""),6.5368055555555555)</f>
        <v>6.536805556</v>
      </c>
      <c r="IU11" s="1508">
        <f>IFERROR(__xludf.DUMMYFUNCTION("""COMPUTED_VALUE"""),2.8351E11)</f>
        <v>283510000000</v>
      </c>
      <c r="IV11" s="1507">
        <f>IFERROR(__xludf.DUMMYFUNCTION("""COMPUTED_VALUE"""),6.5368055555555555)</f>
        <v>6.536805556</v>
      </c>
      <c r="IW11" s="1508">
        <f>IFERROR(__xludf.DUMMYFUNCTION("""COMPUTED_VALUE"""),2.8351E11)</f>
        <v>283510000000</v>
      </c>
      <c r="IX11" s="1507">
        <f>IFERROR(__xludf.DUMMYFUNCTION("""COMPUTED_VALUE"""),6.5368055555555555)</f>
        <v>6.536805556</v>
      </c>
      <c r="IY11" s="1508">
        <f>IFERROR(__xludf.DUMMYFUNCTION("""COMPUTED_VALUE"""),2.8351E11)</f>
        <v>283510000000</v>
      </c>
      <c r="IZ11" s="1507">
        <f>IFERROR(__xludf.DUMMYFUNCTION("""COMPUTED_VALUE"""),6.5368055555555555)</f>
        <v>6.536805556</v>
      </c>
      <c r="JA11" s="1508">
        <f>IFERROR(__xludf.DUMMYFUNCTION("""COMPUTED_VALUE"""),3.7351E11)</f>
        <v>373510000000</v>
      </c>
      <c r="JB11" s="1507">
        <f>IFERROR(__xludf.DUMMYFUNCTION("""COMPUTED_VALUE"""),6.5368055555555555)</f>
        <v>6.536805556</v>
      </c>
      <c r="JC11" s="1508">
        <f>IFERROR(__xludf.DUMMYFUNCTION("""COMPUTED_VALUE"""),3.7351E11)</f>
        <v>373510000000</v>
      </c>
      <c r="JD11" s="1507">
        <f>IFERROR(__xludf.DUMMYFUNCTION("""COMPUTED_VALUE"""),6.5368055555555555)</f>
        <v>6.536805556</v>
      </c>
      <c r="JE11" s="1508">
        <f>IFERROR(__xludf.DUMMYFUNCTION("""COMPUTED_VALUE"""),3.7351E11)</f>
        <v>373510000000</v>
      </c>
      <c r="JF11" s="1507">
        <f>IFERROR(__xludf.DUMMYFUNCTION("""COMPUTED_VALUE"""),6.5368055555555555)</f>
        <v>6.536805556</v>
      </c>
      <c r="JG11" s="1508">
        <f>IFERROR(__xludf.DUMMYFUNCTION("""COMPUTED_VALUE"""),3.7351E11)</f>
        <v>373510000000</v>
      </c>
      <c r="JH11" s="1507">
        <f>IFERROR(__xludf.DUMMYFUNCTION("""COMPUTED_VALUE"""),7.0)</f>
        <v>7</v>
      </c>
      <c r="JI11" s="1508">
        <f>IFERROR(__xludf.DUMMYFUNCTION("""COMPUTED_VALUE"""),6.5351E11)</f>
        <v>653510000000</v>
      </c>
      <c r="JJ11" s="1507">
        <f>IFERROR(__xludf.DUMMYFUNCTION("""COMPUTED_VALUE"""),97.19513888888889)</f>
        <v>97.19513889</v>
      </c>
      <c r="JK11" s="1509">
        <f>IFERROR(__xludf.DUMMYFUNCTION("""COMPUTED_VALUE"""),2.25E18)</f>
        <v>2.25E+18</v>
      </c>
      <c r="JL11" s="1507">
        <f>IFERROR(__xludf.DUMMYFUNCTION("""COMPUTED_VALUE"""),97.19513888888889)</f>
        <v>97.19513889</v>
      </c>
      <c r="JM11" s="1509">
        <f>IFERROR(__xludf.DUMMYFUNCTION("""COMPUTED_VALUE"""),2.25E18)</f>
        <v>2.25E+18</v>
      </c>
      <c r="JN11" s="1507">
        <f>IFERROR(__xludf.DUMMYFUNCTION("""COMPUTED_VALUE"""),97.19513888888889)</f>
        <v>97.19513889</v>
      </c>
      <c r="JO11" s="1509">
        <f>IFERROR(__xludf.DUMMYFUNCTION("""COMPUTED_VALUE"""),2.25E18)</f>
        <v>2.25E+18</v>
      </c>
      <c r="JP11" s="1507">
        <f>IFERROR(__xludf.DUMMYFUNCTION("""COMPUTED_VALUE"""),97.19513888888889)</f>
        <v>97.19513889</v>
      </c>
      <c r="JQ11" s="1509">
        <f>IFERROR(__xludf.DUMMYFUNCTION("""COMPUTED_VALUE"""),2.25E18)</f>
        <v>2.25E+18</v>
      </c>
      <c r="JR11" s="1507">
        <f>IFERROR(__xludf.DUMMYFUNCTION("""COMPUTED_VALUE"""),97.19513888888889)</f>
        <v>97.19513889</v>
      </c>
      <c r="JS11" s="1509">
        <f>IFERROR(__xludf.DUMMYFUNCTION("""COMPUTED_VALUE"""),2.25E18)</f>
        <v>2.25E+18</v>
      </c>
      <c r="JT11" s="1507">
        <f>IFERROR(__xludf.DUMMYFUNCTION("""COMPUTED_VALUE"""),97.19513888888889)</f>
        <v>97.19513889</v>
      </c>
      <c r="JU11" s="1509">
        <f>IFERROR(__xludf.DUMMYFUNCTION("""COMPUTED_VALUE"""),2.25E18)</f>
        <v>2.25E+18</v>
      </c>
      <c r="JV11" s="1507">
        <f>IFERROR(__xludf.DUMMYFUNCTION("""COMPUTED_VALUE"""),24.29861111111111)</f>
        <v>24.29861111</v>
      </c>
      <c r="JW11" s="1509">
        <f>IFERROR(__xludf.DUMMYFUNCTION("""COMPUTED_VALUE"""),1.475789056E13)</f>
        <v>14757890560000</v>
      </c>
      <c r="JX11" s="1510">
        <f>IFERROR(__xludf.DUMMYFUNCTION("""COMPUTED_VALUE"""),7.57318287)</f>
        <v>7.57318287</v>
      </c>
      <c r="JY11" s="1511">
        <f>IFERROR(__xludf.DUMMYFUNCTION("""COMPUTED_VALUE"""),5.02E9)</f>
        <v>5020000000</v>
      </c>
      <c r="JZ11" s="1525">
        <f>IFERROR(__xludf.DUMMYFUNCTION("""COMPUTED_VALUE"""),1.708773148)</f>
        <v>1.708773148</v>
      </c>
      <c r="KA11" s="1526">
        <f>IFERROR(__xludf.DUMMYFUNCTION("""COMPUTED_VALUE"""),5.4981E8)</f>
        <v>549810000</v>
      </c>
      <c r="KB11" s="1510">
        <f>IFERROR(__xludf.DUMMYFUNCTION("""COMPUTED_VALUE"""),1.785787037)</f>
        <v>1.785787037</v>
      </c>
      <c r="KC11" s="1514">
        <f>IFERROR(__xludf.DUMMYFUNCTION("""COMPUTED_VALUE"""),1.54E9)</f>
        <v>1540000000</v>
      </c>
      <c r="KD11" s="1510">
        <f>IFERROR(__xludf.DUMMYFUNCTION("""COMPUTED_VALUE"""),6.870891204)</f>
        <v>6.870891204</v>
      </c>
      <c r="KE11" s="1514">
        <f>IFERROR(__xludf.DUMMYFUNCTION("""COMPUTED_VALUE"""),8.276E10)</f>
        <v>82760000000</v>
      </c>
      <c r="KF11" s="1510">
        <f>IFERROR(__xludf.DUMMYFUNCTION("""COMPUTED_VALUE"""),6.870891204)</f>
        <v>6.870891204</v>
      </c>
      <c r="KG11" s="1514">
        <f>IFERROR(__xludf.DUMMYFUNCTION("""COMPUTED_VALUE"""),8.276E10)</f>
        <v>82760000000</v>
      </c>
      <c r="KH11" s="1510">
        <f>IFERROR(__xludf.DUMMYFUNCTION("""COMPUTED_VALUE"""),13.01299769)</f>
        <v>13.01299769</v>
      </c>
      <c r="KI11" s="1514">
        <f>IFERROR(__xludf.DUMMYFUNCTION("""COMPUTED_VALUE"""),7.32E12)</f>
        <v>7320000000000</v>
      </c>
      <c r="KJ11" s="1527"/>
      <c r="KK11" s="1527"/>
      <c r="KL11" s="1527"/>
      <c r="KM11" s="1527"/>
      <c r="KN11" s="1527"/>
      <c r="KO11" s="1527"/>
      <c r="KP11" s="1527"/>
      <c r="KQ11" s="1527"/>
      <c r="KR11" s="1527"/>
      <c r="KS11" s="1527"/>
      <c r="KT11" s="1527"/>
      <c r="KU11" s="1527"/>
      <c r="KV11" s="1525">
        <f>IFERROR(__xludf.DUMMYFUNCTION("""COMPUTED_VALUE"""),97.19513888888889)</f>
        <v>97.19513889</v>
      </c>
      <c r="KW11" s="1526">
        <f>IFERROR(__xludf.DUMMYFUNCTION("""COMPUTED_VALUE"""),2.25E18)</f>
        <v>2.25E+18</v>
      </c>
      <c r="KX11" s="1525">
        <f>IFERROR(__xludf.DUMMYFUNCTION("""COMPUTED_VALUE"""),97.19513888888889)</f>
        <v>97.19513889</v>
      </c>
      <c r="KY11" s="1526">
        <f>IFERROR(__xludf.DUMMYFUNCTION("""COMPUTED_VALUE"""),2.25E18)</f>
        <v>2.25E+18</v>
      </c>
      <c r="KZ11" s="1525">
        <f>IFERROR(__xludf.DUMMYFUNCTION("""COMPUTED_VALUE"""),97.19513888888889)</f>
        <v>97.19513889</v>
      </c>
      <c r="LA11" s="1526">
        <f>IFERROR(__xludf.DUMMYFUNCTION("""COMPUTED_VALUE"""),2.25E18)</f>
        <v>2.25E+18</v>
      </c>
      <c r="LB11" s="1525">
        <f>IFERROR(__xludf.DUMMYFUNCTION("""COMPUTED_VALUE"""),97.19513888888889)</f>
        <v>97.19513889</v>
      </c>
      <c r="LC11" s="1526">
        <f>IFERROR(__xludf.DUMMYFUNCTION("""COMPUTED_VALUE"""),2.25E18)</f>
        <v>2.25E+18</v>
      </c>
      <c r="LD11" s="1525">
        <f>IFERROR(__xludf.DUMMYFUNCTION("""COMPUTED_VALUE"""),97.19513888888889)</f>
        <v>97.19513889</v>
      </c>
      <c r="LE11" s="1526">
        <f>IFERROR(__xludf.DUMMYFUNCTION("""COMPUTED_VALUE"""),2.25E18)</f>
        <v>2.25E+18</v>
      </c>
      <c r="LF11" s="1525">
        <f>IFERROR(__xludf.DUMMYFUNCTION("""COMPUTED_VALUE"""),97.19513888888889)</f>
        <v>97.19513889</v>
      </c>
      <c r="LG11" s="1526">
        <f>IFERROR(__xludf.DUMMYFUNCTION("""COMPUTED_VALUE"""),2.25E18)</f>
        <v>2.25E+18</v>
      </c>
      <c r="LH11" s="1525">
        <f>IFERROR(__xludf.DUMMYFUNCTION("""COMPUTED_VALUE"""),97.19513888888889)</f>
        <v>97.19513889</v>
      </c>
      <c r="LI11" s="1526">
        <f>IFERROR(__xludf.DUMMYFUNCTION("""COMPUTED_VALUE"""),2.25E18)</f>
        <v>2.25E+18</v>
      </c>
      <c r="LJ11" s="1525">
        <f>IFERROR(__xludf.DUMMYFUNCTION("""COMPUTED_VALUE"""),97.19513888888889)</f>
        <v>97.19513889</v>
      </c>
      <c r="LK11" s="1526">
        <f>IFERROR(__xludf.DUMMYFUNCTION("""COMPUTED_VALUE"""),2.25E18)</f>
        <v>2.25E+18</v>
      </c>
      <c r="LL11" s="1494">
        <f>IFERROR(__xludf.DUMMYFUNCTION("""COMPUTED_VALUE"""),150.0)</f>
        <v>150</v>
      </c>
      <c r="LM11" s="1495">
        <f>IFERROR(__xludf.DUMMYFUNCTION("""COMPUTED_VALUE"""),3.119E17)</f>
        <v>3.119E+17</v>
      </c>
      <c r="LN11" s="1516">
        <f>IFERROR(__xludf.DUMMYFUNCTION("""COMPUTED_VALUE"""),121.49444444444444)</f>
        <v>121.4944444</v>
      </c>
      <c r="LO11" s="1495">
        <f>IFERROR(__xludf.DUMMYFUNCTION("""COMPUTED_VALUE"""),1.7999999999999997E18)</f>
        <v>1.8E+18</v>
      </c>
      <c r="LP11" s="1516">
        <f>IFERROR(__xludf.DUMMYFUNCTION("""COMPUTED_VALUE"""),121.49444444444444)</f>
        <v>121.4944444</v>
      </c>
      <c r="LQ11" s="1495">
        <f>IFERROR(__xludf.DUMMYFUNCTION("""COMPUTED_VALUE"""),1.7999999999999997E18)</f>
        <v>1.8E+18</v>
      </c>
      <c r="LR11" s="1516">
        <f>IFERROR(__xludf.DUMMYFUNCTION("""COMPUTED_VALUE"""),121.49444444444444)</f>
        <v>121.4944444</v>
      </c>
      <c r="LS11" s="1495">
        <f>IFERROR(__xludf.DUMMYFUNCTION("""COMPUTED_VALUE"""),1.7999999999999997E18)</f>
        <v>1.8E+18</v>
      </c>
      <c r="LT11" s="1516">
        <f>IFERROR(__xludf.DUMMYFUNCTION("""COMPUTED_VALUE"""),121.49444444444444)</f>
        <v>121.4944444</v>
      </c>
      <c r="LU11" s="1495">
        <f>IFERROR(__xludf.DUMMYFUNCTION("""COMPUTED_VALUE"""),1.7999999999999997E18)</f>
        <v>1.8E+18</v>
      </c>
      <c r="LV11" s="1516">
        <f>IFERROR(__xludf.DUMMYFUNCTION("""COMPUTED_VALUE"""),121.49444444444444)</f>
        <v>121.4944444</v>
      </c>
      <c r="LW11" s="1495">
        <f>IFERROR(__xludf.DUMMYFUNCTION("""COMPUTED_VALUE"""),1.7999999999999997E18)</f>
        <v>1.8E+18</v>
      </c>
      <c r="LX11" s="1516">
        <f>IFERROR(__xludf.DUMMYFUNCTION("""COMPUTED_VALUE"""),145.79305555555555)</f>
        <v>145.7930556</v>
      </c>
      <c r="LY11" s="1517">
        <f>IFERROR(__xludf.DUMMYFUNCTION("""COMPUTED_VALUE"""),4.5E18)</f>
        <v>4.5E+18</v>
      </c>
      <c r="LZ11" s="1516">
        <f>IFERROR(__xludf.DUMMYFUNCTION("""COMPUTED_VALUE"""),145.79305555555555)</f>
        <v>145.7930556</v>
      </c>
      <c r="MA11" s="1517">
        <f>IFERROR(__xludf.DUMMYFUNCTION("""COMPUTED_VALUE"""),4.5E18)</f>
        <v>4.5E+18</v>
      </c>
      <c r="MB11" s="1516">
        <f>IFERROR(__xludf.DUMMYFUNCTION("""COMPUTED_VALUE"""),145.79305555555555)</f>
        <v>145.7930556</v>
      </c>
      <c r="MC11" s="1517">
        <f>IFERROR(__xludf.DUMMYFUNCTION("""COMPUTED_VALUE"""),4.5E18)</f>
        <v>4.5E+18</v>
      </c>
      <c r="MD11" s="1516">
        <f>IFERROR(__xludf.DUMMYFUNCTION("""COMPUTED_VALUE"""),145.79305555555555)</f>
        <v>145.7930556</v>
      </c>
      <c r="ME11" s="1517">
        <f>IFERROR(__xludf.DUMMYFUNCTION("""COMPUTED_VALUE"""),4.5E18)</f>
        <v>4.5E+18</v>
      </c>
      <c r="MF11" s="1516">
        <f>IFERROR(__xludf.DUMMYFUNCTION("""COMPUTED_VALUE"""),113.39444444444445)</f>
        <v>113.3944444</v>
      </c>
      <c r="MG11" s="1517">
        <f>IFERROR(__xludf.DUMMYFUNCTION("""COMPUTED_VALUE"""),2.562890625E19)</f>
        <v>2.56289E+19</v>
      </c>
      <c r="MH11" s="1516">
        <f>IFERROR(__xludf.DUMMYFUNCTION("""COMPUTED_VALUE"""),113.39444444444445)</f>
        <v>113.3944444</v>
      </c>
      <c r="MI11" s="1517">
        <f>IFERROR(__xludf.DUMMYFUNCTION("""COMPUTED_VALUE"""),2.562890625E19)</f>
        <v>2.56289E+19</v>
      </c>
      <c r="MJ11" s="1516">
        <f>IFERROR(__xludf.DUMMYFUNCTION("""COMPUTED_VALUE"""),113.39444444444445)</f>
        <v>113.3944444</v>
      </c>
      <c r="MK11" s="1517">
        <f>IFERROR(__xludf.DUMMYFUNCTION("""COMPUTED_VALUE"""),2.562890625E19)</f>
        <v>2.56289E+19</v>
      </c>
      <c r="ML11" s="1516">
        <f>IFERROR(__xludf.DUMMYFUNCTION("""COMPUTED_VALUE"""),113.39444444444445)</f>
        <v>113.3944444</v>
      </c>
      <c r="MM11" s="1517">
        <f>IFERROR(__xludf.DUMMYFUNCTION("""COMPUTED_VALUE"""),2.562890625E19)</f>
        <v>2.56289E+19</v>
      </c>
      <c r="MN11" s="1516">
        <f>IFERROR(__xludf.DUMMYFUNCTION("""COMPUTED_VALUE"""),113.39444444444445)</f>
        <v>113.3944444</v>
      </c>
      <c r="MO11" s="1517">
        <f>IFERROR(__xludf.DUMMYFUNCTION("""COMPUTED_VALUE"""),2.562890625E19)</f>
        <v>2.56289E+19</v>
      </c>
      <c r="MP11" s="1516">
        <f>IFERROR(__xludf.DUMMYFUNCTION("""COMPUTED_VALUE"""),113.39444444444445)</f>
        <v>113.3944444</v>
      </c>
      <c r="MQ11" s="1517">
        <f>IFERROR(__xludf.DUMMYFUNCTION("""COMPUTED_VALUE"""),2.562890625E19)</f>
        <v>2.56289E+19</v>
      </c>
      <c r="MR11" s="1516">
        <f>IFERROR(__xludf.DUMMYFUNCTION("""COMPUTED_VALUE"""),169.55208333333334)</f>
        <v>169.5520833</v>
      </c>
      <c r="MS11" s="1517">
        <f>IFERROR(__xludf.DUMMYFUNCTION("""COMPUTED_VALUE"""),5.12E20)</f>
        <v>5.12E+20</v>
      </c>
      <c r="MT11" s="1516">
        <f>IFERROR(__xludf.DUMMYFUNCTION("""COMPUTED_VALUE"""),169.55208333333334)</f>
        <v>169.5520833</v>
      </c>
      <c r="MU11" s="1517">
        <f>IFERROR(__xludf.DUMMYFUNCTION("""COMPUTED_VALUE"""),5.12E20)</f>
        <v>5.12E+20</v>
      </c>
      <c r="MV11" s="1516">
        <f>IFERROR(__xludf.DUMMYFUNCTION("""COMPUTED_VALUE"""),169.55208333333334)</f>
        <v>169.5520833</v>
      </c>
      <c r="MW11" s="1517">
        <f>IFERROR(__xludf.DUMMYFUNCTION("""COMPUTED_VALUE"""),5.12E20)</f>
        <v>5.12E+20</v>
      </c>
      <c r="MX11" s="1516">
        <f>IFERROR(__xludf.DUMMYFUNCTION("""COMPUTED_VALUE"""),169.55208333333334)</f>
        <v>169.5520833</v>
      </c>
      <c r="MY11" s="1517">
        <f>IFERROR(__xludf.DUMMYFUNCTION("""COMPUTED_VALUE"""),5.12E20)</f>
        <v>5.12E+20</v>
      </c>
    </row>
    <row r="12">
      <c r="A12" s="1465">
        <f>IFERROR(__xludf.DUMMYFUNCTION("""COMPUTED_VALUE"""),10.0)</f>
        <v>10</v>
      </c>
      <c r="B12" s="1533"/>
      <c r="C12" s="1534"/>
      <c r="D12" s="1471">
        <f>IFERROR(__xludf.DUMMYFUNCTION("""COMPUTED_VALUE"""),0.18888888888888888)</f>
        <v>0.1888888889</v>
      </c>
      <c r="E12" s="1472">
        <f>IFERROR(__xludf.DUMMYFUNCTION("""COMPUTED_VALUE"""),6170.0)</f>
        <v>6170</v>
      </c>
      <c r="F12" s="1471">
        <f>IFERROR(__xludf.DUMMYFUNCTION("""COMPUTED_VALUE"""),0.18888888888888888)</f>
        <v>0.1888888889</v>
      </c>
      <c r="G12" s="1535">
        <f>IFERROR(__xludf.DUMMYFUNCTION("""COMPUTED_VALUE"""),6170.0)</f>
        <v>6170</v>
      </c>
      <c r="H12" s="1471">
        <f>IFERROR(__xludf.DUMMYFUNCTION("""COMPUTED_VALUE"""),0.18888888888888888)</f>
        <v>0.1888888889</v>
      </c>
      <c r="I12" s="1472">
        <f>IFERROR(__xludf.DUMMYFUNCTION("""COMPUTED_VALUE"""),6170.0)</f>
        <v>6170</v>
      </c>
      <c r="J12" s="1471">
        <f>IFERROR(__xludf.DUMMYFUNCTION("""COMPUTED_VALUE"""),0.18888888888888888)</f>
        <v>0.1888888889</v>
      </c>
      <c r="K12" s="1472">
        <f>IFERROR(__xludf.DUMMYFUNCTION("""COMPUTED_VALUE"""),6170.0)</f>
        <v>6170</v>
      </c>
      <c r="L12" s="1471">
        <f>IFERROR(__xludf.DUMMYFUNCTION("""COMPUTED_VALUE"""),0.27152777777777776)</f>
        <v>0.2715277778</v>
      </c>
      <c r="M12" s="1536">
        <f>IFERROR(__xludf.DUMMYFUNCTION("""COMPUTED_VALUE"""),11790.0)</f>
        <v>11790</v>
      </c>
      <c r="N12" s="1537">
        <f>IFERROR(__xludf.DUMMYFUNCTION("""COMPUTED_VALUE"""),0.23055555555555557)</f>
        <v>0.2305555556</v>
      </c>
      <c r="O12" s="1472">
        <f>IFERROR(__xludf.DUMMYFUNCTION("""COMPUTED_VALUE"""),12120.0)</f>
        <v>12120</v>
      </c>
      <c r="P12" s="1533"/>
      <c r="Q12" s="1534"/>
      <c r="R12" s="1533"/>
      <c r="S12" s="1534"/>
      <c r="T12" s="1533"/>
      <c r="U12" s="1534"/>
      <c r="V12" s="1533"/>
      <c r="W12" s="1534"/>
      <c r="X12" s="1533"/>
      <c r="Y12" s="1534"/>
      <c r="Z12" s="1533"/>
      <c r="AA12" s="1534"/>
      <c r="AB12" s="1533"/>
      <c r="AC12" s="1534"/>
      <c r="AD12" s="1471">
        <f>IFERROR(__xludf.DUMMYFUNCTION("""COMPUTED_VALUE"""),10.799305555555556)</f>
        <v>10.79930556</v>
      </c>
      <c r="AE12" s="1538">
        <f>IFERROR(__xludf.DUMMYFUNCTION("""COMPUTED_VALUE"""),1.060449937E10)</f>
        <v>10604499370</v>
      </c>
      <c r="AF12" s="1471">
        <f>IFERROR(__xludf.DUMMYFUNCTION("""COMPUTED_VALUE"""),10.799305555555556)</f>
        <v>10.79930556</v>
      </c>
      <c r="AG12" s="1538">
        <f>IFERROR(__xludf.DUMMYFUNCTION("""COMPUTED_VALUE"""),1.060449937E10)</f>
        <v>10604499370</v>
      </c>
      <c r="AH12" s="1471">
        <f>IFERROR(__xludf.DUMMYFUNCTION("""COMPUTED_VALUE"""),10.799305555555556)</f>
        <v>10.79930556</v>
      </c>
      <c r="AI12" s="1538">
        <f>IFERROR(__xludf.DUMMYFUNCTION("""COMPUTED_VALUE"""),1.060449937E10)</f>
        <v>10604499370</v>
      </c>
      <c r="AJ12" s="1539">
        <f>IFERROR(__xludf.DUMMYFUNCTION("""COMPUTED_VALUE"""),0.18888888888888888)</f>
        <v>0.1888888889</v>
      </c>
      <c r="AK12" s="1540">
        <f>IFERROR(__xludf.DUMMYFUNCTION("""COMPUTED_VALUE"""),6170.0)</f>
        <v>6170</v>
      </c>
      <c r="AL12" s="1539">
        <f>IFERROR(__xludf.DUMMYFUNCTION("""COMPUTED_VALUE"""),0.18888888888888888)</f>
        <v>0.1888888889</v>
      </c>
      <c r="AM12" s="1540">
        <f>IFERROR(__xludf.DUMMYFUNCTION("""COMPUTED_VALUE"""),6170.0)</f>
        <v>6170</v>
      </c>
      <c r="AN12" s="1539">
        <f>IFERROR(__xludf.DUMMYFUNCTION("""COMPUTED_VALUE"""),0.18888888888888888)</f>
        <v>0.1888888889</v>
      </c>
      <c r="AO12" s="1540">
        <f>IFERROR(__xludf.DUMMYFUNCTION("""COMPUTED_VALUE"""),6170.0)</f>
        <v>6170</v>
      </c>
      <c r="AP12" s="1539">
        <f>IFERROR(__xludf.DUMMYFUNCTION("""COMPUTED_VALUE"""),0.18888888888888888)</f>
        <v>0.1888888889</v>
      </c>
      <c r="AQ12" s="1540">
        <f>IFERROR(__xludf.DUMMYFUNCTION("""COMPUTED_VALUE"""),6170.0)</f>
        <v>6170</v>
      </c>
      <c r="AR12" s="1539">
        <f>IFERROR(__xludf.DUMMYFUNCTION("""COMPUTED_VALUE"""),0.18888888888888888)</f>
        <v>0.1888888889</v>
      </c>
      <c r="AS12" s="1540">
        <f>IFERROR(__xludf.DUMMYFUNCTION("""COMPUTED_VALUE"""),6180.0)</f>
        <v>6180</v>
      </c>
      <c r="AT12" s="1539">
        <f>IFERROR(__xludf.DUMMYFUNCTION("""COMPUTED_VALUE"""),14.614583333333334)</f>
        <v>14.61458333</v>
      </c>
      <c r="AU12" s="1540">
        <f>IFERROR(__xludf.DUMMYFUNCTION("""COMPUTED_VALUE"""),3.254E7)</f>
        <v>32540000</v>
      </c>
      <c r="AV12" s="1539">
        <f>IFERROR(__xludf.DUMMYFUNCTION("""COMPUTED_VALUE"""),11.68125)</f>
        <v>11.68125</v>
      </c>
      <c r="AW12" s="1540">
        <f>IFERROR(__xludf.DUMMYFUNCTION("""COMPUTED_VALUE"""),3.254E7)</f>
        <v>32540000</v>
      </c>
      <c r="AX12" s="1539">
        <f>IFERROR(__xludf.DUMMYFUNCTION("""COMPUTED_VALUE"""),8.781944444444445)</f>
        <v>8.781944444</v>
      </c>
      <c r="AY12" s="1540">
        <f>IFERROR(__xludf.DUMMYFUNCTION("""COMPUTED_VALUE"""),5.6211E11)</f>
        <v>562110000000</v>
      </c>
      <c r="AZ12" s="1533"/>
      <c r="BA12" s="1533"/>
      <c r="BB12" s="1479">
        <f>IFERROR(__xludf.DUMMYFUNCTION("""COMPUTED_VALUE"""),0.18888888888888888)</f>
        <v>0.1888888889</v>
      </c>
      <c r="BC12" s="1480">
        <f>IFERROR(__xludf.DUMMYFUNCTION("""COMPUTED_VALUE"""),6170.0)</f>
        <v>6170</v>
      </c>
      <c r="BD12" s="1479">
        <f>IFERROR(__xludf.DUMMYFUNCTION("""COMPUTED_VALUE"""),0.18888888888888888)</f>
        <v>0.1888888889</v>
      </c>
      <c r="BE12" s="1480">
        <f>IFERROR(__xludf.DUMMYFUNCTION("""COMPUTED_VALUE"""),6170.0)</f>
        <v>6170</v>
      </c>
      <c r="BF12" s="1479">
        <f>IFERROR(__xludf.DUMMYFUNCTION("""COMPUTED_VALUE"""),0.18888888888888888)</f>
        <v>0.1888888889</v>
      </c>
      <c r="BG12" s="1480">
        <f>IFERROR(__xludf.DUMMYFUNCTION("""COMPUTED_VALUE"""),6170.0)</f>
        <v>6170</v>
      </c>
      <c r="BH12" s="1479">
        <f>IFERROR(__xludf.DUMMYFUNCTION("""COMPUTED_VALUE"""),1.4958333333333333)</f>
        <v>1.495833333</v>
      </c>
      <c r="BI12" s="1480">
        <f>IFERROR(__xludf.DUMMYFUNCTION("""COMPUTED_VALUE"""),6580000.0)</f>
        <v>6580000</v>
      </c>
      <c r="BJ12" s="1479">
        <f>IFERROR(__xludf.DUMMYFUNCTION("""COMPUTED_VALUE"""),2.102777777777778)</f>
        <v>2.102777778</v>
      </c>
      <c r="BK12" s="1480">
        <f>IFERROR(__xludf.DUMMYFUNCTION("""COMPUTED_VALUE"""),4.09E7)</f>
        <v>40900000</v>
      </c>
      <c r="BL12" s="1479">
        <f>IFERROR(__xludf.DUMMYFUNCTION("""COMPUTED_VALUE"""),3.0909722222222222)</f>
        <v>3.090972222</v>
      </c>
      <c r="BM12" s="1480">
        <f>IFERROR(__xludf.DUMMYFUNCTION("""COMPUTED_VALUE"""),1.2691E8)</f>
        <v>126910000</v>
      </c>
      <c r="BN12" s="1479">
        <f>IFERROR(__xludf.DUMMYFUNCTION("""COMPUTED_VALUE"""),3.0909722222222222)</f>
        <v>3.090972222</v>
      </c>
      <c r="BO12" s="1480">
        <f>IFERROR(__xludf.DUMMYFUNCTION("""COMPUTED_VALUE"""),1.2691E8)</f>
        <v>126910000</v>
      </c>
      <c r="BP12" s="1479">
        <f>IFERROR(__xludf.DUMMYFUNCTION("""COMPUTED_VALUE"""),4.0375)</f>
        <v>4.0375</v>
      </c>
      <c r="BQ12" s="1480">
        <f>IFERROR(__xludf.DUMMYFUNCTION("""COMPUTED_VALUE"""),1.2702E8)</f>
        <v>127020000</v>
      </c>
      <c r="BR12" s="1479">
        <f>IFERROR(__xludf.DUMMYFUNCTION("""COMPUTED_VALUE"""),6.489583333333333)</f>
        <v>6.489583333</v>
      </c>
      <c r="BS12" s="1480">
        <f>IFERROR(__xludf.DUMMYFUNCTION("""COMPUTED_VALUE"""),2.554E10)</f>
        <v>25540000000</v>
      </c>
      <c r="BT12" s="1479">
        <f>IFERROR(__xludf.DUMMYFUNCTION("""COMPUTED_VALUE"""),0.4097222222222222)</f>
        <v>0.4097222222</v>
      </c>
      <c r="BU12" s="1480">
        <f>IFERROR(__xludf.DUMMYFUNCTION("""COMPUTED_VALUE"""),2.94E9)</f>
        <v>2940000000</v>
      </c>
      <c r="BV12" s="1479">
        <f>IFERROR(__xludf.DUMMYFUNCTION("""COMPUTED_VALUE"""),6.952083333333333)</f>
        <v>6.952083333</v>
      </c>
      <c r="BW12" s="1480">
        <f>IFERROR(__xludf.DUMMYFUNCTION("""COMPUTED_VALUE"""),6.65E9)</f>
        <v>6650000000</v>
      </c>
      <c r="BX12" s="1479">
        <f>IFERROR(__xludf.DUMMYFUNCTION("""COMPUTED_VALUE"""),13.516666666666667)</f>
        <v>13.51666667</v>
      </c>
      <c r="BY12" s="1480">
        <f>IFERROR(__xludf.DUMMYFUNCTION("""COMPUTED_VALUE"""),8.022E10)</f>
        <v>80220000000</v>
      </c>
      <c r="BZ12" s="1479">
        <f>IFERROR(__xludf.DUMMYFUNCTION("""COMPUTED_VALUE"""),14.558333333333334)</f>
        <v>14.55833333</v>
      </c>
      <c r="CA12" s="1480">
        <f>IFERROR(__xludf.DUMMYFUNCTION("""COMPUTED_VALUE"""),1.0722E11)</f>
        <v>107220000000</v>
      </c>
      <c r="CB12" s="1479">
        <f>IFERROR(__xludf.DUMMYFUNCTION("""COMPUTED_VALUE"""),18.95625)</f>
        <v>18.95625</v>
      </c>
      <c r="CC12" s="1480">
        <f>IFERROR(__xludf.DUMMYFUNCTION("""COMPUTED_VALUE"""),7.8363E11)</f>
        <v>783630000000</v>
      </c>
      <c r="CD12" s="1477">
        <f>IFERROR(__xludf.DUMMYFUNCTION("""COMPUTED_VALUE"""),3.557824074074074)</f>
        <v>3.557824074</v>
      </c>
      <c r="CE12" s="1481">
        <f>IFERROR(__xludf.DUMMYFUNCTION("""COMPUTED_VALUE"""),3.3662E11)</f>
        <v>336620000000</v>
      </c>
      <c r="CF12" s="1477">
        <f>IFERROR(__xludf.DUMMYFUNCTION("""COMPUTED_VALUE"""),5.189444444444445)</f>
        <v>5.189444444</v>
      </c>
      <c r="CG12" s="1481">
        <f>IFERROR(__xludf.DUMMYFUNCTION("""COMPUTED_VALUE"""),459900.0)</f>
        <v>459900</v>
      </c>
      <c r="CH12" s="1484">
        <f>IFERROR(__xludf.DUMMYFUNCTION("""COMPUTED_VALUE"""),0.18888888888888888)</f>
        <v>0.1888888889</v>
      </c>
      <c r="CI12" s="1485">
        <f>IFERROR(__xludf.DUMMYFUNCTION("""COMPUTED_VALUE"""),6180.0)</f>
        <v>6180</v>
      </c>
      <c r="CJ12" s="1484">
        <f>IFERROR(__xludf.DUMMYFUNCTION("""COMPUTED_VALUE"""),0.18888888888888888)</f>
        <v>0.1888888889</v>
      </c>
      <c r="CK12" s="1485">
        <f>IFERROR(__xludf.DUMMYFUNCTION("""COMPUTED_VALUE"""),6180.0)</f>
        <v>6180</v>
      </c>
      <c r="CL12" s="1484">
        <f>IFERROR(__xludf.DUMMYFUNCTION("""COMPUTED_VALUE"""),0.18888888888888888)</f>
        <v>0.1888888889</v>
      </c>
      <c r="CM12" s="1485">
        <f>IFERROR(__xludf.DUMMYFUNCTION("""COMPUTED_VALUE"""),6180.0)</f>
        <v>6180</v>
      </c>
      <c r="CN12" s="1484">
        <f>IFERROR(__xludf.DUMMYFUNCTION("""COMPUTED_VALUE"""),0.18888888888888888)</f>
        <v>0.1888888889</v>
      </c>
      <c r="CO12" s="1485">
        <f>IFERROR(__xludf.DUMMYFUNCTION("""COMPUTED_VALUE"""),6180.0)</f>
        <v>6180</v>
      </c>
      <c r="CP12" s="1484">
        <f>IFERROR(__xludf.DUMMYFUNCTION("""COMPUTED_VALUE"""),0.2972222222222222)</f>
        <v>0.2972222222</v>
      </c>
      <c r="CQ12" s="1485">
        <f>IFERROR(__xludf.DUMMYFUNCTION("""COMPUTED_VALUE"""),12130.0)</f>
        <v>12130</v>
      </c>
      <c r="CR12" s="1484">
        <f>IFERROR(__xludf.DUMMYFUNCTION("""COMPUTED_VALUE"""),5.860416666666667)</f>
        <v>5.860416667</v>
      </c>
      <c r="CS12" s="1485">
        <f>IFERROR(__xludf.DUMMYFUNCTION("""COMPUTED_VALUE"""),136870.0)</f>
        <v>136870</v>
      </c>
      <c r="CT12" s="1541"/>
      <c r="CU12" s="1534"/>
      <c r="CV12" s="1484">
        <f>IFERROR(__xludf.DUMMYFUNCTION("""COMPUTED_VALUE"""),7.646527777777778)</f>
        <v>7.646527778</v>
      </c>
      <c r="CW12" s="1485">
        <f>IFERROR(__xludf.DUMMYFUNCTION("""COMPUTED_VALUE"""),8.614E10)</f>
        <v>86140000000</v>
      </c>
      <c r="CX12" s="1484">
        <f>IFERROR(__xludf.DUMMYFUNCTION("""COMPUTED_VALUE"""),7.646527777777778)</f>
        <v>7.646527778</v>
      </c>
      <c r="CY12" s="1485">
        <f>IFERROR(__xludf.DUMMYFUNCTION("""COMPUTED_VALUE"""),8.614E10)</f>
        <v>86140000000</v>
      </c>
      <c r="CZ12" s="1484">
        <f>IFERROR(__xludf.DUMMYFUNCTION("""COMPUTED_VALUE"""),7.646527777777778)</f>
        <v>7.646527778</v>
      </c>
      <c r="DA12" s="1485">
        <f>IFERROR(__xludf.DUMMYFUNCTION("""COMPUTED_VALUE"""),8.614E10)</f>
        <v>86140000000</v>
      </c>
      <c r="DB12" s="1484">
        <f>IFERROR(__xludf.DUMMYFUNCTION("""COMPUTED_VALUE"""),4.735416666666667)</f>
        <v>4.735416667</v>
      </c>
      <c r="DC12" s="1485">
        <f>IFERROR(__xludf.DUMMYFUNCTION("""COMPUTED_VALUE"""),1.273E10)</f>
        <v>12730000000</v>
      </c>
      <c r="DD12" s="1484">
        <f>IFERROR(__xludf.DUMMYFUNCTION("""COMPUTED_VALUE"""),4.735416666666667)</f>
        <v>4.735416667</v>
      </c>
      <c r="DE12" s="1485">
        <f>IFERROR(__xludf.DUMMYFUNCTION("""COMPUTED_VALUE"""),1.273E10)</f>
        <v>12730000000</v>
      </c>
      <c r="DF12" s="1542">
        <f>IFERROR(__xludf.DUMMYFUNCTION("""COMPUTED_VALUE"""),3.854861111111111)</f>
        <v>3.854861111</v>
      </c>
      <c r="DG12" s="1543">
        <f>IFERROR(__xludf.DUMMYFUNCTION("""COMPUTED_VALUE"""),1.2731E8)</f>
        <v>127310000</v>
      </c>
      <c r="DH12" s="1533"/>
      <c r="DI12" s="1534"/>
      <c r="DJ12" s="1542">
        <f>IFERROR(__xludf.DUMMYFUNCTION("""COMPUTED_VALUE"""),4.641666666666667)</f>
        <v>4.641666667</v>
      </c>
      <c r="DK12" s="1543">
        <f>IFERROR(__xludf.DUMMYFUNCTION("""COMPUTED_VALUE"""),1.2786E8)</f>
        <v>127860000</v>
      </c>
      <c r="DL12" s="1542">
        <f>IFERROR(__xludf.DUMMYFUNCTION("""COMPUTED_VALUE"""),3.854861111111111)</f>
        <v>3.854861111</v>
      </c>
      <c r="DM12" s="1543">
        <f>IFERROR(__xludf.DUMMYFUNCTION("""COMPUTED_VALUE"""),1.2731E8)</f>
        <v>127310000</v>
      </c>
      <c r="DN12" s="1533"/>
      <c r="DO12" s="1534"/>
      <c r="DP12" s="1542">
        <f>IFERROR(__xludf.DUMMYFUNCTION("""COMPUTED_VALUE"""),3.854861111111111)</f>
        <v>3.854861111</v>
      </c>
      <c r="DQ12" s="1543">
        <f>IFERROR(__xludf.DUMMYFUNCTION("""COMPUTED_VALUE"""),1.2731E8)</f>
        <v>127310000</v>
      </c>
      <c r="DR12" s="1542">
        <f>IFERROR(__xludf.DUMMYFUNCTION("""COMPUTED_VALUE"""),3.854861111111111)</f>
        <v>3.854861111</v>
      </c>
      <c r="DS12" s="1543">
        <f>IFERROR(__xludf.DUMMYFUNCTION("""COMPUTED_VALUE"""),1.2731E8)</f>
        <v>127310000</v>
      </c>
      <c r="DT12" s="1533"/>
      <c r="DU12" s="1534"/>
      <c r="DV12" s="1542">
        <f>IFERROR(__xludf.DUMMYFUNCTION("""COMPUTED_VALUE"""),3.854861111111111)</f>
        <v>3.854861111</v>
      </c>
      <c r="DW12" s="1543">
        <f>IFERROR(__xludf.DUMMYFUNCTION("""COMPUTED_VALUE"""),1.2731E8)</f>
        <v>127310000</v>
      </c>
      <c r="DX12" s="1542">
        <f>IFERROR(__xludf.DUMMYFUNCTION("""COMPUTED_VALUE"""),3.854861111111111)</f>
        <v>3.854861111</v>
      </c>
      <c r="DY12" s="1543">
        <f>IFERROR(__xludf.DUMMYFUNCTION("""COMPUTED_VALUE"""),1.2731E8)</f>
        <v>127310000</v>
      </c>
      <c r="DZ12" s="1542">
        <f>IFERROR(__xludf.DUMMYFUNCTION("""COMPUTED_VALUE"""),6.563194444444444)</f>
        <v>6.563194444</v>
      </c>
      <c r="EA12" s="1543">
        <f>IFERROR(__xludf.DUMMYFUNCTION("""COMPUTED_VALUE"""),2.7737E8)</f>
        <v>277370000</v>
      </c>
      <c r="EB12" s="1542">
        <f>IFERROR(__xludf.DUMMYFUNCTION("""COMPUTED_VALUE"""),6.563194444444444)</f>
        <v>6.563194444</v>
      </c>
      <c r="EC12" s="1543">
        <f>IFERROR(__xludf.DUMMYFUNCTION("""COMPUTED_VALUE"""),2.7737E8)</f>
        <v>277370000</v>
      </c>
      <c r="ED12" s="1533"/>
      <c r="EE12" s="1534"/>
      <c r="EF12" s="1542">
        <f>IFERROR(__xludf.DUMMYFUNCTION("""COMPUTED_VALUE"""),5.729861111111111)</f>
        <v>5.729861111</v>
      </c>
      <c r="EG12" s="1543">
        <f>IFERROR(__xludf.DUMMYFUNCTION("""COMPUTED_VALUE"""),2.7662E8)</f>
        <v>276620000</v>
      </c>
      <c r="EH12" s="1542">
        <f>IFERROR(__xludf.DUMMYFUNCTION("""COMPUTED_VALUE"""),5.729861111111111)</f>
        <v>5.729861111</v>
      </c>
      <c r="EI12" s="1543">
        <f>IFERROR(__xludf.DUMMYFUNCTION("""COMPUTED_VALUE"""),2.7662E8)</f>
        <v>276620000</v>
      </c>
      <c r="EJ12" s="1486">
        <f>IFERROR(__xludf.DUMMYFUNCTION("""COMPUTED_VALUE"""),5.730196759259259)</f>
        <v>5.730196759</v>
      </c>
      <c r="EK12" s="1487">
        <f>IFERROR(__xludf.DUMMYFUNCTION("""COMPUTED_VALUE"""),2.7662E8)</f>
        <v>276620000</v>
      </c>
      <c r="EL12" s="1542">
        <f>IFERROR(__xludf.DUMMYFUNCTION("""COMPUTED_VALUE"""),5.730196759259259)</f>
        <v>5.730196759</v>
      </c>
      <c r="EM12" s="1543">
        <f>IFERROR(__xludf.DUMMYFUNCTION("""COMPUTED_VALUE"""),2.7662E8)</f>
        <v>276620000</v>
      </c>
      <c r="EN12" s="1542">
        <f>IFERROR(__xludf.DUMMYFUNCTION("""COMPUTED_VALUE"""),5.729861111111111)</f>
        <v>5.729861111</v>
      </c>
      <c r="EO12" s="1543">
        <f>IFERROR(__xludf.DUMMYFUNCTION("""COMPUTED_VALUE"""),2.7662E8)</f>
        <v>276620000</v>
      </c>
      <c r="EP12" s="1542">
        <f>IFERROR(__xludf.DUMMYFUNCTION("""COMPUTED_VALUE"""),5.729861111111111)</f>
        <v>5.729861111</v>
      </c>
      <c r="EQ12" s="1543">
        <f>IFERROR(__xludf.DUMMYFUNCTION("""COMPUTED_VALUE"""),2.7662E8)</f>
        <v>276620000</v>
      </c>
      <c r="ER12" s="1542">
        <f>IFERROR(__xludf.DUMMYFUNCTION("""COMPUTED_VALUE"""),5.729861111111111)</f>
        <v>5.729861111</v>
      </c>
      <c r="ES12" s="1543">
        <f>IFERROR(__xludf.DUMMYFUNCTION("""COMPUTED_VALUE"""),2.7662E8)</f>
        <v>276620000</v>
      </c>
      <c r="ET12" s="1542">
        <f>IFERROR(__xludf.DUMMYFUNCTION("""COMPUTED_VALUE"""),5.729861111111111)</f>
        <v>5.729861111</v>
      </c>
      <c r="EU12" s="1543">
        <f>IFERROR(__xludf.DUMMYFUNCTION("""COMPUTED_VALUE"""),2.7732E8)</f>
        <v>277320000</v>
      </c>
      <c r="EV12" s="1533"/>
      <c r="EW12" s="1534"/>
      <c r="EX12" s="1533"/>
      <c r="EY12" s="1534"/>
      <c r="EZ12" s="1533"/>
      <c r="FA12" s="1544"/>
      <c r="FB12" s="1542">
        <f>IFERROR(__xludf.DUMMYFUNCTION("""COMPUTED_VALUE"""),6.563194444444444)</f>
        <v>6.563194444</v>
      </c>
      <c r="FC12" s="1543">
        <f>IFERROR(__xludf.DUMMYFUNCTION("""COMPUTED_VALUE"""),3.0087E8)</f>
        <v>300870000</v>
      </c>
      <c r="FD12" s="1541"/>
      <c r="FE12" s="1534"/>
      <c r="FF12" s="1542">
        <f>IFERROR(__xludf.DUMMYFUNCTION("""COMPUTED_VALUE"""),6.563194444444444)</f>
        <v>6.563194444</v>
      </c>
      <c r="FG12" s="1488">
        <f>IFERROR(__xludf.DUMMYFUNCTION("""COMPUTED_VALUE"""),6.23091892E8)</f>
        <v>623091892</v>
      </c>
      <c r="FH12" s="1486">
        <f>IFERROR(__xludf.DUMMYFUNCTION("""COMPUTED_VALUE"""),6.563194444444444)</f>
        <v>6.563194444</v>
      </c>
      <c r="FI12" s="1488">
        <f>IFERROR(__xludf.DUMMYFUNCTION("""COMPUTED_VALUE"""),6.23091892E8)</f>
        <v>623091892</v>
      </c>
      <c r="FJ12" s="1486">
        <f>IFERROR(__xludf.DUMMYFUNCTION("""COMPUTED_VALUE"""),11.562835648148148)</f>
        <v>11.56283565</v>
      </c>
      <c r="FK12" s="1487">
        <f>IFERROR(__xludf.DUMMYFUNCTION("""COMPUTED_VALUE"""),4.76367568E8)</f>
        <v>476367568</v>
      </c>
      <c r="FL12" s="1533"/>
      <c r="FM12" s="1534"/>
      <c r="FN12" s="1545"/>
      <c r="FO12" s="1541"/>
      <c r="FP12" s="1542">
        <f>IFERROR(__xludf.DUMMYFUNCTION("""COMPUTED_VALUE"""),23.108981481481482)</f>
        <v>23.10898148</v>
      </c>
      <c r="FQ12" s="1546">
        <f>IFERROR(__xludf.DUMMYFUNCTION("""COMPUTED_VALUE"""),3.84E12)</f>
        <v>3840000000000</v>
      </c>
      <c r="FR12" s="1545"/>
      <c r="FS12" s="1541"/>
      <c r="FT12" s="1542">
        <f>IFERROR(__xludf.DUMMYFUNCTION("""COMPUTED_VALUE"""),23.108981481481482)</f>
        <v>23.10898148</v>
      </c>
      <c r="FU12" s="1546">
        <f>IFERROR(__xludf.DUMMYFUNCTION("""COMPUTED_VALUE"""),3.84E12)</f>
        <v>3840000000000</v>
      </c>
      <c r="FV12" s="1542">
        <f>IFERROR(__xludf.DUMMYFUNCTION("""COMPUTED_VALUE"""),23.108981481481482)</f>
        <v>23.10898148</v>
      </c>
      <c r="FW12" s="1546">
        <f>IFERROR(__xludf.DUMMYFUNCTION("""COMPUTED_VALUE"""),3.84E12)</f>
        <v>3840000000000</v>
      </c>
      <c r="FX12" s="1547">
        <f>IFERROR(__xludf.DUMMYFUNCTION("""COMPUTED_VALUE"""),8.974780092592592)</f>
        <v>8.974780093</v>
      </c>
      <c r="FY12" s="1548">
        <f>IFERROR(__xludf.DUMMYFUNCTION("""COMPUTED_VALUE"""),3.844E10)</f>
        <v>38440000000</v>
      </c>
      <c r="FZ12" s="1547">
        <f>IFERROR(__xludf.DUMMYFUNCTION("""COMPUTED_VALUE"""),23.108981481481482)</f>
        <v>23.10898148</v>
      </c>
      <c r="GA12" s="1548">
        <f>IFERROR(__xludf.DUMMYFUNCTION("""COMPUTED_VALUE"""),3.84E12)</f>
        <v>3840000000000</v>
      </c>
      <c r="GB12" s="1547">
        <f>IFERROR(__xludf.DUMMYFUNCTION("""COMPUTED_VALUE"""),64.12471064814815)</f>
        <v>64.12471065</v>
      </c>
      <c r="GC12" s="1548">
        <f>IFERROR(__xludf.DUMMYFUNCTION("""COMPUTED_VALUE"""),1.4779E14)</f>
        <v>147790000000000</v>
      </c>
      <c r="GD12" s="1486">
        <f>IFERROR(__xludf.DUMMYFUNCTION("""COMPUTED_VALUE"""),166.66666666666666)</f>
        <v>166.6666667</v>
      </c>
      <c r="GE12" s="1546">
        <f>IFERROR(__xludf.DUMMYFUNCTION("""COMPUTED_VALUE"""),6.394E17)</f>
        <v>6.394E+17</v>
      </c>
      <c r="GF12" s="1533"/>
      <c r="GG12" s="1534"/>
      <c r="GH12" s="1496">
        <f>IFERROR(__xludf.DUMMYFUNCTION("""COMPUTED_VALUE"""),4.938194444444444)</f>
        <v>4.938194444</v>
      </c>
      <c r="GI12" s="1497">
        <f>IFERROR(__xludf.DUMMYFUNCTION("""COMPUTED_VALUE"""),5.9569E8)</f>
        <v>595690000</v>
      </c>
      <c r="GJ12" s="1533"/>
      <c r="GK12" s="1534"/>
      <c r="GL12" s="1533"/>
      <c r="GM12" s="1534"/>
      <c r="GN12" s="1541"/>
      <c r="GO12" s="1534"/>
      <c r="GP12" s="1496">
        <f>IFERROR(__xludf.DUMMYFUNCTION("""COMPUTED_VALUE"""),5.104861111111111)</f>
        <v>5.104861111</v>
      </c>
      <c r="GQ12" s="1497">
        <f>IFERROR(__xludf.DUMMYFUNCTION("""COMPUTED_VALUE"""),3.214E10)</f>
        <v>32140000000</v>
      </c>
      <c r="GR12" s="1533"/>
      <c r="GS12" s="1534"/>
      <c r="GT12" s="1533"/>
      <c r="GU12" s="1534"/>
      <c r="GV12" s="1541"/>
      <c r="GW12" s="1534"/>
      <c r="GX12" s="1549"/>
      <c r="GY12" s="1550"/>
      <c r="GZ12" s="1533"/>
      <c r="HA12" s="1534"/>
      <c r="HB12" s="1551">
        <f>IFERROR(__xludf.DUMMYFUNCTION("""COMPUTED_VALUE"""),3.0909722222222222)</f>
        <v>3.090972222</v>
      </c>
      <c r="HC12" s="1552">
        <f>IFERROR(__xludf.DUMMYFUNCTION("""COMPUTED_VALUE"""),1.18E9)</f>
        <v>1180000000</v>
      </c>
      <c r="HD12" s="1533"/>
      <c r="HE12" s="1534"/>
      <c r="HF12" s="1551">
        <f>IFERROR(__xludf.DUMMYFUNCTION("""COMPUTED_VALUE"""),3.2993055555555557)</f>
        <v>3.299305556</v>
      </c>
      <c r="HG12" s="1552">
        <f>IFERROR(__xludf.DUMMYFUNCTION("""COMPUTED_VALUE"""),1.77E9)</f>
        <v>1770000000</v>
      </c>
      <c r="HH12" s="1533"/>
      <c r="HI12" s="1534"/>
      <c r="HJ12" s="1533"/>
      <c r="HK12" s="1534"/>
      <c r="HL12" s="1533"/>
      <c r="HM12" s="1534"/>
      <c r="HN12" s="1551">
        <f>IFERROR(__xludf.DUMMYFUNCTION("""COMPUTED_VALUE"""),8.456944444444444)</f>
        <v>8.456944444</v>
      </c>
      <c r="HO12" s="1552">
        <f>IFERROR(__xludf.DUMMYFUNCTION("""COMPUTED_VALUE"""),4.92E9)</f>
        <v>4920000000</v>
      </c>
      <c r="HP12" s="1551">
        <f>IFERROR(__xludf.DUMMYFUNCTION("""COMPUTED_VALUE"""),10.169884259259259)</f>
        <v>10.16988426</v>
      </c>
      <c r="HQ12" s="1553">
        <f>IFERROR(__xludf.DUMMYFUNCTION("""COMPUTED_VALUE"""),5.9104E8)</f>
        <v>591040000</v>
      </c>
      <c r="HR12" s="1554">
        <f>IFERROR(__xludf.DUMMYFUNCTION("""COMPUTED_VALUE"""),6.952083333333333)</f>
        <v>6.952083333</v>
      </c>
      <c r="HS12" s="1555">
        <f>IFERROR(__xludf.DUMMYFUNCTION("""COMPUTED_VALUE"""),3.25E9)</f>
        <v>3250000000</v>
      </c>
      <c r="HT12" s="1554">
        <f>IFERROR(__xludf.DUMMYFUNCTION("""COMPUTED_VALUE"""),6.952083333333333)</f>
        <v>6.952083333</v>
      </c>
      <c r="HU12" s="1555">
        <f>IFERROR(__xludf.DUMMYFUNCTION("""COMPUTED_VALUE"""),3.25E9)</f>
        <v>3250000000</v>
      </c>
      <c r="HV12" s="1554">
        <f>IFERROR(__xludf.DUMMYFUNCTION("""COMPUTED_VALUE"""),6.952083333333333)</f>
        <v>6.952083333</v>
      </c>
      <c r="HW12" s="1555">
        <f>IFERROR(__xludf.DUMMYFUNCTION("""COMPUTED_VALUE"""),3.25E9)</f>
        <v>3250000000</v>
      </c>
      <c r="HX12" s="1556">
        <f>IFERROR(__xludf.DUMMYFUNCTION("""COMPUTED_VALUE"""),6.952083333333333)</f>
        <v>6.952083333</v>
      </c>
      <c r="HY12" s="1555">
        <f>IFERROR(__xludf.DUMMYFUNCTION("""COMPUTED_VALUE"""),3.25E9)</f>
        <v>3250000000</v>
      </c>
      <c r="HZ12" s="1533"/>
      <c r="IA12" s="1534"/>
      <c r="IB12" s="1556">
        <f>IFERROR(__xludf.DUMMYFUNCTION("""COMPUTED_VALUE"""),29.315625)</f>
        <v>29.315625</v>
      </c>
      <c r="IC12" s="1555">
        <f>IFERROR(__xludf.DUMMYFUNCTION("""COMPUTED_VALUE"""),3.84E12)</f>
        <v>3840000000000</v>
      </c>
      <c r="ID12" s="1556">
        <f>IFERROR(__xludf.DUMMYFUNCTION("""COMPUTED_VALUE"""),29.315625)</f>
        <v>29.315625</v>
      </c>
      <c r="IE12" s="1555">
        <f>IFERROR(__xludf.DUMMYFUNCTION("""COMPUTED_VALUE"""),3.84E12)</f>
        <v>3840000000000</v>
      </c>
      <c r="IF12" s="1556">
        <f>IFERROR(__xludf.DUMMYFUNCTION("""COMPUTED_VALUE"""),29.315625)</f>
        <v>29.315625</v>
      </c>
      <c r="IG12" s="1555">
        <f>IFERROR(__xludf.DUMMYFUNCTION("""COMPUTED_VALUE"""),3.84E12)</f>
        <v>3840000000000</v>
      </c>
      <c r="IH12" s="1507">
        <f>IFERROR(__xludf.DUMMYFUNCTION("""COMPUTED_VALUE"""),7.646527777777778)</f>
        <v>7.646527778</v>
      </c>
      <c r="II12" s="1508">
        <f>IFERROR(__xludf.DUMMYFUNCTION("""COMPUTED_VALUE"""),2.2114E11)</f>
        <v>221140000000</v>
      </c>
      <c r="IJ12" s="1507">
        <f>IFERROR(__xludf.DUMMYFUNCTION("""COMPUTED_VALUE"""),7.646527777777778)</f>
        <v>7.646527778</v>
      </c>
      <c r="IK12" s="1508">
        <f>IFERROR(__xludf.DUMMYFUNCTION("""COMPUTED_VALUE"""),2.2114E11)</f>
        <v>221140000000</v>
      </c>
      <c r="IL12" s="1507">
        <f>IFERROR(__xludf.DUMMYFUNCTION("""COMPUTED_VALUE"""),7.646527777777778)</f>
        <v>7.646527778</v>
      </c>
      <c r="IM12" s="1508">
        <f>IFERROR(__xludf.DUMMYFUNCTION("""COMPUTED_VALUE"""),3.2114E11)</f>
        <v>321140000000</v>
      </c>
      <c r="IN12" s="1507">
        <f>IFERROR(__xludf.DUMMYFUNCTION("""COMPUTED_VALUE"""),7.646527777777778)</f>
        <v>7.646527778</v>
      </c>
      <c r="IO12" s="1508">
        <f>IFERROR(__xludf.DUMMYFUNCTION("""COMPUTED_VALUE"""),3.2114E11)</f>
        <v>321140000000</v>
      </c>
      <c r="IP12" s="1507">
        <f>IFERROR(__xludf.DUMMYFUNCTION("""COMPUTED_VALUE"""),8.109722222222222)</f>
        <v>8.109722222</v>
      </c>
      <c r="IQ12" s="1508">
        <f>IFERROR(__xludf.DUMMYFUNCTION("""COMPUTED_VALUE"""),6.2114E11)</f>
        <v>621140000000</v>
      </c>
      <c r="IR12" s="1507">
        <f>IFERROR(__xludf.DUMMYFUNCTION("""COMPUTED_VALUE"""),7.646527777777778)</f>
        <v>7.646527778</v>
      </c>
      <c r="IS12" s="1508">
        <f>IFERROR(__xludf.DUMMYFUNCTION("""COMPUTED_VALUE"""),3.2114E11)</f>
        <v>321140000000</v>
      </c>
      <c r="IT12" s="1507">
        <f>IFERROR(__xludf.DUMMYFUNCTION("""COMPUTED_VALUE"""),7.646527777777778)</f>
        <v>7.646527778</v>
      </c>
      <c r="IU12" s="1508">
        <f>IFERROR(__xludf.DUMMYFUNCTION("""COMPUTED_VALUE"""),3.2114E11)</f>
        <v>321140000000</v>
      </c>
      <c r="IV12" s="1507">
        <f>IFERROR(__xludf.DUMMYFUNCTION("""COMPUTED_VALUE"""),7.646527777777778)</f>
        <v>7.646527778</v>
      </c>
      <c r="IW12" s="1508">
        <f>IFERROR(__xludf.DUMMYFUNCTION("""COMPUTED_VALUE"""),3.2114E11)</f>
        <v>321140000000</v>
      </c>
      <c r="IX12" s="1507">
        <f>IFERROR(__xludf.DUMMYFUNCTION("""COMPUTED_VALUE"""),7.646527777777778)</f>
        <v>7.646527778</v>
      </c>
      <c r="IY12" s="1508">
        <f>IFERROR(__xludf.DUMMYFUNCTION("""COMPUTED_VALUE"""),3.2114E11)</f>
        <v>321140000000</v>
      </c>
      <c r="IZ12" s="1507">
        <f>IFERROR(__xludf.DUMMYFUNCTION("""COMPUTED_VALUE"""),7.646527777777778)</f>
        <v>7.646527778</v>
      </c>
      <c r="JA12" s="1508">
        <f>IFERROR(__xludf.DUMMYFUNCTION("""COMPUTED_VALUE"""),4.2114E11)</f>
        <v>421140000000</v>
      </c>
      <c r="JB12" s="1507">
        <f>IFERROR(__xludf.DUMMYFUNCTION("""COMPUTED_VALUE"""),7.646527777777778)</f>
        <v>7.646527778</v>
      </c>
      <c r="JC12" s="1508">
        <f>IFERROR(__xludf.DUMMYFUNCTION("""COMPUTED_VALUE"""),4.2114E11)</f>
        <v>421140000000</v>
      </c>
      <c r="JD12" s="1507">
        <f>IFERROR(__xludf.DUMMYFUNCTION("""COMPUTED_VALUE"""),7.646527777777778)</f>
        <v>7.646527778</v>
      </c>
      <c r="JE12" s="1508">
        <f>IFERROR(__xludf.DUMMYFUNCTION("""COMPUTED_VALUE"""),4.2114E11)</f>
        <v>421140000000</v>
      </c>
      <c r="JF12" s="1507">
        <f>IFERROR(__xludf.DUMMYFUNCTION("""COMPUTED_VALUE"""),7.646527777777778)</f>
        <v>7.646527778</v>
      </c>
      <c r="JG12" s="1508">
        <f>IFERROR(__xludf.DUMMYFUNCTION("""COMPUTED_VALUE"""),4.2114E11)</f>
        <v>421140000000</v>
      </c>
      <c r="JH12" s="1507">
        <f>IFERROR(__xludf.DUMMYFUNCTION("""COMPUTED_VALUE"""),8.109722222222222)</f>
        <v>8.109722222</v>
      </c>
      <c r="JI12" s="1508">
        <f>IFERROR(__xludf.DUMMYFUNCTION("""COMPUTED_VALUE"""),7.3114E11)</f>
        <v>731140000000</v>
      </c>
      <c r="JJ12" s="1507">
        <f>IFERROR(__xludf.DUMMYFUNCTION("""COMPUTED_VALUE"""),107.99513888888889)</f>
        <v>107.9951389</v>
      </c>
      <c r="JK12" s="1509">
        <f>IFERROR(__xludf.DUMMYFUNCTION("""COMPUTED_VALUE"""),2.5E18)</f>
        <v>2.5E+18</v>
      </c>
      <c r="JL12" s="1507">
        <f>IFERROR(__xludf.DUMMYFUNCTION("""COMPUTED_VALUE"""),107.99513888888889)</f>
        <v>107.9951389</v>
      </c>
      <c r="JM12" s="1509">
        <f>IFERROR(__xludf.DUMMYFUNCTION("""COMPUTED_VALUE"""),2.5E18)</f>
        <v>2.5E+18</v>
      </c>
      <c r="JN12" s="1507">
        <f>IFERROR(__xludf.DUMMYFUNCTION("""COMPUTED_VALUE"""),107.99513888888889)</f>
        <v>107.9951389</v>
      </c>
      <c r="JO12" s="1509">
        <f>IFERROR(__xludf.DUMMYFUNCTION("""COMPUTED_VALUE"""),2.5E18)</f>
        <v>2.5E+18</v>
      </c>
      <c r="JP12" s="1507">
        <f>IFERROR(__xludf.DUMMYFUNCTION("""COMPUTED_VALUE"""),107.99513888888889)</f>
        <v>107.9951389</v>
      </c>
      <c r="JQ12" s="1509">
        <f>IFERROR(__xludf.DUMMYFUNCTION("""COMPUTED_VALUE"""),2.5E18)</f>
        <v>2.5E+18</v>
      </c>
      <c r="JR12" s="1507">
        <f>IFERROR(__xludf.DUMMYFUNCTION("""COMPUTED_VALUE"""),107.99513888888889)</f>
        <v>107.9951389</v>
      </c>
      <c r="JS12" s="1509">
        <f>IFERROR(__xludf.DUMMYFUNCTION("""COMPUTED_VALUE"""),2.5E18)</f>
        <v>2.5E+18</v>
      </c>
      <c r="JT12" s="1507">
        <f>IFERROR(__xludf.DUMMYFUNCTION("""COMPUTED_VALUE"""),107.99513888888889)</f>
        <v>107.9951389</v>
      </c>
      <c r="JU12" s="1509">
        <f>IFERROR(__xludf.DUMMYFUNCTION("""COMPUTED_VALUE"""),2.5E18)</f>
        <v>2.5E+18</v>
      </c>
      <c r="JV12" s="1507">
        <f>IFERROR(__xludf.DUMMYFUNCTION("""COMPUTED_VALUE"""),26.99861111111111)</f>
        <v>26.99861111</v>
      </c>
      <c r="JW12" s="1509">
        <f>IFERROR(__xludf.DUMMYFUNCTION("""COMPUTED_VALUE"""),2.066104678E13)</f>
        <v>20661046780000</v>
      </c>
      <c r="JX12" s="1510">
        <f>IFERROR(__xludf.DUMMYFUNCTION("""COMPUTED_VALUE"""),8.208217593)</f>
        <v>8.208217593</v>
      </c>
      <c r="JY12" s="1511">
        <f>IFERROR(__xludf.DUMMYFUNCTION("""COMPUTED_VALUE"""),7.32E9)</f>
        <v>7320000000</v>
      </c>
      <c r="JZ12" s="1557">
        <f>IFERROR(__xludf.DUMMYFUNCTION("""COMPUTED_VALUE"""),1.7540625)</f>
        <v>1.7540625</v>
      </c>
      <c r="KA12" s="1558">
        <f>IFERROR(__xludf.DUMMYFUNCTION("""COMPUTED_VALUE"""),7.5528E8)</f>
        <v>755280000</v>
      </c>
      <c r="KB12" s="1510">
        <f>IFERROR(__xludf.DUMMYFUNCTION("""COMPUTED_VALUE"""),1.859421296)</f>
        <v>1.859421296</v>
      </c>
      <c r="KC12" s="1514">
        <f>IFERROR(__xludf.DUMMYFUNCTION("""COMPUTED_VALUE"""),2.19E9)</f>
        <v>2190000000</v>
      </c>
      <c r="KD12" s="1510">
        <f>IFERROR(__xludf.DUMMYFUNCTION("""COMPUTED_VALUE"""),7.151423611)</f>
        <v>7.151423611</v>
      </c>
      <c r="KE12" s="1514">
        <f>IFERROR(__xludf.DUMMYFUNCTION("""COMPUTED_VALUE"""),1.1831E11)</f>
        <v>118310000000</v>
      </c>
      <c r="KF12" s="1510">
        <f>IFERROR(__xludf.DUMMYFUNCTION("""COMPUTED_VALUE"""),7.151423611)</f>
        <v>7.151423611</v>
      </c>
      <c r="KG12" s="1514">
        <f>IFERROR(__xludf.DUMMYFUNCTION("""COMPUTED_VALUE"""),1.1831E11)</f>
        <v>118310000000</v>
      </c>
      <c r="KH12" s="1510">
        <f>IFERROR(__xludf.DUMMYFUNCTION("""COMPUTED_VALUE"""),13.76377315)</f>
        <v>13.76377315</v>
      </c>
      <c r="KI12" s="1514">
        <f>IFERROR(__xludf.DUMMYFUNCTION("""COMPUTED_VALUE"""),1.101E13)</f>
        <v>11010000000000</v>
      </c>
      <c r="KJ12" s="1527"/>
      <c r="KK12" s="1527"/>
      <c r="KL12" s="1527"/>
      <c r="KM12" s="1527"/>
      <c r="KN12" s="1527"/>
      <c r="KO12" s="1527"/>
      <c r="KP12" s="1527"/>
      <c r="KQ12" s="1527"/>
      <c r="KR12" s="1527"/>
      <c r="KS12" s="1527"/>
      <c r="KT12" s="1527"/>
      <c r="KU12" s="1527"/>
      <c r="KV12" s="1557">
        <f>IFERROR(__xludf.DUMMYFUNCTION("""COMPUTED_VALUE"""),107.99513888888889)</f>
        <v>107.9951389</v>
      </c>
      <c r="KW12" s="1558">
        <f>IFERROR(__xludf.DUMMYFUNCTION("""COMPUTED_VALUE"""),2.5E18)</f>
        <v>2.5E+18</v>
      </c>
      <c r="KX12" s="1557">
        <f>IFERROR(__xludf.DUMMYFUNCTION("""COMPUTED_VALUE"""),107.99513888888889)</f>
        <v>107.9951389</v>
      </c>
      <c r="KY12" s="1558">
        <f>IFERROR(__xludf.DUMMYFUNCTION("""COMPUTED_VALUE"""),2.5E18)</f>
        <v>2.5E+18</v>
      </c>
      <c r="KZ12" s="1557">
        <f>IFERROR(__xludf.DUMMYFUNCTION("""COMPUTED_VALUE"""),107.99513888888889)</f>
        <v>107.9951389</v>
      </c>
      <c r="LA12" s="1558">
        <f>IFERROR(__xludf.DUMMYFUNCTION("""COMPUTED_VALUE"""),2.5E18)</f>
        <v>2.5E+18</v>
      </c>
      <c r="LB12" s="1557">
        <f>IFERROR(__xludf.DUMMYFUNCTION("""COMPUTED_VALUE"""),107.99513888888889)</f>
        <v>107.9951389</v>
      </c>
      <c r="LC12" s="1558">
        <f>IFERROR(__xludf.DUMMYFUNCTION("""COMPUTED_VALUE"""),2.5E18)</f>
        <v>2.5E+18</v>
      </c>
      <c r="LD12" s="1557">
        <f>IFERROR(__xludf.DUMMYFUNCTION("""COMPUTED_VALUE"""),107.99513888888889)</f>
        <v>107.9951389</v>
      </c>
      <c r="LE12" s="1558">
        <f>IFERROR(__xludf.DUMMYFUNCTION("""COMPUTED_VALUE"""),2.5E18)</f>
        <v>2.5E+18</v>
      </c>
      <c r="LF12" s="1557">
        <f>IFERROR(__xludf.DUMMYFUNCTION("""COMPUTED_VALUE"""),107.99513888888889)</f>
        <v>107.9951389</v>
      </c>
      <c r="LG12" s="1558">
        <f>IFERROR(__xludf.DUMMYFUNCTION("""COMPUTED_VALUE"""),2.5E18)</f>
        <v>2.5E+18</v>
      </c>
      <c r="LH12" s="1557">
        <f>IFERROR(__xludf.DUMMYFUNCTION("""COMPUTED_VALUE"""),107.99513888888889)</f>
        <v>107.9951389</v>
      </c>
      <c r="LI12" s="1558">
        <f>IFERROR(__xludf.DUMMYFUNCTION("""COMPUTED_VALUE"""),2.5E18)</f>
        <v>2.5E+18</v>
      </c>
      <c r="LJ12" s="1557">
        <f>IFERROR(__xludf.DUMMYFUNCTION("""COMPUTED_VALUE"""),107.99513888888889)</f>
        <v>107.9951389</v>
      </c>
      <c r="LK12" s="1558">
        <f>IFERROR(__xludf.DUMMYFUNCTION("""COMPUTED_VALUE"""),2.5E18)</f>
        <v>2.5E+18</v>
      </c>
      <c r="LL12" s="1496">
        <f>IFERROR(__xludf.DUMMYFUNCTION("""COMPUTED_VALUE"""),166.66666666666666)</f>
        <v>166.6666667</v>
      </c>
      <c r="LM12" s="1497">
        <f>IFERROR(__xludf.DUMMYFUNCTION("""COMPUTED_VALUE"""),6.394E17)</f>
        <v>6.394E+17</v>
      </c>
      <c r="LN12" s="1498">
        <f>IFERROR(__xludf.DUMMYFUNCTION("""COMPUTED_VALUE"""),134.99375)</f>
        <v>134.99375</v>
      </c>
      <c r="LO12" s="1497">
        <f>IFERROR(__xludf.DUMMYFUNCTION("""COMPUTED_VALUE"""),1.9999999999999997E18)</f>
        <v>2E+18</v>
      </c>
      <c r="LP12" s="1498">
        <f>IFERROR(__xludf.DUMMYFUNCTION("""COMPUTED_VALUE"""),134.99375)</f>
        <v>134.99375</v>
      </c>
      <c r="LQ12" s="1497">
        <f>IFERROR(__xludf.DUMMYFUNCTION("""COMPUTED_VALUE"""),1.9999999999999997E18)</f>
        <v>2E+18</v>
      </c>
      <c r="LR12" s="1498">
        <f>IFERROR(__xludf.DUMMYFUNCTION("""COMPUTED_VALUE"""),134.99375)</f>
        <v>134.99375</v>
      </c>
      <c r="LS12" s="1497">
        <f>IFERROR(__xludf.DUMMYFUNCTION("""COMPUTED_VALUE"""),1.9999999999999997E18)</f>
        <v>2E+18</v>
      </c>
      <c r="LT12" s="1498">
        <f>IFERROR(__xludf.DUMMYFUNCTION("""COMPUTED_VALUE"""),134.99375)</f>
        <v>134.99375</v>
      </c>
      <c r="LU12" s="1497">
        <f>IFERROR(__xludf.DUMMYFUNCTION("""COMPUTED_VALUE"""),1.9999999999999997E18)</f>
        <v>2E+18</v>
      </c>
      <c r="LV12" s="1498">
        <f>IFERROR(__xludf.DUMMYFUNCTION("""COMPUTED_VALUE"""),134.99375)</f>
        <v>134.99375</v>
      </c>
      <c r="LW12" s="1497">
        <f>IFERROR(__xludf.DUMMYFUNCTION("""COMPUTED_VALUE"""),1.9999999999999997E18)</f>
        <v>2E+18</v>
      </c>
      <c r="LX12" s="1498">
        <f>IFERROR(__xludf.DUMMYFUNCTION("""COMPUTED_VALUE"""),161.9923611111111)</f>
        <v>161.9923611</v>
      </c>
      <c r="LY12" s="1559">
        <f>IFERROR(__xludf.DUMMYFUNCTION("""COMPUTED_VALUE"""),5.0E18)</f>
        <v>5E+18</v>
      </c>
      <c r="LZ12" s="1498">
        <f>IFERROR(__xludf.DUMMYFUNCTION("""COMPUTED_VALUE"""),161.9923611111111)</f>
        <v>161.9923611</v>
      </c>
      <c r="MA12" s="1559">
        <f>IFERROR(__xludf.DUMMYFUNCTION("""COMPUTED_VALUE"""),5.0E18)</f>
        <v>5E+18</v>
      </c>
      <c r="MB12" s="1498">
        <f>IFERROR(__xludf.DUMMYFUNCTION("""COMPUTED_VALUE"""),161.9923611111111)</f>
        <v>161.9923611</v>
      </c>
      <c r="MC12" s="1559">
        <f>IFERROR(__xludf.DUMMYFUNCTION("""COMPUTED_VALUE"""),5.0E18)</f>
        <v>5E+18</v>
      </c>
      <c r="MD12" s="1498">
        <f>IFERROR(__xludf.DUMMYFUNCTION("""COMPUTED_VALUE"""),161.9923611111111)</f>
        <v>161.9923611</v>
      </c>
      <c r="ME12" s="1559">
        <f>IFERROR(__xludf.DUMMYFUNCTION("""COMPUTED_VALUE"""),5.0E18)</f>
        <v>5E+18</v>
      </c>
      <c r="MF12" s="1498">
        <f>IFERROR(__xludf.DUMMYFUNCTION("""COMPUTED_VALUE"""),124.19444444444444)</f>
        <v>124.1944444</v>
      </c>
      <c r="MG12" s="1559">
        <f>IFERROR(__xludf.DUMMYFUNCTION("""COMPUTED_VALUE"""),3.8443359375E19)</f>
        <v>3.84434E+19</v>
      </c>
      <c r="MH12" s="1498">
        <f>IFERROR(__xludf.DUMMYFUNCTION("""COMPUTED_VALUE"""),124.19444444444444)</f>
        <v>124.1944444</v>
      </c>
      <c r="MI12" s="1559">
        <f>IFERROR(__xludf.DUMMYFUNCTION("""COMPUTED_VALUE"""),3.8443359375E19)</f>
        <v>3.84434E+19</v>
      </c>
      <c r="MJ12" s="1498">
        <f>IFERROR(__xludf.DUMMYFUNCTION("""COMPUTED_VALUE"""),124.19444444444444)</f>
        <v>124.1944444</v>
      </c>
      <c r="MK12" s="1559">
        <f>IFERROR(__xludf.DUMMYFUNCTION("""COMPUTED_VALUE"""),3.8443359375E19)</f>
        <v>3.84434E+19</v>
      </c>
      <c r="ML12" s="1498">
        <f>IFERROR(__xludf.DUMMYFUNCTION("""COMPUTED_VALUE"""),124.19444444444444)</f>
        <v>124.1944444</v>
      </c>
      <c r="MM12" s="1559">
        <f>IFERROR(__xludf.DUMMYFUNCTION("""COMPUTED_VALUE"""),3.8443359375E19)</f>
        <v>3.84434E+19</v>
      </c>
      <c r="MN12" s="1498">
        <f>IFERROR(__xludf.DUMMYFUNCTION("""COMPUTED_VALUE"""),124.19444444444444)</f>
        <v>124.1944444</v>
      </c>
      <c r="MO12" s="1559">
        <f>IFERROR(__xludf.DUMMYFUNCTION("""COMPUTED_VALUE"""),3.8443359375E19)</f>
        <v>3.84434E+19</v>
      </c>
      <c r="MP12" s="1498">
        <f>IFERROR(__xludf.DUMMYFUNCTION("""COMPUTED_VALUE"""),124.19444444444444)</f>
        <v>124.1944444</v>
      </c>
      <c r="MQ12" s="1559">
        <f>IFERROR(__xludf.DUMMYFUNCTION("""COMPUTED_VALUE"""),3.8443359375E19)</f>
        <v>3.84434E+19</v>
      </c>
      <c r="MR12" s="1498">
        <f>IFERROR(__xludf.DUMMYFUNCTION("""COMPUTED_VALUE"""),187.37152777777777)</f>
        <v>187.3715278</v>
      </c>
      <c r="MS12" s="1559">
        <f>IFERROR(__xludf.DUMMYFUNCTION("""COMPUTED_VALUE"""),1.024E21)</f>
        <v>1.024E+21</v>
      </c>
      <c r="MT12" s="1498">
        <f>IFERROR(__xludf.DUMMYFUNCTION("""COMPUTED_VALUE"""),187.37152777777777)</f>
        <v>187.3715278</v>
      </c>
      <c r="MU12" s="1559">
        <f>IFERROR(__xludf.DUMMYFUNCTION("""COMPUTED_VALUE"""),1.024E21)</f>
        <v>1.024E+21</v>
      </c>
      <c r="MV12" s="1498">
        <f>IFERROR(__xludf.DUMMYFUNCTION("""COMPUTED_VALUE"""),187.37152777777777)</f>
        <v>187.3715278</v>
      </c>
      <c r="MW12" s="1559">
        <f>IFERROR(__xludf.DUMMYFUNCTION("""COMPUTED_VALUE"""),1.024E21)</f>
        <v>1.024E+21</v>
      </c>
      <c r="MX12" s="1498">
        <f>IFERROR(__xludf.DUMMYFUNCTION("""COMPUTED_VALUE"""),187.37152777777777)</f>
        <v>187.3715278</v>
      </c>
      <c r="MY12" s="1559">
        <f>IFERROR(__xludf.DUMMYFUNCTION("""COMPUTED_VALUE"""),1.024E21)</f>
        <v>1.024E+21</v>
      </c>
    </row>
    <row r="13">
      <c r="A13" s="1465">
        <f>IFERROR(__xludf.DUMMYFUNCTION("""COMPUTED_VALUE"""),11.0)</f>
        <v>11</v>
      </c>
      <c r="B13" s="1518"/>
      <c r="C13" s="1519"/>
      <c r="D13" s="1466">
        <f>IFERROR(__xludf.DUMMYFUNCTION("""COMPUTED_VALUE"""),0.23819444444444443)</f>
        <v>0.2381944444</v>
      </c>
      <c r="E13" s="1467">
        <f>IFERROR(__xludf.DUMMYFUNCTION("""COMPUTED_VALUE"""),8170.0)</f>
        <v>8170</v>
      </c>
      <c r="F13" s="1466">
        <f>IFERROR(__xludf.DUMMYFUNCTION("""COMPUTED_VALUE"""),0.23819444444444443)</f>
        <v>0.2381944444</v>
      </c>
      <c r="G13" s="1468">
        <f>IFERROR(__xludf.DUMMYFUNCTION("""COMPUTED_VALUE"""),8170.0)</f>
        <v>8170</v>
      </c>
      <c r="H13" s="1466">
        <f>IFERROR(__xludf.DUMMYFUNCTION("""COMPUTED_VALUE"""),0.23819444444444443)</f>
        <v>0.2381944444</v>
      </c>
      <c r="I13" s="1467">
        <f>IFERROR(__xludf.DUMMYFUNCTION("""COMPUTED_VALUE"""),8170.0)</f>
        <v>8170</v>
      </c>
      <c r="J13" s="1466">
        <f>IFERROR(__xludf.DUMMYFUNCTION("""COMPUTED_VALUE"""),0.23819444444444443)</f>
        <v>0.2381944444</v>
      </c>
      <c r="K13" s="1467">
        <f>IFERROR(__xludf.DUMMYFUNCTION("""COMPUTED_VALUE"""),8170.0)</f>
        <v>8170</v>
      </c>
      <c r="L13" s="1466">
        <f>IFERROR(__xludf.DUMMYFUNCTION("""COMPUTED_VALUE"""),0.3451388888888889)</f>
        <v>0.3451388889</v>
      </c>
      <c r="M13" s="1469">
        <f>IFERROR(__xludf.DUMMYFUNCTION("""COMPUTED_VALUE"""),16200.0)</f>
        <v>16200</v>
      </c>
      <c r="N13" s="1470">
        <f>IFERROR(__xludf.DUMMYFUNCTION("""COMPUTED_VALUE"""),0.2875)</f>
        <v>0.2875</v>
      </c>
      <c r="O13" s="1467">
        <f>IFERROR(__xludf.DUMMYFUNCTION("""COMPUTED_VALUE"""),16710.0)</f>
        <v>16710</v>
      </c>
      <c r="P13" s="1518"/>
      <c r="Q13" s="1519"/>
      <c r="R13" s="1518"/>
      <c r="S13" s="1519"/>
      <c r="T13" s="1518"/>
      <c r="U13" s="1519"/>
      <c r="V13" s="1518"/>
      <c r="W13" s="1519"/>
      <c r="X13" s="1518"/>
      <c r="Y13" s="1519"/>
      <c r="Z13" s="1518"/>
      <c r="AA13" s="1519"/>
      <c r="AB13" s="1518"/>
      <c r="AC13" s="1519"/>
      <c r="AD13" s="1466">
        <f>IFERROR(__xludf.DUMMYFUNCTION("""COMPUTED_VALUE"""),11.879166666666666)</f>
        <v>11.87916667</v>
      </c>
      <c r="AE13" s="1474">
        <f>IFERROR(__xludf.DUMMYFUNCTION("""COMPUTED_VALUE"""),1.378584918E10)</f>
        <v>13785849180</v>
      </c>
      <c r="AF13" s="1466">
        <f>IFERROR(__xludf.DUMMYFUNCTION("""COMPUTED_VALUE"""),11.879166666666666)</f>
        <v>11.87916667</v>
      </c>
      <c r="AG13" s="1474">
        <f>IFERROR(__xludf.DUMMYFUNCTION("""COMPUTED_VALUE"""),1.378584918E10)</f>
        <v>13785849180</v>
      </c>
      <c r="AH13" s="1466">
        <f>IFERROR(__xludf.DUMMYFUNCTION("""COMPUTED_VALUE"""),11.879166666666666)</f>
        <v>11.87916667</v>
      </c>
      <c r="AI13" s="1474">
        <f>IFERROR(__xludf.DUMMYFUNCTION("""COMPUTED_VALUE"""),1.378584918E10)</f>
        <v>13785849180</v>
      </c>
      <c r="AJ13" s="1475">
        <f>IFERROR(__xludf.DUMMYFUNCTION("""COMPUTED_VALUE"""),0.23819444444444443)</f>
        <v>0.2381944444</v>
      </c>
      <c r="AK13" s="1476">
        <f>IFERROR(__xludf.DUMMYFUNCTION("""COMPUTED_VALUE"""),8170.0)</f>
        <v>8170</v>
      </c>
      <c r="AL13" s="1475">
        <f>IFERROR(__xludf.DUMMYFUNCTION("""COMPUTED_VALUE"""),0.23819444444444443)</f>
        <v>0.2381944444</v>
      </c>
      <c r="AM13" s="1476">
        <f>IFERROR(__xludf.DUMMYFUNCTION("""COMPUTED_VALUE"""),8170.0)</f>
        <v>8170</v>
      </c>
      <c r="AN13" s="1475">
        <f>IFERROR(__xludf.DUMMYFUNCTION("""COMPUTED_VALUE"""),0.23819444444444443)</f>
        <v>0.2381944444</v>
      </c>
      <c r="AO13" s="1476">
        <f>IFERROR(__xludf.DUMMYFUNCTION("""COMPUTED_VALUE"""),8170.0)</f>
        <v>8170</v>
      </c>
      <c r="AP13" s="1475">
        <f>IFERROR(__xludf.DUMMYFUNCTION("""COMPUTED_VALUE"""),0.23819444444444443)</f>
        <v>0.2381944444</v>
      </c>
      <c r="AQ13" s="1476">
        <f>IFERROR(__xludf.DUMMYFUNCTION("""COMPUTED_VALUE"""),8170.0)</f>
        <v>8170</v>
      </c>
      <c r="AR13" s="1475">
        <f>IFERROR(__xludf.DUMMYFUNCTION("""COMPUTED_VALUE"""),0.23819444444444443)</f>
        <v>0.2381944444</v>
      </c>
      <c r="AS13" s="1476">
        <f>IFERROR(__xludf.DUMMYFUNCTION("""COMPUTED_VALUE"""),8180.0)</f>
        <v>8180</v>
      </c>
      <c r="AT13" s="1475">
        <f>IFERROR(__xludf.DUMMYFUNCTION("""COMPUTED_VALUE"""),19.78472222222222)</f>
        <v>19.78472222</v>
      </c>
      <c r="AU13" s="1476">
        <f>IFERROR(__xludf.DUMMYFUNCTION("""COMPUTED_VALUE"""),5.232E7)</f>
        <v>52320000</v>
      </c>
      <c r="AV13" s="1475">
        <f>IFERROR(__xludf.DUMMYFUNCTION("""COMPUTED_VALUE"""),15.045833333333333)</f>
        <v>15.04583333</v>
      </c>
      <c r="AW13" s="1476">
        <f>IFERROR(__xludf.DUMMYFUNCTION("""COMPUTED_VALUE"""),5.232E7)</f>
        <v>52320000</v>
      </c>
      <c r="AX13" s="1475">
        <f>IFERROR(__xludf.DUMMYFUNCTION("""COMPUTED_VALUE"""),9.3875)</f>
        <v>9.3875</v>
      </c>
      <c r="AY13" s="1476">
        <f>IFERROR(__xludf.DUMMYFUNCTION("""COMPUTED_VALUE"""),6.0315E11)</f>
        <v>603150000000</v>
      </c>
      <c r="AZ13" s="1518"/>
      <c r="BA13" s="1518"/>
      <c r="BB13" s="1477">
        <f>IFERROR(__xludf.DUMMYFUNCTION("""COMPUTED_VALUE"""),0.23819444444444443)</f>
        <v>0.2381944444</v>
      </c>
      <c r="BC13" s="1478">
        <f>IFERROR(__xludf.DUMMYFUNCTION("""COMPUTED_VALUE"""),8170.0)</f>
        <v>8170</v>
      </c>
      <c r="BD13" s="1477">
        <f>IFERROR(__xludf.DUMMYFUNCTION("""COMPUTED_VALUE"""),0.23819444444444443)</f>
        <v>0.2381944444</v>
      </c>
      <c r="BE13" s="1478">
        <f>IFERROR(__xludf.DUMMYFUNCTION("""COMPUTED_VALUE"""),8170.0)</f>
        <v>8170</v>
      </c>
      <c r="BF13" s="1477">
        <f>IFERROR(__xludf.DUMMYFUNCTION("""COMPUTED_VALUE"""),0.23819444444444443)</f>
        <v>0.2381944444</v>
      </c>
      <c r="BG13" s="1478">
        <f>IFERROR(__xludf.DUMMYFUNCTION("""COMPUTED_VALUE"""),8170.0)</f>
        <v>8170</v>
      </c>
      <c r="BH13" s="1477">
        <f>IFERROR(__xludf.DUMMYFUNCTION("""COMPUTED_VALUE"""),2.004861111111111)</f>
        <v>2.004861111</v>
      </c>
      <c r="BI13" s="1478">
        <f>IFERROR(__xludf.DUMMYFUNCTION("""COMPUTED_VALUE"""),1.002E7)</f>
        <v>10020000</v>
      </c>
      <c r="BJ13" s="1477">
        <f>IFERROR(__xludf.DUMMYFUNCTION("""COMPUTED_VALUE"""),2.7847222222222223)</f>
        <v>2.784722222</v>
      </c>
      <c r="BK13" s="1478">
        <f>IFERROR(__xludf.DUMMYFUNCTION("""COMPUTED_VALUE"""),6.299E7)</f>
        <v>62990000</v>
      </c>
      <c r="BL13" s="1477">
        <f>IFERROR(__xludf.DUMMYFUNCTION("""COMPUTED_VALUE"""),4.020138888888889)</f>
        <v>4.020138889</v>
      </c>
      <c r="BM13" s="1478">
        <f>IFERROR(__xludf.DUMMYFUNCTION("""COMPUTED_VALUE"""),1.996E8)</f>
        <v>199600000</v>
      </c>
      <c r="BN13" s="1477">
        <f>IFERROR(__xludf.DUMMYFUNCTION("""COMPUTED_VALUE"""),4.020138888888889)</f>
        <v>4.020138889</v>
      </c>
      <c r="BO13" s="1478">
        <f>IFERROR(__xludf.DUMMYFUNCTION("""COMPUTED_VALUE"""),1.996E8)</f>
        <v>199600000</v>
      </c>
      <c r="BP13" s="1477">
        <f>IFERROR(__xludf.DUMMYFUNCTION("""COMPUTED_VALUE"""),5.354861111111111)</f>
        <v>5.354861111</v>
      </c>
      <c r="BQ13" s="1478">
        <f>IFERROR(__xludf.DUMMYFUNCTION("""COMPUTED_VALUE"""),1.9972E8)</f>
        <v>199720000</v>
      </c>
      <c r="BR13" s="1520"/>
      <c r="BS13" s="1519"/>
      <c r="BT13" s="1479">
        <f>IFERROR(__xludf.DUMMYFUNCTION("""COMPUTED_VALUE"""),0.45763888888888893)</f>
        <v>0.4576388889</v>
      </c>
      <c r="BU13" s="1480">
        <f>IFERROR(__xludf.DUMMYFUNCTION("""COMPUTED_VALUE"""),3.2E9)</f>
        <v>3200000000</v>
      </c>
      <c r="BV13" s="1479">
        <f>IFERROR(__xludf.DUMMYFUNCTION("""COMPUTED_VALUE"""),8.433333333333334)</f>
        <v>8.433333333</v>
      </c>
      <c r="BW13" s="1480">
        <f>IFERROR(__xludf.DUMMYFUNCTION("""COMPUTED_VALUE"""),7.75E9)</f>
        <v>7750000000</v>
      </c>
      <c r="BX13" s="1479">
        <f>IFERROR(__xludf.DUMMYFUNCTION("""COMPUTED_VALUE"""),19.637534722222224)</f>
        <v>19.63753472</v>
      </c>
      <c r="BY13" s="1480">
        <f>IFERROR(__xludf.DUMMYFUNCTION("""COMPUTED_VALUE"""),8.631E10)</f>
        <v>86310000000</v>
      </c>
      <c r="BZ13" s="1479">
        <f>IFERROR(__xludf.DUMMYFUNCTION("""COMPUTED_VALUE"""),20.794444444444444)</f>
        <v>20.79444444</v>
      </c>
      <c r="CA13" s="1480">
        <f>IFERROR(__xludf.DUMMYFUNCTION("""COMPUTED_VALUE"""),1.1631E11)</f>
        <v>116310000000</v>
      </c>
      <c r="CB13" s="1520"/>
      <c r="CC13" s="1519"/>
      <c r="CD13" s="1477">
        <f>IFERROR(__xludf.DUMMYFUNCTION("""COMPUTED_VALUE"""),3.7625231481481483)</f>
        <v>3.762523148</v>
      </c>
      <c r="CE13" s="1481">
        <f>IFERROR(__xludf.DUMMYFUNCTION("""COMPUTED_VALUE"""),3.502E11)</f>
        <v>350200000000</v>
      </c>
      <c r="CF13" s="1527"/>
      <c r="CG13" s="1560"/>
      <c r="CH13" s="1482">
        <f>IFERROR(__xludf.DUMMYFUNCTION("""COMPUTED_VALUE"""),0.23819444444444443)</f>
        <v>0.2381944444</v>
      </c>
      <c r="CI13" s="1483">
        <f>IFERROR(__xludf.DUMMYFUNCTION("""COMPUTED_VALUE"""),8180.0)</f>
        <v>8180</v>
      </c>
      <c r="CJ13" s="1482">
        <f>IFERROR(__xludf.DUMMYFUNCTION("""COMPUTED_VALUE"""),0.23819444444444443)</f>
        <v>0.2381944444</v>
      </c>
      <c r="CK13" s="1483">
        <f>IFERROR(__xludf.DUMMYFUNCTION("""COMPUTED_VALUE"""),8180.0)</f>
        <v>8180</v>
      </c>
      <c r="CL13" s="1482">
        <f>IFERROR(__xludf.DUMMYFUNCTION("""COMPUTED_VALUE"""),0.23819444444444443)</f>
        <v>0.2381944444</v>
      </c>
      <c r="CM13" s="1483">
        <f>IFERROR(__xludf.DUMMYFUNCTION("""COMPUTED_VALUE"""),8180.0)</f>
        <v>8180</v>
      </c>
      <c r="CN13" s="1482">
        <f>IFERROR(__xludf.DUMMYFUNCTION("""COMPUTED_VALUE"""),0.23819444444444443)</f>
        <v>0.2381944444</v>
      </c>
      <c r="CO13" s="1483">
        <f>IFERROR(__xludf.DUMMYFUNCTION("""COMPUTED_VALUE"""),8180.0)</f>
        <v>8180</v>
      </c>
      <c r="CP13" s="1482">
        <f>IFERROR(__xludf.DUMMYFUNCTION("""COMPUTED_VALUE"""),0.38055555555555554)</f>
        <v>0.3805555556</v>
      </c>
      <c r="CQ13" s="1483">
        <f>IFERROR(__xludf.DUMMYFUNCTION("""COMPUTED_VALUE"""),16720.0)</f>
        <v>16720</v>
      </c>
      <c r="CR13" s="1482">
        <f>IFERROR(__xludf.DUMMYFUNCTION("""COMPUTED_VALUE"""),8.495833333333334)</f>
        <v>8.495833333</v>
      </c>
      <c r="CS13" s="1483">
        <f>IFERROR(__xludf.DUMMYFUNCTION("""COMPUTED_VALUE"""),195990.0)</f>
        <v>195990</v>
      </c>
      <c r="CT13" s="1520"/>
      <c r="CU13" s="1519"/>
      <c r="CV13" s="1484">
        <f>IFERROR(__xludf.DUMMYFUNCTION("""COMPUTED_VALUE"""),9.011805555555556)</f>
        <v>9.011805556</v>
      </c>
      <c r="CW13" s="1485">
        <f>IFERROR(__xludf.DUMMYFUNCTION("""COMPUTED_VALUE"""),1.0155E11)</f>
        <v>101550000000</v>
      </c>
      <c r="CX13" s="1484">
        <f>IFERROR(__xludf.DUMMYFUNCTION("""COMPUTED_VALUE"""),9.011805555555556)</f>
        <v>9.011805556</v>
      </c>
      <c r="CY13" s="1485">
        <f>IFERROR(__xludf.DUMMYFUNCTION("""COMPUTED_VALUE"""),1.0155E11)</f>
        <v>101550000000</v>
      </c>
      <c r="CZ13" s="1484">
        <f>IFERROR(__xludf.DUMMYFUNCTION("""COMPUTED_VALUE"""),9.011805555555556)</f>
        <v>9.011805556</v>
      </c>
      <c r="DA13" s="1485">
        <f>IFERROR(__xludf.DUMMYFUNCTION("""COMPUTED_VALUE"""),1.0155E11)</f>
        <v>101550000000</v>
      </c>
      <c r="DB13" s="1484">
        <f>IFERROR(__xludf.DUMMYFUNCTION("""COMPUTED_VALUE"""),5.450694444444445)</f>
        <v>5.450694444</v>
      </c>
      <c r="DC13" s="1485">
        <f>IFERROR(__xludf.DUMMYFUNCTION("""COMPUTED_VALUE"""),1.771E10)</f>
        <v>17710000000</v>
      </c>
      <c r="DD13" s="1484">
        <f>IFERROR(__xludf.DUMMYFUNCTION("""COMPUTED_VALUE"""),5.450694444444445)</f>
        <v>5.450694444</v>
      </c>
      <c r="DE13" s="1485">
        <f>IFERROR(__xludf.DUMMYFUNCTION("""COMPUTED_VALUE"""),1.771E10)</f>
        <v>17710000000</v>
      </c>
      <c r="DF13" s="1486">
        <f>IFERROR(__xludf.DUMMYFUNCTION("""COMPUTED_VALUE"""),4.784027777777778)</f>
        <v>4.784027778</v>
      </c>
      <c r="DG13" s="1487">
        <f>IFERROR(__xludf.DUMMYFUNCTION("""COMPUTED_VALUE"""),2.0003E8)</f>
        <v>200030000</v>
      </c>
      <c r="DH13" s="1518"/>
      <c r="DI13" s="1519"/>
      <c r="DJ13" s="1486">
        <f>IFERROR(__xludf.DUMMYFUNCTION("""COMPUTED_VALUE"""),5.570833333333334)</f>
        <v>5.570833333</v>
      </c>
      <c r="DK13" s="1487">
        <f>IFERROR(__xludf.DUMMYFUNCTION("""COMPUTED_VALUE"""),2.0058E8)</f>
        <v>200580000</v>
      </c>
      <c r="DL13" s="1486">
        <f>IFERROR(__xludf.DUMMYFUNCTION("""COMPUTED_VALUE"""),4.784027777777778)</f>
        <v>4.784027778</v>
      </c>
      <c r="DM13" s="1487">
        <f>IFERROR(__xludf.DUMMYFUNCTION("""COMPUTED_VALUE"""),2.0003E8)</f>
        <v>200030000</v>
      </c>
      <c r="DN13" s="1518"/>
      <c r="DO13" s="1519"/>
      <c r="DP13" s="1486">
        <f>IFERROR(__xludf.DUMMYFUNCTION("""COMPUTED_VALUE"""),4.784027777777778)</f>
        <v>4.784027778</v>
      </c>
      <c r="DQ13" s="1487">
        <f>IFERROR(__xludf.DUMMYFUNCTION("""COMPUTED_VALUE"""),2.0003E8)</f>
        <v>200030000</v>
      </c>
      <c r="DR13" s="1486">
        <f>IFERROR(__xludf.DUMMYFUNCTION("""COMPUTED_VALUE"""),4.784027777777778)</f>
        <v>4.784027778</v>
      </c>
      <c r="DS13" s="1487">
        <f>IFERROR(__xludf.DUMMYFUNCTION("""COMPUTED_VALUE"""),2.0003E8)</f>
        <v>200030000</v>
      </c>
      <c r="DT13" s="1518"/>
      <c r="DU13" s="1519"/>
      <c r="DV13" s="1486">
        <f>IFERROR(__xludf.DUMMYFUNCTION("""COMPUTED_VALUE"""),4.784027777777778)</f>
        <v>4.784027778</v>
      </c>
      <c r="DW13" s="1487">
        <f>IFERROR(__xludf.DUMMYFUNCTION("""COMPUTED_VALUE"""),2.0003E8)</f>
        <v>200030000</v>
      </c>
      <c r="DX13" s="1486">
        <f>IFERROR(__xludf.DUMMYFUNCTION("""COMPUTED_VALUE"""),4.784027777777778)</f>
        <v>4.784027778</v>
      </c>
      <c r="DY13" s="1487">
        <f>IFERROR(__xludf.DUMMYFUNCTION("""COMPUTED_VALUE"""),2.0003E8)</f>
        <v>200030000</v>
      </c>
      <c r="DZ13" s="1486">
        <f>IFERROR(__xludf.DUMMYFUNCTION("""COMPUTED_VALUE"""),7.700694444444444)</f>
        <v>7.700694444</v>
      </c>
      <c r="EA13" s="1487">
        <f>IFERROR(__xludf.DUMMYFUNCTION("""COMPUTED_VALUE"""),4.5068E8)</f>
        <v>450680000</v>
      </c>
      <c r="EB13" s="1486">
        <f>IFERROR(__xludf.DUMMYFUNCTION("""COMPUTED_VALUE"""),7.700694444444444)</f>
        <v>7.700694444</v>
      </c>
      <c r="EC13" s="1487">
        <f>IFERROR(__xludf.DUMMYFUNCTION("""COMPUTED_VALUE"""),4.5068E8)</f>
        <v>450680000</v>
      </c>
      <c r="ED13" s="1518"/>
      <c r="EE13" s="1519"/>
      <c r="EF13" s="1486">
        <f>IFERROR(__xludf.DUMMYFUNCTION("""COMPUTED_VALUE"""),6.867361111111111)</f>
        <v>6.867361111</v>
      </c>
      <c r="EG13" s="1487">
        <f>IFERROR(__xludf.DUMMYFUNCTION("""COMPUTED_VALUE"""),4.4993E8)</f>
        <v>449930000</v>
      </c>
      <c r="EH13" s="1486">
        <f>IFERROR(__xludf.DUMMYFUNCTION("""COMPUTED_VALUE"""),6.867361111111111)</f>
        <v>6.867361111</v>
      </c>
      <c r="EI13" s="1487">
        <f>IFERROR(__xludf.DUMMYFUNCTION("""COMPUTED_VALUE"""),4.4993E8)</f>
        <v>449930000</v>
      </c>
      <c r="EJ13" s="1486">
        <f>IFERROR(__xludf.DUMMYFUNCTION("""COMPUTED_VALUE"""),7.200636574074074)</f>
        <v>7.200636574</v>
      </c>
      <c r="EK13" s="1487">
        <f>IFERROR(__xludf.DUMMYFUNCTION("""COMPUTED_VALUE"""),3.3462E8)</f>
        <v>334620000</v>
      </c>
      <c r="EL13" s="1486">
        <f>IFERROR(__xludf.DUMMYFUNCTION("""COMPUTED_VALUE"""),6.867581018518519)</f>
        <v>6.867581019</v>
      </c>
      <c r="EM13" s="1487">
        <f>IFERROR(__xludf.DUMMYFUNCTION("""COMPUTED_VALUE"""),4.4993E8)</f>
        <v>449930000</v>
      </c>
      <c r="EN13" s="1486">
        <f>IFERROR(__xludf.DUMMYFUNCTION("""COMPUTED_VALUE"""),6.867361111111111)</f>
        <v>6.867361111</v>
      </c>
      <c r="EO13" s="1487">
        <f>IFERROR(__xludf.DUMMYFUNCTION("""COMPUTED_VALUE"""),4.4993E8)</f>
        <v>449930000</v>
      </c>
      <c r="EP13" s="1486">
        <f>IFERROR(__xludf.DUMMYFUNCTION("""COMPUTED_VALUE"""),6.867361111111111)</f>
        <v>6.867361111</v>
      </c>
      <c r="EQ13" s="1487">
        <f>IFERROR(__xludf.DUMMYFUNCTION("""COMPUTED_VALUE"""),4.4993E8)</f>
        <v>449930000</v>
      </c>
      <c r="ER13" s="1486">
        <f>IFERROR(__xludf.DUMMYFUNCTION("""COMPUTED_VALUE"""),6.867361111111111)</f>
        <v>6.867361111</v>
      </c>
      <c r="ES13" s="1487">
        <f>IFERROR(__xludf.DUMMYFUNCTION("""COMPUTED_VALUE"""),4.4993E8)</f>
        <v>449930000</v>
      </c>
      <c r="ET13" s="1486">
        <f>IFERROR(__xludf.DUMMYFUNCTION("""COMPUTED_VALUE"""),6.867361111111111)</f>
        <v>6.867361111</v>
      </c>
      <c r="EU13" s="1487">
        <f>IFERROR(__xludf.DUMMYFUNCTION("""COMPUTED_VALUE"""),4.5068E8)</f>
        <v>450680000</v>
      </c>
      <c r="EV13" s="1518"/>
      <c r="EW13" s="1519"/>
      <c r="EX13" s="1518"/>
      <c r="EY13" s="1519"/>
      <c r="EZ13" s="1518"/>
      <c r="FA13" s="1519"/>
      <c r="FB13" s="1520"/>
      <c r="FC13" s="1519"/>
      <c r="FD13" s="1520"/>
      <c r="FE13" s="1519"/>
      <c r="FF13" s="1486">
        <f>IFERROR(__xludf.DUMMYFUNCTION("""COMPUTED_VALUE"""),7.700694444444444)</f>
        <v>7.700694444</v>
      </c>
      <c r="FG13" s="1488">
        <f>IFERROR(__xludf.DUMMYFUNCTION("""COMPUTED_VALUE"""),1.03E9)</f>
        <v>1030000000</v>
      </c>
      <c r="FH13" s="1486">
        <f>IFERROR(__xludf.DUMMYFUNCTION("""COMPUTED_VALUE"""),7.700694444444444)</f>
        <v>7.700694444</v>
      </c>
      <c r="FI13" s="1488">
        <f>IFERROR(__xludf.DUMMYFUNCTION("""COMPUTED_VALUE"""),1.03E9)</f>
        <v>1030000000</v>
      </c>
      <c r="FJ13" s="1486">
        <f>IFERROR(__xludf.DUMMYFUNCTION("""COMPUTED_VALUE"""),12.700416666666667)</f>
        <v>12.70041667</v>
      </c>
      <c r="FK13" s="1487">
        <f>IFERROR(__xludf.DUMMYFUNCTION("""COMPUTED_VALUE"""),6.49686486E8)</f>
        <v>649686486</v>
      </c>
      <c r="FL13" s="1518"/>
      <c r="FM13" s="1519"/>
      <c r="FN13" s="1532"/>
      <c r="FO13" s="1520"/>
      <c r="FP13" s="1486">
        <f>IFERROR(__xludf.DUMMYFUNCTION("""COMPUTED_VALUE"""),25.882060185185185)</f>
        <v>25.88206019</v>
      </c>
      <c r="FQ13" s="1488">
        <f>IFERROR(__xludf.DUMMYFUNCTION("""COMPUTED_VALUE"""),5.77E12)</f>
        <v>5770000000000</v>
      </c>
      <c r="FR13" s="1532"/>
      <c r="FS13" s="1520"/>
      <c r="FT13" s="1486">
        <f>IFERROR(__xludf.DUMMYFUNCTION("""COMPUTED_VALUE"""),25.882060185185185)</f>
        <v>25.88206019</v>
      </c>
      <c r="FU13" s="1488">
        <f>IFERROR(__xludf.DUMMYFUNCTION("""COMPUTED_VALUE"""),5.77E12)</f>
        <v>5770000000000</v>
      </c>
      <c r="FV13" s="1486">
        <f>IFERROR(__xludf.DUMMYFUNCTION("""COMPUTED_VALUE"""),25.882060185185185)</f>
        <v>25.88206019</v>
      </c>
      <c r="FW13" s="1488">
        <f>IFERROR(__xludf.DUMMYFUNCTION("""COMPUTED_VALUE"""),5.77E12)</f>
        <v>5770000000000</v>
      </c>
      <c r="FX13" s="1491">
        <f>IFERROR(__xludf.DUMMYFUNCTION("""COMPUTED_VALUE"""),10.042754629629629)</f>
        <v>10.04275463</v>
      </c>
      <c r="FY13" s="1492">
        <f>IFERROR(__xludf.DUMMYFUNCTION("""COMPUTED_VALUE"""),5.767E10)</f>
        <v>57670000000</v>
      </c>
      <c r="FZ13" s="1491">
        <f>IFERROR(__xludf.DUMMYFUNCTION("""COMPUTED_VALUE"""),25.882060185185185)</f>
        <v>25.88206019</v>
      </c>
      <c r="GA13" s="1492">
        <f>IFERROR(__xludf.DUMMYFUNCTION("""COMPUTED_VALUE"""),5.77E12)</f>
        <v>5770000000000</v>
      </c>
      <c r="GB13" s="1527"/>
      <c r="GC13" s="1527"/>
      <c r="GD13" s="1527"/>
      <c r="GE13" s="1560"/>
      <c r="GF13" s="1518"/>
      <c r="GG13" s="1519"/>
      <c r="GH13" s="1494">
        <f>IFERROR(__xludf.DUMMYFUNCTION("""COMPUTED_VALUE"""),6.075694444444444)</f>
        <v>6.075694444</v>
      </c>
      <c r="GI13" s="1495">
        <f>IFERROR(__xludf.DUMMYFUNCTION("""COMPUTED_VALUE"""),1.01E9)</f>
        <v>1010000000</v>
      </c>
      <c r="GJ13" s="1518"/>
      <c r="GK13" s="1519"/>
      <c r="GL13" s="1518"/>
      <c r="GM13" s="1519"/>
      <c r="GN13" s="1520"/>
      <c r="GO13" s="1519"/>
      <c r="GP13" s="1496">
        <f>IFERROR(__xludf.DUMMYFUNCTION("""COMPUTED_VALUE"""),6.242361111111111)</f>
        <v>6.242361111</v>
      </c>
      <c r="GQ13" s="1497">
        <f>IFERROR(__xludf.DUMMYFUNCTION("""COMPUTED_VALUE"""),4.355E10)</f>
        <v>43550000000</v>
      </c>
      <c r="GR13" s="1518"/>
      <c r="GS13" s="1519"/>
      <c r="GT13" s="1518"/>
      <c r="GU13" s="1519"/>
      <c r="GV13" s="1520"/>
      <c r="GW13" s="1519"/>
      <c r="GX13" s="1561"/>
      <c r="GY13" s="1527"/>
      <c r="GZ13" s="1518"/>
      <c r="HA13" s="1519"/>
      <c r="HB13" s="1501">
        <f>IFERROR(__xludf.DUMMYFUNCTION("""COMPUTED_VALUE"""),4.020138888888889)</f>
        <v>4.020138889</v>
      </c>
      <c r="HC13" s="1502">
        <f>IFERROR(__xludf.DUMMYFUNCTION("""COMPUTED_VALUE"""),2.0E9)</f>
        <v>2000000000</v>
      </c>
      <c r="HD13" s="1518"/>
      <c r="HE13" s="1519"/>
      <c r="HF13" s="1501">
        <f>IFERROR(__xludf.DUMMYFUNCTION("""COMPUTED_VALUE"""),4.251388888888889)</f>
        <v>4.251388889</v>
      </c>
      <c r="HG13" s="1502">
        <f>IFERROR(__xludf.DUMMYFUNCTION("""COMPUTED_VALUE"""),3.0E9)</f>
        <v>3000000000</v>
      </c>
      <c r="HH13" s="1518"/>
      <c r="HI13" s="1519"/>
      <c r="HJ13" s="1518"/>
      <c r="HK13" s="1519"/>
      <c r="HL13" s="1518"/>
      <c r="HM13" s="1519"/>
      <c r="HN13" s="1520"/>
      <c r="HO13" s="1519"/>
      <c r="HP13" s="1501">
        <f>IFERROR(__xludf.DUMMYFUNCTION("""COMPUTED_VALUE"""),13.499166666666667)</f>
        <v>13.49916667</v>
      </c>
      <c r="HQ13" s="1503">
        <f>IFERROR(__xludf.DUMMYFUNCTION("""COMPUTED_VALUE"""),9.4928E8)</f>
        <v>949280000</v>
      </c>
      <c r="HR13" s="1522">
        <f>IFERROR(__xludf.DUMMYFUNCTION("""COMPUTED_VALUE"""),8.31736111111111)</f>
        <v>8.317361111</v>
      </c>
      <c r="HS13" s="1523">
        <f>IFERROR(__xludf.DUMMYFUNCTION("""COMPUTED_VALUE"""),5.33E9)</f>
        <v>5330000000</v>
      </c>
      <c r="HT13" s="1522">
        <f>IFERROR(__xludf.DUMMYFUNCTION("""COMPUTED_VALUE"""),8.31736111111111)</f>
        <v>8.317361111</v>
      </c>
      <c r="HU13" s="1523">
        <f>IFERROR(__xludf.DUMMYFUNCTION("""COMPUTED_VALUE"""),5.33E9)</f>
        <v>5330000000</v>
      </c>
      <c r="HV13" s="1522">
        <f>IFERROR(__xludf.DUMMYFUNCTION("""COMPUTED_VALUE"""),8.31736111111111)</f>
        <v>8.317361111</v>
      </c>
      <c r="HW13" s="1523">
        <f>IFERROR(__xludf.DUMMYFUNCTION("""COMPUTED_VALUE"""),5.33E9)</f>
        <v>5330000000</v>
      </c>
      <c r="HX13" s="1524">
        <f>IFERROR(__xludf.DUMMYFUNCTION("""COMPUTED_VALUE"""),8.317361111111111)</f>
        <v>8.317361111</v>
      </c>
      <c r="HY13" s="1523">
        <f>IFERROR(__xludf.DUMMYFUNCTION("""COMPUTED_VALUE"""),5.33E9)</f>
        <v>5330000000</v>
      </c>
      <c r="HZ13" s="1518"/>
      <c r="IA13" s="1519"/>
      <c r="IB13" s="1524">
        <f>IFERROR(__xludf.DUMMYFUNCTION("""COMPUTED_VALUE"""),33.71296296296296)</f>
        <v>33.71296296</v>
      </c>
      <c r="IC13" s="1523">
        <f>IFERROR(__xludf.DUMMYFUNCTION("""COMPUTED_VALUE"""),5.77E12)</f>
        <v>5770000000000</v>
      </c>
      <c r="ID13" s="1524">
        <f>IFERROR(__xludf.DUMMYFUNCTION("""COMPUTED_VALUE"""),33.71296296296296)</f>
        <v>33.71296296</v>
      </c>
      <c r="IE13" s="1523">
        <f>IFERROR(__xludf.DUMMYFUNCTION("""COMPUTED_VALUE"""),5.77E12)</f>
        <v>5770000000000</v>
      </c>
      <c r="IF13" s="1524">
        <f>IFERROR(__xludf.DUMMYFUNCTION("""COMPUTED_VALUE"""),33.71296296296296)</f>
        <v>33.71296296</v>
      </c>
      <c r="IG13" s="1523">
        <f>IFERROR(__xludf.DUMMYFUNCTION("""COMPUTED_VALUE"""),5.77E12)</f>
        <v>5770000000000</v>
      </c>
      <c r="IH13" s="1507">
        <f>IFERROR(__xludf.DUMMYFUNCTION("""COMPUTED_VALUE"""),9.011805555555556)</f>
        <v>9.011805556</v>
      </c>
      <c r="II13" s="1508">
        <f>IFERROR(__xludf.DUMMYFUNCTION("""COMPUTED_VALUE"""),2.5155E11)</f>
        <v>251550000000</v>
      </c>
      <c r="IJ13" s="1507">
        <f>IFERROR(__xludf.DUMMYFUNCTION("""COMPUTED_VALUE"""),9.011805555555556)</f>
        <v>9.011805556</v>
      </c>
      <c r="IK13" s="1508">
        <f>IFERROR(__xludf.DUMMYFUNCTION("""COMPUTED_VALUE"""),2.5155E11)</f>
        <v>251550000000</v>
      </c>
      <c r="IL13" s="1507">
        <f>IFERROR(__xludf.DUMMYFUNCTION("""COMPUTED_VALUE"""),9.011805555555556)</f>
        <v>9.011805556</v>
      </c>
      <c r="IM13" s="1508">
        <f>IFERROR(__xludf.DUMMYFUNCTION("""COMPUTED_VALUE"""),3.6155E11)</f>
        <v>361550000000</v>
      </c>
      <c r="IN13" s="1507">
        <f>IFERROR(__xludf.DUMMYFUNCTION("""COMPUTED_VALUE"""),9.011805555555556)</f>
        <v>9.011805556</v>
      </c>
      <c r="IO13" s="1508">
        <f>IFERROR(__xludf.DUMMYFUNCTION("""COMPUTED_VALUE"""),3.6155E11)</f>
        <v>361550000000</v>
      </c>
      <c r="IP13" s="1507">
        <f>IFERROR(__xludf.DUMMYFUNCTION("""COMPUTED_VALUE"""),9.475000000000001)</f>
        <v>9.475</v>
      </c>
      <c r="IQ13" s="1508">
        <f>IFERROR(__xludf.DUMMYFUNCTION("""COMPUTED_VALUE"""),6.9155E11)</f>
        <v>691550000000</v>
      </c>
      <c r="IR13" s="1507">
        <f>IFERROR(__xludf.DUMMYFUNCTION("""COMPUTED_VALUE"""),9.011805555555556)</f>
        <v>9.011805556</v>
      </c>
      <c r="IS13" s="1508">
        <f>IFERROR(__xludf.DUMMYFUNCTION("""COMPUTED_VALUE"""),3.6155E11)</f>
        <v>361550000000</v>
      </c>
      <c r="IT13" s="1507">
        <f>IFERROR(__xludf.DUMMYFUNCTION("""COMPUTED_VALUE"""),9.011805555555556)</f>
        <v>9.011805556</v>
      </c>
      <c r="IU13" s="1508">
        <f>IFERROR(__xludf.DUMMYFUNCTION("""COMPUTED_VALUE"""),3.6155E11)</f>
        <v>361550000000</v>
      </c>
      <c r="IV13" s="1507">
        <f>IFERROR(__xludf.DUMMYFUNCTION("""COMPUTED_VALUE"""),9.011805555555556)</f>
        <v>9.011805556</v>
      </c>
      <c r="IW13" s="1508">
        <f>IFERROR(__xludf.DUMMYFUNCTION("""COMPUTED_VALUE"""),3.6155E11)</f>
        <v>361550000000</v>
      </c>
      <c r="IX13" s="1507">
        <f>IFERROR(__xludf.DUMMYFUNCTION("""COMPUTED_VALUE"""),9.011805555555556)</f>
        <v>9.011805556</v>
      </c>
      <c r="IY13" s="1508">
        <f>IFERROR(__xludf.DUMMYFUNCTION("""COMPUTED_VALUE"""),3.6155E11)</f>
        <v>361550000000</v>
      </c>
      <c r="IZ13" s="1507">
        <f>IFERROR(__xludf.DUMMYFUNCTION("""COMPUTED_VALUE"""),9.011805555555556)</f>
        <v>9.011805556</v>
      </c>
      <c r="JA13" s="1508">
        <f>IFERROR(__xludf.DUMMYFUNCTION("""COMPUTED_VALUE"""),4.7155E11)</f>
        <v>471550000000</v>
      </c>
      <c r="JB13" s="1507">
        <f>IFERROR(__xludf.DUMMYFUNCTION("""COMPUTED_VALUE"""),9.011805555555556)</f>
        <v>9.011805556</v>
      </c>
      <c r="JC13" s="1508">
        <f>IFERROR(__xludf.DUMMYFUNCTION("""COMPUTED_VALUE"""),4.7155E11)</f>
        <v>471550000000</v>
      </c>
      <c r="JD13" s="1507">
        <f>IFERROR(__xludf.DUMMYFUNCTION("""COMPUTED_VALUE"""),9.011805555555556)</f>
        <v>9.011805556</v>
      </c>
      <c r="JE13" s="1508">
        <f>IFERROR(__xludf.DUMMYFUNCTION("""COMPUTED_VALUE"""),4.7155E11)</f>
        <v>471550000000</v>
      </c>
      <c r="JF13" s="1507">
        <f>IFERROR(__xludf.DUMMYFUNCTION("""COMPUTED_VALUE"""),9.011805555555556)</f>
        <v>9.011805556</v>
      </c>
      <c r="JG13" s="1508">
        <f>IFERROR(__xludf.DUMMYFUNCTION("""COMPUTED_VALUE"""),4.7155E11)</f>
        <v>471550000000</v>
      </c>
      <c r="JH13" s="1507">
        <f>IFERROR(__xludf.DUMMYFUNCTION("""COMPUTED_VALUE"""),9.475000000000001)</f>
        <v>9.475</v>
      </c>
      <c r="JI13" s="1508">
        <f>IFERROR(__xludf.DUMMYFUNCTION("""COMPUTED_VALUE"""),8.1155E11)</f>
        <v>811550000000</v>
      </c>
      <c r="JJ13" s="1507">
        <f>IFERROR(__xludf.DUMMYFUNCTION("""COMPUTED_VALUE"""),118.79444444444445)</f>
        <v>118.7944444</v>
      </c>
      <c r="JK13" s="1509">
        <f>IFERROR(__xludf.DUMMYFUNCTION("""COMPUTED_VALUE"""),2.75E18)</f>
        <v>2.75E+18</v>
      </c>
      <c r="JL13" s="1507">
        <f>IFERROR(__xludf.DUMMYFUNCTION("""COMPUTED_VALUE"""),118.79444444444445)</f>
        <v>118.7944444</v>
      </c>
      <c r="JM13" s="1509">
        <f>IFERROR(__xludf.DUMMYFUNCTION("""COMPUTED_VALUE"""),2.75E18)</f>
        <v>2.75E+18</v>
      </c>
      <c r="JN13" s="1507">
        <f>IFERROR(__xludf.DUMMYFUNCTION("""COMPUTED_VALUE"""),118.79444444444445)</f>
        <v>118.7944444</v>
      </c>
      <c r="JO13" s="1509">
        <f>IFERROR(__xludf.DUMMYFUNCTION("""COMPUTED_VALUE"""),2.75E18)</f>
        <v>2.75E+18</v>
      </c>
      <c r="JP13" s="1507">
        <f>IFERROR(__xludf.DUMMYFUNCTION("""COMPUTED_VALUE"""),118.79444444444445)</f>
        <v>118.7944444</v>
      </c>
      <c r="JQ13" s="1509">
        <f>IFERROR(__xludf.DUMMYFUNCTION("""COMPUTED_VALUE"""),2.75E18)</f>
        <v>2.75E+18</v>
      </c>
      <c r="JR13" s="1507">
        <f>IFERROR(__xludf.DUMMYFUNCTION("""COMPUTED_VALUE"""),118.79444444444445)</f>
        <v>118.7944444</v>
      </c>
      <c r="JS13" s="1509">
        <f>IFERROR(__xludf.DUMMYFUNCTION("""COMPUTED_VALUE"""),2.75E18)</f>
        <v>2.75E+18</v>
      </c>
      <c r="JT13" s="1507">
        <f>IFERROR(__xludf.DUMMYFUNCTION("""COMPUTED_VALUE"""),118.79444444444445)</f>
        <v>118.7944444</v>
      </c>
      <c r="JU13" s="1509">
        <f>IFERROR(__xludf.DUMMYFUNCTION("""COMPUTED_VALUE"""),2.75E18)</f>
        <v>2.75E+18</v>
      </c>
      <c r="JV13" s="1507">
        <f>IFERROR(__xludf.DUMMYFUNCTION("""COMPUTED_VALUE"""),29.698611111111113)</f>
        <v>29.69861111</v>
      </c>
      <c r="JW13" s="1509">
        <f>IFERROR(__xludf.DUMMYFUNCTION("""COMPUTED_VALUE"""),2.89254655E13)</f>
        <v>28925465500000</v>
      </c>
      <c r="JX13" s="1562"/>
      <c r="JY13" s="1560"/>
      <c r="JZ13" s="1510">
        <f>IFERROR(__xludf.DUMMYFUNCTION("""COMPUTED_VALUE"""),1.800451389)</f>
        <v>1.800451389</v>
      </c>
      <c r="KA13" s="1514">
        <f>IFERROR(__xludf.DUMMYFUNCTION("""COMPUTED_VALUE"""),1.0E9)</f>
        <v>1000000000</v>
      </c>
      <c r="KB13" s="1510">
        <f>IFERROR(__xludf.DUMMYFUNCTION("""COMPUTED_VALUE"""),1.939618056)</f>
        <v>1.939618056</v>
      </c>
      <c r="KC13" s="1514">
        <f>IFERROR(__xludf.DUMMYFUNCTION("""COMPUTED_VALUE"""),3.0E9)</f>
        <v>3000000000</v>
      </c>
      <c r="KD13" s="1510">
        <f>IFERROR(__xludf.DUMMYFUNCTION("""COMPUTED_VALUE"""),7.455636574)</f>
        <v>7.455636574</v>
      </c>
      <c r="KE13" s="1514">
        <f>IFERROR(__xludf.DUMMYFUNCTION("""COMPUTED_VALUE"""),1.6369E11)</f>
        <v>163690000000</v>
      </c>
      <c r="KF13" s="1510">
        <f>IFERROR(__xludf.DUMMYFUNCTION("""COMPUTED_VALUE"""),7.455636574)</f>
        <v>7.455636574</v>
      </c>
      <c r="KG13" s="1514">
        <f>IFERROR(__xludf.DUMMYFUNCTION("""COMPUTED_VALUE"""),1.6369E11)</f>
        <v>163690000000</v>
      </c>
      <c r="KH13" s="1562"/>
      <c r="KI13" s="1560"/>
      <c r="KJ13" s="1527"/>
      <c r="KK13" s="1527"/>
      <c r="KL13" s="1527"/>
      <c r="KM13" s="1527"/>
      <c r="KN13" s="1527"/>
      <c r="KO13" s="1527"/>
      <c r="KP13" s="1527"/>
      <c r="KQ13" s="1527"/>
      <c r="KR13" s="1527"/>
      <c r="KS13" s="1527"/>
      <c r="KT13" s="1527"/>
      <c r="KU13" s="1527"/>
      <c r="KV13" s="1512">
        <f>IFERROR(__xludf.DUMMYFUNCTION("""COMPUTED_VALUE"""),118.79444444444445)</f>
        <v>118.7944444</v>
      </c>
      <c r="KW13" s="1513">
        <f>IFERROR(__xludf.DUMMYFUNCTION("""COMPUTED_VALUE"""),2.75E18)</f>
        <v>2.75E+18</v>
      </c>
      <c r="KX13" s="1512">
        <f>IFERROR(__xludf.DUMMYFUNCTION("""COMPUTED_VALUE"""),118.79444444444445)</f>
        <v>118.7944444</v>
      </c>
      <c r="KY13" s="1513">
        <f>IFERROR(__xludf.DUMMYFUNCTION("""COMPUTED_VALUE"""),2.75E18)</f>
        <v>2.75E+18</v>
      </c>
      <c r="KZ13" s="1512">
        <f>IFERROR(__xludf.DUMMYFUNCTION("""COMPUTED_VALUE"""),118.79444444444445)</f>
        <v>118.7944444</v>
      </c>
      <c r="LA13" s="1513">
        <f>IFERROR(__xludf.DUMMYFUNCTION("""COMPUTED_VALUE"""),2.75E18)</f>
        <v>2.75E+18</v>
      </c>
      <c r="LB13" s="1512">
        <f>IFERROR(__xludf.DUMMYFUNCTION("""COMPUTED_VALUE"""),118.79444444444445)</f>
        <v>118.7944444</v>
      </c>
      <c r="LC13" s="1513">
        <f>IFERROR(__xludf.DUMMYFUNCTION("""COMPUTED_VALUE"""),2.75E18)</f>
        <v>2.75E+18</v>
      </c>
      <c r="LD13" s="1512">
        <f>IFERROR(__xludf.DUMMYFUNCTION("""COMPUTED_VALUE"""),118.79444444444445)</f>
        <v>118.7944444</v>
      </c>
      <c r="LE13" s="1513">
        <f>IFERROR(__xludf.DUMMYFUNCTION("""COMPUTED_VALUE"""),2.75E18)</f>
        <v>2.75E+18</v>
      </c>
      <c r="LF13" s="1512">
        <f>IFERROR(__xludf.DUMMYFUNCTION("""COMPUTED_VALUE"""),118.79444444444445)</f>
        <v>118.7944444</v>
      </c>
      <c r="LG13" s="1513">
        <f>IFERROR(__xludf.DUMMYFUNCTION("""COMPUTED_VALUE"""),2.75E18)</f>
        <v>2.75E+18</v>
      </c>
      <c r="LH13" s="1512">
        <f>IFERROR(__xludf.DUMMYFUNCTION("""COMPUTED_VALUE"""),118.79444444444445)</f>
        <v>118.7944444</v>
      </c>
      <c r="LI13" s="1513">
        <f>IFERROR(__xludf.DUMMYFUNCTION("""COMPUTED_VALUE"""),2.75E18)</f>
        <v>2.75E+18</v>
      </c>
      <c r="LJ13" s="1512">
        <f>IFERROR(__xludf.DUMMYFUNCTION("""COMPUTED_VALUE"""),118.79444444444445)</f>
        <v>118.7944444</v>
      </c>
      <c r="LK13" s="1513">
        <f>IFERROR(__xludf.DUMMYFUNCTION("""COMPUTED_VALUE"""),2.75E18)</f>
        <v>2.75E+18</v>
      </c>
      <c r="LL13" s="1527"/>
      <c r="LM13" s="1527"/>
      <c r="LN13" s="1516">
        <f>IFERROR(__xludf.DUMMYFUNCTION("""COMPUTED_VALUE"""),148.49305555555554)</f>
        <v>148.4930556</v>
      </c>
      <c r="LO13" s="1495">
        <f>IFERROR(__xludf.DUMMYFUNCTION("""COMPUTED_VALUE"""),2.1999999999999997E18)</f>
        <v>2.2E+18</v>
      </c>
      <c r="LP13" s="1516">
        <f>IFERROR(__xludf.DUMMYFUNCTION("""COMPUTED_VALUE"""),148.49305555555554)</f>
        <v>148.4930556</v>
      </c>
      <c r="LQ13" s="1495">
        <f>IFERROR(__xludf.DUMMYFUNCTION("""COMPUTED_VALUE"""),2.1999999999999997E18)</f>
        <v>2.2E+18</v>
      </c>
      <c r="LR13" s="1516">
        <f>IFERROR(__xludf.DUMMYFUNCTION("""COMPUTED_VALUE"""),148.49305555555554)</f>
        <v>148.4930556</v>
      </c>
      <c r="LS13" s="1495">
        <f>IFERROR(__xludf.DUMMYFUNCTION("""COMPUTED_VALUE"""),2.1999999999999997E18)</f>
        <v>2.2E+18</v>
      </c>
      <c r="LT13" s="1516">
        <f>IFERROR(__xludf.DUMMYFUNCTION("""COMPUTED_VALUE"""),148.49305555555554)</f>
        <v>148.4930556</v>
      </c>
      <c r="LU13" s="1495">
        <f>IFERROR(__xludf.DUMMYFUNCTION("""COMPUTED_VALUE"""),2.1999999999999997E18)</f>
        <v>2.2E+18</v>
      </c>
      <c r="LV13" s="1516">
        <f>IFERROR(__xludf.DUMMYFUNCTION("""COMPUTED_VALUE"""),148.49305555555554)</f>
        <v>148.4930556</v>
      </c>
      <c r="LW13" s="1495">
        <f>IFERROR(__xludf.DUMMYFUNCTION("""COMPUTED_VALUE"""),2.1999999999999997E18)</f>
        <v>2.2E+18</v>
      </c>
      <c r="LX13" s="1516">
        <f>IFERROR(__xludf.DUMMYFUNCTION("""COMPUTED_VALUE"""),178.19166666666666)</f>
        <v>178.1916667</v>
      </c>
      <c r="LY13" s="1517">
        <f>IFERROR(__xludf.DUMMYFUNCTION("""COMPUTED_VALUE"""),5.5E18)</f>
        <v>5.5E+18</v>
      </c>
      <c r="LZ13" s="1516">
        <f>IFERROR(__xludf.DUMMYFUNCTION("""COMPUTED_VALUE"""),178.19166666666666)</f>
        <v>178.1916667</v>
      </c>
      <c r="MA13" s="1517">
        <f>IFERROR(__xludf.DUMMYFUNCTION("""COMPUTED_VALUE"""),5.5E18)</f>
        <v>5.5E+18</v>
      </c>
      <c r="MB13" s="1516">
        <f>IFERROR(__xludf.DUMMYFUNCTION("""COMPUTED_VALUE"""),178.19166666666666)</f>
        <v>178.1916667</v>
      </c>
      <c r="MC13" s="1517">
        <f>IFERROR(__xludf.DUMMYFUNCTION("""COMPUTED_VALUE"""),5.5E18)</f>
        <v>5.5E+18</v>
      </c>
      <c r="MD13" s="1516">
        <f>IFERROR(__xludf.DUMMYFUNCTION("""COMPUTED_VALUE"""),178.19166666666666)</f>
        <v>178.1916667</v>
      </c>
      <c r="ME13" s="1517">
        <f>IFERROR(__xludf.DUMMYFUNCTION("""COMPUTED_VALUE"""),5.5E18)</f>
        <v>5.5E+18</v>
      </c>
      <c r="MF13" s="1527"/>
      <c r="MG13" s="1527"/>
      <c r="MH13" s="1527"/>
      <c r="MI13" s="1527"/>
      <c r="MJ13" s="1527"/>
      <c r="MK13" s="1527"/>
      <c r="ML13" s="1527"/>
      <c r="MM13" s="1527"/>
      <c r="MN13" s="1527"/>
      <c r="MO13" s="1527"/>
      <c r="MP13" s="1527"/>
      <c r="MQ13" s="1527"/>
      <c r="MR13" s="1527"/>
      <c r="MS13" s="1527"/>
      <c r="MT13" s="1527"/>
      <c r="MU13" s="1527"/>
      <c r="MV13" s="1527"/>
      <c r="MW13" s="1527"/>
      <c r="MX13" s="1527"/>
      <c r="MY13" s="1527"/>
    </row>
    <row r="14">
      <c r="A14" s="1465">
        <f>IFERROR(__xludf.DUMMYFUNCTION("""COMPUTED_VALUE"""),12.0)</f>
        <v>12</v>
      </c>
      <c r="B14" s="1518"/>
      <c r="C14" s="1519"/>
      <c r="D14" s="1466">
        <f>IFERROR(__xludf.DUMMYFUNCTION("""COMPUTED_VALUE"""),0.29375)</f>
        <v>0.29375</v>
      </c>
      <c r="E14" s="1467">
        <f>IFERROR(__xludf.DUMMYFUNCTION("""COMPUTED_VALUE"""),10560.0)</f>
        <v>10560</v>
      </c>
      <c r="F14" s="1466">
        <f>IFERROR(__xludf.DUMMYFUNCTION("""COMPUTED_VALUE"""),0.29375)</f>
        <v>0.29375</v>
      </c>
      <c r="G14" s="1468">
        <f>IFERROR(__xludf.DUMMYFUNCTION("""COMPUTED_VALUE"""),10560.0)</f>
        <v>10560</v>
      </c>
      <c r="H14" s="1466">
        <f>IFERROR(__xludf.DUMMYFUNCTION("""COMPUTED_VALUE"""),0.29375)</f>
        <v>0.29375</v>
      </c>
      <c r="I14" s="1467">
        <f>IFERROR(__xludf.DUMMYFUNCTION("""COMPUTED_VALUE"""),10560.0)</f>
        <v>10560</v>
      </c>
      <c r="J14" s="1466">
        <f>IFERROR(__xludf.DUMMYFUNCTION("""COMPUTED_VALUE"""),0.29375)</f>
        <v>0.29375</v>
      </c>
      <c r="K14" s="1467">
        <f>IFERROR(__xludf.DUMMYFUNCTION("""COMPUTED_VALUE"""),10560.0)</f>
        <v>10560</v>
      </c>
      <c r="L14" s="1466">
        <f>IFERROR(__xludf.DUMMYFUNCTION("""COMPUTED_VALUE"""),0.42986111111111114)</f>
        <v>0.4298611111</v>
      </c>
      <c r="M14" s="1469">
        <f>IFERROR(__xludf.DUMMYFUNCTION("""COMPUTED_VALUE"""),21620.0)</f>
        <v>21620</v>
      </c>
      <c r="N14" s="1470">
        <f>IFERROR(__xludf.DUMMYFUNCTION("""COMPUTED_VALUE"""),0.3527777777777778)</f>
        <v>0.3527777778</v>
      </c>
      <c r="O14" s="1467">
        <f>IFERROR(__xludf.DUMMYFUNCTION("""COMPUTED_VALUE"""),22360.0)</f>
        <v>22360</v>
      </c>
      <c r="P14" s="1518"/>
      <c r="Q14" s="1519"/>
      <c r="R14" s="1518"/>
      <c r="S14" s="1519"/>
      <c r="T14" s="1518"/>
      <c r="U14" s="1519"/>
      <c r="V14" s="1518"/>
      <c r="W14" s="1519"/>
      <c r="X14" s="1518"/>
      <c r="Y14" s="1519"/>
      <c r="Z14" s="1518"/>
      <c r="AA14" s="1519"/>
      <c r="AB14" s="1518"/>
      <c r="AC14" s="1519"/>
      <c r="AD14" s="1466">
        <f>IFERROR(__xludf.DUMMYFUNCTION("""COMPUTED_VALUE"""),12.959027777777777)</f>
        <v>12.95902778</v>
      </c>
      <c r="AE14" s="1474">
        <f>IFERROR(__xludf.DUMMYFUNCTION("""COMPUTED_VALUE"""),1.792160394E10)</f>
        <v>17921603940</v>
      </c>
      <c r="AF14" s="1466">
        <f>IFERROR(__xludf.DUMMYFUNCTION("""COMPUTED_VALUE"""),12.959027777777777)</f>
        <v>12.95902778</v>
      </c>
      <c r="AG14" s="1474">
        <f>IFERROR(__xludf.DUMMYFUNCTION("""COMPUTED_VALUE"""),1.792160394E10)</f>
        <v>17921603940</v>
      </c>
      <c r="AH14" s="1466">
        <f>IFERROR(__xludf.DUMMYFUNCTION("""COMPUTED_VALUE"""),12.959027777777777)</f>
        <v>12.95902778</v>
      </c>
      <c r="AI14" s="1474">
        <f>IFERROR(__xludf.DUMMYFUNCTION("""COMPUTED_VALUE"""),1.792160394E10)</f>
        <v>17921603940</v>
      </c>
      <c r="AJ14" s="1475">
        <f>IFERROR(__xludf.DUMMYFUNCTION("""COMPUTED_VALUE"""),0.29375)</f>
        <v>0.29375</v>
      </c>
      <c r="AK14" s="1476">
        <f>IFERROR(__xludf.DUMMYFUNCTION("""COMPUTED_VALUE"""),10560.0)</f>
        <v>10560</v>
      </c>
      <c r="AL14" s="1475">
        <f>IFERROR(__xludf.DUMMYFUNCTION("""COMPUTED_VALUE"""),0.29375)</f>
        <v>0.29375</v>
      </c>
      <c r="AM14" s="1476">
        <f>IFERROR(__xludf.DUMMYFUNCTION("""COMPUTED_VALUE"""),10560.0)</f>
        <v>10560</v>
      </c>
      <c r="AN14" s="1475">
        <f>IFERROR(__xludf.DUMMYFUNCTION("""COMPUTED_VALUE"""),0.29375)</f>
        <v>0.29375</v>
      </c>
      <c r="AO14" s="1476">
        <f>IFERROR(__xludf.DUMMYFUNCTION("""COMPUTED_VALUE"""),10560.0)</f>
        <v>10560</v>
      </c>
      <c r="AP14" s="1475">
        <f>IFERROR(__xludf.DUMMYFUNCTION("""COMPUTED_VALUE"""),0.29375)</f>
        <v>0.29375</v>
      </c>
      <c r="AQ14" s="1476">
        <f>IFERROR(__xludf.DUMMYFUNCTION("""COMPUTED_VALUE"""),10560.0)</f>
        <v>10560</v>
      </c>
      <c r="AR14" s="1475">
        <f>IFERROR(__xludf.DUMMYFUNCTION("""COMPUTED_VALUE"""),0.29375)</f>
        <v>0.29375</v>
      </c>
      <c r="AS14" s="1476">
        <f>IFERROR(__xludf.DUMMYFUNCTION("""COMPUTED_VALUE"""),10570.0)</f>
        <v>10570</v>
      </c>
      <c r="AT14" s="1475">
        <f>IFERROR(__xludf.DUMMYFUNCTION("""COMPUTED_VALUE"""),26.684722222222224)</f>
        <v>26.68472222</v>
      </c>
      <c r="AU14" s="1476">
        <f>IFERROR(__xludf.DUMMYFUNCTION("""COMPUTED_VALUE"""),8.084E7)</f>
        <v>80840000</v>
      </c>
      <c r="AV14" s="1475">
        <f>IFERROR(__xludf.DUMMYFUNCTION("""COMPUTED_VALUE"""),19.384722222222223)</f>
        <v>19.38472222</v>
      </c>
      <c r="AW14" s="1476">
        <f>IFERROR(__xludf.DUMMYFUNCTION("""COMPUTED_VALUE"""),8.084E7)</f>
        <v>80840000</v>
      </c>
      <c r="AX14" s="1475">
        <f>IFERROR(__xludf.DUMMYFUNCTION("""COMPUTED_VALUE"""),9.995833333333334)</f>
        <v>9.995833333</v>
      </c>
      <c r="AY14" s="1476">
        <f>IFERROR(__xludf.DUMMYFUNCTION("""COMPUTED_VALUE"""),6.4453E11)</f>
        <v>644530000000</v>
      </c>
      <c r="AZ14" s="1518"/>
      <c r="BA14" s="1518"/>
      <c r="BB14" s="1477">
        <f>IFERROR(__xludf.DUMMYFUNCTION("""COMPUTED_VALUE"""),0.29375)</f>
        <v>0.29375</v>
      </c>
      <c r="BC14" s="1478">
        <f>IFERROR(__xludf.DUMMYFUNCTION("""COMPUTED_VALUE"""),10560.0)</f>
        <v>10560</v>
      </c>
      <c r="BD14" s="1477">
        <f>IFERROR(__xludf.DUMMYFUNCTION("""COMPUTED_VALUE"""),0.29375)</f>
        <v>0.29375</v>
      </c>
      <c r="BE14" s="1478">
        <f>IFERROR(__xludf.DUMMYFUNCTION("""COMPUTED_VALUE"""),10560.0)</f>
        <v>10560</v>
      </c>
      <c r="BF14" s="1477">
        <f>IFERROR(__xludf.DUMMYFUNCTION("""COMPUTED_VALUE"""),0.29375)</f>
        <v>0.29375</v>
      </c>
      <c r="BG14" s="1478">
        <f>IFERROR(__xludf.DUMMYFUNCTION("""COMPUTED_VALUE"""),10560.0)</f>
        <v>10560</v>
      </c>
      <c r="BH14" s="1477">
        <f>IFERROR(__xludf.DUMMYFUNCTION("""COMPUTED_VALUE"""),2.6375)</f>
        <v>2.6375</v>
      </c>
      <c r="BI14" s="1478">
        <f>IFERROR(__xludf.DUMMYFUNCTION("""COMPUTED_VALUE"""),1.466E7)</f>
        <v>14660000</v>
      </c>
      <c r="BJ14" s="1477">
        <f>IFERROR(__xludf.DUMMYFUNCTION("""COMPUTED_VALUE"""),3.6333333333333333)</f>
        <v>3.633333333</v>
      </c>
      <c r="BK14" s="1478">
        <f>IFERROR(__xludf.DUMMYFUNCTION("""COMPUTED_VALUE"""),9.308E7)</f>
        <v>93080000</v>
      </c>
      <c r="BL14" s="1477">
        <f>IFERROR(__xludf.DUMMYFUNCTION("""COMPUTED_VALUE"""),5.173611111111111)</f>
        <v>5.173611111</v>
      </c>
      <c r="BM14" s="1478">
        <f>IFERROR(__xludf.DUMMYFUNCTION("""COMPUTED_VALUE"""),3.0068E8)</f>
        <v>300680000</v>
      </c>
      <c r="BN14" s="1477">
        <f>IFERROR(__xludf.DUMMYFUNCTION("""COMPUTED_VALUE"""),5.173611111111111)</f>
        <v>5.173611111</v>
      </c>
      <c r="BO14" s="1478">
        <f>IFERROR(__xludf.DUMMYFUNCTION("""COMPUTED_VALUE"""),3.0068E8)</f>
        <v>300680000</v>
      </c>
      <c r="BP14" s="1477">
        <f>IFERROR(__xludf.DUMMYFUNCTION("""COMPUTED_VALUE"""),7.022222222222222)</f>
        <v>7.022222222</v>
      </c>
      <c r="BQ14" s="1478">
        <f>IFERROR(__xludf.DUMMYFUNCTION("""COMPUTED_VALUE"""),3.008E8)</f>
        <v>300800000</v>
      </c>
      <c r="BR14" s="1520"/>
      <c r="BS14" s="1519"/>
      <c r="BT14" s="1479">
        <f>IFERROR(__xludf.DUMMYFUNCTION("""COMPUTED_VALUE"""),0.5125)</f>
        <v>0.5125</v>
      </c>
      <c r="BU14" s="1480">
        <f>IFERROR(__xludf.DUMMYFUNCTION("""COMPUTED_VALUE"""),3.47E9)</f>
        <v>3470000000</v>
      </c>
      <c r="BV14" s="1479">
        <f>IFERROR(__xludf.DUMMYFUNCTION("""COMPUTED_VALUE"""),10.216666666666667)</f>
        <v>10.21666667</v>
      </c>
      <c r="BW14" s="1480">
        <f>IFERROR(__xludf.DUMMYFUNCTION("""COMPUTED_VALUE"""),9.02E9)</f>
        <v>9020000000</v>
      </c>
      <c r="BX14" s="1479">
        <f>IFERROR(__xludf.DUMMYFUNCTION("""COMPUTED_VALUE"""),22.583171296296296)</f>
        <v>22.5831713</v>
      </c>
      <c r="BY14" s="1480">
        <f>IFERROR(__xludf.DUMMYFUNCTION("""COMPUTED_VALUE"""),9.249E10)</f>
        <v>92490000000</v>
      </c>
      <c r="BZ14" s="1479">
        <f>IFERROR(__xludf.DUMMYFUNCTION("""COMPUTED_VALUE"""),29.330555555555556)</f>
        <v>29.33055556</v>
      </c>
      <c r="CA14" s="1480">
        <f>IFERROR(__xludf.DUMMYFUNCTION("""COMPUTED_VALUE"""),1.2549E11)</f>
        <v>125490000000</v>
      </c>
      <c r="CB14" s="1520"/>
      <c r="CC14" s="1519"/>
      <c r="CD14" s="1477">
        <f>IFERROR(__xludf.DUMMYFUNCTION("""COMPUTED_VALUE"""),3.9858680555555557)</f>
        <v>3.985868056</v>
      </c>
      <c r="CE14" s="1481">
        <f>IFERROR(__xludf.DUMMYFUNCTION("""COMPUTED_VALUE"""),3.6677E11)</f>
        <v>366770000000</v>
      </c>
      <c r="CF14" s="1527"/>
      <c r="CG14" s="1560"/>
      <c r="CH14" s="1482">
        <f>IFERROR(__xludf.DUMMYFUNCTION("""COMPUTED_VALUE"""),0.29375)</f>
        <v>0.29375</v>
      </c>
      <c r="CI14" s="1483">
        <f>IFERROR(__xludf.DUMMYFUNCTION("""COMPUTED_VALUE"""),10570.0)</f>
        <v>10570</v>
      </c>
      <c r="CJ14" s="1482">
        <f>IFERROR(__xludf.DUMMYFUNCTION("""COMPUTED_VALUE"""),0.29375)</f>
        <v>0.29375</v>
      </c>
      <c r="CK14" s="1483">
        <f>IFERROR(__xludf.DUMMYFUNCTION("""COMPUTED_VALUE"""),10570.0)</f>
        <v>10570</v>
      </c>
      <c r="CL14" s="1482">
        <f>IFERROR(__xludf.DUMMYFUNCTION("""COMPUTED_VALUE"""),0.29375)</f>
        <v>0.29375</v>
      </c>
      <c r="CM14" s="1483">
        <f>IFERROR(__xludf.DUMMYFUNCTION("""COMPUTED_VALUE"""),10570.0)</f>
        <v>10570</v>
      </c>
      <c r="CN14" s="1482">
        <f>IFERROR(__xludf.DUMMYFUNCTION("""COMPUTED_VALUE"""),0.29375)</f>
        <v>0.29375</v>
      </c>
      <c r="CO14" s="1483">
        <f>IFERROR(__xludf.DUMMYFUNCTION("""COMPUTED_VALUE"""),10570.0)</f>
        <v>10570</v>
      </c>
      <c r="CP14" s="1482">
        <f>IFERROR(__xludf.DUMMYFUNCTION("""COMPUTED_VALUE"""),0.4770833333333333)</f>
        <v>0.4770833333</v>
      </c>
      <c r="CQ14" s="1483">
        <f>IFERROR(__xludf.DUMMYFUNCTION("""COMPUTED_VALUE"""),22370.0)</f>
        <v>22370</v>
      </c>
      <c r="CR14" s="1482">
        <f>IFERROR(__xludf.DUMMYFUNCTION("""COMPUTED_VALUE"""),11.908333333333333)</f>
        <v>11.90833333</v>
      </c>
      <c r="CS14" s="1483">
        <f>IFERROR(__xludf.DUMMYFUNCTION("""COMPUTED_VALUE"""),271720.0)</f>
        <v>271720</v>
      </c>
      <c r="CT14" s="1520"/>
      <c r="CU14" s="1519"/>
      <c r="CV14" s="1484">
        <f>IFERROR(__xludf.DUMMYFUNCTION("""COMPUTED_VALUE"""),10.67986111111111)</f>
        <v>10.67986111</v>
      </c>
      <c r="CW14" s="1485">
        <f>IFERROR(__xludf.DUMMYFUNCTION("""COMPUTED_VALUE"""),1.2032E11)</f>
        <v>120320000000</v>
      </c>
      <c r="CX14" s="1484">
        <f>IFERROR(__xludf.DUMMYFUNCTION("""COMPUTED_VALUE"""),10.67986111111111)</f>
        <v>10.67986111</v>
      </c>
      <c r="CY14" s="1485">
        <f>IFERROR(__xludf.DUMMYFUNCTION("""COMPUTED_VALUE"""),1.2032E11)</f>
        <v>120320000000</v>
      </c>
      <c r="CZ14" s="1484">
        <f>IFERROR(__xludf.DUMMYFUNCTION("""COMPUTED_VALUE"""),10.67986111111111)</f>
        <v>10.67986111</v>
      </c>
      <c r="DA14" s="1485">
        <f>IFERROR(__xludf.DUMMYFUNCTION("""COMPUTED_VALUE"""),1.2032E11)</f>
        <v>120320000000</v>
      </c>
      <c r="DB14" s="1484">
        <f>IFERROR(__xludf.DUMMYFUNCTION("""COMPUTED_VALUE"""),6.2555555555555555)</f>
        <v>6.255555556</v>
      </c>
      <c r="DC14" s="1485">
        <f>IFERROR(__xludf.DUMMYFUNCTION("""COMPUTED_VALUE"""),2.407E10)</f>
        <v>24070000000</v>
      </c>
      <c r="DD14" s="1484">
        <f>IFERROR(__xludf.DUMMYFUNCTION("""COMPUTED_VALUE"""),6.2555555555555555)</f>
        <v>6.255555556</v>
      </c>
      <c r="DE14" s="1485">
        <f>IFERROR(__xludf.DUMMYFUNCTION("""COMPUTED_VALUE"""),2.407E10)</f>
        <v>24070000000</v>
      </c>
      <c r="DF14" s="1486">
        <f>IFERROR(__xludf.DUMMYFUNCTION("""COMPUTED_VALUE"""),5.9375)</f>
        <v>5.9375</v>
      </c>
      <c r="DG14" s="1487">
        <f>IFERROR(__xludf.DUMMYFUNCTION("""COMPUTED_VALUE"""),3.0112E8)</f>
        <v>301120000</v>
      </c>
      <c r="DH14" s="1518"/>
      <c r="DI14" s="1519"/>
      <c r="DJ14" s="1486">
        <f>IFERROR(__xludf.DUMMYFUNCTION("""COMPUTED_VALUE"""),6.7243055555555555)</f>
        <v>6.724305556</v>
      </c>
      <c r="DK14" s="1487">
        <f>IFERROR(__xludf.DUMMYFUNCTION("""COMPUTED_VALUE"""),3.0167E8)</f>
        <v>301670000</v>
      </c>
      <c r="DL14" s="1486">
        <f>IFERROR(__xludf.DUMMYFUNCTION("""COMPUTED_VALUE"""),5.9375)</f>
        <v>5.9375</v>
      </c>
      <c r="DM14" s="1487">
        <f>IFERROR(__xludf.DUMMYFUNCTION("""COMPUTED_VALUE"""),3.0112E8)</f>
        <v>301120000</v>
      </c>
      <c r="DN14" s="1518"/>
      <c r="DO14" s="1519"/>
      <c r="DP14" s="1486">
        <f>IFERROR(__xludf.DUMMYFUNCTION("""COMPUTED_VALUE"""),5.9375)</f>
        <v>5.9375</v>
      </c>
      <c r="DQ14" s="1487">
        <f>IFERROR(__xludf.DUMMYFUNCTION("""COMPUTED_VALUE"""),3.0112E8)</f>
        <v>301120000</v>
      </c>
      <c r="DR14" s="1486">
        <f>IFERROR(__xludf.DUMMYFUNCTION("""COMPUTED_VALUE"""),5.9375)</f>
        <v>5.9375</v>
      </c>
      <c r="DS14" s="1487">
        <f>IFERROR(__xludf.DUMMYFUNCTION("""COMPUTED_VALUE"""),3.0112E8)</f>
        <v>301120000</v>
      </c>
      <c r="DT14" s="1518"/>
      <c r="DU14" s="1519"/>
      <c r="DV14" s="1486">
        <f>IFERROR(__xludf.DUMMYFUNCTION("""COMPUTED_VALUE"""),5.9375)</f>
        <v>5.9375</v>
      </c>
      <c r="DW14" s="1487">
        <f>IFERROR(__xludf.DUMMYFUNCTION("""COMPUTED_VALUE"""),3.0112E8)</f>
        <v>301120000</v>
      </c>
      <c r="DX14" s="1486">
        <f>IFERROR(__xludf.DUMMYFUNCTION("""COMPUTED_VALUE"""),5.9375)</f>
        <v>5.9375</v>
      </c>
      <c r="DY14" s="1487">
        <f>IFERROR(__xludf.DUMMYFUNCTION("""COMPUTED_VALUE"""),3.0112E8)</f>
        <v>301120000</v>
      </c>
      <c r="DZ14" s="1486">
        <f>IFERROR(__xludf.DUMMYFUNCTION("""COMPUTED_VALUE"""),9.0625)</f>
        <v>9.0625</v>
      </c>
      <c r="EA14" s="1487">
        <f>IFERROR(__xludf.DUMMYFUNCTION("""COMPUTED_VALUE"""),7.0009E8)</f>
        <v>700090000</v>
      </c>
      <c r="EB14" s="1486">
        <f>IFERROR(__xludf.DUMMYFUNCTION("""COMPUTED_VALUE"""),9.0625)</f>
        <v>9.0625</v>
      </c>
      <c r="EC14" s="1487">
        <f>IFERROR(__xludf.DUMMYFUNCTION("""COMPUTED_VALUE"""),7.0009E8)</f>
        <v>700090000</v>
      </c>
      <c r="ED14" s="1518"/>
      <c r="EE14" s="1519"/>
      <c r="EF14" s="1486">
        <f>IFERROR(__xludf.DUMMYFUNCTION("""COMPUTED_VALUE"""),8.229166666666666)</f>
        <v>8.229166667</v>
      </c>
      <c r="EG14" s="1487">
        <f>IFERROR(__xludf.DUMMYFUNCTION("""COMPUTED_VALUE"""),6.9934E8)</f>
        <v>699340000</v>
      </c>
      <c r="EH14" s="1486">
        <f>IFERROR(__xludf.DUMMYFUNCTION("""COMPUTED_VALUE"""),8.229166666666666)</f>
        <v>8.229166667</v>
      </c>
      <c r="EI14" s="1487">
        <f>IFERROR(__xludf.DUMMYFUNCTION("""COMPUTED_VALUE"""),6.9934E8)</f>
        <v>699340000</v>
      </c>
      <c r="EJ14" s="1486">
        <f>IFERROR(__xludf.DUMMYFUNCTION("""COMPUTED_VALUE"""),7.616793981481481)</f>
        <v>7.616793981</v>
      </c>
      <c r="EK14" s="1487">
        <f>IFERROR(__xludf.DUMMYFUNCTION("""COMPUTED_VALUE"""),3.4744E8)</f>
        <v>347440000</v>
      </c>
      <c r="EL14" s="1486">
        <f>IFERROR(__xludf.DUMMYFUNCTION("""COMPUTED_VALUE"""),8.229270833333333)</f>
        <v>8.229270833</v>
      </c>
      <c r="EM14" s="1487">
        <f>IFERROR(__xludf.DUMMYFUNCTION("""COMPUTED_VALUE"""),6.9934E8)</f>
        <v>699340000</v>
      </c>
      <c r="EN14" s="1486">
        <f>IFERROR(__xludf.DUMMYFUNCTION("""COMPUTED_VALUE"""),8.229166666666666)</f>
        <v>8.229166667</v>
      </c>
      <c r="EO14" s="1487">
        <f>IFERROR(__xludf.DUMMYFUNCTION("""COMPUTED_VALUE"""),6.9934E8)</f>
        <v>699340000</v>
      </c>
      <c r="EP14" s="1486">
        <f>IFERROR(__xludf.DUMMYFUNCTION("""COMPUTED_VALUE"""),8.229166666666666)</f>
        <v>8.229166667</v>
      </c>
      <c r="EQ14" s="1487">
        <f>IFERROR(__xludf.DUMMYFUNCTION("""COMPUTED_VALUE"""),6.9934E8)</f>
        <v>699340000</v>
      </c>
      <c r="ER14" s="1486">
        <f>IFERROR(__xludf.DUMMYFUNCTION("""COMPUTED_VALUE"""),8.229166666666666)</f>
        <v>8.229166667</v>
      </c>
      <c r="ES14" s="1487">
        <f>IFERROR(__xludf.DUMMYFUNCTION("""COMPUTED_VALUE"""),6.9934E8)</f>
        <v>699340000</v>
      </c>
      <c r="ET14" s="1486">
        <f>IFERROR(__xludf.DUMMYFUNCTION("""COMPUTED_VALUE"""),8.229166666666666)</f>
        <v>8.229166667</v>
      </c>
      <c r="EU14" s="1487">
        <f>IFERROR(__xludf.DUMMYFUNCTION("""COMPUTED_VALUE"""),7.0014E8)</f>
        <v>700140000</v>
      </c>
      <c r="EV14" s="1518"/>
      <c r="EW14" s="1519"/>
      <c r="EX14" s="1518"/>
      <c r="EY14" s="1519"/>
      <c r="EZ14" s="1518"/>
      <c r="FA14" s="1519"/>
      <c r="FB14" s="1520"/>
      <c r="FC14" s="1519"/>
      <c r="FD14" s="1520"/>
      <c r="FE14" s="1519"/>
      <c r="FF14" s="1486">
        <f>IFERROR(__xludf.DUMMYFUNCTION("""COMPUTED_VALUE"""),9.0625)</f>
        <v>9.0625</v>
      </c>
      <c r="FG14" s="1488">
        <f>IFERROR(__xludf.DUMMYFUNCTION("""COMPUTED_VALUE"""),1.64E9)</f>
        <v>1640000000</v>
      </c>
      <c r="FH14" s="1486">
        <f>IFERROR(__xludf.DUMMYFUNCTION("""COMPUTED_VALUE"""),9.0625)</f>
        <v>9.0625</v>
      </c>
      <c r="FI14" s="1488">
        <f>IFERROR(__xludf.DUMMYFUNCTION("""COMPUTED_VALUE"""),1.64E9)</f>
        <v>1640000000</v>
      </c>
      <c r="FJ14" s="1486">
        <f>IFERROR(__xludf.DUMMYFUNCTION("""COMPUTED_VALUE"""),14.061828703703704)</f>
        <v>14.0618287</v>
      </c>
      <c r="FK14" s="1487">
        <f>IFERROR(__xludf.DUMMYFUNCTION("""COMPUTED_VALUE"""),8.99091892E8)</f>
        <v>899091892</v>
      </c>
      <c r="FL14" s="1518"/>
      <c r="FM14" s="1519"/>
      <c r="FN14" s="1532"/>
      <c r="FO14" s="1520"/>
      <c r="FP14" s="1486">
        <f>IFERROR(__xludf.DUMMYFUNCTION("""COMPUTED_VALUE"""),28.987916666666667)</f>
        <v>28.98791667</v>
      </c>
      <c r="FQ14" s="1488">
        <f>IFERROR(__xludf.DUMMYFUNCTION("""COMPUTED_VALUE"""),8.65E12)</f>
        <v>8650000000000</v>
      </c>
      <c r="FR14" s="1532"/>
      <c r="FS14" s="1520"/>
      <c r="FT14" s="1486">
        <f>IFERROR(__xludf.DUMMYFUNCTION("""COMPUTED_VALUE"""),28.987916666666667)</f>
        <v>28.98791667</v>
      </c>
      <c r="FU14" s="1488">
        <f>IFERROR(__xludf.DUMMYFUNCTION("""COMPUTED_VALUE"""),8.65E12)</f>
        <v>8650000000000</v>
      </c>
      <c r="FV14" s="1486">
        <f>IFERROR(__xludf.DUMMYFUNCTION("""COMPUTED_VALUE"""),28.987916666666667)</f>
        <v>28.98791667</v>
      </c>
      <c r="FW14" s="1488">
        <f>IFERROR(__xludf.DUMMYFUNCTION("""COMPUTED_VALUE"""),8.65E12)</f>
        <v>8650000000000</v>
      </c>
      <c r="FX14" s="1491">
        <f>IFERROR(__xludf.DUMMYFUNCTION("""COMPUTED_VALUE"""),11.087881944444444)</f>
        <v>11.08788194</v>
      </c>
      <c r="FY14" s="1492">
        <f>IFERROR(__xludf.DUMMYFUNCTION("""COMPUTED_VALUE"""),8.65E10)</f>
        <v>86500000000</v>
      </c>
      <c r="FZ14" s="1491">
        <f>IFERROR(__xludf.DUMMYFUNCTION("""COMPUTED_VALUE"""),28.98790509259259)</f>
        <v>28.98790509</v>
      </c>
      <c r="GA14" s="1492">
        <f>IFERROR(__xludf.DUMMYFUNCTION("""COMPUTED_VALUE"""),8.65E12)</f>
        <v>8650000000000</v>
      </c>
      <c r="GB14" s="1527"/>
      <c r="GC14" s="1527"/>
      <c r="GD14" s="1527"/>
      <c r="GE14" s="1560"/>
      <c r="GF14" s="1518"/>
      <c r="GG14" s="1519"/>
      <c r="GH14" s="1494">
        <f>IFERROR(__xludf.DUMMYFUNCTION("""COMPUTED_VALUE"""),7.4375)</f>
        <v>7.4375</v>
      </c>
      <c r="GI14" s="1495">
        <f>IFERROR(__xludf.DUMMYFUNCTION("""COMPUTED_VALUE"""),1.62E9)</f>
        <v>1620000000</v>
      </c>
      <c r="GJ14" s="1518"/>
      <c r="GK14" s="1519"/>
      <c r="GL14" s="1518"/>
      <c r="GM14" s="1519"/>
      <c r="GN14" s="1520"/>
      <c r="GO14" s="1519"/>
      <c r="GP14" s="1496">
        <f>IFERROR(__xludf.DUMMYFUNCTION("""COMPUTED_VALUE"""),7.604166666666666)</f>
        <v>7.604166667</v>
      </c>
      <c r="GQ14" s="1497">
        <f>IFERROR(__xludf.DUMMYFUNCTION("""COMPUTED_VALUE"""),5.832E10)</f>
        <v>58320000000</v>
      </c>
      <c r="GR14" s="1518"/>
      <c r="GS14" s="1519"/>
      <c r="GT14" s="1518"/>
      <c r="GU14" s="1519"/>
      <c r="GV14" s="1520"/>
      <c r="GW14" s="1519"/>
      <c r="GX14" s="1561"/>
      <c r="GY14" s="1527"/>
      <c r="GZ14" s="1518"/>
      <c r="HA14" s="1519"/>
      <c r="HB14" s="1501">
        <f>IFERROR(__xludf.DUMMYFUNCTION("""COMPUTED_VALUE"""),5.173611111111111)</f>
        <v>5.173611111</v>
      </c>
      <c r="HC14" s="1502">
        <f>IFERROR(__xludf.DUMMYFUNCTION("""COMPUTED_VALUE"""),3.22E9)</f>
        <v>3220000000</v>
      </c>
      <c r="HD14" s="1518"/>
      <c r="HE14" s="1519"/>
      <c r="HF14" s="1501">
        <f>IFERROR(__xludf.DUMMYFUNCTION("""COMPUTED_VALUE"""),5.427777777777778)</f>
        <v>5.427777778</v>
      </c>
      <c r="HG14" s="1502">
        <f>IFERROR(__xludf.DUMMYFUNCTION("""COMPUTED_VALUE"""),4.83E9)</f>
        <v>4830000000</v>
      </c>
      <c r="HH14" s="1518"/>
      <c r="HI14" s="1519"/>
      <c r="HJ14" s="1518"/>
      <c r="HK14" s="1519"/>
      <c r="HL14" s="1518"/>
      <c r="HM14" s="1519"/>
      <c r="HN14" s="1520"/>
      <c r="HO14" s="1519"/>
      <c r="HP14" s="1501">
        <f>IFERROR(__xludf.DUMMYFUNCTION("""COMPUTED_VALUE"""),17.869722222222222)</f>
        <v>17.86972222</v>
      </c>
      <c r="HQ14" s="1503">
        <f>IFERROR(__xludf.DUMMYFUNCTION("""COMPUTED_VALUE"""),1.46E9)</f>
        <v>1460000000</v>
      </c>
      <c r="HR14" s="1522">
        <f>IFERROR(__xludf.DUMMYFUNCTION("""COMPUTED_VALUE"""),9.985416666666667)</f>
        <v>9.985416667</v>
      </c>
      <c r="HS14" s="1523">
        <f>IFERROR(__xludf.DUMMYFUNCTION("""COMPUTED_VALUE"""),8.41E9)</f>
        <v>8410000000</v>
      </c>
      <c r="HT14" s="1522">
        <f>IFERROR(__xludf.DUMMYFUNCTION("""COMPUTED_VALUE"""),9.985416666666667)</f>
        <v>9.985416667</v>
      </c>
      <c r="HU14" s="1523">
        <f>IFERROR(__xludf.DUMMYFUNCTION("""COMPUTED_VALUE"""),8.41E9)</f>
        <v>8410000000</v>
      </c>
      <c r="HV14" s="1522">
        <f>IFERROR(__xludf.DUMMYFUNCTION("""COMPUTED_VALUE"""),9.985416666666667)</f>
        <v>9.985416667</v>
      </c>
      <c r="HW14" s="1523">
        <f>IFERROR(__xludf.DUMMYFUNCTION("""COMPUTED_VALUE"""),8.41E9)</f>
        <v>8410000000</v>
      </c>
      <c r="HX14" s="1524">
        <f>IFERROR(__xludf.DUMMYFUNCTION("""COMPUTED_VALUE"""),9.985416666666667)</f>
        <v>9.985416667</v>
      </c>
      <c r="HY14" s="1523">
        <f>IFERROR(__xludf.DUMMYFUNCTION("""COMPUTED_VALUE"""),8.41E9)</f>
        <v>8410000000</v>
      </c>
      <c r="HZ14" s="1518"/>
      <c r="IA14" s="1519"/>
      <c r="IB14" s="1524">
        <f>IFERROR(__xludf.DUMMYFUNCTION("""COMPUTED_VALUE"""),38.76991898148148)</f>
        <v>38.76991898</v>
      </c>
      <c r="IC14" s="1523">
        <f>IFERROR(__xludf.DUMMYFUNCTION("""COMPUTED_VALUE"""),8.65E12)</f>
        <v>8650000000000</v>
      </c>
      <c r="ID14" s="1524">
        <f>IFERROR(__xludf.DUMMYFUNCTION("""COMPUTED_VALUE"""),38.76991898148148)</f>
        <v>38.76991898</v>
      </c>
      <c r="IE14" s="1523">
        <f>IFERROR(__xludf.DUMMYFUNCTION("""COMPUTED_VALUE"""),8.65E12)</f>
        <v>8650000000000</v>
      </c>
      <c r="IF14" s="1524">
        <f>IFERROR(__xludf.DUMMYFUNCTION("""COMPUTED_VALUE"""),38.76991898148148)</f>
        <v>38.76991898</v>
      </c>
      <c r="IG14" s="1523">
        <f>IFERROR(__xludf.DUMMYFUNCTION("""COMPUTED_VALUE"""),8.65E12)</f>
        <v>8650000000000</v>
      </c>
      <c r="IH14" s="1507">
        <f>IFERROR(__xludf.DUMMYFUNCTION("""COMPUTED_VALUE"""),10.67986111111111)</f>
        <v>10.67986111</v>
      </c>
      <c r="II14" s="1508">
        <f>IFERROR(__xludf.DUMMYFUNCTION("""COMPUTED_VALUE"""),2.8532E11)</f>
        <v>285320000000</v>
      </c>
      <c r="IJ14" s="1507">
        <f>IFERROR(__xludf.DUMMYFUNCTION("""COMPUTED_VALUE"""),10.67986111111111)</f>
        <v>10.67986111</v>
      </c>
      <c r="IK14" s="1508">
        <f>IFERROR(__xludf.DUMMYFUNCTION("""COMPUTED_VALUE"""),2.8532E11)</f>
        <v>285320000000</v>
      </c>
      <c r="IL14" s="1507">
        <f>IFERROR(__xludf.DUMMYFUNCTION("""COMPUTED_VALUE"""),10.67986111111111)</f>
        <v>10.67986111</v>
      </c>
      <c r="IM14" s="1508">
        <f>IFERROR(__xludf.DUMMYFUNCTION("""COMPUTED_VALUE"""),4.0532E11)</f>
        <v>405320000000</v>
      </c>
      <c r="IN14" s="1507">
        <f>IFERROR(__xludf.DUMMYFUNCTION("""COMPUTED_VALUE"""),10.67986111111111)</f>
        <v>10.67986111</v>
      </c>
      <c r="IO14" s="1508">
        <f>IFERROR(__xludf.DUMMYFUNCTION("""COMPUTED_VALUE"""),4.0532E11)</f>
        <v>405320000000</v>
      </c>
      <c r="IP14" s="1507">
        <f>IFERROR(__xludf.DUMMYFUNCTION("""COMPUTED_VALUE"""),11.14236111111111)</f>
        <v>11.14236111</v>
      </c>
      <c r="IQ14" s="1508">
        <f>IFERROR(__xludf.DUMMYFUNCTION("""COMPUTED_VALUE"""),7.6532E11)</f>
        <v>765320000000</v>
      </c>
      <c r="IR14" s="1507">
        <f>IFERROR(__xludf.DUMMYFUNCTION("""COMPUTED_VALUE"""),10.67986111111111)</f>
        <v>10.67986111</v>
      </c>
      <c r="IS14" s="1508">
        <f>IFERROR(__xludf.DUMMYFUNCTION("""COMPUTED_VALUE"""),4.0532E11)</f>
        <v>405320000000</v>
      </c>
      <c r="IT14" s="1507">
        <f>IFERROR(__xludf.DUMMYFUNCTION("""COMPUTED_VALUE"""),10.67986111111111)</f>
        <v>10.67986111</v>
      </c>
      <c r="IU14" s="1508">
        <f>IFERROR(__xludf.DUMMYFUNCTION("""COMPUTED_VALUE"""),4.0532E11)</f>
        <v>405320000000</v>
      </c>
      <c r="IV14" s="1507">
        <f>IFERROR(__xludf.DUMMYFUNCTION("""COMPUTED_VALUE"""),10.67986111111111)</f>
        <v>10.67986111</v>
      </c>
      <c r="IW14" s="1508">
        <f>IFERROR(__xludf.DUMMYFUNCTION("""COMPUTED_VALUE"""),4.0532E11)</f>
        <v>405320000000</v>
      </c>
      <c r="IX14" s="1507">
        <f>IFERROR(__xludf.DUMMYFUNCTION("""COMPUTED_VALUE"""),10.67986111111111)</f>
        <v>10.67986111</v>
      </c>
      <c r="IY14" s="1508">
        <f>IFERROR(__xludf.DUMMYFUNCTION("""COMPUTED_VALUE"""),4.0532E11)</f>
        <v>405320000000</v>
      </c>
      <c r="IZ14" s="1507">
        <f>IFERROR(__xludf.DUMMYFUNCTION("""COMPUTED_VALUE"""),10.67986111111111)</f>
        <v>10.67986111</v>
      </c>
      <c r="JA14" s="1508">
        <f>IFERROR(__xludf.DUMMYFUNCTION("""COMPUTED_VALUE"""),5.2532E11)</f>
        <v>525320000000</v>
      </c>
      <c r="JB14" s="1507">
        <f>IFERROR(__xludf.DUMMYFUNCTION("""COMPUTED_VALUE"""),10.67986111111111)</f>
        <v>10.67986111</v>
      </c>
      <c r="JC14" s="1508">
        <f>IFERROR(__xludf.DUMMYFUNCTION("""COMPUTED_VALUE"""),5.2532E11)</f>
        <v>525320000000</v>
      </c>
      <c r="JD14" s="1507">
        <f>IFERROR(__xludf.DUMMYFUNCTION("""COMPUTED_VALUE"""),10.67986111111111)</f>
        <v>10.67986111</v>
      </c>
      <c r="JE14" s="1508">
        <f>IFERROR(__xludf.DUMMYFUNCTION("""COMPUTED_VALUE"""),5.2532E11)</f>
        <v>525320000000</v>
      </c>
      <c r="JF14" s="1507">
        <f>IFERROR(__xludf.DUMMYFUNCTION("""COMPUTED_VALUE"""),10.67986111111111)</f>
        <v>10.67986111</v>
      </c>
      <c r="JG14" s="1508">
        <f>IFERROR(__xludf.DUMMYFUNCTION("""COMPUTED_VALUE"""),5.2532E11)</f>
        <v>525320000000</v>
      </c>
      <c r="JH14" s="1507">
        <f>IFERROR(__xludf.DUMMYFUNCTION("""COMPUTED_VALUE"""),11.14236111111111)</f>
        <v>11.14236111</v>
      </c>
      <c r="JI14" s="1508">
        <f>IFERROR(__xludf.DUMMYFUNCTION("""COMPUTED_VALUE"""),8.9532E11)</f>
        <v>895320000000</v>
      </c>
      <c r="JJ14" s="1507">
        <f>IFERROR(__xludf.DUMMYFUNCTION("""COMPUTED_VALUE"""),129.59375)</f>
        <v>129.59375</v>
      </c>
      <c r="JK14" s="1509">
        <f>IFERROR(__xludf.DUMMYFUNCTION("""COMPUTED_VALUE"""),3.0E18)</f>
        <v>3E+18</v>
      </c>
      <c r="JL14" s="1507">
        <f>IFERROR(__xludf.DUMMYFUNCTION("""COMPUTED_VALUE"""),129.59375)</f>
        <v>129.59375</v>
      </c>
      <c r="JM14" s="1509">
        <f>IFERROR(__xludf.DUMMYFUNCTION("""COMPUTED_VALUE"""),3.0E18)</f>
        <v>3E+18</v>
      </c>
      <c r="JN14" s="1507">
        <f>IFERROR(__xludf.DUMMYFUNCTION("""COMPUTED_VALUE"""),129.59375)</f>
        <v>129.59375</v>
      </c>
      <c r="JO14" s="1509">
        <f>IFERROR(__xludf.DUMMYFUNCTION("""COMPUTED_VALUE"""),3.0E18)</f>
        <v>3E+18</v>
      </c>
      <c r="JP14" s="1507">
        <f>IFERROR(__xludf.DUMMYFUNCTION("""COMPUTED_VALUE"""),129.59375)</f>
        <v>129.59375</v>
      </c>
      <c r="JQ14" s="1509">
        <f>IFERROR(__xludf.DUMMYFUNCTION("""COMPUTED_VALUE"""),3.0E18)</f>
        <v>3E+18</v>
      </c>
      <c r="JR14" s="1507">
        <f>IFERROR(__xludf.DUMMYFUNCTION("""COMPUTED_VALUE"""),129.59375)</f>
        <v>129.59375</v>
      </c>
      <c r="JS14" s="1509">
        <f>IFERROR(__xludf.DUMMYFUNCTION("""COMPUTED_VALUE"""),3.0E18)</f>
        <v>3E+18</v>
      </c>
      <c r="JT14" s="1507">
        <f>IFERROR(__xludf.DUMMYFUNCTION("""COMPUTED_VALUE"""),129.59375)</f>
        <v>129.59375</v>
      </c>
      <c r="JU14" s="1509">
        <f>IFERROR(__xludf.DUMMYFUNCTION("""COMPUTED_VALUE"""),3.0E18)</f>
        <v>3E+18</v>
      </c>
      <c r="JV14" s="1507">
        <f>IFERROR(__xludf.DUMMYFUNCTION("""COMPUTED_VALUE"""),32.39791666666667)</f>
        <v>32.39791667</v>
      </c>
      <c r="JW14" s="1509">
        <f>IFERROR(__xludf.DUMMYFUNCTION("""COMPUTED_VALUE"""),4.04956517E13)</f>
        <v>40495651700000</v>
      </c>
      <c r="JX14" s="1562"/>
      <c r="JY14" s="1560"/>
      <c r="JZ14" s="1510">
        <f>IFERROR(__xludf.DUMMYFUNCTION("""COMPUTED_VALUE"""),1.847951389)</f>
        <v>1.847951389</v>
      </c>
      <c r="KA14" s="1514">
        <f>IFERROR(__xludf.DUMMYFUNCTION("""COMPUTED_VALUE"""),1.3E9)</f>
        <v>1300000000</v>
      </c>
      <c r="KB14" s="1510">
        <f>IFERROR(__xludf.DUMMYFUNCTION("""COMPUTED_VALUE"""),2.026643519)</f>
        <v>2.026643519</v>
      </c>
      <c r="KC14" s="1514">
        <f>IFERROR(__xludf.DUMMYFUNCTION("""COMPUTED_VALUE"""),3.99E9)</f>
        <v>3990000000</v>
      </c>
      <c r="KD14" s="1510">
        <f>IFERROR(__xludf.DUMMYFUNCTION("""COMPUTED_VALUE"""),7.785601852)</f>
        <v>7.785601852</v>
      </c>
      <c r="KE14" s="1514">
        <f>IFERROR(__xludf.DUMMYFUNCTION("""COMPUTED_VALUE"""),2.2023E11)</f>
        <v>220230000000</v>
      </c>
      <c r="KF14" s="1510">
        <f>IFERROR(__xludf.DUMMYFUNCTION("""COMPUTED_VALUE"""),7.785601852)</f>
        <v>7.785601852</v>
      </c>
      <c r="KG14" s="1514">
        <f>IFERROR(__xludf.DUMMYFUNCTION("""COMPUTED_VALUE"""),2.2023E11)</f>
        <v>220230000000</v>
      </c>
      <c r="KH14" s="1562"/>
      <c r="KI14" s="1560"/>
      <c r="KJ14" s="1527"/>
      <c r="KK14" s="1527"/>
      <c r="KL14" s="1527"/>
      <c r="KM14" s="1527"/>
      <c r="KN14" s="1527"/>
      <c r="KO14" s="1527"/>
      <c r="KP14" s="1527"/>
      <c r="KQ14" s="1527"/>
      <c r="KR14" s="1527"/>
      <c r="KS14" s="1527"/>
      <c r="KT14" s="1527"/>
      <c r="KU14" s="1527"/>
      <c r="KV14" s="1525">
        <f>IFERROR(__xludf.DUMMYFUNCTION("""COMPUTED_VALUE"""),129.59375)</f>
        <v>129.59375</v>
      </c>
      <c r="KW14" s="1526">
        <f>IFERROR(__xludf.DUMMYFUNCTION("""COMPUTED_VALUE"""),3.0E18)</f>
        <v>3E+18</v>
      </c>
      <c r="KX14" s="1525">
        <f>IFERROR(__xludf.DUMMYFUNCTION("""COMPUTED_VALUE"""),129.59375)</f>
        <v>129.59375</v>
      </c>
      <c r="KY14" s="1526">
        <f>IFERROR(__xludf.DUMMYFUNCTION("""COMPUTED_VALUE"""),3.0E18)</f>
        <v>3E+18</v>
      </c>
      <c r="KZ14" s="1525">
        <f>IFERROR(__xludf.DUMMYFUNCTION("""COMPUTED_VALUE"""),129.59375)</f>
        <v>129.59375</v>
      </c>
      <c r="LA14" s="1526">
        <f>IFERROR(__xludf.DUMMYFUNCTION("""COMPUTED_VALUE"""),3.0E18)</f>
        <v>3E+18</v>
      </c>
      <c r="LB14" s="1525">
        <f>IFERROR(__xludf.DUMMYFUNCTION("""COMPUTED_VALUE"""),129.59375)</f>
        <v>129.59375</v>
      </c>
      <c r="LC14" s="1526">
        <f>IFERROR(__xludf.DUMMYFUNCTION("""COMPUTED_VALUE"""),3.0E18)</f>
        <v>3E+18</v>
      </c>
      <c r="LD14" s="1525">
        <f>IFERROR(__xludf.DUMMYFUNCTION("""COMPUTED_VALUE"""),129.59375)</f>
        <v>129.59375</v>
      </c>
      <c r="LE14" s="1526">
        <f>IFERROR(__xludf.DUMMYFUNCTION("""COMPUTED_VALUE"""),3.0E18)</f>
        <v>3E+18</v>
      </c>
      <c r="LF14" s="1525">
        <f>IFERROR(__xludf.DUMMYFUNCTION("""COMPUTED_VALUE"""),129.59375)</f>
        <v>129.59375</v>
      </c>
      <c r="LG14" s="1526">
        <f>IFERROR(__xludf.DUMMYFUNCTION("""COMPUTED_VALUE"""),3.0E18)</f>
        <v>3E+18</v>
      </c>
      <c r="LH14" s="1525">
        <f>IFERROR(__xludf.DUMMYFUNCTION("""COMPUTED_VALUE"""),129.59375)</f>
        <v>129.59375</v>
      </c>
      <c r="LI14" s="1526">
        <f>IFERROR(__xludf.DUMMYFUNCTION("""COMPUTED_VALUE"""),3.0E18)</f>
        <v>3E+18</v>
      </c>
      <c r="LJ14" s="1525">
        <f>IFERROR(__xludf.DUMMYFUNCTION("""COMPUTED_VALUE"""),129.59375)</f>
        <v>129.59375</v>
      </c>
      <c r="LK14" s="1526">
        <f>IFERROR(__xludf.DUMMYFUNCTION("""COMPUTED_VALUE"""),3.0E18)</f>
        <v>3E+18</v>
      </c>
      <c r="LL14" s="1527"/>
      <c r="LM14" s="1527"/>
      <c r="LN14" s="1516">
        <f>IFERROR(__xludf.DUMMYFUNCTION("""COMPUTED_VALUE"""),161.9923611111111)</f>
        <v>161.9923611</v>
      </c>
      <c r="LO14" s="1495">
        <f>IFERROR(__xludf.DUMMYFUNCTION("""COMPUTED_VALUE"""),2.4E18)</f>
        <v>2.4E+18</v>
      </c>
      <c r="LP14" s="1516">
        <f>IFERROR(__xludf.DUMMYFUNCTION("""COMPUTED_VALUE"""),161.9923611111111)</f>
        <v>161.9923611</v>
      </c>
      <c r="LQ14" s="1495">
        <f>IFERROR(__xludf.DUMMYFUNCTION("""COMPUTED_VALUE"""),2.4E18)</f>
        <v>2.4E+18</v>
      </c>
      <c r="LR14" s="1516">
        <f>IFERROR(__xludf.DUMMYFUNCTION("""COMPUTED_VALUE"""),161.9923611111111)</f>
        <v>161.9923611</v>
      </c>
      <c r="LS14" s="1495">
        <f>IFERROR(__xludf.DUMMYFUNCTION("""COMPUTED_VALUE"""),2.4E18)</f>
        <v>2.4E+18</v>
      </c>
      <c r="LT14" s="1516">
        <f>IFERROR(__xludf.DUMMYFUNCTION("""COMPUTED_VALUE"""),161.9923611111111)</f>
        <v>161.9923611</v>
      </c>
      <c r="LU14" s="1495">
        <f>IFERROR(__xludf.DUMMYFUNCTION("""COMPUTED_VALUE"""),2.4E18)</f>
        <v>2.4E+18</v>
      </c>
      <c r="LV14" s="1516">
        <f>IFERROR(__xludf.DUMMYFUNCTION("""COMPUTED_VALUE"""),161.9923611111111)</f>
        <v>161.9923611</v>
      </c>
      <c r="LW14" s="1495">
        <f>IFERROR(__xludf.DUMMYFUNCTION("""COMPUTED_VALUE"""),2.4E18)</f>
        <v>2.4E+18</v>
      </c>
      <c r="LX14" s="1516">
        <f>IFERROR(__xludf.DUMMYFUNCTION("""COMPUTED_VALUE"""),194.39097222222222)</f>
        <v>194.3909722</v>
      </c>
      <c r="LY14" s="1517">
        <f>IFERROR(__xludf.DUMMYFUNCTION("""COMPUTED_VALUE"""),6.0E18)</f>
        <v>6E+18</v>
      </c>
      <c r="LZ14" s="1516">
        <f>IFERROR(__xludf.DUMMYFUNCTION("""COMPUTED_VALUE"""),194.39097222222222)</f>
        <v>194.3909722</v>
      </c>
      <c r="MA14" s="1517">
        <f>IFERROR(__xludf.DUMMYFUNCTION("""COMPUTED_VALUE"""),6.0E18)</f>
        <v>6E+18</v>
      </c>
      <c r="MB14" s="1516">
        <f>IFERROR(__xludf.DUMMYFUNCTION("""COMPUTED_VALUE"""),194.39097222222222)</f>
        <v>194.3909722</v>
      </c>
      <c r="MC14" s="1517">
        <f>IFERROR(__xludf.DUMMYFUNCTION("""COMPUTED_VALUE"""),6.0E18)</f>
        <v>6E+18</v>
      </c>
      <c r="MD14" s="1516">
        <f>IFERROR(__xludf.DUMMYFUNCTION("""COMPUTED_VALUE"""),194.39097222222222)</f>
        <v>194.3909722</v>
      </c>
      <c r="ME14" s="1517">
        <f>IFERROR(__xludf.DUMMYFUNCTION("""COMPUTED_VALUE"""),6.0E18)</f>
        <v>6E+18</v>
      </c>
      <c r="MF14" s="1527"/>
      <c r="MG14" s="1527"/>
      <c r="MH14" s="1527"/>
      <c r="MI14" s="1527"/>
      <c r="MJ14" s="1527"/>
      <c r="MK14" s="1527"/>
      <c r="ML14" s="1527"/>
      <c r="MM14" s="1527"/>
      <c r="MN14" s="1527"/>
      <c r="MO14" s="1527"/>
      <c r="MP14" s="1527"/>
      <c r="MQ14" s="1527"/>
      <c r="MR14" s="1527"/>
      <c r="MS14" s="1527"/>
      <c r="MT14" s="1527"/>
      <c r="MU14" s="1527"/>
      <c r="MV14" s="1527"/>
      <c r="MW14" s="1527"/>
      <c r="MX14" s="1527"/>
      <c r="MY14" s="1527"/>
    </row>
    <row r="15">
      <c r="A15" s="1465">
        <f>IFERROR(__xludf.DUMMYFUNCTION("""COMPUTED_VALUE"""),13.0)</f>
        <v>13</v>
      </c>
      <c r="B15" s="1563"/>
      <c r="C15" s="1519"/>
      <c r="D15" s="1466">
        <f>IFERROR(__xludf.DUMMYFUNCTION("""COMPUTED_VALUE"""),0.35694444444444445)</f>
        <v>0.3569444444</v>
      </c>
      <c r="E15" s="1467">
        <f>IFERROR(__xludf.DUMMYFUNCTION("""COMPUTED_VALUE"""),13350.0)</f>
        <v>13350</v>
      </c>
      <c r="F15" s="1466">
        <f>IFERROR(__xludf.DUMMYFUNCTION("""COMPUTED_VALUE"""),0.35694444444444445)</f>
        <v>0.3569444444</v>
      </c>
      <c r="G15" s="1468">
        <f>IFERROR(__xludf.DUMMYFUNCTION("""COMPUTED_VALUE"""),13350.0)</f>
        <v>13350</v>
      </c>
      <c r="H15" s="1466">
        <f>IFERROR(__xludf.DUMMYFUNCTION("""COMPUTED_VALUE"""),0.35694444444444445)</f>
        <v>0.3569444444</v>
      </c>
      <c r="I15" s="1467">
        <f>IFERROR(__xludf.DUMMYFUNCTION("""COMPUTED_VALUE"""),13350.0)</f>
        <v>13350</v>
      </c>
      <c r="J15" s="1466">
        <f>IFERROR(__xludf.DUMMYFUNCTION("""COMPUTED_VALUE"""),0.35694444444444445)</f>
        <v>0.3569444444</v>
      </c>
      <c r="K15" s="1467">
        <f>IFERROR(__xludf.DUMMYFUNCTION("""COMPUTED_VALUE"""),13350.0)</f>
        <v>13350</v>
      </c>
      <c r="L15" s="1466">
        <f>IFERROR(__xludf.DUMMYFUNCTION("""COMPUTED_VALUE"""),0.5270833333333333)</f>
        <v>0.5270833333</v>
      </c>
      <c r="M15" s="1469">
        <f>IFERROR(__xludf.DUMMYFUNCTION("""COMPUTED_VALUE"""),28150.0)</f>
        <v>28150</v>
      </c>
      <c r="N15" s="1470">
        <f>IFERROR(__xludf.DUMMYFUNCTION("""COMPUTED_VALUE"""),0.425)</f>
        <v>0.425</v>
      </c>
      <c r="O15" s="1467">
        <f>IFERROR(__xludf.DUMMYFUNCTION("""COMPUTED_VALUE"""),29200.0)</f>
        <v>29200</v>
      </c>
      <c r="P15" s="1518"/>
      <c r="Q15" s="1519"/>
      <c r="R15" s="1518"/>
      <c r="S15" s="1519"/>
      <c r="T15" s="1518"/>
      <c r="U15" s="1519"/>
      <c r="V15" s="1518"/>
      <c r="W15" s="1519"/>
      <c r="X15" s="1518"/>
      <c r="Y15" s="1519"/>
      <c r="Z15" s="1518"/>
      <c r="AA15" s="1519"/>
      <c r="AB15" s="1518"/>
      <c r="AC15" s="1519"/>
      <c r="AD15" s="1466">
        <f>IFERROR(__xludf.DUMMYFUNCTION("""COMPUTED_VALUE"""),14.03888888888889)</f>
        <v>14.03888889</v>
      </c>
      <c r="AE15" s="1474">
        <f>IFERROR(__xludf.DUMMYFUNCTION("""COMPUTED_VALUE"""),2.329808512E10)</f>
        <v>23298085120</v>
      </c>
      <c r="AF15" s="1466">
        <f>IFERROR(__xludf.DUMMYFUNCTION("""COMPUTED_VALUE"""),14.03888888888889)</f>
        <v>14.03888889</v>
      </c>
      <c r="AG15" s="1474">
        <f>IFERROR(__xludf.DUMMYFUNCTION("""COMPUTED_VALUE"""),2.329808512E10)</f>
        <v>23298085120</v>
      </c>
      <c r="AH15" s="1466">
        <f>IFERROR(__xludf.DUMMYFUNCTION("""COMPUTED_VALUE"""),14.03888888888889)</f>
        <v>14.03888889</v>
      </c>
      <c r="AI15" s="1474">
        <f>IFERROR(__xludf.DUMMYFUNCTION("""COMPUTED_VALUE"""),2.329808512E10)</f>
        <v>23298085120</v>
      </c>
      <c r="AJ15" s="1475">
        <f>IFERROR(__xludf.DUMMYFUNCTION("""COMPUTED_VALUE"""),0.35694444444444445)</f>
        <v>0.3569444444</v>
      </c>
      <c r="AK15" s="1476">
        <f>IFERROR(__xludf.DUMMYFUNCTION("""COMPUTED_VALUE"""),13350.0)</f>
        <v>13350</v>
      </c>
      <c r="AL15" s="1475">
        <f>IFERROR(__xludf.DUMMYFUNCTION("""COMPUTED_VALUE"""),0.35694444444444445)</f>
        <v>0.3569444444</v>
      </c>
      <c r="AM15" s="1476">
        <f>IFERROR(__xludf.DUMMYFUNCTION("""COMPUTED_VALUE"""),13350.0)</f>
        <v>13350</v>
      </c>
      <c r="AN15" s="1475">
        <f>IFERROR(__xludf.DUMMYFUNCTION("""COMPUTED_VALUE"""),0.35694444444444445)</f>
        <v>0.3569444444</v>
      </c>
      <c r="AO15" s="1476">
        <f>IFERROR(__xludf.DUMMYFUNCTION("""COMPUTED_VALUE"""),13350.0)</f>
        <v>13350</v>
      </c>
      <c r="AP15" s="1475">
        <f>IFERROR(__xludf.DUMMYFUNCTION("""COMPUTED_VALUE"""),0.35694444444444445)</f>
        <v>0.3569444444</v>
      </c>
      <c r="AQ15" s="1476">
        <f>IFERROR(__xludf.DUMMYFUNCTION("""COMPUTED_VALUE"""),13350.0)</f>
        <v>13350</v>
      </c>
      <c r="AR15" s="1475">
        <f>IFERROR(__xludf.DUMMYFUNCTION("""COMPUTED_VALUE"""),0.35694444444444445)</f>
        <v>0.3569444444</v>
      </c>
      <c r="AS15" s="1476">
        <f>IFERROR(__xludf.DUMMYFUNCTION("""COMPUTED_VALUE"""),13360.0)</f>
        <v>13360</v>
      </c>
      <c r="AT15" s="1475">
        <f>IFERROR(__xludf.DUMMYFUNCTION("""COMPUTED_VALUE"""),35.71666666666667)</f>
        <v>35.71666667</v>
      </c>
      <c r="AU15" s="1476">
        <f>IFERROR(__xludf.DUMMYFUNCTION("""COMPUTED_VALUE"""),1.2067E8)</f>
        <v>120670000</v>
      </c>
      <c r="AV15" s="1475">
        <f>IFERROR(__xludf.DUMMYFUNCTION("""COMPUTED_VALUE"""),24.90138888888889)</f>
        <v>24.90138889</v>
      </c>
      <c r="AW15" s="1476">
        <f>IFERROR(__xludf.DUMMYFUNCTION("""COMPUTED_VALUE"""),1.2067E8)</f>
        <v>120670000</v>
      </c>
      <c r="AX15" s="1475">
        <f>IFERROR(__xludf.DUMMYFUNCTION("""COMPUTED_VALUE"""),10.608333333333334)</f>
        <v>10.60833333</v>
      </c>
      <c r="AY15" s="1476">
        <f>IFERROR(__xludf.DUMMYFUNCTION("""COMPUTED_VALUE"""),6.8631E11)</f>
        <v>686310000000</v>
      </c>
      <c r="AZ15" s="1518"/>
      <c r="BA15" s="1518"/>
      <c r="BB15" s="1477">
        <f>IFERROR(__xludf.DUMMYFUNCTION("""COMPUTED_VALUE"""),0.35694444444444445)</f>
        <v>0.3569444444</v>
      </c>
      <c r="BC15" s="1478">
        <f>IFERROR(__xludf.DUMMYFUNCTION("""COMPUTED_VALUE"""),13350.0)</f>
        <v>13350</v>
      </c>
      <c r="BD15" s="1477">
        <f>IFERROR(__xludf.DUMMYFUNCTION("""COMPUTED_VALUE"""),0.35694444444444445)</f>
        <v>0.3569444444</v>
      </c>
      <c r="BE15" s="1478">
        <f>IFERROR(__xludf.DUMMYFUNCTION("""COMPUTED_VALUE"""),13350.0)</f>
        <v>13350</v>
      </c>
      <c r="BF15" s="1477">
        <f>IFERROR(__xludf.DUMMYFUNCTION("""COMPUTED_VALUE"""),0.35694444444444445)</f>
        <v>0.3569444444</v>
      </c>
      <c r="BG15" s="1478">
        <f>IFERROR(__xludf.DUMMYFUNCTION("""COMPUTED_VALUE"""),13350.0)</f>
        <v>13350</v>
      </c>
      <c r="BH15" s="1477">
        <f>IFERROR(__xludf.DUMMYFUNCTION("""COMPUTED_VALUE"""),3.408333333333333)</f>
        <v>3.408333333</v>
      </c>
      <c r="BI15" s="1478">
        <f>IFERROR(__xludf.DUMMYFUNCTION("""COMPUTED_VALUE"""),2.076E7)</f>
        <v>20760000</v>
      </c>
      <c r="BJ15" s="1477">
        <f>IFERROR(__xludf.DUMMYFUNCTION("""COMPUTED_VALUE"""),4.6715277777777775)</f>
        <v>4.671527778</v>
      </c>
      <c r="BK15" s="1478">
        <f>IFERROR(__xludf.DUMMYFUNCTION("""COMPUTED_VALUE"""),1.3297E8)</f>
        <v>132970000</v>
      </c>
      <c r="BL15" s="1477">
        <f>IFERROR(__xludf.DUMMYFUNCTION("""COMPUTED_VALUE"""),6.585416666666666)</f>
        <v>6.585416667</v>
      </c>
      <c r="BM15" s="1478">
        <f>IFERROR(__xludf.DUMMYFUNCTION("""COMPUTED_VALUE"""),4.3708E8)</f>
        <v>437080000</v>
      </c>
      <c r="BN15" s="1477">
        <f>IFERROR(__xludf.DUMMYFUNCTION("""COMPUTED_VALUE"""),6.585416666666666)</f>
        <v>6.585416667</v>
      </c>
      <c r="BO15" s="1478">
        <f>IFERROR(__xludf.DUMMYFUNCTION("""COMPUTED_VALUE"""),4.3708E8)</f>
        <v>437080000</v>
      </c>
      <c r="BP15" s="1477">
        <f>IFERROR(__xludf.DUMMYFUNCTION("""COMPUTED_VALUE"""),9.1)</f>
        <v>9.1</v>
      </c>
      <c r="BQ15" s="1478">
        <f>IFERROR(__xludf.DUMMYFUNCTION("""COMPUTED_VALUE"""),4.3721E8)</f>
        <v>437210000</v>
      </c>
      <c r="BR15" s="1520"/>
      <c r="BS15" s="1519"/>
      <c r="BT15" s="1479">
        <f>IFERROR(__xludf.DUMMYFUNCTION("""COMPUTED_VALUE"""),0.5743055555555555)</f>
        <v>0.5743055556</v>
      </c>
      <c r="BU15" s="1480">
        <f>IFERROR(__xludf.DUMMYFUNCTION("""COMPUTED_VALUE"""),3.76E9)</f>
        <v>3760000000</v>
      </c>
      <c r="BV15" s="1479">
        <f>IFERROR(__xludf.DUMMYFUNCTION("""COMPUTED_VALUE"""),12.35138888888889)</f>
        <v>12.35138889</v>
      </c>
      <c r="BW15" s="1480">
        <f>IFERROR(__xludf.DUMMYFUNCTION("""COMPUTED_VALUE"""),1.046E10)</f>
        <v>10460000000</v>
      </c>
      <c r="BX15" s="1479">
        <f>IFERROR(__xludf.DUMMYFUNCTION("""COMPUTED_VALUE"""),25.970648148148147)</f>
        <v>25.97064815</v>
      </c>
      <c r="BY15" s="1480">
        <f>IFERROR(__xludf.DUMMYFUNCTION("""COMPUTED_VALUE"""),9.876E10)</f>
        <v>98760000000</v>
      </c>
      <c r="BZ15" s="1479">
        <f>IFERROR(__xludf.DUMMYFUNCTION("""COMPUTED_VALUE"""),40.72847222222222)</f>
        <v>40.72847222</v>
      </c>
      <c r="CA15" s="1480">
        <f>IFERROR(__xludf.DUMMYFUNCTION("""COMPUTED_VALUE"""),1.3476E11)</f>
        <v>134760000000</v>
      </c>
      <c r="CB15" s="1520"/>
      <c r="CC15" s="1519"/>
      <c r="CD15" s="1477">
        <f>IFERROR(__xludf.DUMMYFUNCTION("""COMPUTED_VALUE"""),4.229120370370371)</f>
        <v>4.22912037</v>
      </c>
      <c r="CE15" s="1481">
        <f>IFERROR(__xludf.DUMMYFUNCTION("""COMPUTED_VALUE"""),3.8664E11)</f>
        <v>386640000000</v>
      </c>
      <c r="CF15" s="1527"/>
      <c r="CG15" s="1560"/>
      <c r="CH15" s="1482">
        <f>IFERROR(__xludf.DUMMYFUNCTION("""COMPUTED_VALUE"""),0.35694444444444445)</f>
        <v>0.3569444444</v>
      </c>
      <c r="CI15" s="1483">
        <f>IFERROR(__xludf.DUMMYFUNCTION("""COMPUTED_VALUE"""),13360.0)</f>
        <v>13360</v>
      </c>
      <c r="CJ15" s="1482">
        <f>IFERROR(__xludf.DUMMYFUNCTION("""COMPUTED_VALUE"""),0.35694444444444445)</f>
        <v>0.3569444444</v>
      </c>
      <c r="CK15" s="1483">
        <f>IFERROR(__xludf.DUMMYFUNCTION("""COMPUTED_VALUE"""),13360.0)</f>
        <v>13360</v>
      </c>
      <c r="CL15" s="1482">
        <f>IFERROR(__xludf.DUMMYFUNCTION("""COMPUTED_VALUE"""),0.35694444444444445)</f>
        <v>0.3569444444</v>
      </c>
      <c r="CM15" s="1483">
        <f>IFERROR(__xludf.DUMMYFUNCTION("""COMPUTED_VALUE"""),13360.0)</f>
        <v>13360</v>
      </c>
      <c r="CN15" s="1482">
        <f>IFERROR(__xludf.DUMMYFUNCTION("""COMPUTED_VALUE"""),0.35694444444444445)</f>
        <v>0.3569444444</v>
      </c>
      <c r="CO15" s="1483">
        <f>IFERROR(__xludf.DUMMYFUNCTION("""COMPUTED_VALUE"""),13360.0)</f>
        <v>13360</v>
      </c>
      <c r="CP15" s="1482">
        <f>IFERROR(__xludf.DUMMYFUNCTION("""COMPUTED_VALUE"""),0.5875)</f>
        <v>0.5875</v>
      </c>
      <c r="CQ15" s="1483">
        <f>IFERROR(__xludf.DUMMYFUNCTION("""COMPUTED_VALUE"""),29210.0)</f>
        <v>29210</v>
      </c>
      <c r="CR15" s="1482">
        <f>IFERROR(__xludf.DUMMYFUNCTION("""COMPUTED_VALUE"""),16.225694444444443)</f>
        <v>16.22569444</v>
      </c>
      <c r="CS15" s="1483">
        <f>IFERROR(__xludf.DUMMYFUNCTION("""COMPUTED_VALUE"""),366610.0)</f>
        <v>366610</v>
      </c>
      <c r="CT15" s="1520"/>
      <c r="CU15" s="1519"/>
      <c r="CV15" s="1484">
        <f>IFERROR(__xludf.DUMMYFUNCTION("""COMPUTED_VALUE"""),12.698611111111111)</f>
        <v>12.69861111</v>
      </c>
      <c r="CW15" s="1485">
        <f>IFERROR(__xludf.DUMMYFUNCTION("""COMPUTED_VALUE"""),1.4308E11)</f>
        <v>143080000000</v>
      </c>
      <c r="CX15" s="1484">
        <f>IFERROR(__xludf.DUMMYFUNCTION("""COMPUTED_VALUE"""),12.698611111111111)</f>
        <v>12.69861111</v>
      </c>
      <c r="CY15" s="1485">
        <f>IFERROR(__xludf.DUMMYFUNCTION("""COMPUTED_VALUE"""),1.4308E11)</f>
        <v>143080000000</v>
      </c>
      <c r="CZ15" s="1484">
        <f>IFERROR(__xludf.DUMMYFUNCTION("""COMPUTED_VALUE"""),12.698611111111111)</f>
        <v>12.69861111</v>
      </c>
      <c r="DA15" s="1485">
        <f>IFERROR(__xludf.DUMMYFUNCTION("""COMPUTED_VALUE"""),1.4308E11)</f>
        <v>143080000000</v>
      </c>
      <c r="DB15" s="1484">
        <f>IFERROR(__xludf.DUMMYFUNCTION("""COMPUTED_VALUE"""),7.1618055555555555)</f>
        <v>7.161805556</v>
      </c>
      <c r="DC15" s="1485">
        <f>IFERROR(__xludf.DUMMYFUNCTION("""COMPUTED_VALUE"""),3.203E10)</f>
        <v>32030000000</v>
      </c>
      <c r="DD15" s="1484">
        <f>IFERROR(__xludf.DUMMYFUNCTION("""COMPUTED_VALUE"""),7.1618055555555555)</f>
        <v>7.161805556</v>
      </c>
      <c r="DE15" s="1485">
        <f>IFERROR(__xludf.DUMMYFUNCTION("""COMPUTED_VALUE"""),3.203E10)</f>
        <v>32030000000</v>
      </c>
      <c r="DF15" s="1486">
        <f>IFERROR(__xludf.DUMMYFUNCTION("""COMPUTED_VALUE"""),7.3493055555555555)</f>
        <v>7.349305556</v>
      </c>
      <c r="DG15" s="1487">
        <f>IFERROR(__xludf.DUMMYFUNCTION("""COMPUTED_VALUE"""),4.3755E8)</f>
        <v>437550000</v>
      </c>
      <c r="DH15" s="1518"/>
      <c r="DI15" s="1519"/>
      <c r="DJ15" s="1486">
        <f>IFERROR(__xludf.DUMMYFUNCTION("""COMPUTED_VALUE"""),8.136111111111111)</f>
        <v>8.136111111</v>
      </c>
      <c r="DK15" s="1487">
        <f>IFERROR(__xludf.DUMMYFUNCTION("""COMPUTED_VALUE"""),4.381E8)</f>
        <v>438100000</v>
      </c>
      <c r="DL15" s="1486">
        <f>IFERROR(__xludf.DUMMYFUNCTION("""COMPUTED_VALUE"""),7.3493055555555555)</f>
        <v>7.349305556</v>
      </c>
      <c r="DM15" s="1487">
        <f>IFERROR(__xludf.DUMMYFUNCTION("""COMPUTED_VALUE"""),4.3755E8)</f>
        <v>437550000</v>
      </c>
      <c r="DN15" s="1518"/>
      <c r="DO15" s="1519"/>
      <c r="DP15" s="1486">
        <f>IFERROR(__xludf.DUMMYFUNCTION("""COMPUTED_VALUE"""),7.3493055555555555)</f>
        <v>7.349305556</v>
      </c>
      <c r="DQ15" s="1487">
        <f>IFERROR(__xludf.DUMMYFUNCTION("""COMPUTED_VALUE"""),4.3755E8)</f>
        <v>437550000</v>
      </c>
      <c r="DR15" s="1486">
        <f>IFERROR(__xludf.DUMMYFUNCTION("""COMPUTED_VALUE"""),7.3493055555555555)</f>
        <v>7.349305556</v>
      </c>
      <c r="DS15" s="1487">
        <f>IFERROR(__xludf.DUMMYFUNCTION("""COMPUTED_VALUE"""),4.3755E8)</f>
        <v>437550000</v>
      </c>
      <c r="DT15" s="1518"/>
      <c r="DU15" s="1519"/>
      <c r="DV15" s="1486">
        <f>IFERROR(__xludf.DUMMYFUNCTION("""COMPUTED_VALUE"""),7.3493055555555555)</f>
        <v>7.349305556</v>
      </c>
      <c r="DW15" s="1487">
        <f>IFERROR(__xludf.DUMMYFUNCTION("""COMPUTED_VALUE"""),4.3755E8)</f>
        <v>437550000</v>
      </c>
      <c r="DX15" s="1486">
        <f>IFERROR(__xludf.DUMMYFUNCTION("""COMPUTED_VALUE"""),7.3493055555555555)</f>
        <v>7.349305556</v>
      </c>
      <c r="DY15" s="1487">
        <f>IFERROR(__xludf.DUMMYFUNCTION("""COMPUTED_VALUE"""),4.3755E8)</f>
        <v>437550000</v>
      </c>
      <c r="DZ15" s="1486">
        <f>IFERROR(__xludf.DUMMYFUNCTION("""COMPUTED_VALUE"""),10.682638888888889)</f>
        <v>10.68263889</v>
      </c>
      <c r="EA15" s="1487">
        <f>IFERROR(__xludf.DUMMYFUNCTION("""COMPUTED_VALUE"""),1.05E9)</f>
        <v>1050000000</v>
      </c>
      <c r="EB15" s="1486">
        <f>IFERROR(__xludf.DUMMYFUNCTION("""COMPUTED_VALUE"""),10.682638888888889)</f>
        <v>10.68263889</v>
      </c>
      <c r="EC15" s="1487">
        <f>IFERROR(__xludf.DUMMYFUNCTION("""COMPUTED_VALUE"""),1.05E9)</f>
        <v>1050000000</v>
      </c>
      <c r="ED15" s="1518"/>
      <c r="EE15" s="1519"/>
      <c r="EF15" s="1486">
        <f>IFERROR(__xludf.DUMMYFUNCTION("""COMPUTED_VALUE"""),9.849305555555556)</f>
        <v>9.849305556</v>
      </c>
      <c r="EG15" s="1487">
        <f>IFERROR(__xludf.DUMMYFUNCTION("""COMPUTED_VALUE"""),1.05E9)</f>
        <v>1050000000</v>
      </c>
      <c r="EH15" s="1486">
        <f>IFERROR(__xludf.DUMMYFUNCTION("""COMPUTED_VALUE"""),9.849305555555556)</f>
        <v>9.849305556</v>
      </c>
      <c r="EI15" s="1487">
        <f>IFERROR(__xludf.DUMMYFUNCTION("""COMPUTED_VALUE"""),1.05E9)</f>
        <v>1050000000</v>
      </c>
      <c r="EJ15" s="1486">
        <f>IFERROR(__xludf.DUMMYFUNCTION("""COMPUTED_VALUE"""),8.043032407407408)</f>
        <v>8.043032407</v>
      </c>
      <c r="EK15" s="1487">
        <f>IFERROR(__xludf.DUMMYFUNCTION("""COMPUTED_VALUE"""),3.6346E8)</f>
        <v>363460000</v>
      </c>
      <c r="EL15" s="1486">
        <f>IFERROR(__xludf.DUMMYFUNCTION("""COMPUTED_VALUE"""),9.849733796296297)</f>
        <v>9.849733796</v>
      </c>
      <c r="EM15" s="1487">
        <f>IFERROR(__xludf.DUMMYFUNCTION("""COMPUTED_VALUE"""),1.05E9)</f>
        <v>1050000000</v>
      </c>
      <c r="EN15" s="1486">
        <f>IFERROR(__xludf.DUMMYFUNCTION("""COMPUTED_VALUE"""),9.849305555555556)</f>
        <v>9.849305556</v>
      </c>
      <c r="EO15" s="1487">
        <f>IFERROR(__xludf.DUMMYFUNCTION("""COMPUTED_VALUE"""),1.05E9)</f>
        <v>1050000000</v>
      </c>
      <c r="EP15" s="1486">
        <f>IFERROR(__xludf.DUMMYFUNCTION("""COMPUTED_VALUE"""),9.849305555555556)</f>
        <v>9.849305556</v>
      </c>
      <c r="EQ15" s="1487">
        <f>IFERROR(__xludf.DUMMYFUNCTION("""COMPUTED_VALUE"""),1.05E9)</f>
        <v>1050000000</v>
      </c>
      <c r="ER15" s="1486">
        <f>IFERROR(__xludf.DUMMYFUNCTION("""COMPUTED_VALUE"""),9.849305555555556)</f>
        <v>9.849305556</v>
      </c>
      <c r="ES15" s="1487">
        <f>IFERROR(__xludf.DUMMYFUNCTION("""COMPUTED_VALUE"""),1.05E9)</f>
        <v>1050000000</v>
      </c>
      <c r="ET15" s="1486">
        <f>IFERROR(__xludf.DUMMYFUNCTION("""COMPUTED_VALUE"""),9.849305555555556)</f>
        <v>9.849305556</v>
      </c>
      <c r="EU15" s="1487">
        <f>IFERROR(__xludf.DUMMYFUNCTION("""COMPUTED_VALUE"""),1.05E9)</f>
        <v>1050000000</v>
      </c>
      <c r="EV15" s="1518"/>
      <c r="EW15" s="1519"/>
      <c r="EX15" s="1518"/>
      <c r="EY15" s="1519"/>
      <c r="EZ15" s="1518"/>
      <c r="FA15" s="1519"/>
      <c r="FB15" s="1520"/>
      <c r="FC15" s="1519"/>
      <c r="FD15" s="1520"/>
      <c r="FE15" s="1519"/>
      <c r="FF15" s="1486">
        <f>IFERROR(__xludf.DUMMYFUNCTION("""COMPUTED_VALUE"""),10.682638888888889)</f>
        <v>10.68263889</v>
      </c>
      <c r="FG15" s="1488">
        <f>IFERROR(__xludf.DUMMYFUNCTION("""COMPUTED_VALUE"""),2.52E9)</f>
        <v>2520000000</v>
      </c>
      <c r="FH15" s="1486">
        <f>IFERROR(__xludf.DUMMYFUNCTION("""COMPUTED_VALUE"""),10.682638888888889)</f>
        <v>10.68263889</v>
      </c>
      <c r="FI15" s="1488">
        <f>IFERROR(__xludf.DUMMYFUNCTION("""COMPUTED_VALUE"""),2.52E9)</f>
        <v>2520000000</v>
      </c>
      <c r="FJ15" s="1486">
        <f>IFERROR(__xludf.DUMMYFUNCTION("""COMPUTED_VALUE"""),15.6825)</f>
        <v>15.6825</v>
      </c>
      <c r="FK15" s="1487">
        <f>IFERROR(__xludf.DUMMYFUNCTION("""COMPUTED_VALUE"""),1.243243243E9)</f>
        <v>1243243243</v>
      </c>
      <c r="FL15" s="1520"/>
      <c r="FM15" s="1519"/>
      <c r="FN15" s="1532"/>
      <c r="FO15" s="1520"/>
      <c r="FP15" s="1486">
        <f>IFERROR(__xludf.DUMMYFUNCTION("""COMPUTED_VALUE"""),32.466458333333335)</f>
        <v>32.46645833</v>
      </c>
      <c r="FQ15" s="1488">
        <f>IFERROR(__xludf.DUMMYFUNCTION("""COMPUTED_VALUE"""),1.297E13)</f>
        <v>12970000000000</v>
      </c>
      <c r="FR15" s="1532"/>
      <c r="FS15" s="1520"/>
      <c r="FT15" s="1486">
        <f>IFERROR(__xludf.DUMMYFUNCTION("""COMPUTED_VALUE"""),32.466458333333335)</f>
        <v>32.46645833</v>
      </c>
      <c r="FU15" s="1488">
        <f>IFERROR(__xludf.DUMMYFUNCTION("""COMPUTED_VALUE"""),1.297E13)</f>
        <v>12970000000000</v>
      </c>
      <c r="FV15" s="1486">
        <f>IFERROR(__xludf.DUMMYFUNCTION("""COMPUTED_VALUE"""),32.466458333333335)</f>
        <v>32.46645833</v>
      </c>
      <c r="FW15" s="1488">
        <f>IFERROR(__xludf.DUMMYFUNCTION("""COMPUTED_VALUE"""),1.297E13)</f>
        <v>12970000000000</v>
      </c>
      <c r="FX15" s="1491">
        <f>IFERROR(__xludf.DUMMYFUNCTION("""COMPUTED_VALUE"""),12.13542824074074)</f>
        <v>12.13542824</v>
      </c>
      <c r="FY15" s="1492">
        <f>IFERROR(__xludf.DUMMYFUNCTION("""COMPUTED_VALUE"""),1.2975E11)</f>
        <v>129750000000</v>
      </c>
      <c r="FZ15" s="1491">
        <f>IFERROR(__xludf.DUMMYFUNCTION("""COMPUTED_VALUE"""),32.466458333333335)</f>
        <v>32.46645833</v>
      </c>
      <c r="GA15" s="1492">
        <f>IFERROR(__xludf.DUMMYFUNCTION("""COMPUTED_VALUE"""),1.2975E13)</f>
        <v>12975000000000</v>
      </c>
      <c r="GB15" s="1527"/>
      <c r="GC15" s="1527"/>
      <c r="GD15" s="1527"/>
      <c r="GE15" s="1560"/>
      <c r="GF15" s="1518"/>
      <c r="GG15" s="1519"/>
      <c r="GH15" s="1494">
        <f>IFERROR(__xludf.DUMMYFUNCTION("""COMPUTED_VALUE"""),9.057638888888889)</f>
        <v>9.057638889</v>
      </c>
      <c r="GI15" s="1495">
        <f>IFERROR(__xludf.DUMMYFUNCTION("""COMPUTED_VALUE"""),2.49E9)</f>
        <v>2490000000</v>
      </c>
      <c r="GJ15" s="1518"/>
      <c r="GK15" s="1519"/>
      <c r="GL15" s="1518"/>
      <c r="GM15" s="1519"/>
      <c r="GN15" s="1520"/>
      <c r="GO15" s="1519"/>
      <c r="GP15" s="1496">
        <f>IFERROR(__xludf.DUMMYFUNCTION("""COMPUTED_VALUE"""),9.224305555555556)</f>
        <v>9.224305556</v>
      </c>
      <c r="GQ15" s="1497">
        <f>IFERROR(__xludf.DUMMYFUNCTION("""COMPUTED_VALUE"""),7.708E10)</f>
        <v>77080000000</v>
      </c>
      <c r="GR15" s="1518"/>
      <c r="GS15" s="1519"/>
      <c r="GT15" s="1518"/>
      <c r="GU15" s="1519"/>
      <c r="GV15" s="1520"/>
      <c r="GW15" s="1519"/>
      <c r="GX15" s="1561"/>
      <c r="GY15" s="1527"/>
      <c r="GZ15" s="1518"/>
      <c r="HA15" s="1519"/>
      <c r="HB15" s="1501">
        <f>IFERROR(__xludf.DUMMYFUNCTION("""COMPUTED_VALUE"""),6.585416666666666)</f>
        <v>6.585416667</v>
      </c>
      <c r="HC15" s="1502">
        <f>IFERROR(__xludf.DUMMYFUNCTION("""COMPUTED_VALUE"""),4.98E9)</f>
        <v>4980000000</v>
      </c>
      <c r="HD15" s="1518"/>
      <c r="HE15" s="1519"/>
      <c r="HF15" s="1501">
        <f>IFERROR(__xludf.DUMMYFUNCTION("""COMPUTED_VALUE"""),6.863194444444445)</f>
        <v>6.863194444</v>
      </c>
      <c r="HG15" s="1502">
        <f>IFERROR(__xludf.DUMMYFUNCTION("""COMPUTED_VALUE"""),7.47E9)</f>
        <v>7470000000</v>
      </c>
      <c r="HH15" s="1518"/>
      <c r="HI15" s="1519"/>
      <c r="HJ15" s="1518"/>
      <c r="HK15" s="1519"/>
      <c r="HL15" s="1518"/>
      <c r="HM15" s="1519"/>
      <c r="HN15" s="1520"/>
      <c r="HO15" s="1519"/>
      <c r="HP15" s="1501">
        <f>IFERROR(__xludf.DUMMYFUNCTION("""COMPUTED_VALUE"""),23.487962962962964)</f>
        <v>23.48796296</v>
      </c>
      <c r="HQ15" s="1503">
        <f>IFERROR(__xludf.DUMMYFUNCTION("""COMPUTED_VALUE"""),2.16E9)</f>
        <v>2160000000</v>
      </c>
      <c r="HR15" s="1522">
        <f>IFERROR(__xludf.DUMMYFUNCTION("""COMPUTED_VALUE"""),12.004166666666666)</f>
        <v>12.00416667</v>
      </c>
      <c r="HS15" s="1523">
        <f>IFERROR(__xludf.DUMMYFUNCTION("""COMPUTED_VALUE"""),1.283E10)</f>
        <v>12830000000</v>
      </c>
      <c r="HT15" s="1522">
        <f>IFERROR(__xludf.DUMMYFUNCTION("""COMPUTED_VALUE"""),12.004166666666666)</f>
        <v>12.00416667</v>
      </c>
      <c r="HU15" s="1523">
        <f>IFERROR(__xludf.DUMMYFUNCTION("""COMPUTED_VALUE"""),1.283E10)</f>
        <v>12830000000</v>
      </c>
      <c r="HV15" s="1522">
        <f>IFERROR(__xludf.DUMMYFUNCTION("""COMPUTED_VALUE"""),12.004166666666666)</f>
        <v>12.00416667</v>
      </c>
      <c r="HW15" s="1523">
        <f>IFERROR(__xludf.DUMMYFUNCTION("""COMPUTED_VALUE"""),1.283E10)</f>
        <v>12830000000</v>
      </c>
      <c r="HX15" s="1524">
        <f>IFERROR(__xludf.DUMMYFUNCTION("""COMPUTED_VALUE"""),12.004166666666666)</f>
        <v>12.00416667</v>
      </c>
      <c r="HY15" s="1523">
        <f>IFERROR(__xludf.DUMMYFUNCTION("""COMPUTED_VALUE"""),1.283E10)</f>
        <v>12830000000</v>
      </c>
      <c r="HZ15" s="1520"/>
      <c r="IA15" s="1519"/>
      <c r="IB15" s="1524">
        <f>IFERROR(__xludf.DUMMYFUNCTION("""COMPUTED_VALUE"""),44.585393518518515)</f>
        <v>44.58539352</v>
      </c>
      <c r="IC15" s="1523">
        <f>IFERROR(__xludf.DUMMYFUNCTION("""COMPUTED_VALUE"""),1.297E13)</f>
        <v>12970000000000</v>
      </c>
      <c r="ID15" s="1524">
        <f>IFERROR(__xludf.DUMMYFUNCTION("""COMPUTED_VALUE"""),44.585393518518515)</f>
        <v>44.58539352</v>
      </c>
      <c r="IE15" s="1523">
        <f>IFERROR(__xludf.DUMMYFUNCTION("""COMPUTED_VALUE"""),1.297E13)</f>
        <v>12970000000000</v>
      </c>
      <c r="IF15" s="1524">
        <f>IFERROR(__xludf.DUMMYFUNCTION("""COMPUTED_VALUE"""),44.585393518518515)</f>
        <v>44.58539352</v>
      </c>
      <c r="IG15" s="1523">
        <f>IFERROR(__xludf.DUMMYFUNCTION("""COMPUTED_VALUE"""),1.297E13)</f>
        <v>12970000000000</v>
      </c>
      <c r="IH15" s="1507">
        <f>IFERROR(__xludf.DUMMYFUNCTION("""COMPUTED_VALUE"""),12.698611111111111)</f>
        <v>12.69861111</v>
      </c>
      <c r="II15" s="1508">
        <f>IFERROR(__xludf.DUMMYFUNCTION("""COMPUTED_VALUE"""),3.2308E11)</f>
        <v>323080000000</v>
      </c>
      <c r="IJ15" s="1507">
        <f>IFERROR(__xludf.DUMMYFUNCTION("""COMPUTED_VALUE"""),12.698611111111111)</f>
        <v>12.69861111</v>
      </c>
      <c r="IK15" s="1508">
        <f>IFERROR(__xludf.DUMMYFUNCTION("""COMPUTED_VALUE"""),3.2308E11)</f>
        <v>323080000000</v>
      </c>
      <c r="IL15" s="1507">
        <f>IFERROR(__xludf.DUMMYFUNCTION("""COMPUTED_VALUE"""),12.698611111111111)</f>
        <v>12.69861111</v>
      </c>
      <c r="IM15" s="1508">
        <f>IFERROR(__xludf.DUMMYFUNCTION("""COMPUTED_VALUE"""),4.5308E11)</f>
        <v>453080000000</v>
      </c>
      <c r="IN15" s="1507">
        <f>IFERROR(__xludf.DUMMYFUNCTION("""COMPUTED_VALUE"""),12.698611111111111)</f>
        <v>12.69861111</v>
      </c>
      <c r="IO15" s="1508">
        <f>IFERROR(__xludf.DUMMYFUNCTION("""COMPUTED_VALUE"""),4.5308E11)</f>
        <v>453080000000</v>
      </c>
      <c r="IP15" s="1507">
        <f>IFERROR(__xludf.DUMMYFUNCTION("""COMPUTED_VALUE"""),13.161805555555556)</f>
        <v>13.16180556</v>
      </c>
      <c r="IQ15" s="1508">
        <f>IFERROR(__xludf.DUMMYFUNCTION("""COMPUTED_VALUE"""),8.4308E11)</f>
        <v>843080000000</v>
      </c>
      <c r="IR15" s="1507">
        <f>IFERROR(__xludf.DUMMYFUNCTION("""COMPUTED_VALUE"""),12.698611111111111)</f>
        <v>12.69861111</v>
      </c>
      <c r="IS15" s="1508">
        <f>IFERROR(__xludf.DUMMYFUNCTION("""COMPUTED_VALUE"""),4.5308E11)</f>
        <v>453080000000</v>
      </c>
      <c r="IT15" s="1507">
        <f>IFERROR(__xludf.DUMMYFUNCTION("""COMPUTED_VALUE"""),12.698611111111111)</f>
        <v>12.69861111</v>
      </c>
      <c r="IU15" s="1508">
        <f>IFERROR(__xludf.DUMMYFUNCTION("""COMPUTED_VALUE"""),4.5308E11)</f>
        <v>453080000000</v>
      </c>
      <c r="IV15" s="1507">
        <f>IFERROR(__xludf.DUMMYFUNCTION("""COMPUTED_VALUE"""),12.698611111111111)</f>
        <v>12.69861111</v>
      </c>
      <c r="IW15" s="1508">
        <f>IFERROR(__xludf.DUMMYFUNCTION("""COMPUTED_VALUE"""),4.5308E11)</f>
        <v>453080000000</v>
      </c>
      <c r="IX15" s="1507">
        <f>IFERROR(__xludf.DUMMYFUNCTION("""COMPUTED_VALUE"""),12.698611111111111)</f>
        <v>12.69861111</v>
      </c>
      <c r="IY15" s="1508">
        <f>IFERROR(__xludf.DUMMYFUNCTION("""COMPUTED_VALUE"""),4.5308E11)</f>
        <v>453080000000</v>
      </c>
      <c r="IZ15" s="1507">
        <f>IFERROR(__xludf.DUMMYFUNCTION("""COMPUTED_VALUE"""),12.698611111111111)</f>
        <v>12.69861111</v>
      </c>
      <c r="JA15" s="1508">
        <f>IFERROR(__xludf.DUMMYFUNCTION("""COMPUTED_VALUE"""),5.8308E11)</f>
        <v>583080000000</v>
      </c>
      <c r="JB15" s="1507">
        <f>IFERROR(__xludf.DUMMYFUNCTION("""COMPUTED_VALUE"""),12.698611111111111)</f>
        <v>12.69861111</v>
      </c>
      <c r="JC15" s="1508">
        <f>IFERROR(__xludf.DUMMYFUNCTION("""COMPUTED_VALUE"""),5.8308E11)</f>
        <v>583080000000</v>
      </c>
      <c r="JD15" s="1507">
        <f>IFERROR(__xludf.DUMMYFUNCTION("""COMPUTED_VALUE"""),12.698611111111111)</f>
        <v>12.69861111</v>
      </c>
      <c r="JE15" s="1508">
        <f>IFERROR(__xludf.DUMMYFUNCTION("""COMPUTED_VALUE"""),5.8308E11)</f>
        <v>583080000000</v>
      </c>
      <c r="JF15" s="1507">
        <f>IFERROR(__xludf.DUMMYFUNCTION("""COMPUTED_VALUE"""),12.698611111111111)</f>
        <v>12.69861111</v>
      </c>
      <c r="JG15" s="1508">
        <f>IFERROR(__xludf.DUMMYFUNCTION("""COMPUTED_VALUE"""),5.8308E11)</f>
        <v>583080000000</v>
      </c>
      <c r="JH15" s="1507">
        <f>IFERROR(__xludf.DUMMYFUNCTION("""COMPUTED_VALUE"""),13.161805555555556)</f>
        <v>13.16180556</v>
      </c>
      <c r="JI15" s="1508">
        <f>IFERROR(__xludf.DUMMYFUNCTION("""COMPUTED_VALUE"""),9.8308E11)</f>
        <v>983080000000</v>
      </c>
      <c r="JJ15" s="1507">
        <f>IFERROR(__xludf.DUMMYFUNCTION("""COMPUTED_VALUE"""),140.39375)</f>
        <v>140.39375</v>
      </c>
      <c r="JK15" s="1509">
        <f>IFERROR(__xludf.DUMMYFUNCTION("""COMPUTED_VALUE"""),3.25E18)</f>
        <v>3.25E+18</v>
      </c>
      <c r="JL15" s="1507">
        <f>IFERROR(__xludf.DUMMYFUNCTION("""COMPUTED_VALUE"""),140.39375)</f>
        <v>140.39375</v>
      </c>
      <c r="JM15" s="1509">
        <f>IFERROR(__xludf.DUMMYFUNCTION("""COMPUTED_VALUE"""),3.25E18)</f>
        <v>3.25E+18</v>
      </c>
      <c r="JN15" s="1507">
        <f>IFERROR(__xludf.DUMMYFUNCTION("""COMPUTED_VALUE"""),140.39375)</f>
        <v>140.39375</v>
      </c>
      <c r="JO15" s="1509">
        <f>IFERROR(__xludf.DUMMYFUNCTION("""COMPUTED_VALUE"""),3.25E18)</f>
        <v>3.25E+18</v>
      </c>
      <c r="JP15" s="1507">
        <f>IFERROR(__xludf.DUMMYFUNCTION("""COMPUTED_VALUE"""),140.39375)</f>
        <v>140.39375</v>
      </c>
      <c r="JQ15" s="1509">
        <f>IFERROR(__xludf.DUMMYFUNCTION("""COMPUTED_VALUE"""),3.25E18)</f>
        <v>3.25E+18</v>
      </c>
      <c r="JR15" s="1507">
        <f>IFERROR(__xludf.DUMMYFUNCTION("""COMPUTED_VALUE"""),140.39375)</f>
        <v>140.39375</v>
      </c>
      <c r="JS15" s="1509">
        <f>IFERROR(__xludf.DUMMYFUNCTION("""COMPUTED_VALUE"""),3.25E18)</f>
        <v>3.25E+18</v>
      </c>
      <c r="JT15" s="1507">
        <f>IFERROR(__xludf.DUMMYFUNCTION("""COMPUTED_VALUE"""),140.39375)</f>
        <v>140.39375</v>
      </c>
      <c r="JU15" s="1509">
        <f>IFERROR(__xludf.DUMMYFUNCTION("""COMPUTED_VALUE"""),3.25E18)</f>
        <v>3.25E+18</v>
      </c>
      <c r="JV15" s="1507">
        <f>IFERROR(__xludf.DUMMYFUNCTION("""COMPUTED_VALUE"""),35.09791666666667)</f>
        <v>35.09791667</v>
      </c>
      <c r="JW15" s="1509">
        <f>IFERROR(__xludf.DUMMYFUNCTION("""COMPUTED_VALUE"""),5.669391238E13)</f>
        <v>56693912380000</v>
      </c>
      <c r="JX15" s="1562"/>
      <c r="JY15" s="1560"/>
      <c r="JZ15" s="1510">
        <f>IFERROR(__xludf.DUMMYFUNCTION("""COMPUTED_VALUE"""),1.896550926)</f>
        <v>1.896550926</v>
      </c>
      <c r="KA15" s="1514">
        <f>IFERROR(__xludf.DUMMYFUNCTION("""COMPUTED_VALUE"""),1.64E9)</f>
        <v>1640000000</v>
      </c>
      <c r="KB15" s="1510">
        <f>IFERROR(__xludf.DUMMYFUNCTION("""COMPUTED_VALUE"""),2.120763889)</f>
        <v>2.120763889</v>
      </c>
      <c r="KC15" s="1514">
        <f>IFERROR(__xludf.DUMMYFUNCTION("""COMPUTED_VALUE"""),5.19E9)</f>
        <v>5190000000</v>
      </c>
      <c r="KD15" s="1510">
        <f>IFERROR(__xludf.DUMMYFUNCTION("""COMPUTED_VALUE"""),8.14337963)</f>
        <v>8.14337963</v>
      </c>
      <c r="KE15" s="1514">
        <f>IFERROR(__xludf.DUMMYFUNCTION("""COMPUTED_VALUE"""),2.8928E11)</f>
        <v>289280000000</v>
      </c>
      <c r="KF15" s="1510">
        <f>IFERROR(__xludf.DUMMYFUNCTION("""COMPUTED_VALUE"""),8.14337963)</f>
        <v>8.14337963</v>
      </c>
      <c r="KG15" s="1514">
        <f>IFERROR(__xludf.DUMMYFUNCTION("""COMPUTED_VALUE"""),2.8928E11)</f>
        <v>289280000000</v>
      </c>
      <c r="KH15" s="1527"/>
      <c r="KI15" s="1560"/>
      <c r="KJ15" s="1527"/>
      <c r="KK15" s="1527"/>
      <c r="KL15" s="1527"/>
      <c r="KM15" s="1527"/>
      <c r="KN15" s="1527"/>
      <c r="KO15" s="1527"/>
      <c r="KP15" s="1527"/>
      <c r="KQ15" s="1527"/>
      <c r="KR15" s="1527"/>
      <c r="KS15" s="1527"/>
      <c r="KT15" s="1527"/>
      <c r="KU15" s="1527"/>
      <c r="KV15" s="1525">
        <f>IFERROR(__xludf.DUMMYFUNCTION("""COMPUTED_VALUE"""),140.39375)</f>
        <v>140.39375</v>
      </c>
      <c r="KW15" s="1526">
        <f>IFERROR(__xludf.DUMMYFUNCTION("""COMPUTED_VALUE"""),3.25E18)</f>
        <v>3.25E+18</v>
      </c>
      <c r="KX15" s="1525">
        <f>IFERROR(__xludf.DUMMYFUNCTION("""COMPUTED_VALUE"""),140.39375)</f>
        <v>140.39375</v>
      </c>
      <c r="KY15" s="1526">
        <f>IFERROR(__xludf.DUMMYFUNCTION("""COMPUTED_VALUE"""),3.25E18)</f>
        <v>3.25E+18</v>
      </c>
      <c r="KZ15" s="1525">
        <f>IFERROR(__xludf.DUMMYFUNCTION("""COMPUTED_VALUE"""),140.39375)</f>
        <v>140.39375</v>
      </c>
      <c r="LA15" s="1526">
        <f>IFERROR(__xludf.DUMMYFUNCTION("""COMPUTED_VALUE"""),3.25E18)</f>
        <v>3.25E+18</v>
      </c>
      <c r="LB15" s="1525">
        <f>IFERROR(__xludf.DUMMYFUNCTION("""COMPUTED_VALUE"""),140.39375)</f>
        <v>140.39375</v>
      </c>
      <c r="LC15" s="1526">
        <f>IFERROR(__xludf.DUMMYFUNCTION("""COMPUTED_VALUE"""),3.25E18)</f>
        <v>3.25E+18</v>
      </c>
      <c r="LD15" s="1525">
        <f>IFERROR(__xludf.DUMMYFUNCTION("""COMPUTED_VALUE"""),140.39375)</f>
        <v>140.39375</v>
      </c>
      <c r="LE15" s="1526">
        <f>IFERROR(__xludf.DUMMYFUNCTION("""COMPUTED_VALUE"""),3.25E18)</f>
        <v>3.25E+18</v>
      </c>
      <c r="LF15" s="1525">
        <f>IFERROR(__xludf.DUMMYFUNCTION("""COMPUTED_VALUE"""),140.39375)</f>
        <v>140.39375</v>
      </c>
      <c r="LG15" s="1526">
        <f>IFERROR(__xludf.DUMMYFUNCTION("""COMPUTED_VALUE"""),3.25E18)</f>
        <v>3.25E+18</v>
      </c>
      <c r="LH15" s="1525">
        <f>IFERROR(__xludf.DUMMYFUNCTION("""COMPUTED_VALUE"""),140.39375)</f>
        <v>140.39375</v>
      </c>
      <c r="LI15" s="1526">
        <f>IFERROR(__xludf.DUMMYFUNCTION("""COMPUTED_VALUE"""),3.25E18)</f>
        <v>3.25E+18</v>
      </c>
      <c r="LJ15" s="1525">
        <f>IFERROR(__xludf.DUMMYFUNCTION("""COMPUTED_VALUE"""),140.39375)</f>
        <v>140.39375</v>
      </c>
      <c r="LK15" s="1526">
        <f>IFERROR(__xludf.DUMMYFUNCTION("""COMPUTED_VALUE"""),3.25E18)</f>
        <v>3.25E+18</v>
      </c>
      <c r="LL15" s="1527"/>
      <c r="LM15" s="1527"/>
      <c r="LN15" s="1516">
        <f>IFERROR(__xludf.DUMMYFUNCTION("""COMPUTED_VALUE"""),175.49166666666667)</f>
        <v>175.4916667</v>
      </c>
      <c r="LO15" s="1495">
        <f>IFERROR(__xludf.DUMMYFUNCTION("""COMPUTED_VALUE"""),2.6E18)</f>
        <v>2.6E+18</v>
      </c>
      <c r="LP15" s="1516">
        <f>IFERROR(__xludf.DUMMYFUNCTION("""COMPUTED_VALUE"""),175.49166666666667)</f>
        <v>175.4916667</v>
      </c>
      <c r="LQ15" s="1495">
        <f>IFERROR(__xludf.DUMMYFUNCTION("""COMPUTED_VALUE"""),2.6E18)</f>
        <v>2.6E+18</v>
      </c>
      <c r="LR15" s="1516">
        <f>IFERROR(__xludf.DUMMYFUNCTION("""COMPUTED_VALUE"""),175.49166666666667)</f>
        <v>175.4916667</v>
      </c>
      <c r="LS15" s="1495">
        <f>IFERROR(__xludf.DUMMYFUNCTION("""COMPUTED_VALUE"""),2.6E18)</f>
        <v>2.6E+18</v>
      </c>
      <c r="LT15" s="1516">
        <f>IFERROR(__xludf.DUMMYFUNCTION("""COMPUTED_VALUE"""),175.49166666666667)</f>
        <v>175.4916667</v>
      </c>
      <c r="LU15" s="1495">
        <f>IFERROR(__xludf.DUMMYFUNCTION("""COMPUTED_VALUE"""),2.6E18)</f>
        <v>2.6E+18</v>
      </c>
      <c r="LV15" s="1516">
        <f>IFERROR(__xludf.DUMMYFUNCTION("""COMPUTED_VALUE"""),175.49166666666667)</f>
        <v>175.4916667</v>
      </c>
      <c r="LW15" s="1495">
        <f>IFERROR(__xludf.DUMMYFUNCTION("""COMPUTED_VALUE"""),2.6E18)</f>
        <v>2.6E+18</v>
      </c>
      <c r="LX15" s="1516">
        <f>IFERROR(__xludf.DUMMYFUNCTION("""COMPUTED_VALUE"""),210.59027777777777)</f>
        <v>210.5902778</v>
      </c>
      <c r="LY15" s="1517">
        <f>IFERROR(__xludf.DUMMYFUNCTION("""COMPUTED_VALUE"""),6.5E18)</f>
        <v>6.5E+18</v>
      </c>
      <c r="LZ15" s="1516">
        <f>IFERROR(__xludf.DUMMYFUNCTION("""COMPUTED_VALUE"""),210.59027777777777)</f>
        <v>210.5902778</v>
      </c>
      <c r="MA15" s="1517">
        <f>IFERROR(__xludf.DUMMYFUNCTION("""COMPUTED_VALUE"""),6.5E18)</f>
        <v>6.5E+18</v>
      </c>
      <c r="MB15" s="1516">
        <f>IFERROR(__xludf.DUMMYFUNCTION("""COMPUTED_VALUE"""),210.59027777777777)</f>
        <v>210.5902778</v>
      </c>
      <c r="MC15" s="1517">
        <f>IFERROR(__xludf.DUMMYFUNCTION("""COMPUTED_VALUE"""),6.5E18)</f>
        <v>6.5E+18</v>
      </c>
      <c r="MD15" s="1516">
        <f>IFERROR(__xludf.DUMMYFUNCTION("""COMPUTED_VALUE"""),210.59027777777777)</f>
        <v>210.5902778</v>
      </c>
      <c r="ME15" s="1517">
        <f>IFERROR(__xludf.DUMMYFUNCTION("""COMPUTED_VALUE"""),6.5E18)</f>
        <v>6.5E+18</v>
      </c>
      <c r="MF15" s="1527"/>
      <c r="MG15" s="1527"/>
      <c r="MH15" s="1527"/>
      <c r="MI15" s="1527"/>
      <c r="MJ15" s="1527"/>
      <c r="MK15" s="1527"/>
      <c r="ML15" s="1527"/>
      <c r="MM15" s="1527"/>
      <c r="MN15" s="1527"/>
      <c r="MO15" s="1527"/>
      <c r="MP15" s="1527"/>
      <c r="MQ15" s="1527"/>
      <c r="MR15" s="1527"/>
      <c r="MS15" s="1527"/>
      <c r="MT15" s="1527"/>
      <c r="MU15" s="1527"/>
      <c r="MV15" s="1527"/>
      <c r="MW15" s="1527"/>
      <c r="MX15" s="1527"/>
      <c r="MY15" s="1527"/>
    </row>
    <row r="16">
      <c r="A16" s="1465">
        <f>IFERROR(__xludf.DUMMYFUNCTION("""COMPUTED_VALUE"""),14.0)</f>
        <v>14</v>
      </c>
      <c r="B16" s="1518"/>
      <c r="C16" s="1519"/>
      <c r="D16" s="1466">
        <f>IFERROR(__xludf.DUMMYFUNCTION("""COMPUTED_VALUE"""),0.4270833333333333)</f>
        <v>0.4270833333</v>
      </c>
      <c r="E16" s="1467">
        <f>IFERROR(__xludf.DUMMYFUNCTION("""COMPUTED_VALUE"""),16580.0)</f>
        <v>16580</v>
      </c>
      <c r="F16" s="1466">
        <f>IFERROR(__xludf.DUMMYFUNCTION("""COMPUTED_VALUE"""),0.4270833333333333)</f>
        <v>0.4270833333</v>
      </c>
      <c r="G16" s="1468">
        <f>IFERROR(__xludf.DUMMYFUNCTION("""COMPUTED_VALUE"""),16580.0)</f>
        <v>16580</v>
      </c>
      <c r="H16" s="1466">
        <f>IFERROR(__xludf.DUMMYFUNCTION("""COMPUTED_VALUE"""),0.4270833333333333)</f>
        <v>0.4270833333</v>
      </c>
      <c r="I16" s="1467">
        <f>IFERROR(__xludf.DUMMYFUNCTION("""COMPUTED_VALUE"""),16580.0)</f>
        <v>16580</v>
      </c>
      <c r="J16" s="1466">
        <f>IFERROR(__xludf.DUMMYFUNCTION("""COMPUTED_VALUE"""),0.4270833333333333)</f>
        <v>0.4270833333</v>
      </c>
      <c r="K16" s="1467">
        <f>IFERROR(__xludf.DUMMYFUNCTION("""COMPUTED_VALUE"""),16580.0)</f>
        <v>16580</v>
      </c>
      <c r="L16" s="1466">
        <f>IFERROR(__xludf.DUMMYFUNCTION("""COMPUTED_VALUE"""),0.6361111111111111)</f>
        <v>0.6361111111</v>
      </c>
      <c r="M16" s="1469">
        <f>IFERROR(__xludf.DUMMYFUNCTION("""COMPUTED_VALUE"""),35890.0)</f>
        <v>35890</v>
      </c>
      <c r="N16" s="1470">
        <f>IFERROR(__xludf.DUMMYFUNCTION("""COMPUTED_VALUE"""),0.5048611111111111)</f>
        <v>0.5048611111</v>
      </c>
      <c r="O16" s="1467">
        <f>IFERROR(__xludf.DUMMYFUNCTION("""COMPUTED_VALUE"""),37340.0)</f>
        <v>37340</v>
      </c>
      <c r="P16" s="1518"/>
      <c r="Q16" s="1519"/>
      <c r="R16" s="1518"/>
      <c r="S16" s="1519"/>
      <c r="T16" s="1518"/>
      <c r="U16" s="1519"/>
      <c r="V16" s="1518"/>
      <c r="W16" s="1519"/>
      <c r="X16" s="1518"/>
      <c r="Y16" s="1519"/>
      <c r="Z16" s="1518"/>
      <c r="AA16" s="1519"/>
      <c r="AB16" s="1518"/>
      <c r="AC16" s="1519"/>
      <c r="AD16" s="1466">
        <f>IFERROR(__xludf.DUMMYFUNCTION("""COMPUTED_VALUE"""),15.11875)</f>
        <v>15.11875</v>
      </c>
      <c r="AE16" s="1474">
        <f>IFERROR(__xludf.DUMMYFUNCTION("""COMPUTED_VALUE"""),3.028751066E10)</f>
        <v>30287510660</v>
      </c>
      <c r="AF16" s="1466">
        <f>IFERROR(__xludf.DUMMYFUNCTION("""COMPUTED_VALUE"""),15.11875)</f>
        <v>15.11875</v>
      </c>
      <c r="AG16" s="1474">
        <f>IFERROR(__xludf.DUMMYFUNCTION("""COMPUTED_VALUE"""),3.028751066E10)</f>
        <v>30287510660</v>
      </c>
      <c r="AH16" s="1466">
        <f>IFERROR(__xludf.DUMMYFUNCTION("""COMPUTED_VALUE"""),15.11875)</f>
        <v>15.11875</v>
      </c>
      <c r="AI16" s="1474">
        <f>IFERROR(__xludf.DUMMYFUNCTION("""COMPUTED_VALUE"""),3.028751066E10)</f>
        <v>30287510660</v>
      </c>
      <c r="AJ16" s="1475">
        <f>IFERROR(__xludf.DUMMYFUNCTION("""COMPUTED_VALUE"""),0.4270833333333333)</f>
        <v>0.4270833333</v>
      </c>
      <c r="AK16" s="1476">
        <f>IFERROR(__xludf.DUMMYFUNCTION("""COMPUTED_VALUE"""),16580.0)</f>
        <v>16580</v>
      </c>
      <c r="AL16" s="1475">
        <f>IFERROR(__xludf.DUMMYFUNCTION("""COMPUTED_VALUE"""),0.4270833333333333)</f>
        <v>0.4270833333</v>
      </c>
      <c r="AM16" s="1476">
        <f>IFERROR(__xludf.DUMMYFUNCTION("""COMPUTED_VALUE"""),16580.0)</f>
        <v>16580</v>
      </c>
      <c r="AN16" s="1475">
        <f>IFERROR(__xludf.DUMMYFUNCTION("""COMPUTED_VALUE"""),0.4270833333333333)</f>
        <v>0.4270833333</v>
      </c>
      <c r="AO16" s="1476">
        <f>IFERROR(__xludf.DUMMYFUNCTION("""COMPUTED_VALUE"""),16580.0)</f>
        <v>16580</v>
      </c>
      <c r="AP16" s="1475">
        <f>IFERROR(__xludf.DUMMYFUNCTION("""COMPUTED_VALUE"""),0.4270833333333333)</f>
        <v>0.4270833333</v>
      </c>
      <c r="AQ16" s="1476">
        <f>IFERROR(__xludf.DUMMYFUNCTION("""COMPUTED_VALUE"""),16580.0)</f>
        <v>16580</v>
      </c>
      <c r="AR16" s="1475">
        <f>IFERROR(__xludf.DUMMYFUNCTION("""COMPUTED_VALUE"""),0.4270833333333333)</f>
        <v>0.4270833333</v>
      </c>
      <c r="AS16" s="1476">
        <f>IFERROR(__xludf.DUMMYFUNCTION("""COMPUTED_VALUE"""),16590.0)</f>
        <v>16590</v>
      </c>
      <c r="AT16" s="1475">
        <f>IFERROR(__xludf.DUMMYFUNCTION("""COMPUTED_VALUE"""),47.329861111111114)</f>
        <v>47.32986111</v>
      </c>
      <c r="AU16" s="1476">
        <f>IFERROR(__xludf.DUMMYFUNCTION("""COMPUTED_VALUE"""),1.748E8)</f>
        <v>174800000</v>
      </c>
      <c r="AV16" s="1475">
        <f>IFERROR(__xludf.DUMMYFUNCTION("""COMPUTED_VALUE"""),31.820138888888888)</f>
        <v>31.82013889</v>
      </c>
      <c r="AW16" s="1476">
        <f>IFERROR(__xludf.DUMMYFUNCTION("""COMPUTED_VALUE"""),1.748E8)</f>
        <v>174800000</v>
      </c>
      <c r="AX16" s="1475">
        <f>IFERROR(__xludf.DUMMYFUNCTION("""COMPUTED_VALUE"""),11.223611111111111)</f>
        <v>11.22361111</v>
      </c>
      <c r="AY16" s="1476">
        <f>IFERROR(__xludf.DUMMYFUNCTION("""COMPUTED_VALUE"""),7.2855E11)</f>
        <v>728550000000</v>
      </c>
      <c r="AZ16" s="1518"/>
      <c r="BA16" s="1518"/>
      <c r="BB16" s="1477">
        <f>IFERROR(__xludf.DUMMYFUNCTION("""COMPUTED_VALUE"""),0.4270833333333333)</f>
        <v>0.4270833333</v>
      </c>
      <c r="BC16" s="1478">
        <f>IFERROR(__xludf.DUMMYFUNCTION("""COMPUTED_VALUE"""),16580.0)</f>
        <v>16580</v>
      </c>
      <c r="BD16" s="1477">
        <f>IFERROR(__xludf.DUMMYFUNCTION("""COMPUTED_VALUE"""),0.4270833333333333)</f>
        <v>0.4270833333</v>
      </c>
      <c r="BE16" s="1478">
        <f>IFERROR(__xludf.DUMMYFUNCTION("""COMPUTED_VALUE"""),16580.0)</f>
        <v>16580</v>
      </c>
      <c r="BF16" s="1477">
        <f>IFERROR(__xludf.DUMMYFUNCTION("""COMPUTED_VALUE"""),0.4270833333333333)</f>
        <v>0.4270833333</v>
      </c>
      <c r="BG16" s="1478">
        <f>IFERROR(__xludf.DUMMYFUNCTION("""COMPUTED_VALUE"""),16580.0)</f>
        <v>16580</v>
      </c>
      <c r="BH16" s="1477">
        <f>IFERROR(__xludf.DUMMYFUNCTION("""COMPUTED_VALUE"""),4.334722222222222)</f>
        <v>4.334722222</v>
      </c>
      <c r="BI16" s="1478">
        <f>IFERROR(__xludf.DUMMYFUNCTION("""COMPUTED_VALUE"""),2.859E7)</f>
        <v>28590000</v>
      </c>
      <c r="BJ16" s="1477">
        <f>IFERROR(__xludf.DUMMYFUNCTION("""COMPUTED_VALUE"""),5.923611111111111)</f>
        <v>5.923611111</v>
      </c>
      <c r="BK16" s="1478">
        <f>IFERROR(__xludf.DUMMYFUNCTION("""COMPUTED_VALUE"""),1.8461E8)</f>
        <v>184610000</v>
      </c>
      <c r="BL16" s="1477">
        <f>IFERROR(__xludf.DUMMYFUNCTION("""COMPUTED_VALUE"""),8.292361111111111)</f>
        <v>8.292361111</v>
      </c>
      <c r="BM16" s="1478">
        <f>IFERROR(__xludf.DUMMYFUNCTION("""COMPUTED_VALUE"""),6.1662E8)</f>
        <v>616620000</v>
      </c>
      <c r="BN16" s="1477">
        <f>IFERROR(__xludf.DUMMYFUNCTION("""COMPUTED_VALUE"""),8.292361111111111)</f>
        <v>8.292361111</v>
      </c>
      <c r="BO16" s="1478">
        <f>IFERROR(__xludf.DUMMYFUNCTION("""COMPUTED_VALUE"""),6.1662E8)</f>
        <v>616620000</v>
      </c>
      <c r="BP16" s="1477">
        <f>IFERROR(__xludf.DUMMYFUNCTION("""COMPUTED_VALUE"""),11.651388888888889)</f>
        <v>11.65138889</v>
      </c>
      <c r="BQ16" s="1478">
        <f>IFERROR(__xludf.DUMMYFUNCTION("""COMPUTED_VALUE"""),6.1675E8)</f>
        <v>616750000</v>
      </c>
      <c r="BR16" s="1520"/>
      <c r="BS16" s="1519"/>
      <c r="BT16" s="1479">
        <f>IFERROR(__xludf.DUMMYFUNCTION("""COMPUTED_VALUE"""),0.6430555555555556)</f>
        <v>0.6430555556</v>
      </c>
      <c r="BU16" s="1480">
        <f>IFERROR(__xludf.DUMMYFUNCTION("""COMPUTED_VALUE"""),4.07E9)</f>
        <v>4070000000</v>
      </c>
      <c r="BV16" s="1479">
        <f>IFERROR(__xludf.DUMMYFUNCTION("""COMPUTED_VALUE"""),14.890972222222222)</f>
        <v>14.89097222</v>
      </c>
      <c r="BW16" s="1480">
        <f>IFERROR(__xludf.DUMMYFUNCTION("""COMPUTED_VALUE"""),1.208E10)</f>
        <v>12080000000</v>
      </c>
      <c r="BX16" s="1479">
        <f>IFERROR(__xludf.DUMMYFUNCTION("""COMPUTED_VALUE"""),29.86625)</f>
        <v>29.86625</v>
      </c>
      <c r="BY16" s="1480">
        <f>IFERROR(__xludf.DUMMYFUNCTION("""COMPUTED_VALUE"""),1.0512E11)</f>
        <v>105120000000</v>
      </c>
      <c r="BZ16" s="1479">
        <f>IFERROR(__xludf.DUMMYFUNCTION("""COMPUTED_VALUE"""),55.62152777777778)</f>
        <v>55.62152778</v>
      </c>
      <c r="CA16" s="1480">
        <f>IFERROR(__xludf.DUMMYFUNCTION("""COMPUTED_VALUE"""),1.4412E11)</f>
        <v>144120000000</v>
      </c>
      <c r="CB16" s="1520"/>
      <c r="CC16" s="1519"/>
      <c r="CD16" s="1477">
        <f>IFERROR(__xludf.DUMMYFUNCTION("""COMPUTED_VALUE"""),4.493553240740741)</f>
        <v>4.493553241</v>
      </c>
      <c r="CE16" s="1481">
        <f>IFERROR(__xludf.DUMMYFUNCTION("""COMPUTED_VALUE"""),4.1011E11)</f>
        <v>410110000000</v>
      </c>
      <c r="CF16" s="1527"/>
      <c r="CG16" s="1560"/>
      <c r="CH16" s="1482">
        <f>IFERROR(__xludf.DUMMYFUNCTION("""COMPUTED_VALUE"""),0.4270833333333333)</f>
        <v>0.4270833333</v>
      </c>
      <c r="CI16" s="1483">
        <f>IFERROR(__xludf.DUMMYFUNCTION("""COMPUTED_VALUE"""),16590.0)</f>
        <v>16590</v>
      </c>
      <c r="CJ16" s="1482">
        <f>IFERROR(__xludf.DUMMYFUNCTION("""COMPUTED_VALUE"""),0.4270833333333333)</f>
        <v>0.4270833333</v>
      </c>
      <c r="CK16" s="1483">
        <f>IFERROR(__xludf.DUMMYFUNCTION("""COMPUTED_VALUE"""),16590.0)</f>
        <v>16590</v>
      </c>
      <c r="CL16" s="1482">
        <f>IFERROR(__xludf.DUMMYFUNCTION("""COMPUTED_VALUE"""),0.4270833333333333)</f>
        <v>0.4270833333</v>
      </c>
      <c r="CM16" s="1483">
        <f>IFERROR(__xludf.DUMMYFUNCTION("""COMPUTED_VALUE"""),16590.0)</f>
        <v>16590</v>
      </c>
      <c r="CN16" s="1482">
        <f>IFERROR(__xludf.DUMMYFUNCTION("""COMPUTED_VALUE"""),0.4270833333333333)</f>
        <v>0.4270833333</v>
      </c>
      <c r="CO16" s="1483">
        <f>IFERROR(__xludf.DUMMYFUNCTION("""COMPUTED_VALUE"""),16590.0)</f>
        <v>16590</v>
      </c>
      <c r="CP16" s="1482">
        <f>IFERROR(__xludf.DUMMYFUNCTION("""COMPUTED_VALUE"""),0.7131944444444445)</f>
        <v>0.7131944444</v>
      </c>
      <c r="CQ16" s="1483">
        <f>IFERROR(__xludf.DUMMYFUNCTION("""COMPUTED_VALUE"""),37350.0)</f>
        <v>37350</v>
      </c>
      <c r="CR16" s="1482">
        <f>IFERROR(__xludf.DUMMYFUNCTION("""COMPUTED_VALUE"""),21.56875)</f>
        <v>21.56875</v>
      </c>
      <c r="CS16" s="1483">
        <f>IFERROR(__xludf.DUMMYFUNCTION("""COMPUTED_VALUE"""),483330.0)</f>
        <v>483330</v>
      </c>
      <c r="CT16" s="1520"/>
      <c r="CU16" s="1519"/>
      <c r="CV16" s="1484">
        <f>IFERROR(__xludf.DUMMYFUNCTION("""COMPUTED_VALUE"""),15.122916666666667)</f>
        <v>15.12291667</v>
      </c>
      <c r="CW16" s="1485">
        <f>IFERROR(__xludf.DUMMYFUNCTION("""COMPUTED_VALUE"""),1.705E11)</f>
        <v>170500000000</v>
      </c>
      <c r="CX16" s="1484">
        <f>IFERROR(__xludf.DUMMYFUNCTION("""COMPUTED_VALUE"""),15.122916666666667)</f>
        <v>15.12291667</v>
      </c>
      <c r="CY16" s="1485">
        <f>IFERROR(__xludf.DUMMYFUNCTION("""COMPUTED_VALUE"""),1.705E11)</f>
        <v>170500000000</v>
      </c>
      <c r="CZ16" s="1484">
        <f>IFERROR(__xludf.DUMMYFUNCTION("""COMPUTED_VALUE"""),15.122916666666667)</f>
        <v>15.12291667</v>
      </c>
      <c r="DA16" s="1485">
        <f>IFERROR(__xludf.DUMMYFUNCTION("""COMPUTED_VALUE"""),1.705E11)</f>
        <v>170500000000</v>
      </c>
      <c r="DB16" s="1484">
        <f>IFERROR(__xludf.DUMMYFUNCTION("""COMPUTED_VALUE"""),8.181249999999999)</f>
        <v>8.18125</v>
      </c>
      <c r="DC16" s="1485">
        <f>IFERROR(__xludf.DUMMYFUNCTION("""COMPUTED_VALUE"""),4.181E10)</f>
        <v>41810000000</v>
      </c>
      <c r="DD16" s="1484">
        <f>IFERROR(__xludf.DUMMYFUNCTION("""COMPUTED_VALUE"""),8.181249999999999)</f>
        <v>8.18125</v>
      </c>
      <c r="DE16" s="1485">
        <f>IFERROR(__xludf.DUMMYFUNCTION("""COMPUTED_VALUE"""),4.181E10)</f>
        <v>41810000000</v>
      </c>
      <c r="DF16" s="1486">
        <f>IFERROR(__xludf.DUMMYFUNCTION("""COMPUTED_VALUE"""),9.05625)</f>
        <v>9.05625</v>
      </c>
      <c r="DG16" s="1487">
        <f>IFERROR(__xludf.DUMMYFUNCTION("""COMPUTED_VALUE"""),6.1711E8)</f>
        <v>617110000</v>
      </c>
      <c r="DH16" s="1518"/>
      <c r="DI16" s="1519"/>
      <c r="DJ16" s="1486">
        <f>IFERROR(__xludf.DUMMYFUNCTION("""COMPUTED_VALUE"""),9.843055555555555)</f>
        <v>9.843055556</v>
      </c>
      <c r="DK16" s="1487">
        <f>IFERROR(__xludf.DUMMYFUNCTION("""COMPUTED_VALUE"""),6.1766E8)</f>
        <v>617660000</v>
      </c>
      <c r="DL16" s="1486">
        <f>IFERROR(__xludf.DUMMYFUNCTION("""COMPUTED_VALUE"""),9.05625)</f>
        <v>9.05625</v>
      </c>
      <c r="DM16" s="1487">
        <f>IFERROR(__xludf.DUMMYFUNCTION("""COMPUTED_VALUE"""),6.1711E8)</f>
        <v>617110000</v>
      </c>
      <c r="DN16" s="1518"/>
      <c r="DO16" s="1519"/>
      <c r="DP16" s="1486">
        <f>IFERROR(__xludf.DUMMYFUNCTION("""COMPUTED_VALUE"""),9.05625)</f>
        <v>9.05625</v>
      </c>
      <c r="DQ16" s="1487">
        <f>IFERROR(__xludf.DUMMYFUNCTION("""COMPUTED_VALUE"""),6.1711E8)</f>
        <v>617110000</v>
      </c>
      <c r="DR16" s="1486">
        <f>IFERROR(__xludf.DUMMYFUNCTION("""COMPUTED_VALUE"""),9.05625)</f>
        <v>9.05625</v>
      </c>
      <c r="DS16" s="1487">
        <f>IFERROR(__xludf.DUMMYFUNCTION("""COMPUTED_VALUE"""),6.1711E8)</f>
        <v>617110000</v>
      </c>
      <c r="DT16" s="1518"/>
      <c r="DU16" s="1519"/>
      <c r="DV16" s="1486">
        <f>IFERROR(__xludf.DUMMYFUNCTION("""COMPUTED_VALUE"""),9.05625)</f>
        <v>9.05625</v>
      </c>
      <c r="DW16" s="1487">
        <f>IFERROR(__xludf.DUMMYFUNCTION("""COMPUTED_VALUE"""),6.1711E8)</f>
        <v>617110000</v>
      </c>
      <c r="DX16" s="1486">
        <f>IFERROR(__xludf.DUMMYFUNCTION("""COMPUTED_VALUE"""),9.05625)</f>
        <v>9.05625</v>
      </c>
      <c r="DY16" s="1487">
        <f>IFERROR(__xludf.DUMMYFUNCTION("""COMPUTED_VALUE"""),6.1711E8)</f>
        <v>617110000</v>
      </c>
      <c r="DZ16" s="1486">
        <f>IFERROR(__xludf.DUMMYFUNCTION("""COMPUTED_VALUE"""),12.597916666666666)</f>
        <v>12.59791667</v>
      </c>
      <c r="EA16" s="1487">
        <f>IFERROR(__xludf.DUMMYFUNCTION("""COMPUTED_VALUE"""),1.52E9)</f>
        <v>1520000000</v>
      </c>
      <c r="EB16" s="1486">
        <f>IFERROR(__xludf.DUMMYFUNCTION("""COMPUTED_VALUE"""),12.597916666666666)</f>
        <v>12.59791667</v>
      </c>
      <c r="EC16" s="1487">
        <f>IFERROR(__xludf.DUMMYFUNCTION("""COMPUTED_VALUE"""),1.52E9)</f>
        <v>1520000000</v>
      </c>
      <c r="ED16" s="1518"/>
      <c r="EE16" s="1519"/>
      <c r="EF16" s="1486">
        <f>IFERROR(__xludf.DUMMYFUNCTION("""COMPUTED_VALUE"""),11.764583333333333)</f>
        <v>11.76458333</v>
      </c>
      <c r="EG16" s="1487">
        <f>IFERROR(__xludf.DUMMYFUNCTION("""COMPUTED_VALUE"""),1.52E9)</f>
        <v>1520000000</v>
      </c>
      <c r="EH16" s="1486">
        <f>IFERROR(__xludf.DUMMYFUNCTION("""COMPUTED_VALUE"""),11.764583333333333)</f>
        <v>11.76458333</v>
      </c>
      <c r="EI16" s="1487">
        <f>IFERROR(__xludf.DUMMYFUNCTION("""COMPUTED_VALUE"""),1.52E9)</f>
        <v>1520000000</v>
      </c>
      <c r="EJ16" s="1486">
        <f>IFERROR(__xludf.DUMMYFUNCTION("""COMPUTED_VALUE"""),8.479780092592593)</f>
        <v>8.479780093</v>
      </c>
      <c r="EK16" s="1487">
        <f>IFERROR(__xludf.DUMMYFUNCTION("""COMPUTED_VALUE"""),3.8311E8)</f>
        <v>383110000</v>
      </c>
      <c r="EL16" s="1486">
        <f>IFERROR(__xludf.DUMMYFUNCTION("""COMPUTED_VALUE"""),11.765011574074075)</f>
        <v>11.76501157</v>
      </c>
      <c r="EM16" s="1487">
        <f>IFERROR(__xludf.DUMMYFUNCTION("""COMPUTED_VALUE"""),1.52E9)</f>
        <v>1520000000</v>
      </c>
      <c r="EN16" s="1486">
        <f>IFERROR(__xludf.DUMMYFUNCTION("""COMPUTED_VALUE"""),11.764583333333333)</f>
        <v>11.76458333</v>
      </c>
      <c r="EO16" s="1487">
        <f>IFERROR(__xludf.DUMMYFUNCTION("""COMPUTED_VALUE"""),1.52E9)</f>
        <v>1520000000</v>
      </c>
      <c r="EP16" s="1486">
        <f>IFERROR(__xludf.DUMMYFUNCTION("""COMPUTED_VALUE"""),11.764583333333333)</f>
        <v>11.76458333</v>
      </c>
      <c r="EQ16" s="1487">
        <f>IFERROR(__xludf.DUMMYFUNCTION("""COMPUTED_VALUE"""),1.52E9)</f>
        <v>1520000000</v>
      </c>
      <c r="ER16" s="1486">
        <f>IFERROR(__xludf.DUMMYFUNCTION("""COMPUTED_VALUE"""),11.764583333333333)</f>
        <v>11.76458333</v>
      </c>
      <c r="ES16" s="1487">
        <f>IFERROR(__xludf.DUMMYFUNCTION("""COMPUTED_VALUE"""),1.52E9)</f>
        <v>1520000000</v>
      </c>
      <c r="ET16" s="1486">
        <f>IFERROR(__xludf.DUMMYFUNCTION("""COMPUTED_VALUE"""),11.764583333333333)</f>
        <v>11.76458333</v>
      </c>
      <c r="EU16" s="1487">
        <f>IFERROR(__xludf.DUMMYFUNCTION("""COMPUTED_VALUE"""),1.52E9)</f>
        <v>1520000000</v>
      </c>
      <c r="EV16" s="1518"/>
      <c r="EW16" s="1519"/>
      <c r="EX16" s="1518"/>
      <c r="EY16" s="1519"/>
      <c r="EZ16" s="1518"/>
      <c r="FA16" s="1519"/>
      <c r="FB16" s="1520"/>
      <c r="FC16" s="1519"/>
      <c r="FD16" s="1520"/>
      <c r="FE16" s="1519"/>
      <c r="FF16" s="1486">
        <f>IFERROR(__xludf.DUMMYFUNCTION("""COMPUTED_VALUE"""),12.597916666666666)</f>
        <v>12.59791667</v>
      </c>
      <c r="FG16" s="1488">
        <f>IFERROR(__xludf.DUMMYFUNCTION("""COMPUTED_VALUE"""),3.74E9)</f>
        <v>3740000000</v>
      </c>
      <c r="FH16" s="1486">
        <f>IFERROR(__xludf.DUMMYFUNCTION("""COMPUTED_VALUE"""),12.597916666666666)</f>
        <v>12.59791667</v>
      </c>
      <c r="FI16" s="1488">
        <f>IFERROR(__xludf.DUMMYFUNCTION("""COMPUTED_VALUE"""),3.74E9)</f>
        <v>3740000000</v>
      </c>
      <c r="FJ16" s="1486">
        <f>IFERROR(__xludf.DUMMYFUNCTION("""COMPUTED_VALUE"""),17.59783564814815)</f>
        <v>17.59783565</v>
      </c>
      <c r="FK16" s="1487">
        <f>IFERROR(__xludf.DUMMYFUNCTION("""COMPUTED_VALUE"""),1.718918919E9)</f>
        <v>1718918919</v>
      </c>
      <c r="FL16" s="1518"/>
      <c r="FM16" s="1519"/>
      <c r="FN16" s="1532"/>
      <c r="FO16" s="1520"/>
      <c r="FP16" s="1486">
        <f>IFERROR(__xludf.DUMMYFUNCTION("""COMPUTED_VALUE"""),36.36244212962963)</f>
        <v>36.36244213</v>
      </c>
      <c r="FQ16" s="1488">
        <f>IFERROR(__xludf.DUMMYFUNCTION("""COMPUTED_VALUE"""),1.946E13)</f>
        <v>19460000000000</v>
      </c>
      <c r="FR16" s="1532"/>
      <c r="FS16" s="1520"/>
      <c r="FT16" s="1486">
        <f>IFERROR(__xludf.DUMMYFUNCTION("""COMPUTED_VALUE"""),36.36244212962963)</f>
        <v>36.36244213</v>
      </c>
      <c r="FU16" s="1488">
        <f>IFERROR(__xludf.DUMMYFUNCTION("""COMPUTED_VALUE"""),1.946E13)</f>
        <v>19460000000000</v>
      </c>
      <c r="FV16" s="1486">
        <f>IFERROR(__xludf.DUMMYFUNCTION("""COMPUTED_VALUE"""),36.36244212962963)</f>
        <v>36.36244213</v>
      </c>
      <c r="FW16" s="1488">
        <f>IFERROR(__xludf.DUMMYFUNCTION("""COMPUTED_VALUE"""),1.946E13)</f>
        <v>19460000000000</v>
      </c>
      <c r="FX16" s="1491">
        <f>IFERROR(__xludf.DUMMYFUNCTION("""COMPUTED_VALUE"""),14.08568287037037)</f>
        <v>14.08568287</v>
      </c>
      <c r="FY16" s="1492">
        <f>IFERROR(__xludf.DUMMYFUNCTION("""COMPUTED_VALUE"""),1.9462E11)</f>
        <v>194620000000</v>
      </c>
      <c r="FZ16" s="1491">
        <f>IFERROR(__xludf.DUMMYFUNCTION("""COMPUTED_VALUE"""),36.362430555555555)</f>
        <v>36.36243056</v>
      </c>
      <c r="GA16" s="1492">
        <f>IFERROR(__xludf.DUMMYFUNCTION("""COMPUTED_VALUE"""),1.94625E13)</f>
        <v>19462500000000</v>
      </c>
      <c r="GB16" s="1527"/>
      <c r="GC16" s="1527"/>
      <c r="GD16" s="1527"/>
      <c r="GE16" s="1560"/>
      <c r="GF16" s="1518"/>
      <c r="GG16" s="1519"/>
      <c r="GH16" s="1494">
        <f>IFERROR(__xludf.DUMMYFUNCTION("""COMPUTED_VALUE"""),10.972916666666666)</f>
        <v>10.97291667</v>
      </c>
      <c r="GI16" s="1495">
        <f>IFERROR(__xludf.DUMMYFUNCTION("""COMPUTED_VALUE"""),3.72E9)</f>
        <v>3720000000</v>
      </c>
      <c r="GJ16" s="1518"/>
      <c r="GK16" s="1519"/>
      <c r="GL16" s="1518"/>
      <c r="GM16" s="1519"/>
      <c r="GN16" s="1520"/>
      <c r="GO16" s="1519"/>
      <c r="GP16" s="1496">
        <f>IFERROR(__xludf.DUMMYFUNCTION("""COMPUTED_VALUE"""),11.139583333333333)</f>
        <v>11.13958333</v>
      </c>
      <c r="GQ16" s="1497">
        <f>IFERROR(__xludf.DUMMYFUNCTION("""COMPUTED_VALUE"""),1.005E11)</f>
        <v>100500000000</v>
      </c>
      <c r="GR16" s="1518"/>
      <c r="GS16" s="1519"/>
      <c r="GT16" s="1518"/>
      <c r="GU16" s="1519"/>
      <c r="GV16" s="1520"/>
      <c r="GW16" s="1519"/>
      <c r="GX16" s="1561"/>
      <c r="GY16" s="1527"/>
      <c r="GZ16" s="1518"/>
      <c r="HA16" s="1519"/>
      <c r="HB16" s="1501">
        <f>IFERROR(__xludf.DUMMYFUNCTION("""COMPUTED_VALUE"""),8.292361111111111)</f>
        <v>8.292361111</v>
      </c>
      <c r="HC16" s="1502">
        <f>IFERROR(__xludf.DUMMYFUNCTION("""COMPUTED_VALUE"""),7.43E9)</f>
        <v>7430000000</v>
      </c>
      <c r="HD16" s="1518"/>
      <c r="HE16" s="1519"/>
      <c r="HF16" s="1501">
        <f>IFERROR(__xludf.DUMMYFUNCTION("""COMPUTED_VALUE"""),8.593055555555555)</f>
        <v>8.593055556</v>
      </c>
      <c r="HG16" s="1502">
        <f>IFERROR(__xludf.DUMMYFUNCTION("""COMPUTED_VALUE"""),1.114E10)</f>
        <v>11140000000</v>
      </c>
      <c r="HH16" s="1518"/>
      <c r="HI16" s="1519"/>
      <c r="HJ16" s="1518"/>
      <c r="HK16" s="1519"/>
      <c r="HL16" s="1518"/>
      <c r="HM16" s="1519"/>
      <c r="HN16" s="1520"/>
      <c r="HO16" s="1519"/>
      <c r="HP16" s="1501">
        <f>IFERROR(__xludf.DUMMYFUNCTION("""COMPUTED_VALUE"""),30.57792824074074)</f>
        <v>30.57792824</v>
      </c>
      <c r="HQ16" s="1503">
        <f>IFERROR(__xludf.DUMMYFUNCTION("""COMPUTED_VALUE"""),3.09E9)</f>
        <v>3090000000</v>
      </c>
      <c r="HR16" s="1522">
        <f>IFERROR(__xludf.DUMMYFUNCTION("""COMPUTED_VALUE"""),14.428472222222222)</f>
        <v>14.42847222</v>
      </c>
      <c r="HS16" s="1523">
        <f>IFERROR(__xludf.DUMMYFUNCTION("""COMPUTED_VALUE"""),1.898E10)</f>
        <v>18980000000</v>
      </c>
      <c r="HT16" s="1522">
        <f>IFERROR(__xludf.DUMMYFUNCTION("""COMPUTED_VALUE"""),14.428472222222222)</f>
        <v>14.42847222</v>
      </c>
      <c r="HU16" s="1523">
        <f>IFERROR(__xludf.DUMMYFUNCTION("""COMPUTED_VALUE"""),1.898E10)</f>
        <v>18980000000</v>
      </c>
      <c r="HV16" s="1522">
        <f>IFERROR(__xludf.DUMMYFUNCTION("""COMPUTED_VALUE"""),14.428472222222222)</f>
        <v>14.42847222</v>
      </c>
      <c r="HW16" s="1523">
        <f>IFERROR(__xludf.DUMMYFUNCTION("""COMPUTED_VALUE"""),1.898E10)</f>
        <v>18980000000</v>
      </c>
      <c r="HX16" s="1524">
        <f>IFERROR(__xludf.DUMMYFUNCTION("""COMPUTED_VALUE"""),14.428472222222222)</f>
        <v>14.42847222</v>
      </c>
      <c r="HY16" s="1523">
        <f>IFERROR(__xludf.DUMMYFUNCTION("""COMPUTED_VALUE"""),1.898E10)</f>
        <v>18980000000</v>
      </c>
      <c r="HZ16" s="1518"/>
      <c r="IA16" s="1519"/>
      <c r="IB16" s="1524">
        <f>IFERROR(__xludf.DUMMYFUNCTION("""COMPUTED_VALUE"""),51.27320601851852)</f>
        <v>51.27320602</v>
      </c>
      <c r="IC16" s="1523">
        <f>IFERROR(__xludf.DUMMYFUNCTION("""COMPUTED_VALUE"""),1.946E13)</f>
        <v>19460000000000</v>
      </c>
      <c r="ID16" s="1524">
        <f>IFERROR(__xludf.DUMMYFUNCTION("""COMPUTED_VALUE"""),51.27320601851852)</f>
        <v>51.27320602</v>
      </c>
      <c r="IE16" s="1523">
        <f>IFERROR(__xludf.DUMMYFUNCTION("""COMPUTED_VALUE"""),1.946E13)</f>
        <v>19460000000000</v>
      </c>
      <c r="IF16" s="1524">
        <f>IFERROR(__xludf.DUMMYFUNCTION("""COMPUTED_VALUE"""),51.27320601851852)</f>
        <v>51.27320602</v>
      </c>
      <c r="IG16" s="1523">
        <f>IFERROR(__xludf.DUMMYFUNCTION("""COMPUTED_VALUE"""),1.946E13)</f>
        <v>19460000000000</v>
      </c>
      <c r="IH16" s="1507">
        <f>IFERROR(__xludf.DUMMYFUNCTION("""COMPUTED_VALUE"""),15.122916666666667)</f>
        <v>15.12291667</v>
      </c>
      <c r="II16" s="1508">
        <f>IFERROR(__xludf.DUMMYFUNCTION("""COMPUTED_VALUE"""),3.655E11)</f>
        <v>365500000000</v>
      </c>
      <c r="IJ16" s="1507">
        <f>IFERROR(__xludf.DUMMYFUNCTION("""COMPUTED_VALUE"""),15.122916666666667)</f>
        <v>15.12291667</v>
      </c>
      <c r="IK16" s="1508">
        <f>IFERROR(__xludf.DUMMYFUNCTION("""COMPUTED_VALUE"""),3.655E11)</f>
        <v>365500000000</v>
      </c>
      <c r="IL16" s="1507">
        <f>IFERROR(__xludf.DUMMYFUNCTION("""COMPUTED_VALUE"""),15.122916666666667)</f>
        <v>15.12291667</v>
      </c>
      <c r="IM16" s="1508">
        <f>IFERROR(__xludf.DUMMYFUNCTION("""COMPUTED_VALUE"""),5.055E11)</f>
        <v>505500000000</v>
      </c>
      <c r="IN16" s="1507">
        <f>IFERROR(__xludf.DUMMYFUNCTION("""COMPUTED_VALUE"""),15.122916666666667)</f>
        <v>15.12291667</v>
      </c>
      <c r="IO16" s="1508">
        <f>IFERROR(__xludf.DUMMYFUNCTION("""COMPUTED_VALUE"""),5.055E11)</f>
        <v>505500000000</v>
      </c>
      <c r="IP16" s="1507">
        <f>IFERROR(__xludf.DUMMYFUNCTION("""COMPUTED_VALUE"""),15.585416666666667)</f>
        <v>15.58541667</v>
      </c>
      <c r="IQ16" s="1508">
        <f>IFERROR(__xludf.DUMMYFUNCTION("""COMPUTED_VALUE"""),9.255E11)</f>
        <v>925500000000</v>
      </c>
      <c r="IR16" s="1507">
        <f>IFERROR(__xludf.DUMMYFUNCTION("""COMPUTED_VALUE"""),15.122916666666667)</f>
        <v>15.12291667</v>
      </c>
      <c r="IS16" s="1508">
        <f>IFERROR(__xludf.DUMMYFUNCTION("""COMPUTED_VALUE"""),5.055E11)</f>
        <v>505500000000</v>
      </c>
      <c r="IT16" s="1507">
        <f>IFERROR(__xludf.DUMMYFUNCTION("""COMPUTED_VALUE"""),15.122916666666667)</f>
        <v>15.12291667</v>
      </c>
      <c r="IU16" s="1508">
        <f>IFERROR(__xludf.DUMMYFUNCTION("""COMPUTED_VALUE"""),5.055E11)</f>
        <v>505500000000</v>
      </c>
      <c r="IV16" s="1507">
        <f>IFERROR(__xludf.DUMMYFUNCTION("""COMPUTED_VALUE"""),15.122916666666667)</f>
        <v>15.12291667</v>
      </c>
      <c r="IW16" s="1508">
        <f>IFERROR(__xludf.DUMMYFUNCTION("""COMPUTED_VALUE"""),5.055E11)</f>
        <v>505500000000</v>
      </c>
      <c r="IX16" s="1507">
        <f>IFERROR(__xludf.DUMMYFUNCTION("""COMPUTED_VALUE"""),15.122916666666667)</f>
        <v>15.12291667</v>
      </c>
      <c r="IY16" s="1508">
        <f>IFERROR(__xludf.DUMMYFUNCTION("""COMPUTED_VALUE"""),5.055E11)</f>
        <v>505500000000</v>
      </c>
      <c r="IZ16" s="1507">
        <f>IFERROR(__xludf.DUMMYFUNCTION("""COMPUTED_VALUE"""),15.122916666666667)</f>
        <v>15.12291667</v>
      </c>
      <c r="JA16" s="1508">
        <f>IFERROR(__xludf.DUMMYFUNCTION("""COMPUTED_VALUE"""),6.455E11)</f>
        <v>645500000000</v>
      </c>
      <c r="JB16" s="1507">
        <f>IFERROR(__xludf.DUMMYFUNCTION("""COMPUTED_VALUE"""),15.122916666666667)</f>
        <v>15.12291667</v>
      </c>
      <c r="JC16" s="1508">
        <f>IFERROR(__xludf.DUMMYFUNCTION("""COMPUTED_VALUE"""),6.455E11)</f>
        <v>645500000000</v>
      </c>
      <c r="JD16" s="1507">
        <f>IFERROR(__xludf.DUMMYFUNCTION("""COMPUTED_VALUE"""),15.122916666666667)</f>
        <v>15.12291667</v>
      </c>
      <c r="JE16" s="1508">
        <f>IFERROR(__xludf.DUMMYFUNCTION("""COMPUTED_VALUE"""),6.455E11)</f>
        <v>645500000000</v>
      </c>
      <c r="JF16" s="1507">
        <f>IFERROR(__xludf.DUMMYFUNCTION("""COMPUTED_VALUE"""),15.122916666666667)</f>
        <v>15.12291667</v>
      </c>
      <c r="JG16" s="1508">
        <f>IFERROR(__xludf.DUMMYFUNCTION("""COMPUTED_VALUE"""),6.455E11)</f>
        <v>645500000000</v>
      </c>
      <c r="JH16" s="1507">
        <f>IFERROR(__xludf.DUMMYFUNCTION("""COMPUTED_VALUE"""),15.585416666666667)</f>
        <v>15.58541667</v>
      </c>
      <c r="JI16" s="1508">
        <f>IFERROR(__xludf.DUMMYFUNCTION("""COMPUTED_VALUE"""),1.08E12)</f>
        <v>1080000000000</v>
      </c>
      <c r="JJ16" s="1507">
        <f>IFERROR(__xludf.DUMMYFUNCTION("""COMPUTED_VALUE"""),151.19305555555556)</f>
        <v>151.1930556</v>
      </c>
      <c r="JK16" s="1509">
        <f>IFERROR(__xludf.DUMMYFUNCTION("""COMPUTED_VALUE"""),3.5E18)</f>
        <v>3.5E+18</v>
      </c>
      <c r="JL16" s="1507">
        <f>IFERROR(__xludf.DUMMYFUNCTION("""COMPUTED_VALUE"""),151.19305555555556)</f>
        <v>151.1930556</v>
      </c>
      <c r="JM16" s="1509">
        <f>IFERROR(__xludf.DUMMYFUNCTION("""COMPUTED_VALUE"""),3.5E18)</f>
        <v>3.5E+18</v>
      </c>
      <c r="JN16" s="1507">
        <f>IFERROR(__xludf.DUMMYFUNCTION("""COMPUTED_VALUE"""),151.19305555555556)</f>
        <v>151.1930556</v>
      </c>
      <c r="JO16" s="1509">
        <f>IFERROR(__xludf.DUMMYFUNCTION("""COMPUTED_VALUE"""),3.5E18)</f>
        <v>3.5E+18</v>
      </c>
      <c r="JP16" s="1507">
        <f>IFERROR(__xludf.DUMMYFUNCTION("""COMPUTED_VALUE"""),151.19305555555556)</f>
        <v>151.1930556</v>
      </c>
      <c r="JQ16" s="1509">
        <f>IFERROR(__xludf.DUMMYFUNCTION("""COMPUTED_VALUE"""),3.5E18)</f>
        <v>3.5E+18</v>
      </c>
      <c r="JR16" s="1507">
        <f>IFERROR(__xludf.DUMMYFUNCTION("""COMPUTED_VALUE"""),151.19305555555556)</f>
        <v>151.1930556</v>
      </c>
      <c r="JS16" s="1509">
        <f>IFERROR(__xludf.DUMMYFUNCTION("""COMPUTED_VALUE"""),3.5E18)</f>
        <v>3.5E+18</v>
      </c>
      <c r="JT16" s="1507">
        <f>IFERROR(__xludf.DUMMYFUNCTION("""COMPUTED_VALUE"""),151.19305555555556)</f>
        <v>151.1930556</v>
      </c>
      <c r="JU16" s="1509">
        <f>IFERROR(__xludf.DUMMYFUNCTION("""COMPUTED_VALUE"""),3.5E18)</f>
        <v>3.5E+18</v>
      </c>
      <c r="JV16" s="1507">
        <f>IFERROR(__xludf.DUMMYFUNCTION("""COMPUTED_VALUE"""),37.797916666666666)</f>
        <v>37.79791667</v>
      </c>
      <c r="JW16" s="1509">
        <f>IFERROR(__xludf.DUMMYFUNCTION("""COMPUTED_VALUE"""),7.937147733E13)</f>
        <v>79371477330000</v>
      </c>
      <c r="JX16" s="1562"/>
      <c r="JY16" s="1560"/>
      <c r="JZ16" s="1510">
        <f>IFERROR(__xludf.DUMMYFUNCTION("""COMPUTED_VALUE"""),1.946215278)</f>
        <v>1.946215278</v>
      </c>
      <c r="KA16" s="1514">
        <f>IFERROR(__xludf.DUMMYFUNCTION("""COMPUTED_VALUE"""),2.04E9)</f>
        <v>2040000000</v>
      </c>
      <c r="KB16" s="1510">
        <f>IFERROR(__xludf.DUMMYFUNCTION("""COMPUTED_VALUE"""),2.222256944)</f>
        <v>2.222256944</v>
      </c>
      <c r="KC16" s="1514">
        <f>IFERROR(__xludf.DUMMYFUNCTION("""COMPUTED_VALUE"""),6.59E9)</f>
        <v>6590000000</v>
      </c>
      <c r="KD16" s="1510">
        <f>IFERROR(__xludf.DUMMYFUNCTION("""COMPUTED_VALUE"""),8.530949074)</f>
        <v>8.530949074</v>
      </c>
      <c r="KE16" s="1514">
        <f>IFERROR(__xludf.DUMMYFUNCTION("""COMPUTED_VALUE"""),3.7222E11)</f>
        <v>372220000000</v>
      </c>
      <c r="KF16" s="1510">
        <f>IFERROR(__xludf.DUMMYFUNCTION("""COMPUTED_VALUE"""),8.530949074)</f>
        <v>8.530949074</v>
      </c>
      <c r="KG16" s="1514">
        <f>IFERROR(__xludf.DUMMYFUNCTION("""COMPUTED_VALUE"""),3.7222E11)</f>
        <v>372220000000</v>
      </c>
      <c r="KH16" s="1562"/>
      <c r="KI16" s="1560"/>
      <c r="KJ16" s="1527"/>
      <c r="KK16" s="1527"/>
      <c r="KL16" s="1527"/>
      <c r="KM16" s="1527"/>
      <c r="KN16" s="1527"/>
      <c r="KO16" s="1527"/>
      <c r="KP16" s="1527"/>
      <c r="KQ16" s="1527"/>
      <c r="KR16" s="1527"/>
      <c r="KS16" s="1527"/>
      <c r="KT16" s="1527"/>
      <c r="KU16" s="1527"/>
      <c r="KV16" s="1525">
        <f>IFERROR(__xludf.DUMMYFUNCTION("""COMPUTED_VALUE"""),151.19305555555556)</f>
        <v>151.1930556</v>
      </c>
      <c r="KW16" s="1526">
        <f>IFERROR(__xludf.DUMMYFUNCTION("""COMPUTED_VALUE"""),3.5E18)</f>
        <v>3.5E+18</v>
      </c>
      <c r="KX16" s="1525">
        <f>IFERROR(__xludf.DUMMYFUNCTION("""COMPUTED_VALUE"""),151.19305555555556)</f>
        <v>151.1930556</v>
      </c>
      <c r="KY16" s="1526">
        <f>IFERROR(__xludf.DUMMYFUNCTION("""COMPUTED_VALUE"""),3.5E18)</f>
        <v>3.5E+18</v>
      </c>
      <c r="KZ16" s="1525">
        <f>IFERROR(__xludf.DUMMYFUNCTION("""COMPUTED_VALUE"""),151.19305555555556)</f>
        <v>151.1930556</v>
      </c>
      <c r="LA16" s="1526">
        <f>IFERROR(__xludf.DUMMYFUNCTION("""COMPUTED_VALUE"""),3.5E18)</f>
        <v>3.5E+18</v>
      </c>
      <c r="LB16" s="1525">
        <f>IFERROR(__xludf.DUMMYFUNCTION("""COMPUTED_VALUE"""),151.19305555555556)</f>
        <v>151.1930556</v>
      </c>
      <c r="LC16" s="1526">
        <f>IFERROR(__xludf.DUMMYFUNCTION("""COMPUTED_VALUE"""),3.5E18)</f>
        <v>3.5E+18</v>
      </c>
      <c r="LD16" s="1525">
        <f>IFERROR(__xludf.DUMMYFUNCTION("""COMPUTED_VALUE"""),151.19305555555556)</f>
        <v>151.1930556</v>
      </c>
      <c r="LE16" s="1526">
        <f>IFERROR(__xludf.DUMMYFUNCTION("""COMPUTED_VALUE"""),3.5E18)</f>
        <v>3.5E+18</v>
      </c>
      <c r="LF16" s="1525">
        <f>IFERROR(__xludf.DUMMYFUNCTION("""COMPUTED_VALUE"""),151.19305555555556)</f>
        <v>151.1930556</v>
      </c>
      <c r="LG16" s="1526">
        <f>IFERROR(__xludf.DUMMYFUNCTION("""COMPUTED_VALUE"""),3.5E18)</f>
        <v>3.5E+18</v>
      </c>
      <c r="LH16" s="1525">
        <f>IFERROR(__xludf.DUMMYFUNCTION("""COMPUTED_VALUE"""),151.19305555555556)</f>
        <v>151.1930556</v>
      </c>
      <c r="LI16" s="1526">
        <f>IFERROR(__xludf.DUMMYFUNCTION("""COMPUTED_VALUE"""),3.5E18)</f>
        <v>3.5E+18</v>
      </c>
      <c r="LJ16" s="1525">
        <f>IFERROR(__xludf.DUMMYFUNCTION("""COMPUTED_VALUE"""),151.19305555555556)</f>
        <v>151.1930556</v>
      </c>
      <c r="LK16" s="1526">
        <f>IFERROR(__xludf.DUMMYFUNCTION("""COMPUTED_VALUE"""),3.5E18)</f>
        <v>3.5E+18</v>
      </c>
      <c r="LL16" s="1527"/>
      <c r="LM16" s="1527"/>
      <c r="LN16" s="1516">
        <f>IFERROR(__xludf.DUMMYFUNCTION("""COMPUTED_VALUE"""),188.9909722222222)</f>
        <v>188.9909722</v>
      </c>
      <c r="LO16" s="1495">
        <f>IFERROR(__xludf.DUMMYFUNCTION("""COMPUTED_VALUE"""),2.8000000000000005E18)</f>
        <v>2.8E+18</v>
      </c>
      <c r="LP16" s="1516">
        <f>IFERROR(__xludf.DUMMYFUNCTION("""COMPUTED_VALUE"""),188.9909722222222)</f>
        <v>188.9909722</v>
      </c>
      <c r="LQ16" s="1495">
        <f>IFERROR(__xludf.DUMMYFUNCTION("""COMPUTED_VALUE"""),2.8000000000000005E18)</f>
        <v>2.8E+18</v>
      </c>
      <c r="LR16" s="1516">
        <f>IFERROR(__xludf.DUMMYFUNCTION("""COMPUTED_VALUE"""),188.9909722222222)</f>
        <v>188.9909722</v>
      </c>
      <c r="LS16" s="1495">
        <f>IFERROR(__xludf.DUMMYFUNCTION("""COMPUTED_VALUE"""),2.8000000000000005E18)</f>
        <v>2.8E+18</v>
      </c>
      <c r="LT16" s="1516">
        <f>IFERROR(__xludf.DUMMYFUNCTION("""COMPUTED_VALUE"""),188.9909722222222)</f>
        <v>188.9909722</v>
      </c>
      <c r="LU16" s="1495">
        <f>IFERROR(__xludf.DUMMYFUNCTION("""COMPUTED_VALUE"""),2.8000000000000005E18)</f>
        <v>2.8E+18</v>
      </c>
      <c r="LV16" s="1516">
        <f>IFERROR(__xludf.DUMMYFUNCTION("""COMPUTED_VALUE"""),188.9909722222222)</f>
        <v>188.9909722</v>
      </c>
      <c r="LW16" s="1495">
        <f>IFERROR(__xludf.DUMMYFUNCTION("""COMPUTED_VALUE"""),2.8000000000000005E18)</f>
        <v>2.8E+18</v>
      </c>
      <c r="LX16" s="1516">
        <f>IFERROR(__xludf.DUMMYFUNCTION("""COMPUTED_VALUE"""),226.78958333333333)</f>
        <v>226.7895833</v>
      </c>
      <c r="LY16" s="1517">
        <f>IFERROR(__xludf.DUMMYFUNCTION("""COMPUTED_VALUE"""),7.0E18)</f>
        <v>7E+18</v>
      </c>
      <c r="LZ16" s="1516">
        <f>IFERROR(__xludf.DUMMYFUNCTION("""COMPUTED_VALUE"""),226.78958333333333)</f>
        <v>226.7895833</v>
      </c>
      <c r="MA16" s="1517">
        <f>IFERROR(__xludf.DUMMYFUNCTION("""COMPUTED_VALUE"""),7.0E18)</f>
        <v>7E+18</v>
      </c>
      <c r="MB16" s="1516">
        <f>IFERROR(__xludf.DUMMYFUNCTION("""COMPUTED_VALUE"""),226.78958333333333)</f>
        <v>226.7895833</v>
      </c>
      <c r="MC16" s="1517">
        <f>IFERROR(__xludf.DUMMYFUNCTION("""COMPUTED_VALUE"""),7.0E18)</f>
        <v>7E+18</v>
      </c>
      <c r="MD16" s="1516">
        <f>IFERROR(__xludf.DUMMYFUNCTION("""COMPUTED_VALUE"""),226.78958333333333)</f>
        <v>226.7895833</v>
      </c>
      <c r="ME16" s="1517">
        <f>IFERROR(__xludf.DUMMYFUNCTION("""COMPUTED_VALUE"""),7.0E18)</f>
        <v>7E+18</v>
      </c>
      <c r="MF16" s="1527"/>
      <c r="MG16" s="1527"/>
      <c r="MH16" s="1527"/>
      <c r="MI16" s="1527"/>
      <c r="MJ16" s="1527"/>
      <c r="MK16" s="1527"/>
      <c r="ML16" s="1527"/>
      <c r="MM16" s="1527"/>
      <c r="MN16" s="1527"/>
      <c r="MO16" s="1527"/>
      <c r="MP16" s="1527"/>
      <c r="MQ16" s="1527"/>
      <c r="MR16" s="1527"/>
      <c r="MS16" s="1527"/>
      <c r="MT16" s="1527"/>
      <c r="MU16" s="1527"/>
      <c r="MV16" s="1527"/>
      <c r="MW16" s="1527"/>
      <c r="MX16" s="1527"/>
      <c r="MY16" s="1527"/>
    </row>
    <row r="17">
      <c r="A17" s="1465">
        <f>IFERROR(__xludf.DUMMYFUNCTION("""COMPUTED_VALUE"""),15.0)</f>
        <v>15</v>
      </c>
      <c r="B17" s="1518"/>
      <c r="C17" s="1519"/>
      <c r="D17" s="1466">
        <f>IFERROR(__xludf.DUMMYFUNCTION("""COMPUTED_VALUE"""),0.5048611111111111)</f>
        <v>0.5048611111</v>
      </c>
      <c r="E17" s="1467">
        <f>IFERROR(__xludf.DUMMYFUNCTION("""COMPUTED_VALUE"""),20270.0)</f>
        <v>20270</v>
      </c>
      <c r="F17" s="1466">
        <f>IFERROR(__xludf.DUMMYFUNCTION("""COMPUTED_VALUE"""),0.5048611111111111)</f>
        <v>0.5048611111</v>
      </c>
      <c r="G17" s="1468">
        <f>IFERROR(__xludf.DUMMYFUNCTION("""COMPUTED_VALUE"""),20270.0)</f>
        <v>20270</v>
      </c>
      <c r="H17" s="1466">
        <f>IFERROR(__xludf.DUMMYFUNCTION("""COMPUTED_VALUE"""),0.5048611111111111)</f>
        <v>0.5048611111</v>
      </c>
      <c r="I17" s="1467">
        <f>IFERROR(__xludf.DUMMYFUNCTION("""COMPUTED_VALUE"""),20270.0)</f>
        <v>20270</v>
      </c>
      <c r="J17" s="1466">
        <f>IFERROR(__xludf.DUMMYFUNCTION("""COMPUTED_VALUE"""),0.5048611111111111)</f>
        <v>0.5048611111</v>
      </c>
      <c r="K17" s="1467">
        <f>IFERROR(__xludf.DUMMYFUNCTION("""COMPUTED_VALUE"""),20270.0)</f>
        <v>20270</v>
      </c>
      <c r="L17" s="1466">
        <f>IFERROR(__xludf.DUMMYFUNCTION("""COMPUTED_VALUE"""),0.7590277777777777)</f>
        <v>0.7590277778</v>
      </c>
      <c r="M17" s="1469">
        <f>IFERROR(__xludf.DUMMYFUNCTION("""COMPUTED_VALUE"""),44940.0)</f>
        <v>44940</v>
      </c>
      <c r="N17" s="1470">
        <f>IFERROR(__xludf.DUMMYFUNCTION("""COMPUTED_VALUE"""),0.5930555555555556)</f>
        <v>0.5930555556</v>
      </c>
      <c r="O17" s="1467">
        <f>IFERROR(__xludf.DUMMYFUNCTION("""COMPUTED_VALUE"""),46910.0)</f>
        <v>46910</v>
      </c>
      <c r="P17" s="1518"/>
      <c r="Q17" s="1519"/>
      <c r="R17" s="1518"/>
      <c r="S17" s="1519"/>
      <c r="T17" s="1518"/>
      <c r="U17" s="1519"/>
      <c r="V17" s="1518"/>
      <c r="W17" s="1519"/>
      <c r="X17" s="1518"/>
      <c r="Y17" s="1519"/>
      <c r="Z17" s="1518"/>
      <c r="AA17" s="1519"/>
      <c r="AB17" s="1518"/>
      <c r="AC17" s="1519"/>
      <c r="AD17" s="1466">
        <f>IFERROR(__xludf.DUMMYFUNCTION("""COMPUTED_VALUE"""),16.198611111111113)</f>
        <v>16.19861111</v>
      </c>
      <c r="AE17" s="1474">
        <f>IFERROR(__xludf.DUMMYFUNCTION("""COMPUTED_VALUE"""),3.937376386E10)</f>
        <v>39373763860</v>
      </c>
      <c r="AF17" s="1466">
        <f>IFERROR(__xludf.DUMMYFUNCTION("""COMPUTED_VALUE"""),16.198611111111113)</f>
        <v>16.19861111</v>
      </c>
      <c r="AG17" s="1474">
        <f>IFERROR(__xludf.DUMMYFUNCTION("""COMPUTED_VALUE"""),3.937376386E10)</f>
        <v>39373763860</v>
      </c>
      <c r="AH17" s="1466">
        <f>IFERROR(__xludf.DUMMYFUNCTION("""COMPUTED_VALUE"""),16.198611111111113)</f>
        <v>16.19861111</v>
      </c>
      <c r="AI17" s="1474">
        <f>IFERROR(__xludf.DUMMYFUNCTION("""COMPUTED_VALUE"""),3.937376386E10)</f>
        <v>39373763860</v>
      </c>
      <c r="AJ17" s="1475">
        <f>IFERROR(__xludf.DUMMYFUNCTION("""COMPUTED_VALUE"""),0.5048611111111111)</f>
        <v>0.5048611111</v>
      </c>
      <c r="AK17" s="1476">
        <f>IFERROR(__xludf.DUMMYFUNCTION("""COMPUTED_VALUE"""),20270.0)</f>
        <v>20270</v>
      </c>
      <c r="AL17" s="1475">
        <f>IFERROR(__xludf.DUMMYFUNCTION("""COMPUTED_VALUE"""),0.5048611111111111)</f>
        <v>0.5048611111</v>
      </c>
      <c r="AM17" s="1476">
        <f>IFERROR(__xludf.DUMMYFUNCTION("""COMPUTED_VALUE"""),20270.0)</f>
        <v>20270</v>
      </c>
      <c r="AN17" s="1475">
        <f>IFERROR(__xludf.DUMMYFUNCTION("""COMPUTED_VALUE"""),0.5048611111111111)</f>
        <v>0.5048611111</v>
      </c>
      <c r="AO17" s="1476">
        <f>IFERROR(__xludf.DUMMYFUNCTION("""COMPUTED_VALUE"""),20270.0)</f>
        <v>20270</v>
      </c>
      <c r="AP17" s="1475">
        <f>IFERROR(__xludf.DUMMYFUNCTION("""COMPUTED_VALUE"""),0.5048611111111111)</f>
        <v>0.5048611111</v>
      </c>
      <c r="AQ17" s="1476">
        <f>IFERROR(__xludf.DUMMYFUNCTION("""COMPUTED_VALUE"""),20270.0)</f>
        <v>20270</v>
      </c>
      <c r="AR17" s="1475">
        <f>IFERROR(__xludf.DUMMYFUNCTION("""COMPUTED_VALUE"""),0.5048611111111111)</f>
        <v>0.5048611111</v>
      </c>
      <c r="AS17" s="1476">
        <f>IFERROR(__xludf.DUMMYFUNCTION("""COMPUTED_VALUE"""),20280.0)</f>
        <v>20280</v>
      </c>
      <c r="AT17" s="1475">
        <f>IFERROR(__xludf.DUMMYFUNCTION("""COMPUTED_VALUE"""),62.020833333333336)</f>
        <v>62.02083333</v>
      </c>
      <c r="AU17" s="1476">
        <f>IFERROR(__xludf.DUMMYFUNCTION("""COMPUTED_VALUE"""),2.4667E8)</f>
        <v>246670000</v>
      </c>
      <c r="AV17" s="1475">
        <f>IFERROR(__xludf.DUMMYFUNCTION("""COMPUTED_VALUE"""),40.38263888888889)</f>
        <v>40.38263889</v>
      </c>
      <c r="AW17" s="1476">
        <f>IFERROR(__xludf.DUMMYFUNCTION("""COMPUTED_VALUE"""),2.4667E8)</f>
        <v>246670000</v>
      </c>
      <c r="AX17" s="1475">
        <f>IFERROR(__xludf.DUMMYFUNCTION("""COMPUTED_VALUE"""),11.843055555555557)</f>
        <v>11.84305556</v>
      </c>
      <c r="AY17" s="1476">
        <f>IFERROR(__xludf.DUMMYFUNCTION("""COMPUTED_VALUE"""),7.7133E11)</f>
        <v>771330000000</v>
      </c>
      <c r="AZ17" s="1518"/>
      <c r="BA17" s="1518"/>
      <c r="BB17" s="1477">
        <f>IFERROR(__xludf.DUMMYFUNCTION("""COMPUTED_VALUE"""),0.5048611111111111)</f>
        <v>0.5048611111</v>
      </c>
      <c r="BC17" s="1478">
        <f>IFERROR(__xludf.DUMMYFUNCTION("""COMPUTED_VALUE"""),20270.0)</f>
        <v>20270</v>
      </c>
      <c r="BD17" s="1477">
        <f>IFERROR(__xludf.DUMMYFUNCTION("""COMPUTED_VALUE"""),0.5048611111111111)</f>
        <v>0.5048611111</v>
      </c>
      <c r="BE17" s="1478">
        <f>IFERROR(__xludf.DUMMYFUNCTION("""COMPUTED_VALUE"""),20270.0)</f>
        <v>20270</v>
      </c>
      <c r="BF17" s="1477">
        <f>IFERROR(__xludf.DUMMYFUNCTION("""COMPUTED_VALUE"""),0.5048611111111111)</f>
        <v>0.5048611111</v>
      </c>
      <c r="BG17" s="1478">
        <f>IFERROR(__xludf.DUMMYFUNCTION("""COMPUTED_VALUE"""),20270.0)</f>
        <v>20270</v>
      </c>
      <c r="BH17" s="1477">
        <f>IFERROR(__xludf.DUMMYFUNCTION("""COMPUTED_VALUE"""),5.434027777777778)</f>
        <v>5.434027778</v>
      </c>
      <c r="BI17" s="1478">
        <f>IFERROR(__xludf.DUMMYFUNCTION("""COMPUTED_VALUE"""),3.844E7)</f>
        <v>38440000</v>
      </c>
      <c r="BJ17" s="1477">
        <f>IFERROR(__xludf.DUMMYFUNCTION("""COMPUTED_VALUE"""),7.415972222222222)</f>
        <v>7.415972222</v>
      </c>
      <c r="BK17" s="1478">
        <f>IFERROR(__xludf.DUMMYFUNCTION("""COMPUTED_VALUE"""),2.5014E8)</f>
        <v>250140000</v>
      </c>
      <c r="BL17" s="1477">
        <f>IFERROR(__xludf.DUMMYFUNCTION("""COMPUTED_VALUE"""),10.331944444444444)</f>
        <v>10.33194444</v>
      </c>
      <c r="BM17" s="1478">
        <f>IFERROR(__xludf.DUMMYFUNCTION("""COMPUTED_VALUE"""),8.4801E8)</f>
        <v>848010000</v>
      </c>
      <c r="BN17" s="1477">
        <f>IFERROR(__xludf.DUMMYFUNCTION("""COMPUTED_VALUE"""),10.331944444444444)</f>
        <v>10.33194444</v>
      </c>
      <c r="BO17" s="1478">
        <f>IFERROR(__xludf.DUMMYFUNCTION("""COMPUTED_VALUE"""),8.4801E8)</f>
        <v>848010000</v>
      </c>
      <c r="BP17" s="1477">
        <f>IFERROR(__xludf.DUMMYFUNCTION("""COMPUTED_VALUE"""),14.741666666666667)</f>
        <v>14.74166667</v>
      </c>
      <c r="BQ17" s="1478">
        <f>IFERROR(__xludf.DUMMYFUNCTION("""COMPUTED_VALUE"""),8.4814E8)</f>
        <v>848140000</v>
      </c>
      <c r="BR17" s="1520"/>
      <c r="BS17" s="1519"/>
      <c r="BT17" s="1479">
        <f>IFERROR(__xludf.DUMMYFUNCTION("""COMPUTED_VALUE"""),0.7201388888888889)</f>
        <v>0.7201388889</v>
      </c>
      <c r="BU17" s="1480">
        <f>IFERROR(__xludf.DUMMYFUNCTION("""COMPUTED_VALUE"""),4.41E9)</f>
        <v>4410000000</v>
      </c>
      <c r="BV17" s="1479">
        <f>IFERROR(__xludf.DUMMYFUNCTION("""COMPUTED_VALUE"""),17.89027777777778)</f>
        <v>17.89027778</v>
      </c>
      <c r="BW17" s="1480">
        <f>IFERROR(__xludf.DUMMYFUNCTION("""COMPUTED_VALUE"""),1.389E10)</f>
        <v>13890000000</v>
      </c>
      <c r="BX17" s="1479">
        <f>IFERROR(__xludf.DUMMYFUNCTION("""COMPUTED_VALUE"""),34.346180555555556)</f>
        <v>34.34618056</v>
      </c>
      <c r="BY17" s="1480">
        <f>IFERROR(__xludf.DUMMYFUNCTION("""COMPUTED_VALUE"""),1.1156E11)</f>
        <v>111560000000</v>
      </c>
      <c r="BZ17" s="1479">
        <f>IFERROR(__xludf.DUMMYFUNCTION("""COMPUTED_VALUE"""),74.71458333333332)</f>
        <v>74.71458333</v>
      </c>
      <c r="CA17" s="1480">
        <f>IFERROR(__xludf.DUMMYFUNCTION("""COMPUTED_VALUE"""),1.5356E11)</f>
        <v>153560000000</v>
      </c>
      <c r="CB17" s="1520"/>
      <c r="CC17" s="1519"/>
      <c r="CD17" s="1477">
        <f>IFERROR(__xludf.DUMMYFUNCTION("""COMPUTED_VALUE"""),4.78037037037037)</f>
        <v>4.78037037</v>
      </c>
      <c r="CE17" s="1481">
        <f>IFERROR(__xludf.DUMMYFUNCTION("""COMPUTED_VALUE"""),4.3748E11)</f>
        <v>437480000000</v>
      </c>
      <c r="CF17" s="1527"/>
      <c r="CG17" s="1560"/>
      <c r="CH17" s="1482">
        <f>IFERROR(__xludf.DUMMYFUNCTION("""COMPUTED_VALUE"""),0.5048611111111111)</f>
        <v>0.5048611111</v>
      </c>
      <c r="CI17" s="1483">
        <f>IFERROR(__xludf.DUMMYFUNCTION("""COMPUTED_VALUE"""),20280.0)</f>
        <v>20280</v>
      </c>
      <c r="CJ17" s="1482">
        <f>IFERROR(__xludf.DUMMYFUNCTION("""COMPUTED_VALUE"""),0.5048611111111111)</f>
        <v>0.5048611111</v>
      </c>
      <c r="CK17" s="1483">
        <f>IFERROR(__xludf.DUMMYFUNCTION("""COMPUTED_VALUE"""),20280.0)</f>
        <v>20280</v>
      </c>
      <c r="CL17" s="1482">
        <f>IFERROR(__xludf.DUMMYFUNCTION("""COMPUTED_VALUE"""),0.5048611111111111)</f>
        <v>0.5048611111</v>
      </c>
      <c r="CM17" s="1483">
        <f>IFERROR(__xludf.DUMMYFUNCTION("""COMPUTED_VALUE"""),20280.0)</f>
        <v>20280</v>
      </c>
      <c r="CN17" s="1482">
        <f>IFERROR(__xludf.DUMMYFUNCTION("""COMPUTED_VALUE"""),0.5048611111111111)</f>
        <v>0.5048611111</v>
      </c>
      <c r="CO17" s="1483">
        <f>IFERROR(__xludf.DUMMYFUNCTION("""COMPUTED_VALUE"""),20280.0)</f>
        <v>20280</v>
      </c>
      <c r="CP17" s="1482">
        <f>IFERROR(__xludf.DUMMYFUNCTION("""COMPUTED_VALUE"""),0.8548611111111112)</f>
        <v>0.8548611111</v>
      </c>
      <c r="CQ17" s="1483">
        <f>IFERROR(__xludf.DUMMYFUNCTION("""COMPUTED_VALUE"""),46920.0)</f>
        <v>46920</v>
      </c>
      <c r="CR17" s="1482">
        <f>IFERROR(__xludf.DUMMYFUNCTION("""COMPUTED_VALUE"""),28.12152777777778)</f>
        <v>28.12152778</v>
      </c>
      <c r="CS17" s="1483">
        <f>IFERROR(__xludf.DUMMYFUNCTION("""COMPUTED_VALUE"""),624680.0)</f>
        <v>624680</v>
      </c>
      <c r="CT17" s="1520"/>
      <c r="CU17" s="1519"/>
      <c r="CV17" s="1484">
        <f>IFERROR(__xludf.DUMMYFUNCTION("""COMPUTED_VALUE"""),18.00625)</f>
        <v>18.00625</v>
      </c>
      <c r="CW17" s="1485">
        <f>IFERROR(__xludf.DUMMYFUNCTION("""COMPUTED_VALUE"""),2.0331E11)</f>
        <v>203310000000</v>
      </c>
      <c r="CX17" s="1484">
        <f>IFERROR(__xludf.DUMMYFUNCTION("""COMPUTED_VALUE"""),18.00625)</f>
        <v>18.00625</v>
      </c>
      <c r="CY17" s="1485">
        <f>IFERROR(__xludf.DUMMYFUNCTION("""COMPUTED_VALUE"""),2.0331E11)</f>
        <v>203310000000</v>
      </c>
      <c r="CZ17" s="1484">
        <f>IFERROR(__xludf.DUMMYFUNCTION("""COMPUTED_VALUE"""),18.00625)</f>
        <v>18.00625</v>
      </c>
      <c r="DA17" s="1485">
        <f>IFERROR(__xludf.DUMMYFUNCTION("""COMPUTED_VALUE"""),2.0331E11)</f>
        <v>203310000000</v>
      </c>
      <c r="DB17" s="1484">
        <f>IFERROR(__xludf.DUMMYFUNCTION("""COMPUTED_VALUE"""),9.323611111111111)</f>
        <v>9.323611111</v>
      </c>
      <c r="DC17" s="1485">
        <f>IFERROR(__xludf.DUMMYFUNCTION("""COMPUTED_VALUE"""),5.364E10)</f>
        <v>53640000000</v>
      </c>
      <c r="DD17" s="1484">
        <f>IFERROR(__xludf.DUMMYFUNCTION("""COMPUTED_VALUE"""),9.323611111111111)</f>
        <v>9.323611111</v>
      </c>
      <c r="DE17" s="1485">
        <f>IFERROR(__xludf.DUMMYFUNCTION("""COMPUTED_VALUE"""),5.364E10)</f>
        <v>53640000000</v>
      </c>
      <c r="DF17" s="1486">
        <f>IFERROR(__xludf.DUMMYFUNCTION("""COMPUTED_VALUE"""),11.095833333333333)</f>
        <v>11.09583333</v>
      </c>
      <c r="DG17" s="1487">
        <f>IFERROR(__xludf.DUMMYFUNCTION("""COMPUTED_VALUE"""),8.4851E8)</f>
        <v>848510000</v>
      </c>
      <c r="DH17" s="1518"/>
      <c r="DI17" s="1519"/>
      <c r="DJ17" s="1486">
        <f>IFERROR(__xludf.DUMMYFUNCTION("""COMPUTED_VALUE"""),11.88263888888889)</f>
        <v>11.88263889</v>
      </c>
      <c r="DK17" s="1487">
        <f>IFERROR(__xludf.DUMMYFUNCTION("""COMPUTED_VALUE"""),8.4906E8)</f>
        <v>849060000</v>
      </c>
      <c r="DL17" s="1486">
        <f>IFERROR(__xludf.DUMMYFUNCTION("""COMPUTED_VALUE"""),11.095833333333333)</f>
        <v>11.09583333</v>
      </c>
      <c r="DM17" s="1487">
        <f>IFERROR(__xludf.DUMMYFUNCTION("""COMPUTED_VALUE"""),8.4851E8)</f>
        <v>848510000</v>
      </c>
      <c r="DN17" s="1518"/>
      <c r="DO17" s="1519"/>
      <c r="DP17" s="1486">
        <f>IFERROR(__xludf.DUMMYFUNCTION("""COMPUTED_VALUE"""),11.095833333333333)</f>
        <v>11.09583333</v>
      </c>
      <c r="DQ17" s="1487">
        <f>IFERROR(__xludf.DUMMYFUNCTION("""COMPUTED_VALUE"""),8.4851E8)</f>
        <v>848510000</v>
      </c>
      <c r="DR17" s="1486">
        <f>IFERROR(__xludf.DUMMYFUNCTION("""COMPUTED_VALUE"""),11.095833333333333)</f>
        <v>11.09583333</v>
      </c>
      <c r="DS17" s="1487">
        <f>IFERROR(__xludf.DUMMYFUNCTION("""COMPUTED_VALUE"""),8.4851E8)</f>
        <v>848510000</v>
      </c>
      <c r="DT17" s="1518"/>
      <c r="DU17" s="1519"/>
      <c r="DV17" s="1486">
        <f>IFERROR(__xludf.DUMMYFUNCTION("""COMPUTED_VALUE"""),11.095833333333333)</f>
        <v>11.09583333</v>
      </c>
      <c r="DW17" s="1487">
        <f>IFERROR(__xludf.DUMMYFUNCTION("""COMPUTED_VALUE"""),8.4851E8)</f>
        <v>848510000</v>
      </c>
      <c r="DX17" s="1486">
        <f>IFERROR(__xludf.DUMMYFUNCTION("""COMPUTED_VALUE"""),11.095833333333333)</f>
        <v>11.09583333</v>
      </c>
      <c r="DY17" s="1487">
        <f>IFERROR(__xludf.DUMMYFUNCTION("""COMPUTED_VALUE"""),8.4851E8)</f>
        <v>848510000</v>
      </c>
      <c r="DZ17" s="1486">
        <f>IFERROR(__xludf.DUMMYFUNCTION("""COMPUTED_VALUE"""),14.845833333333333)</f>
        <v>14.84583333</v>
      </c>
      <c r="EA17" s="1487">
        <f>IFERROR(__xludf.DUMMYFUNCTION("""COMPUTED_VALUE"""),2.14E9)</f>
        <v>2140000000</v>
      </c>
      <c r="EB17" s="1486">
        <f>IFERROR(__xludf.DUMMYFUNCTION("""COMPUTED_VALUE"""),14.845833333333333)</f>
        <v>14.84583333</v>
      </c>
      <c r="EC17" s="1487">
        <f>IFERROR(__xludf.DUMMYFUNCTION("""COMPUTED_VALUE"""),2.14E9)</f>
        <v>2140000000</v>
      </c>
      <c r="ED17" s="1518"/>
      <c r="EE17" s="1519"/>
      <c r="EF17" s="1486">
        <f>IFERROR(__xludf.DUMMYFUNCTION("""COMPUTED_VALUE"""),14.0125)</f>
        <v>14.0125</v>
      </c>
      <c r="EG17" s="1487">
        <f>IFERROR(__xludf.DUMMYFUNCTION("""COMPUTED_VALUE"""),2.14E9)</f>
        <v>2140000000</v>
      </c>
      <c r="EH17" s="1518"/>
      <c r="EI17" s="1519"/>
      <c r="EJ17" s="1486">
        <f>IFERROR(__xludf.DUMMYFUNCTION("""COMPUTED_VALUE"""),8.927488425925926)</f>
        <v>8.927488426</v>
      </c>
      <c r="EK17" s="1487">
        <f>IFERROR(__xludf.DUMMYFUNCTION("""COMPUTED_VALUE"""),4.0687E8)</f>
        <v>406870000</v>
      </c>
      <c r="EL17" s="1486">
        <f>IFERROR(__xludf.DUMMYFUNCTION("""COMPUTED_VALUE"""),14.096030092592592)</f>
        <v>14.09603009</v>
      </c>
      <c r="EM17" s="1487">
        <f>IFERROR(__xludf.DUMMYFUNCTION("""COMPUTED_VALUE"""),2.14E9)</f>
        <v>2140000000</v>
      </c>
      <c r="EN17" s="1486">
        <f>IFERROR(__xludf.DUMMYFUNCTION("""COMPUTED_VALUE"""),14.0125)</f>
        <v>14.0125</v>
      </c>
      <c r="EO17" s="1487">
        <f>IFERROR(__xludf.DUMMYFUNCTION("""COMPUTED_VALUE"""),2.14E9)</f>
        <v>2140000000</v>
      </c>
      <c r="EP17" s="1486">
        <f>IFERROR(__xludf.DUMMYFUNCTION("""COMPUTED_VALUE"""),14.0125)</f>
        <v>14.0125</v>
      </c>
      <c r="EQ17" s="1487">
        <f>IFERROR(__xludf.DUMMYFUNCTION("""COMPUTED_VALUE"""),2.14E9)</f>
        <v>2140000000</v>
      </c>
      <c r="ER17" s="1486">
        <f>IFERROR(__xludf.DUMMYFUNCTION("""COMPUTED_VALUE"""),14.0125)</f>
        <v>14.0125</v>
      </c>
      <c r="ES17" s="1487">
        <f>IFERROR(__xludf.DUMMYFUNCTION("""COMPUTED_VALUE"""),2.14E9)</f>
        <v>2140000000</v>
      </c>
      <c r="ET17" s="1486">
        <f>IFERROR(__xludf.DUMMYFUNCTION("""COMPUTED_VALUE"""),14.0125)</f>
        <v>14.0125</v>
      </c>
      <c r="EU17" s="1487">
        <f>IFERROR(__xludf.DUMMYFUNCTION("""COMPUTED_VALUE"""),2.14E9)</f>
        <v>2140000000</v>
      </c>
      <c r="EV17" s="1518"/>
      <c r="EW17" s="1519"/>
      <c r="EX17" s="1518"/>
      <c r="EY17" s="1519"/>
      <c r="EZ17" s="1518"/>
      <c r="FA17" s="1519"/>
      <c r="FB17" s="1520"/>
      <c r="FC17" s="1519"/>
      <c r="FD17" s="1520"/>
      <c r="FE17" s="1519"/>
      <c r="FF17" s="1486">
        <f>IFERROR(__xludf.DUMMYFUNCTION("""COMPUTED_VALUE"""),14.845833333333333)</f>
        <v>14.84583333</v>
      </c>
      <c r="FG17" s="1488">
        <f>IFERROR(__xludf.DUMMYFUNCTION("""COMPUTED_VALUE"""),5.41E9)</f>
        <v>5410000000</v>
      </c>
      <c r="FH17" s="1486">
        <f>IFERROR(__xludf.DUMMYFUNCTION("""COMPUTED_VALUE"""),14.845833333333333)</f>
        <v>14.84583333</v>
      </c>
      <c r="FI17" s="1488">
        <f>IFERROR(__xludf.DUMMYFUNCTION("""COMPUTED_VALUE"""),5.41E9)</f>
        <v>5410000000</v>
      </c>
      <c r="FJ17" s="1486">
        <f>IFERROR(__xludf.DUMMYFUNCTION("""COMPUTED_VALUE"""),19.84466435185185)</f>
        <v>19.84466435</v>
      </c>
      <c r="FK17" s="1487">
        <f>IFERROR(__xludf.DUMMYFUNCTION("""COMPUTED_VALUE"""),2.335135135E9)</f>
        <v>2335135135</v>
      </c>
      <c r="FL17" s="1518"/>
      <c r="FM17" s="1519"/>
      <c r="FN17" s="1532"/>
      <c r="FO17" s="1520"/>
      <c r="FP17" s="1486">
        <f>IFERROR(__xludf.DUMMYFUNCTION("""COMPUTED_VALUE"""),40.72592592592593)</f>
        <v>40.72592593</v>
      </c>
      <c r="FQ17" s="1488">
        <f>IFERROR(__xludf.DUMMYFUNCTION("""COMPUTED_VALUE"""),2.919E13)</f>
        <v>29190000000000</v>
      </c>
      <c r="FR17" s="1532"/>
      <c r="FS17" s="1520"/>
      <c r="FT17" s="1486">
        <f>IFERROR(__xludf.DUMMYFUNCTION("""COMPUTED_VALUE"""),40.72592592592593)</f>
        <v>40.72592593</v>
      </c>
      <c r="FU17" s="1488">
        <f>IFERROR(__xludf.DUMMYFUNCTION("""COMPUTED_VALUE"""),2.919E13)</f>
        <v>29190000000000</v>
      </c>
      <c r="FV17" s="1486">
        <f>IFERROR(__xludf.DUMMYFUNCTION("""COMPUTED_VALUE"""),40.72592592592593)</f>
        <v>40.72592593</v>
      </c>
      <c r="FW17" s="1488">
        <f>IFERROR(__xludf.DUMMYFUNCTION("""COMPUTED_VALUE"""),2.919E13)</f>
        <v>29190000000000</v>
      </c>
      <c r="FX17" s="1491">
        <f>IFERROR(__xludf.DUMMYFUNCTION("""COMPUTED_VALUE"""),15.638958333333333)</f>
        <v>15.63895833</v>
      </c>
      <c r="FY17" s="1492">
        <f>IFERROR(__xludf.DUMMYFUNCTION("""COMPUTED_VALUE"""),2.9193E11)</f>
        <v>291930000000</v>
      </c>
      <c r="FZ17" s="1491">
        <f>IFERROR(__xludf.DUMMYFUNCTION("""COMPUTED_VALUE"""),40.72592592592593)</f>
        <v>40.72592593</v>
      </c>
      <c r="GA17" s="1492">
        <f>IFERROR(__xludf.DUMMYFUNCTION("""COMPUTED_VALUE"""),2.91875E13)</f>
        <v>29187500000000</v>
      </c>
      <c r="GB17" s="1527"/>
      <c r="GC17" s="1527"/>
      <c r="GD17" s="1527"/>
      <c r="GE17" s="1560"/>
      <c r="GF17" s="1518"/>
      <c r="GG17" s="1519"/>
      <c r="GH17" s="1494">
        <f>IFERROR(__xludf.DUMMYFUNCTION("""COMPUTED_VALUE"""),13.220833333333333)</f>
        <v>13.22083333</v>
      </c>
      <c r="GI17" s="1495">
        <f>IFERROR(__xludf.DUMMYFUNCTION("""COMPUTED_VALUE"""),5.38E9)</f>
        <v>5380000000</v>
      </c>
      <c r="GJ17" s="1518"/>
      <c r="GK17" s="1519"/>
      <c r="GL17" s="1518"/>
      <c r="GM17" s="1519"/>
      <c r="GN17" s="1520"/>
      <c r="GO17" s="1519"/>
      <c r="GP17" s="1496">
        <f>IFERROR(__xludf.DUMMYFUNCTION("""COMPUTED_VALUE"""),13.3875)</f>
        <v>13.3875</v>
      </c>
      <c r="GQ17" s="1497">
        <f>IFERROR(__xludf.DUMMYFUNCTION("""COMPUTED_VALUE"""),1.2931E11)</f>
        <v>129310000000</v>
      </c>
      <c r="GR17" s="1518"/>
      <c r="GS17" s="1519"/>
      <c r="GT17" s="1518"/>
      <c r="GU17" s="1519"/>
      <c r="GV17" s="1520"/>
      <c r="GW17" s="1519"/>
      <c r="GX17" s="1561"/>
      <c r="GY17" s="1527"/>
      <c r="GZ17" s="1518"/>
      <c r="HA17" s="1519"/>
      <c r="HB17" s="1501">
        <f>IFERROR(__xludf.DUMMYFUNCTION("""COMPUTED_VALUE"""),10.331944444444444)</f>
        <v>10.33194444</v>
      </c>
      <c r="HC17" s="1502">
        <f>IFERROR(__xludf.DUMMYFUNCTION("""COMPUTED_VALUE"""),1.076E10)</f>
        <v>10760000000</v>
      </c>
      <c r="HD17" s="1518"/>
      <c r="HE17" s="1519"/>
      <c r="HF17" s="1501">
        <f>IFERROR(__xludf.DUMMYFUNCTION("""COMPUTED_VALUE"""),10.655555555555555)</f>
        <v>10.65555556</v>
      </c>
      <c r="HG17" s="1502">
        <f>IFERROR(__xludf.DUMMYFUNCTION("""COMPUTED_VALUE"""),1.614E10)</f>
        <v>16140000000</v>
      </c>
      <c r="HH17" s="1518"/>
      <c r="HI17" s="1519"/>
      <c r="HJ17" s="1518"/>
      <c r="HK17" s="1519"/>
      <c r="HL17" s="1518"/>
      <c r="HM17" s="1519"/>
      <c r="HN17" s="1520"/>
      <c r="HO17" s="1519"/>
      <c r="HP17" s="1501">
        <f>IFERROR(__xludf.DUMMYFUNCTION("""COMPUTED_VALUE"""),39.381076388888886)</f>
        <v>39.38107639</v>
      </c>
      <c r="HQ17" s="1503">
        <f>IFERROR(__xludf.DUMMYFUNCTION("""COMPUTED_VALUE"""),4.31E9)</f>
        <v>4310000000</v>
      </c>
      <c r="HR17" s="1522">
        <f>IFERROR(__xludf.DUMMYFUNCTION("""COMPUTED_VALUE"""),17.311805555555555)</f>
        <v>17.31180556</v>
      </c>
      <c r="HS17" s="1523">
        <f>IFERROR(__xludf.DUMMYFUNCTION("""COMPUTED_VALUE"""),2.734E10)</f>
        <v>27340000000</v>
      </c>
      <c r="HT17" s="1522">
        <f>IFERROR(__xludf.DUMMYFUNCTION("""COMPUTED_VALUE"""),17.311805555555555)</f>
        <v>17.31180556</v>
      </c>
      <c r="HU17" s="1523">
        <f>IFERROR(__xludf.DUMMYFUNCTION("""COMPUTED_VALUE"""),2.734E10)</f>
        <v>27340000000</v>
      </c>
      <c r="HV17" s="1522">
        <f>IFERROR(__xludf.DUMMYFUNCTION("""COMPUTED_VALUE"""),17.311805555555555)</f>
        <v>17.31180556</v>
      </c>
      <c r="HW17" s="1523">
        <f>IFERROR(__xludf.DUMMYFUNCTION("""COMPUTED_VALUE"""),2.734E10)</f>
        <v>27340000000</v>
      </c>
      <c r="HX17" s="1524">
        <f>IFERROR(__xludf.DUMMYFUNCTION("""COMPUTED_VALUE"""),17.311805555555555)</f>
        <v>17.31180556</v>
      </c>
      <c r="HY17" s="1523">
        <f>IFERROR(__xludf.DUMMYFUNCTION("""COMPUTED_VALUE"""),2.734E10)</f>
        <v>27340000000</v>
      </c>
      <c r="HZ17" s="1518"/>
      <c r="IA17" s="1519"/>
      <c r="IB17" s="1524">
        <f>IFERROR(__xludf.DUMMYFUNCTION("""COMPUTED_VALUE"""),58.964189814814816)</f>
        <v>58.96418981</v>
      </c>
      <c r="IC17" s="1523">
        <f>IFERROR(__xludf.DUMMYFUNCTION("""COMPUTED_VALUE"""),2.919E13)</f>
        <v>29190000000000</v>
      </c>
      <c r="ID17" s="1524">
        <f>IFERROR(__xludf.DUMMYFUNCTION("""COMPUTED_VALUE"""),58.964189814814816)</f>
        <v>58.96418981</v>
      </c>
      <c r="IE17" s="1523">
        <f>IFERROR(__xludf.DUMMYFUNCTION("""COMPUTED_VALUE"""),2.919E13)</f>
        <v>29190000000000</v>
      </c>
      <c r="IF17" s="1524">
        <f>IFERROR(__xludf.DUMMYFUNCTION("""COMPUTED_VALUE"""),58.964189814814816)</f>
        <v>58.96418981</v>
      </c>
      <c r="IG17" s="1523">
        <f>IFERROR(__xludf.DUMMYFUNCTION("""COMPUTED_VALUE"""),2.919E13)</f>
        <v>29190000000000</v>
      </c>
      <c r="IH17" s="1507">
        <f>IFERROR(__xludf.DUMMYFUNCTION("""COMPUTED_VALUE"""),18.00625)</f>
        <v>18.00625</v>
      </c>
      <c r="II17" s="1508">
        <f>IFERROR(__xludf.DUMMYFUNCTION("""COMPUTED_VALUE"""),4.1331E11)</f>
        <v>413310000000</v>
      </c>
      <c r="IJ17" s="1507">
        <f>IFERROR(__xludf.DUMMYFUNCTION("""COMPUTED_VALUE"""),18.00625)</f>
        <v>18.00625</v>
      </c>
      <c r="IK17" s="1508">
        <f>IFERROR(__xludf.DUMMYFUNCTION("""COMPUTED_VALUE"""),4.1331E11)</f>
        <v>413310000000</v>
      </c>
      <c r="IL17" s="1507">
        <f>IFERROR(__xludf.DUMMYFUNCTION("""COMPUTED_VALUE"""),18.00625)</f>
        <v>18.00625</v>
      </c>
      <c r="IM17" s="1508">
        <f>IFERROR(__xludf.DUMMYFUNCTION("""COMPUTED_VALUE"""),5.6331E11)</f>
        <v>563310000000</v>
      </c>
      <c r="IN17" s="1507">
        <f>IFERROR(__xludf.DUMMYFUNCTION("""COMPUTED_VALUE"""),18.00625)</f>
        <v>18.00625</v>
      </c>
      <c r="IO17" s="1508">
        <f>IFERROR(__xludf.DUMMYFUNCTION("""COMPUTED_VALUE"""),5.6331E11)</f>
        <v>563310000000</v>
      </c>
      <c r="IP17" s="1507">
        <f>IFERROR(__xludf.DUMMYFUNCTION("""COMPUTED_VALUE"""),18.46875)</f>
        <v>18.46875</v>
      </c>
      <c r="IQ17" s="1508">
        <f>IFERROR(__xludf.DUMMYFUNCTION("""COMPUTED_VALUE"""),1.01E12)</f>
        <v>1010000000000</v>
      </c>
      <c r="IR17" s="1507">
        <f>IFERROR(__xludf.DUMMYFUNCTION("""COMPUTED_VALUE"""),18.00625)</f>
        <v>18.00625</v>
      </c>
      <c r="IS17" s="1508">
        <f>IFERROR(__xludf.DUMMYFUNCTION("""COMPUTED_VALUE"""),5.6331E11)</f>
        <v>563310000000</v>
      </c>
      <c r="IT17" s="1507">
        <f>IFERROR(__xludf.DUMMYFUNCTION("""COMPUTED_VALUE"""),18.00625)</f>
        <v>18.00625</v>
      </c>
      <c r="IU17" s="1508">
        <f>IFERROR(__xludf.DUMMYFUNCTION("""COMPUTED_VALUE"""),5.6331E11)</f>
        <v>563310000000</v>
      </c>
      <c r="IV17" s="1507">
        <f>IFERROR(__xludf.DUMMYFUNCTION("""COMPUTED_VALUE"""),18.00625)</f>
        <v>18.00625</v>
      </c>
      <c r="IW17" s="1508">
        <f>IFERROR(__xludf.DUMMYFUNCTION("""COMPUTED_VALUE"""),5.6331E11)</f>
        <v>563310000000</v>
      </c>
      <c r="IX17" s="1507">
        <f>IFERROR(__xludf.DUMMYFUNCTION("""COMPUTED_VALUE"""),18.00625)</f>
        <v>18.00625</v>
      </c>
      <c r="IY17" s="1508">
        <f>IFERROR(__xludf.DUMMYFUNCTION("""COMPUTED_VALUE"""),5.6331E11)</f>
        <v>563310000000</v>
      </c>
      <c r="IZ17" s="1507">
        <f>IFERROR(__xludf.DUMMYFUNCTION("""COMPUTED_VALUE"""),18.00625)</f>
        <v>18.00625</v>
      </c>
      <c r="JA17" s="1508">
        <f>IFERROR(__xludf.DUMMYFUNCTION("""COMPUTED_VALUE"""),7.1331E11)</f>
        <v>713310000000</v>
      </c>
      <c r="JB17" s="1507">
        <f>IFERROR(__xludf.DUMMYFUNCTION("""COMPUTED_VALUE"""),18.00625)</f>
        <v>18.00625</v>
      </c>
      <c r="JC17" s="1508">
        <f>IFERROR(__xludf.DUMMYFUNCTION("""COMPUTED_VALUE"""),7.1331E11)</f>
        <v>713310000000</v>
      </c>
      <c r="JD17" s="1507">
        <f>IFERROR(__xludf.DUMMYFUNCTION("""COMPUTED_VALUE"""),18.00625)</f>
        <v>18.00625</v>
      </c>
      <c r="JE17" s="1508">
        <f>IFERROR(__xludf.DUMMYFUNCTION("""COMPUTED_VALUE"""),7.1331E11)</f>
        <v>713310000000</v>
      </c>
      <c r="JF17" s="1507">
        <f>IFERROR(__xludf.DUMMYFUNCTION("""COMPUTED_VALUE"""),18.00625)</f>
        <v>18.00625</v>
      </c>
      <c r="JG17" s="1508">
        <f>IFERROR(__xludf.DUMMYFUNCTION("""COMPUTED_VALUE"""),7.1331E11)</f>
        <v>713310000000</v>
      </c>
      <c r="JH17" s="1507">
        <f>IFERROR(__xludf.DUMMYFUNCTION("""COMPUTED_VALUE"""),18.46875)</f>
        <v>18.46875</v>
      </c>
      <c r="JI17" s="1508">
        <f>IFERROR(__xludf.DUMMYFUNCTION("""COMPUTED_VALUE"""),1.17E12)</f>
        <v>1170000000000</v>
      </c>
      <c r="JJ17" s="1507">
        <f>IFERROR(__xludf.DUMMYFUNCTION("""COMPUTED_VALUE"""),161.9923611111111)</f>
        <v>161.9923611</v>
      </c>
      <c r="JK17" s="1509">
        <f>IFERROR(__xludf.DUMMYFUNCTION("""COMPUTED_VALUE"""),3.75E18)</f>
        <v>3.75E+18</v>
      </c>
      <c r="JL17" s="1507">
        <f>IFERROR(__xludf.DUMMYFUNCTION("""COMPUTED_VALUE"""),161.9923611111111)</f>
        <v>161.9923611</v>
      </c>
      <c r="JM17" s="1509">
        <f>IFERROR(__xludf.DUMMYFUNCTION("""COMPUTED_VALUE"""),3.75E18)</f>
        <v>3.75E+18</v>
      </c>
      <c r="JN17" s="1507">
        <f>IFERROR(__xludf.DUMMYFUNCTION("""COMPUTED_VALUE"""),161.9923611111111)</f>
        <v>161.9923611</v>
      </c>
      <c r="JO17" s="1509">
        <f>IFERROR(__xludf.DUMMYFUNCTION("""COMPUTED_VALUE"""),3.75E18)</f>
        <v>3.75E+18</v>
      </c>
      <c r="JP17" s="1507">
        <f>IFERROR(__xludf.DUMMYFUNCTION("""COMPUTED_VALUE"""),161.9923611111111)</f>
        <v>161.9923611</v>
      </c>
      <c r="JQ17" s="1509">
        <f>IFERROR(__xludf.DUMMYFUNCTION("""COMPUTED_VALUE"""),3.75E18)</f>
        <v>3.75E+18</v>
      </c>
      <c r="JR17" s="1507">
        <f>IFERROR(__xludf.DUMMYFUNCTION("""COMPUTED_VALUE"""),161.9923611111111)</f>
        <v>161.9923611</v>
      </c>
      <c r="JS17" s="1509">
        <f>IFERROR(__xludf.DUMMYFUNCTION("""COMPUTED_VALUE"""),3.75E18)</f>
        <v>3.75E+18</v>
      </c>
      <c r="JT17" s="1507">
        <f>IFERROR(__xludf.DUMMYFUNCTION("""COMPUTED_VALUE"""),161.9923611111111)</f>
        <v>161.9923611</v>
      </c>
      <c r="JU17" s="1509">
        <f>IFERROR(__xludf.DUMMYFUNCTION("""COMPUTED_VALUE"""),3.75E18)</f>
        <v>3.75E+18</v>
      </c>
      <c r="JV17" s="1507">
        <f>IFERROR(__xludf.DUMMYFUNCTION("""COMPUTED_VALUE"""),40.49791666666667)</f>
        <v>40.49791667</v>
      </c>
      <c r="JW17" s="1509">
        <f>IFERROR(__xludf.DUMMYFUNCTION("""COMPUTED_VALUE"""),1.111200683E14)</f>
        <v>111120068300000</v>
      </c>
      <c r="JX17" s="1562"/>
      <c r="JY17" s="1560"/>
      <c r="JZ17" s="1510">
        <f>IFERROR(__xludf.DUMMYFUNCTION("""COMPUTED_VALUE"""),1.996956019)</f>
        <v>1.996956019</v>
      </c>
      <c r="KA17" s="1514">
        <f>IFERROR(__xludf.DUMMYFUNCTION("""COMPUTED_VALUE"""),2.49E9)</f>
        <v>2490000000</v>
      </c>
      <c r="KB17" s="1510">
        <f>IFERROR(__xludf.DUMMYFUNCTION("""COMPUTED_VALUE"""),2.331331019)</f>
        <v>2.331331019</v>
      </c>
      <c r="KC17" s="1514">
        <f>IFERROR(__xludf.DUMMYFUNCTION("""COMPUTED_VALUE"""),8.23E9)</f>
        <v>8230000000</v>
      </c>
      <c r="KD17" s="1510">
        <f>IFERROR(__xludf.DUMMYFUNCTION("""COMPUTED_VALUE"""),8.950300926)</f>
        <v>8.950300926</v>
      </c>
      <c r="KE17" s="1514">
        <f>IFERROR(__xludf.DUMMYFUNCTION("""COMPUTED_VALUE"""),4.7045E11)</f>
        <v>470450000000</v>
      </c>
      <c r="KF17" s="1510">
        <f>IFERROR(__xludf.DUMMYFUNCTION("""COMPUTED_VALUE"""),8.950300926)</f>
        <v>8.950300926</v>
      </c>
      <c r="KG17" s="1514">
        <f>IFERROR(__xludf.DUMMYFUNCTION("""COMPUTED_VALUE"""),4.7045E11)</f>
        <v>470450000000</v>
      </c>
      <c r="KH17" s="1562"/>
      <c r="KI17" s="1560"/>
      <c r="KJ17" s="1527"/>
      <c r="KK17" s="1527"/>
      <c r="KL17" s="1527"/>
      <c r="KM17" s="1527"/>
      <c r="KN17" s="1527"/>
      <c r="KO17" s="1527"/>
      <c r="KP17" s="1527"/>
      <c r="KQ17" s="1527"/>
      <c r="KR17" s="1527"/>
      <c r="KS17" s="1527"/>
      <c r="KT17" s="1527"/>
      <c r="KU17" s="1527"/>
      <c r="KV17" s="1525">
        <f>IFERROR(__xludf.DUMMYFUNCTION("""COMPUTED_VALUE"""),161.9923611111111)</f>
        <v>161.9923611</v>
      </c>
      <c r="KW17" s="1526">
        <f>IFERROR(__xludf.DUMMYFUNCTION("""COMPUTED_VALUE"""),3.75E18)</f>
        <v>3.75E+18</v>
      </c>
      <c r="KX17" s="1525">
        <f>IFERROR(__xludf.DUMMYFUNCTION("""COMPUTED_VALUE"""),161.9923611111111)</f>
        <v>161.9923611</v>
      </c>
      <c r="KY17" s="1526">
        <f>IFERROR(__xludf.DUMMYFUNCTION("""COMPUTED_VALUE"""),3.75E18)</f>
        <v>3.75E+18</v>
      </c>
      <c r="KZ17" s="1525">
        <f>IFERROR(__xludf.DUMMYFUNCTION("""COMPUTED_VALUE"""),161.9923611111111)</f>
        <v>161.9923611</v>
      </c>
      <c r="LA17" s="1526">
        <f>IFERROR(__xludf.DUMMYFUNCTION("""COMPUTED_VALUE"""),3.75E18)</f>
        <v>3.75E+18</v>
      </c>
      <c r="LB17" s="1525">
        <f>IFERROR(__xludf.DUMMYFUNCTION("""COMPUTED_VALUE"""),161.9923611111111)</f>
        <v>161.9923611</v>
      </c>
      <c r="LC17" s="1526">
        <f>IFERROR(__xludf.DUMMYFUNCTION("""COMPUTED_VALUE"""),3.75E18)</f>
        <v>3.75E+18</v>
      </c>
      <c r="LD17" s="1525">
        <f>IFERROR(__xludf.DUMMYFUNCTION("""COMPUTED_VALUE"""),161.9923611111111)</f>
        <v>161.9923611</v>
      </c>
      <c r="LE17" s="1526">
        <f>IFERROR(__xludf.DUMMYFUNCTION("""COMPUTED_VALUE"""),3.75E18)</f>
        <v>3.75E+18</v>
      </c>
      <c r="LF17" s="1525">
        <f>IFERROR(__xludf.DUMMYFUNCTION("""COMPUTED_VALUE"""),161.9923611111111)</f>
        <v>161.9923611</v>
      </c>
      <c r="LG17" s="1526">
        <f>IFERROR(__xludf.DUMMYFUNCTION("""COMPUTED_VALUE"""),3.75E18)</f>
        <v>3.75E+18</v>
      </c>
      <c r="LH17" s="1525">
        <f>IFERROR(__xludf.DUMMYFUNCTION("""COMPUTED_VALUE"""),161.9923611111111)</f>
        <v>161.9923611</v>
      </c>
      <c r="LI17" s="1526">
        <f>IFERROR(__xludf.DUMMYFUNCTION("""COMPUTED_VALUE"""),3.75E18)</f>
        <v>3.75E+18</v>
      </c>
      <c r="LJ17" s="1525">
        <f>IFERROR(__xludf.DUMMYFUNCTION("""COMPUTED_VALUE"""),161.9923611111111)</f>
        <v>161.9923611</v>
      </c>
      <c r="LK17" s="1526">
        <f>IFERROR(__xludf.DUMMYFUNCTION("""COMPUTED_VALUE"""),3.75E18)</f>
        <v>3.75E+18</v>
      </c>
      <c r="LL17" s="1527"/>
      <c r="LM17" s="1527"/>
      <c r="LN17" s="1516">
        <f>IFERROR(__xludf.DUMMYFUNCTION("""COMPUTED_VALUE"""),202.4909722222222)</f>
        <v>202.4909722</v>
      </c>
      <c r="LO17" s="1495">
        <f>IFERROR(__xludf.DUMMYFUNCTION("""COMPUTED_VALUE"""),3.0000000000000005E18)</f>
        <v>3E+18</v>
      </c>
      <c r="LP17" s="1516">
        <f>IFERROR(__xludf.DUMMYFUNCTION("""COMPUTED_VALUE"""),202.4909722222222)</f>
        <v>202.4909722</v>
      </c>
      <c r="LQ17" s="1495">
        <f>IFERROR(__xludf.DUMMYFUNCTION("""COMPUTED_VALUE"""),3.0000000000000005E18)</f>
        <v>3E+18</v>
      </c>
      <c r="LR17" s="1516">
        <f>IFERROR(__xludf.DUMMYFUNCTION("""COMPUTED_VALUE"""),202.4909722222222)</f>
        <v>202.4909722</v>
      </c>
      <c r="LS17" s="1495">
        <f>IFERROR(__xludf.DUMMYFUNCTION("""COMPUTED_VALUE"""),3.0000000000000005E18)</f>
        <v>3E+18</v>
      </c>
      <c r="LT17" s="1516">
        <f>IFERROR(__xludf.DUMMYFUNCTION("""COMPUTED_VALUE"""),202.4909722222222)</f>
        <v>202.4909722</v>
      </c>
      <c r="LU17" s="1495">
        <f>IFERROR(__xludf.DUMMYFUNCTION("""COMPUTED_VALUE"""),3.0000000000000005E18)</f>
        <v>3E+18</v>
      </c>
      <c r="LV17" s="1516">
        <f>IFERROR(__xludf.DUMMYFUNCTION("""COMPUTED_VALUE"""),202.4909722222222)</f>
        <v>202.4909722</v>
      </c>
      <c r="LW17" s="1495">
        <f>IFERROR(__xludf.DUMMYFUNCTION("""COMPUTED_VALUE"""),3.0000000000000005E18)</f>
        <v>3E+18</v>
      </c>
      <c r="LX17" s="1516">
        <f>IFERROR(__xludf.DUMMYFUNCTION("""COMPUTED_VALUE"""),242.98888888888888)</f>
        <v>242.9888889</v>
      </c>
      <c r="LY17" s="1517">
        <f>IFERROR(__xludf.DUMMYFUNCTION("""COMPUTED_VALUE"""),7.5E18)</f>
        <v>7.5E+18</v>
      </c>
      <c r="LZ17" s="1516">
        <f>IFERROR(__xludf.DUMMYFUNCTION("""COMPUTED_VALUE"""),242.98888888888888)</f>
        <v>242.9888889</v>
      </c>
      <c r="MA17" s="1517">
        <f>IFERROR(__xludf.DUMMYFUNCTION("""COMPUTED_VALUE"""),7.5E18)</f>
        <v>7.5E+18</v>
      </c>
      <c r="MB17" s="1516">
        <f>IFERROR(__xludf.DUMMYFUNCTION("""COMPUTED_VALUE"""),242.98888888888888)</f>
        <v>242.9888889</v>
      </c>
      <c r="MC17" s="1517">
        <f>IFERROR(__xludf.DUMMYFUNCTION("""COMPUTED_VALUE"""),7.5E18)</f>
        <v>7.5E+18</v>
      </c>
      <c r="MD17" s="1516">
        <f>IFERROR(__xludf.DUMMYFUNCTION("""COMPUTED_VALUE"""),242.98888888888888)</f>
        <v>242.9888889</v>
      </c>
      <c r="ME17" s="1517">
        <f>IFERROR(__xludf.DUMMYFUNCTION("""COMPUTED_VALUE"""),7.5E18)</f>
        <v>7.5E+18</v>
      </c>
      <c r="MF17" s="1527"/>
      <c r="MG17" s="1527"/>
      <c r="MH17" s="1527"/>
      <c r="MI17" s="1527"/>
      <c r="MJ17" s="1527"/>
      <c r="MK17" s="1527"/>
      <c r="ML17" s="1527"/>
      <c r="MM17" s="1527"/>
      <c r="MN17" s="1527"/>
      <c r="MO17" s="1527"/>
      <c r="MP17" s="1527"/>
      <c r="MQ17" s="1527"/>
      <c r="MR17" s="1527"/>
      <c r="MS17" s="1527"/>
      <c r="MT17" s="1527"/>
      <c r="MU17" s="1527"/>
      <c r="MV17" s="1527"/>
      <c r="MW17" s="1527"/>
      <c r="MX17" s="1527"/>
      <c r="MY17" s="1527"/>
    </row>
    <row r="18">
      <c r="A18" s="1465">
        <f>IFERROR(__xludf.DUMMYFUNCTION("""COMPUTED_VALUE"""),16.0)</f>
        <v>16</v>
      </c>
      <c r="B18" s="1518"/>
      <c r="C18" s="1519"/>
      <c r="D18" s="1466">
        <f>IFERROR(__xludf.DUMMYFUNCTION("""COMPUTED_VALUE"""),0.5902777777777778)</f>
        <v>0.5902777778</v>
      </c>
      <c r="E18" s="1467">
        <f>IFERROR(__xludf.DUMMYFUNCTION("""COMPUTED_VALUE"""),24440.0)</f>
        <v>24440</v>
      </c>
      <c r="F18" s="1466">
        <f>IFERROR(__xludf.DUMMYFUNCTION("""COMPUTED_VALUE"""),0.5902777777777778)</f>
        <v>0.5902777778</v>
      </c>
      <c r="G18" s="1468">
        <f>IFERROR(__xludf.DUMMYFUNCTION("""COMPUTED_VALUE"""),24440.0)</f>
        <v>24440</v>
      </c>
      <c r="H18" s="1466">
        <f>IFERROR(__xludf.DUMMYFUNCTION("""COMPUTED_VALUE"""),0.5902777777777778)</f>
        <v>0.5902777778</v>
      </c>
      <c r="I18" s="1467">
        <f>IFERROR(__xludf.DUMMYFUNCTION("""COMPUTED_VALUE"""),24440.0)</f>
        <v>24440</v>
      </c>
      <c r="J18" s="1466">
        <f>IFERROR(__xludf.DUMMYFUNCTION("""COMPUTED_VALUE"""),0.5902777777777778)</f>
        <v>0.5902777778</v>
      </c>
      <c r="K18" s="1467">
        <f>IFERROR(__xludf.DUMMYFUNCTION("""COMPUTED_VALUE"""),24440.0)</f>
        <v>24440</v>
      </c>
      <c r="L18" s="1466">
        <f>IFERROR(__xludf.DUMMYFUNCTION("""COMPUTED_VALUE"""),0.8951388888888889)</f>
        <v>0.8951388889</v>
      </c>
      <c r="M18" s="1469">
        <f>IFERROR(__xludf.DUMMYFUNCTION("""COMPUTED_VALUE"""),55400.0)</f>
        <v>55400</v>
      </c>
      <c r="N18" s="1470">
        <f>IFERROR(__xludf.DUMMYFUNCTION("""COMPUTED_VALUE"""),0.6881944444444444)</f>
        <v>0.6881944444</v>
      </c>
      <c r="O18" s="1467">
        <f>IFERROR(__xludf.DUMMYFUNCTION("""COMPUTED_VALUE"""),58010.0)</f>
        <v>58010</v>
      </c>
      <c r="P18" s="1518"/>
      <c r="Q18" s="1519"/>
      <c r="R18" s="1518"/>
      <c r="S18" s="1519"/>
      <c r="T18" s="1518"/>
      <c r="U18" s="1519"/>
      <c r="V18" s="1518"/>
      <c r="W18" s="1519"/>
      <c r="X18" s="1518"/>
      <c r="Y18" s="1519"/>
      <c r="Z18" s="1518"/>
      <c r="AA18" s="1519"/>
      <c r="AB18" s="1518"/>
      <c r="AC18" s="1519"/>
      <c r="AD18" s="1466">
        <f>IFERROR(__xludf.DUMMYFUNCTION("""COMPUTED_VALUE"""),17.279166666666665)</f>
        <v>17.27916667</v>
      </c>
      <c r="AE18" s="1474">
        <f>IFERROR(__xludf.DUMMYFUNCTION("""COMPUTED_VALUE"""),5.118589301E10)</f>
        <v>51185893010</v>
      </c>
      <c r="AF18" s="1466">
        <f>IFERROR(__xludf.DUMMYFUNCTION("""COMPUTED_VALUE"""),17.279166666666665)</f>
        <v>17.27916667</v>
      </c>
      <c r="AG18" s="1474">
        <f>IFERROR(__xludf.DUMMYFUNCTION("""COMPUTED_VALUE"""),5.118589301E10)</f>
        <v>51185893010</v>
      </c>
      <c r="AH18" s="1466">
        <f>IFERROR(__xludf.DUMMYFUNCTION("""COMPUTED_VALUE"""),17.279166666666665)</f>
        <v>17.27916667</v>
      </c>
      <c r="AI18" s="1474">
        <f>IFERROR(__xludf.DUMMYFUNCTION("""COMPUTED_VALUE"""),5.118589301E10)</f>
        <v>51185893010</v>
      </c>
      <c r="AJ18" s="1475">
        <f>IFERROR(__xludf.DUMMYFUNCTION("""COMPUTED_VALUE"""),0.5902777777777778)</f>
        <v>0.5902777778</v>
      </c>
      <c r="AK18" s="1476">
        <f>IFERROR(__xludf.DUMMYFUNCTION("""COMPUTED_VALUE"""),24440.0)</f>
        <v>24440</v>
      </c>
      <c r="AL18" s="1475">
        <f>IFERROR(__xludf.DUMMYFUNCTION("""COMPUTED_VALUE"""),0.5902777777777778)</f>
        <v>0.5902777778</v>
      </c>
      <c r="AM18" s="1476">
        <f>IFERROR(__xludf.DUMMYFUNCTION("""COMPUTED_VALUE"""),24440.0)</f>
        <v>24440</v>
      </c>
      <c r="AN18" s="1475">
        <f>IFERROR(__xludf.DUMMYFUNCTION("""COMPUTED_VALUE"""),0.5902777777777778)</f>
        <v>0.5902777778</v>
      </c>
      <c r="AO18" s="1476">
        <f>IFERROR(__xludf.DUMMYFUNCTION("""COMPUTED_VALUE"""),24440.0)</f>
        <v>24440</v>
      </c>
      <c r="AP18" s="1475">
        <f>IFERROR(__xludf.DUMMYFUNCTION("""COMPUTED_VALUE"""),0.5902777777777778)</f>
        <v>0.5902777778</v>
      </c>
      <c r="AQ18" s="1476">
        <f>IFERROR(__xludf.DUMMYFUNCTION("""COMPUTED_VALUE"""),24440.0)</f>
        <v>24440</v>
      </c>
      <c r="AR18" s="1475">
        <f>IFERROR(__xludf.DUMMYFUNCTION("""COMPUTED_VALUE"""),0.5902777777777778)</f>
        <v>0.5902777778</v>
      </c>
      <c r="AS18" s="1476">
        <f>IFERROR(__xludf.DUMMYFUNCTION("""COMPUTED_VALUE"""),24450.0)</f>
        <v>24450</v>
      </c>
      <c r="AT18" s="1475">
        <f>IFERROR(__xludf.DUMMYFUNCTION("""COMPUTED_VALUE"""),80.33402777777778)</f>
        <v>80.33402778</v>
      </c>
      <c r="AU18" s="1476">
        <f>IFERROR(__xludf.DUMMYFUNCTION("""COMPUTED_VALUE"""),3.402E8)</f>
        <v>340200000</v>
      </c>
      <c r="AV18" s="1475">
        <f>IFERROR(__xludf.DUMMYFUNCTION("""COMPUTED_VALUE"""),50.85347222222222)</f>
        <v>50.85347222</v>
      </c>
      <c r="AW18" s="1476">
        <f>IFERROR(__xludf.DUMMYFUNCTION("""COMPUTED_VALUE"""),3.402E8)</f>
        <v>340200000</v>
      </c>
      <c r="AX18" s="1475">
        <f>IFERROR(__xludf.DUMMYFUNCTION("""COMPUTED_VALUE"""),12.465972222222224)</f>
        <v>12.46597222</v>
      </c>
      <c r="AY18" s="1476">
        <f>IFERROR(__xludf.DUMMYFUNCTION("""COMPUTED_VALUE"""),8.1473E11)</f>
        <v>814730000000</v>
      </c>
      <c r="AZ18" s="1518"/>
      <c r="BA18" s="1518"/>
      <c r="BB18" s="1477">
        <f>IFERROR(__xludf.DUMMYFUNCTION("""COMPUTED_VALUE"""),0.5902777777777778)</f>
        <v>0.5902777778</v>
      </c>
      <c r="BC18" s="1478">
        <f>IFERROR(__xludf.DUMMYFUNCTION("""COMPUTED_VALUE"""),24440.0)</f>
        <v>24440</v>
      </c>
      <c r="BD18" s="1477">
        <f>IFERROR(__xludf.DUMMYFUNCTION("""COMPUTED_VALUE"""),0.5902777777777778)</f>
        <v>0.5902777778</v>
      </c>
      <c r="BE18" s="1478">
        <f>IFERROR(__xludf.DUMMYFUNCTION("""COMPUTED_VALUE"""),24440.0)</f>
        <v>24440</v>
      </c>
      <c r="BF18" s="1477">
        <f>IFERROR(__xludf.DUMMYFUNCTION("""COMPUTED_VALUE"""),0.5902777777777778)</f>
        <v>0.5902777778</v>
      </c>
      <c r="BG18" s="1478">
        <f>IFERROR(__xludf.DUMMYFUNCTION("""COMPUTED_VALUE"""),24440.0)</f>
        <v>24440</v>
      </c>
      <c r="BH18" s="1477">
        <f>IFERROR(__xludf.DUMMYFUNCTION("""COMPUTED_VALUE"""),6.723611111111111)</f>
        <v>6.723611111</v>
      </c>
      <c r="BI18" s="1478">
        <f>IFERROR(__xludf.DUMMYFUNCTION("""COMPUTED_VALUE"""),5.065E7)</f>
        <v>50650000</v>
      </c>
      <c r="BJ18" s="1477">
        <f>IFERROR(__xludf.DUMMYFUNCTION("""COMPUTED_VALUE"""),9.175)</f>
        <v>9.175</v>
      </c>
      <c r="BK18" s="1478">
        <f>IFERROR(__xludf.DUMMYFUNCTION("""COMPUTED_VALUE"""),3.319E8)</f>
        <v>331900000</v>
      </c>
      <c r="BL18" s="1477">
        <f>IFERROR(__xludf.DUMMYFUNCTION("""COMPUTED_VALUE"""),12.74236111111111)</f>
        <v>12.74236111</v>
      </c>
      <c r="BM18" s="1478">
        <f>IFERROR(__xludf.DUMMYFUNCTION("""COMPUTED_VALUE"""),1.14E9)</f>
        <v>1140000000</v>
      </c>
      <c r="BN18" s="1477">
        <f>IFERROR(__xludf.DUMMYFUNCTION("""COMPUTED_VALUE"""),12.74236111111111)</f>
        <v>12.74236111</v>
      </c>
      <c r="BO18" s="1478">
        <f>IFERROR(__xludf.DUMMYFUNCTION("""COMPUTED_VALUE"""),1.14E9)</f>
        <v>1140000000</v>
      </c>
      <c r="BP18" s="1477">
        <f>IFERROR(__xludf.DUMMYFUNCTION("""COMPUTED_VALUE"""),18.443055555555556)</f>
        <v>18.44305556</v>
      </c>
      <c r="BQ18" s="1478">
        <f>IFERROR(__xludf.DUMMYFUNCTION("""COMPUTED_VALUE"""),1.14E9)</f>
        <v>1140000000</v>
      </c>
      <c r="BR18" s="1520"/>
      <c r="BS18" s="1519"/>
      <c r="BT18" s="1479">
        <f>IFERROR(__xludf.DUMMYFUNCTION("""COMPUTED_VALUE"""),0.8041666666666666)</f>
        <v>0.8041666667</v>
      </c>
      <c r="BU18" s="1480">
        <f>IFERROR(__xludf.DUMMYFUNCTION("""COMPUTED_VALUE"""),4.76E9)</f>
        <v>4760000000</v>
      </c>
      <c r="BV18" s="1479">
        <f>IFERROR(__xludf.DUMMYFUNCTION("""COMPUTED_VALUE"""),21.406944444444445)</f>
        <v>21.40694444</v>
      </c>
      <c r="BW18" s="1480">
        <f>IFERROR(__xludf.DUMMYFUNCTION("""COMPUTED_VALUE"""),1.592E10)</f>
        <v>15920000000</v>
      </c>
      <c r="BX18" s="1479">
        <f>IFERROR(__xludf.DUMMYFUNCTION("""COMPUTED_VALUE"""),39.49811342592593)</f>
        <v>39.49811343</v>
      </c>
      <c r="BY18" s="1480">
        <f>IFERROR(__xludf.DUMMYFUNCTION("""COMPUTED_VALUE"""),1.1809E11)</f>
        <v>118090000000</v>
      </c>
      <c r="BZ18" s="1479">
        <f>IFERROR(__xludf.DUMMYFUNCTION("""COMPUTED_VALUE"""),98.7875)</f>
        <v>98.7875</v>
      </c>
      <c r="CA18" s="1480">
        <f>IFERROR(__xludf.DUMMYFUNCTION("""COMPUTED_VALUE"""),1.6309E11)</f>
        <v>163090000000</v>
      </c>
      <c r="CB18" s="1520"/>
      <c r="CC18" s="1519"/>
      <c r="CD18" s="1477">
        <f>IFERROR(__xludf.DUMMYFUNCTION("""COMPUTED_VALUE"""),5.090787037037037)</f>
        <v>5.090787037</v>
      </c>
      <c r="CE18" s="1481">
        <f>IFERROR(__xludf.DUMMYFUNCTION("""COMPUTED_VALUE"""),4.6905E11)</f>
        <v>469050000000</v>
      </c>
      <c r="CF18" s="1527"/>
      <c r="CG18" s="1560"/>
      <c r="CH18" s="1482">
        <f>IFERROR(__xludf.DUMMYFUNCTION("""COMPUTED_VALUE"""),0.5902777777777778)</f>
        <v>0.5902777778</v>
      </c>
      <c r="CI18" s="1483">
        <f>IFERROR(__xludf.DUMMYFUNCTION("""COMPUTED_VALUE"""),24450.0)</f>
        <v>24450</v>
      </c>
      <c r="CJ18" s="1482">
        <f>IFERROR(__xludf.DUMMYFUNCTION("""COMPUTED_VALUE"""),0.5902777777777778)</f>
        <v>0.5902777778</v>
      </c>
      <c r="CK18" s="1483">
        <f>IFERROR(__xludf.DUMMYFUNCTION("""COMPUTED_VALUE"""),24450.0)</f>
        <v>24450</v>
      </c>
      <c r="CL18" s="1482">
        <f>IFERROR(__xludf.DUMMYFUNCTION("""COMPUTED_VALUE"""),0.5902777777777778)</f>
        <v>0.5902777778</v>
      </c>
      <c r="CM18" s="1483">
        <f>IFERROR(__xludf.DUMMYFUNCTION("""COMPUTED_VALUE"""),24450.0)</f>
        <v>24450</v>
      </c>
      <c r="CN18" s="1482">
        <f>IFERROR(__xludf.DUMMYFUNCTION("""COMPUTED_VALUE"""),0.5902777777777778)</f>
        <v>0.5902777778</v>
      </c>
      <c r="CO18" s="1483">
        <f>IFERROR(__xludf.DUMMYFUNCTION("""COMPUTED_VALUE"""),24450.0)</f>
        <v>24450</v>
      </c>
      <c r="CP18" s="1482">
        <f>IFERROR(__xludf.DUMMYFUNCTION("""COMPUTED_VALUE"""),1.0125)</f>
        <v>1.0125</v>
      </c>
      <c r="CQ18" s="1483">
        <f>IFERROR(__xludf.DUMMYFUNCTION("""COMPUTED_VALUE"""),58020.0)</f>
        <v>58020</v>
      </c>
      <c r="CR18" s="1518"/>
      <c r="CS18" s="1519"/>
      <c r="CT18" s="1520"/>
      <c r="CU18" s="1519"/>
      <c r="CV18" s="1484">
        <f>IFERROR(__xludf.DUMMYFUNCTION("""COMPUTED_VALUE"""),21.406944444444445)</f>
        <v>21.40694444</v>
      </c>
      <c r="CW18" s="1485">
        <f>IFERROR(__xludf.DUMMYFUNCTION("""COMPUTED_VALUE"""),2.4227E11)</f>
        <v>242270000000</v>
      </c>
      <c r="CX18" s="1484">
        <f>IFERROR(__xludf.DUMMYFUNCTION("""COMPUTED_VALUE"""),21.406944444444445)</f>
        <v>21.40694444</v>
      </c>
      <c r="CY18" s="1485">
        <f>IFERROR(__xludf.DUMMYFUNCTION("""COMPUTED_VALUE"""),2.4227E11)</f>
        <v>242270000000</v>
      </c>
      <c r="CZ18" s="1484">
        <f>IFERROR(__xludf.DUMMYFUNCTION("""COMPUTED_VALUE"""),21.406944444444445)</f>
        <v>21.40694444</v>
      </c>
      <c r="DA18" s="1485">
        <f>IFERROR(__xludf.DUMMYFUNCTION("""COMPUTED_VALUE"""),2.4227E11)</f>
        <v>242270000000</v>
      </c>
      <c r="DB18" s="1484">
        <f>IFERROR(__xludf.DUMMYFUNCTION("""COMPUTED_VALUE"""),10.602083333333335)</f>
        <v>10.60208333</v>
      </c>
      <c r="DC18" s="1485">
        <f>IFERROR(__xludf.DUMMYFUNCTION("""COMPUTED_VALUE"""),6.776E10)</f>
        <v>67760000000</v>
      </c>
      <c r="DD18" s="1484">
        <f>IFERROR(__xludf.DUMMYFUNCTION("""COMPUTED_VALUE"""),10.602083333333335)</f>
        <v>10.60208333</v>
      </c>
      <c r="DE18" s="1485">
        <f>IFERROR(__xludf.DUMMYFUNCTION("""COMPUTED_VALUE"""),6.776E10)</f>
        <v>67760000000</v>
      </c>
      <c r="DF18" s="1486">
        <f>IFERROR(__xludf.DUMMYFUNCTION("""COMPUTED_VALUE"""),13.50625)</f>
        <v>13.50625</v>
      </c>
      <c r="DG18" s="1487">
        <f>IFERROR(__xludf.DUMMYFUNCTION("""COMPUTED_VALUE"""),1.14E9)</f>
        <v>1140000000</v>
      </c>
      <c r="DH18" s="1518"/>
      <c r="DI18" s="1519"/>
      <c r="DJ18" s="1486">
        <f>IFERROR(__xludf.DUMMYFUNCTION("""COMPUTED_VALUE"""),14.29375)</f>
        <v>14.29375</v>
      </c>
      <c r="DK18" s="1487">
        <f>IFERROR(__xludf.DUMMYFUNCTION("""COMPUTED_VALUE"""),1.14E9)</f>
        <v>1140000000</v>
      </c>
      <c r="DL18" s="1486">
        <f>IFERROR(__xludf.DUMMYFUNCTION("""COMPUTED_VALUE"""),13.50625)</f>
        <v>13.50625</v>
      </c>
      <c r="DM18" s="1487">
        <f>IFERROR(__xludf.DUMMYFUNCTION("""COMPUTED_VALUE"""),1.14E9)</f>
        <v>1140000000</v>
      </c>
      <c r="DN18" s="1518"/>
      <c r="DO18" s="1519"/>
      <c r="DP18" s="1486">
        <f>IFERROR(__xludf.DUMMYFUNCTION("""COMPUTED_VALUE"""),13.50625)</f>
        <v>13.50625</v>
      </c>
      <c r="DQ18" s="1487">
        <f>IFERROR(__xludf.DUMMYFUNCTION("""COMPUTED_VALUE"""),1.14E9)</f>
        <v>1140000000</v>
      </c>
      <c r="DR18" s="1486">
        <f>IFERROR(__xludf.DUMMYFUNCTION("""COMPUTED_VALUE"""),13.50625)</f>
        <v>13.50625</v>
      </c>
      <c r="DS18" s="1487">
        <f>IFERROR(__xludf.DUMMYFUNCTION("""COMPUTED_VALUE"""),1.14E9)</f>
        <v>1140000000</v>
      </c>
      <c r="DT18" s="1518"/>
      <c r="DU18" s="1519"/>
      <c r="DV18" s="1486">
        <f>IFERROR(__xludf.DUMMYFUNCTION("""COMPUTED_VALUE"""),13.50625)</f>
        <v>13.50625</v>
      </c>
      <c r="DW18" s="1487">
        <f>IFERROR(__xludf.DUMMYFUNCTION("""COMPUTED_VALUE"""),1.14E9)</f>
        <v>1140000000</v>
      </c>
      <c r="DX18" s="1486">
        <f>IFERROR(__xludf.DUMMYFUNCTION("""COMPUTED_VALUE"""),13.50625)</f>
        <v>13.50625</v>
      </c>
      <c r="DY18" s="1487">
        <f>IFERROR(__xludf.DUMMYFUNCTION("""COMPUTED_VALUE"""),1.14E9)</f>
        <v>1140000000</v>
      </c>
      <c r="DZ18" s="1486">
        <f>IFERROR(__xludf.DUMMYFUNCTION("""COMPUTED_VALUE"""),17.464583333333334)</f>
        <v>17.46458333</v>
      </c>
      <c r="EA18" s="1487">
        <f>IFERROR(__xludf.DUMMYFUNCTION("""COMPUTED_VALUE"""),2.95E9)</f>
        <v>2950000000</v>
      </c>
      <c r="EB18" s="1486">
        <f>IFERROR(__xludf.DUMMYFUNCTION("""COMPUTED_VALUE"""),17.464583333333334)</f>
        <v>17.46458333</v>
      </c>
      <c r="EC18" s="1487">
        <f>IFERROR(__xludf.DUMMYFUNCTION("""COMPUTED_VALUE"""),2.95E9)</f>
        <v>2950000000</v>
      </c>
      <c r="ED18" s="1518"/>
      <c r="EE18" s="1519"/>
      <c r="EF18" s="1486">
        <f>IFERROR(__xludf.DUMMYFUNCTION("""COMPUTED_VALUE"""),16.63125)</f>
        <v>16.63125</v>
      </c>
      <c r="EG18" s="1487">
        <f>IFERROR(__xludf.DUMMYFUNCTION("""COMPUTED_VALUE"""),2.95E9)</f>
        <v>2950000000</v>
      </c>
      <c r="EH18" s="1518"/>
      <c r="EI18" s="1519"/>
      <c r="EJ18" s="1486">
        <f>IFERROR(__xludf.DUMMYFUNCTION("""COMPUTED_VALUE"""),9.3865625)</f>
        <v>9.3865625</v>
      </c>
      <c r="EK18" s="1487">
        <f>IFERROR(__xludf.DUMMYFUNCTION("""COMPUTED_VALUE"""),4.3521E8)</f>
        <v>435210000</v>
      </c>
      <c r="EL18" s="1486">
        <f>IFERROR(__xludf.DUMMYFUNCTION("""COMPUTED_VALUE"""),16.631840277777776)</f>
        <v>16.63184028</v>
      </c>
      <c r="EM18" s="1487">
        <f>IFERROR(__xludf.DUMMYFUNCTION("""COMPUTED_VALUE"""),2.95E9)</f>
        <v>2950000000</v>
      </c>
      <c r="EN18" s="1486">
        <f>IFERROR(__xludf.DUMMYFUNCTION("""COMPUTED_VALUE"""),16.63125)</f>
        <v>16.63125</v>
      </c>
      <c r="EO18" s="1487">
        <f>IFERROR(__xludf.DUMMYFUNCTION("""COMPUTED_VALUE"""),2.95E9)</f>
        <v>2950000000</v>
      </c>
      <c r="EP18" s="1486">
        <f>IFERROR(__xludf.DUMMYFUNCTION("""COMPUTED_VALUE"""),16.63125)</f>
        <v>16.63125</v>
      </c>
      <c r="EQ18" s="1487">
        <f>IFERROR(__xludf.DUMMYFUNCTION("""COMPUTED_VALUE"""),2.95E9)</f>
        <v>2950000000</v>
      </c>
      <c r="ER18" s="1486">
        <f>IFERROR(__xludf.DUMMYFUNCTION("""COMPUTED_VALUE"""),16.63125)</f>
        <v>16.63125</v>
      </c>
      <c r="ES18" s="1487">
        <f>IFERROR(__xludf.DUMMYFUNCTION("""COMPUTED_VALUE"""),2.95E9)</f>
        <v>2950000000</v>
      </c>
      <c r="ET18" s="1486">
        <f>IFERROR(__xludf.DUMMYFUNCTION("""COMPUTED_VALUE"""),16.63125)</f>
        <v>16.63125</v>
      </c>
      <c r="EU18" s="1487">
        <f>IFERROR(__xludf.DUMMYFUNCTION("""COMPUTED_VALUE"""),2.95E9)</f>
        <v>2950000000</v>
      </c>
      <c r="EV18" s="1518"/>
      <c r="EW18" s="1519"/>
      <c r="EX18" s="1518"/>
      <c r="EY18" s="1519"/>
      <c r="EZ18" s="1518"/>
      <c r="FA18" s="1519"/>
      <c r="FB18" s="1520"/>
      <c r="FC18" s="1519"/>
      <c r="FD18" s="1520"/>
      <c r="FE18" s="1519"/>
      <c r="FF18" s="1486">
        <f>IFERROR(__xludf.DUMMYFUNCTION("""COMPUTED_VALUE"""),17.464583333333334)</f>
        <v>17.46458333</v>
      </c>
      <c r="FG18" s="1488">
        <f>IFERROR(__xludf.DUMMYFUNCTION("""COMPUTED_VALUE"""),7.63E9)</f>
        <v>7630000000</v>
      </c>
      <c r="FH18" s="1486">
        <f>IFERROR(__xludf.DUMMYFUNCTION("""COMPUTED_VALUE"""),17.464583333333334)</f>
        <v>17.46458333</v>
      </c>
      <c r="FI18" s="1488">
        <f>IFERROR(__xludf.DUMMYFUNCTION("""COMPUTED_VALUE"""),7.63E9)</f>
        <v>7630000000</v>
      </c>
      <c r="FJ18" s="1486">
        <f>IFERROR(__xludf.DUMMYFUNCTION("""COMPUTED_VALUE"""),22.46408564814815)</f>
        <v>22.46408565</v>
      </c>
      <c r="FK18" s="1487">
        <f>IFERROR(__xludf.DUMMYFUNCTION("""COMPUTED_VALUE"""),3.145945946E9)</f>
        <v>3145945946</v>
      </c>
      <c r="FL18" s="1518"/>
      <c r="FM18" s="1519"/>
      <c r="FN18" s="1532"/>
      <c r="FO18" s="1520"/>
      <c r="FP18" s="1486">
        <f>IFERROR(__xludf.DUMMYFUNCTION("""COMPUTED_VALUE"""),45.61304398148148)</f>
        <v>45.61304398</v>
      </c>
      <c r="FQ18" s="1488">
        <f>IFERROR(__xludf.DUMMYFUNCTION("""COMPUTED_VALUE"""),4.379E13)</f>
        <v>43790000000000</v>
      </c>
      <c r="FR18" s="1532"/>
      <c r="FS18" s="1520"/>
      <c r="FT18" s="1486">
        <f>IFERROR(__xludf.DUMMYFUNCTION("""COMPUTED_VALUE"""),45.61304398148148)</f>
        <v>45.61304398</v>
      </c>
      <c r="FU18" s="1488">
        <f>IFERROR(__xludf.DUMMYFUNCTION("""COMPUTED_VALUE"""),4.379E13)</f>
        <v>43790000000000</v>
      </c>
      <c r="FV18" s="1486">
        <f>IFERROR(__xludf.DUMMYFUNCTION("""COMPUTED_VALUE"""),45.61304398148148)</f>
        <v>45.61304398</v>
      </c>
      <c r="FW18" s="1488">
        <f>IFERROR(__xludf.DUMMYFUNCTION("""COMPUTED_VALUE"""),4.379E13)</f>
        <v>43790000000000</v>
      </c>
      <c r="FX18" s="1491">
        <f>IFERROR(__xludf.DUMMYFUNCTION("""COMPUTED_VALUE"""),17.387303240740742)</f>
        <v>17.38730324</v>
      </c>
      <c r="FY18" s="1492">
        <f>IFERROR(__xludf.DUMMYFUNCTION("""COMPUTED_VALUE"""),4.3789E11)</f>
        <v>437890000000</v>
      </c>
      <c r="FZ18" s="1491">
        <f>IFERROR(__xludf.DUMMYFUNCTION("""COMPUTED_VALUE"""),45.61304398148148)</f>
        <v>45.61304398</v>
      </c>
      <c r="GA18" s="1492">
        <f>IFERROR(__xludf.DUMMYFUNCTION("""COMPUTED_VALUE"""),4.37925E13)</f>
        <v>43792500000000</v>
      </c>
      <c r="GB18" s="1527"/>
      <c r="GC18" s="1527"/>
      <c r="GD18" s="1527"/>
      <c r="GE18" s="1560"/>
      <c r="GF18" s="1518"/>
      <c r="GG18" s="1519"/>
      <c r="GH18" s="1494">
        <f>IFERROR(__xludf.DUMMYFUNCTION("""COMPUTED_VALUE"""),15.839583333333334)</f>
        <v>15.83958333</v>
      </c>
      <c r="GI18" s="1495">
        <f>IFERROR(__xludf.DUMMYFUNCTION("""COMPUTED_VALUE"""),7.6E9)</f>
        <v>7600000000</v>
      </c>
      <c r="GJ18" s="1518"/>
      <c r="GK18" s="1519"/>
      <c r="GL18" s="1518"/>
      <c r="GM18" s="1519"/>
      <c r="GN18" s="1520"/>
      <c r="GO18" s="1519"/>
      <c r="GP18" s="1496">
        <f>IFERROR(__xludf.DUMMYFUNCTION("""COMPUTED_VALUE"""),16.00625)</f>
        <v>16.00625</v>
      </c>
      <c r="GQ18" s="1497">
        <f>IFERROR(__xludf.DUMMYFUNCTION("""COMPUTED_VALUE"""),1.6427E11)</f>
        <v>164270000000</v>
      </c>
      <c r="GR18" s="1518"/>
      <c r="GS18" s="1519"/>
      <c r="GT18" s="1518"/>
      <c r="GU18" s="1519"/>
      <c r="GV18" s="1520"/>
      <c r="GW18" s="1519"/>
      <c r="GX18" s="1561"/>
      <c r="GY18" s="1527"/>
      <c r="GZ18" s="1518"/>
      <c r="HA18" s="1519"/>
      <c r="HB18" s="1501">
        <f>IFERROR(__xludf.DUMMYFUNCTION("""COMPUTED_VALUE"""),12.74236111111111)</f>
        <v>12.74236111</v>
      </c>
      <c r="HC18" s="1502">
        <f>IFERROR(__xludf.DUMMYFUNCTION("""COMPUTED_VALUE"""),1.519E10)</f>
        <v>15190000000</v>
      </c>
      <c r="HD18" s="1518"/>
      <c r="HE18" s="1519"/>
      <c r="HF18" s="1501">
        <f>IFERROR(__xludf.DUMMYFUNCTION("""COMPUTED_VALUE"""),13.089583333333334)</f>
        <v>13.08958333</v>
      </c>
      <c r="HG18" s="1502">
        <f>IFERROR(__xludf.DUMMYFUNCTION("""COMPUTED_VALUE"""),2.278E10)</f>
        <v>22780000000</v>
      </c>
      <c r="HH18" s="1518"/>
      <c r="HI18" s="1519"/>
      <c r="HJ18" s="1518"/>
      <c r="HK18" s="1519"/>
      <c r="HL18" s="1518"/>
      <c r="HM18" s="1519"/>
      <c r="HN18" s="1520"/>
      <c r="HO18" s="1519"/>
      <c r="HP18" s="1501">
        <f>IFERROR(__xludf.DUMMYFUNCTION("""COMPUTED_VALUE"""),50.15623842592593)</f>
        <v>50.15623843</v>
      </c>
      <c r="HQ18" s="1503">
        <f>IFERROR(__xludf.DUMMYFUNCTION("""COMPUTED_VALUE"""),5.88E9)</f>
        <v>5880000000</v>
      </c>
      <c r="HR18" s="1522">
        <f>IFERROR(__xludf.DUMMYFUNCTION("""COMPUTED_VALUE"""),20.7125)</f>
        <v>20.7125</v>
      </c>
      <c r="HS18" s="1523">
        <f>IFERROR(__xludf.DUMMYFUNCTION("""COMPUTED_VALUE"""),3.845E10)</f>
        <v>38450000000</v>
      </c>
      <c r="HT18" s="1522">
        <f>IFERROR(__xludf.DUMMYFUNCTION("""COMPUTED_VALUE"""),20.7125)</f>
        <v>20.7125</v>
      </c>
      <c r="HU18" s="1523">
        <f>IFERROR(__xludf.DUMMYFUNCTION("""COMPUTED_VALUE"""),3.845E10)</f>
        <v>38450000000</v>
      </c>
      <c r="HV18" s="1522">
        <f>IFERROR(__xludf.DUMMYFUNCTION("""COMPUTED_VALUE"""),20.7125)</f>
        <v>20.7125</v>
      </c>
      <c r="HW18" s="1523">
        <f>IFERROR(__xludf.DUMMYFUNCTION("""COMPUTED_VALUE"""),3.845E10)</f>
        <v>38450000000</v>
      </c>
      <c r="HX18" s="1524">
        <f>IFERROR(__xludf.DUMMYFUNCTION("""COMPUTED_VALUE"""),20.7125)</f>
        <v>20.7125</v>
      </c>
      <c r="HY18" s="1523">
        <f>IFERROR(__xludf.DUMMYFUNCTION("""COMPUTED_VALUE"""),3.845E10)</f>
        <v>38450000000</v>
      </c>
      <c r="HZ18" s="1518"/>
      <c r="IA18" s="1519"/>
      <c r="IB18" s="1524">
        <f>IFERROR(__xludf.DUMMYFUNCTION("""COMPUTED_VALUE"""),67.80881944444444)</f>
        <v>67.80881944</v>
      </c>
      <c r="IC18" s="1523">
        <f>IFERROR(__xludf.DUMMYFUNCTION("""COMPUTED_VALUE"""),4.379E13)</f>
        <v>43790000000000</v>
      </c>
      <c r="ID18" s="1524">
        <f>IFERROR(__xludf.DUMMYFUNCTION("""COMPUTED_VALUE"""),67.80881944444444)</f>
        <v>67.80881944</v>
      </c>
      <c r="IE18" s="1523">
        <f>IFERROR(__xludf.DUMMYFUNCTION("""COMPUTED_VALUE"""),4.379E13)</f>
        <v>43790000000000</v>
      </c>
      <c r="IF18" s="1524">
        <f>IFERROR(__xludf.DUMMYFUNCTION("""COMPUTED_VALUE"""),67.80881944444444)</f>
        <v>67.80881944</v>
      </c>
      <c r="IG18" s="1523">
        <f>IFERROR(__xludf.DUMMYFUNCTION("""COMPUTED_VALUE"""),4.379E13)</f>
        <v>43790000000000</v>
      </c>
      <c r="IH18" s="1507">
        <f>IFERROR(__xludf.DUMMYFUNCTION("""COMPUTED_VALUE"""),21.406944444444445)</f>
        <v>21.40694444</v>
      </c>
      <c r="II18" s="1508">
        <f>IFERROR(__xludf.DUMMYFUNCTION("""COMPUTED_VALUE"""),4.6727E11)</f>
        <v>467270000000</v>
      </c>
      <c r="IJ18" s="1507">
        <f>IFERROR(__xludf.DUMMYFUNCTION("""COMPUTED_VALUE"""),21.406944444444445)</f>
        <v>21.40694444</v>
      </c>
      <c r="IK18" s="1508">
        <f>IFERROR(__xludf.DUMMYFUNCTION("""COMPUTED_VALUE"""),4.6727E11)</f>
        <v>467270000000</v>
      </c>
      <c r="IL18" s="1507">
        <f>IFERROR(__xludf.DUMMYFUNCTION("""COMPUTED_VALUE"""),21.406944444444445)</f>
        <v>21.40694444</v>
      </c>
      <c r="IM18" s="1508">
        <f>IFERROR(__xludf.DUMMYFUNCTION("""COMPUTED_VALUE"""),6.2727E11)</f>
        <v>627270000000</v>
      </c>
      <c r="IN18" s="1507">
        <f>IFERROR(__xludf.DUMMYFUNCTION("""COMPUTED_VALUE"""),21.406944444444445)</f>
        <v>21.40694444</v>
      </c>
      <c r="IO18" s="1508">
        <f>IFERROR(__xludf.DUMMYFUNCTION("""COMPUTED_VALUE"""),6.2727E11)</f>
        <v>627270000000</v>
      </c>
      <c r="IP18" s="1507">
        <f>IFERROR(__xludf.DUMMYFUNCTION("""COMPUTED_VALUE"""),21.869444444444444)</f>
        <v>21.86944444</v>
      </c>
      <c r="IQ18" s="1508">
        <f>IFERROR(__xludf.DUMMYFUNCTION("""COMPUTED_VALUE"""),1.11E12)</f>
        <v>1110000000000</v>
      </c>
      <c r="IR18" s="1507">
        <f>IFERROR(__xludf.DUMMYFUNCTION("""COMPUTED_VALUE"""),21.406944444444445)</f>
        <v>21.40694444</v>
      </c>
      <c r="IS18" s="1508">
        <f>IFERROR(__xludf.DUMMYFUNCTION("""COMPUTED_VALUE"""),6.2727E11)</f>
        <v>627270000000</v>
      </c>
      <c r="IT18" s="1507">
        <f>IFERROR(__xludf.DUMMYFUNCTION("""COMPUTED_VALUE"""),21.406944444444445)</f>
        <v>21.40694444</v>
      </c>
      <c r="IU18" s="1508">
        <f>IFERROR(__xludf.DUMMYFUNCTION("""COMPUTED_VALUE"""),6.2727E11)</f>
        <v>627270000000</v>
      </c>
      <c r="IV18" s="1507">
        <f>IFERROR(__xludf.DUMMYFUNCTION("""COMPUTED_VALUE"""),21.406944444444445)</f>
        <v>21.40694444</v>
      </c>
      <c r="IW18" s="1508">
        <f>IFERROR(__xludf.DUMMYFUNCTION("""COMPUTED_VALUE"""),6.2727E11)</f>
        <v>627270000000</v>
      </c>
      <c r="IX18" s="1507">
        <f>IFERROR(__xludf.DUMMYFUNCTION("""COMPUTED_VALUE"""),21.406944444444445)</f>
        <v>21.40694444</v>
      </c>
      <c r="IY18" s="1508">
        <f>IFERROR(__xludf.DUMMYFUNCTION("""COMPUTED_VALUE"""),6.2727E11)</f>
        <v>627270000000</v>
      </c>
      <c r="IZ18" s="1507">
        <f>IFERROR(__xludf.DUMMYFUNCTION("""COMPUTED_VALUE"""),21.406944444444445)</f>
        <v>21.40694444</v>
      </c>
      <c r="JA18" s="1508">
        <f>IFERROR(__xludf.DUMMYFUNCTION("""COMPUTED_VALUE"""),7.8727E11)</f>
        <v>787270000000</v>
      </c>
      <c r="JB18" s="1507">
        <f>IFERROR(__xludf.DUMMYFUNCTION("""COMPUTED_VALUE"""),21.406944444444445)</f>
        <v>21.40694444</v>
      </c>
      <c r="JC18" s="1508">
        <f>IFERROR(__xludf.DUMMYFUNCTION("""COMPUTED_VALUE"""),7.8727E11)</f>
        <v>787270000000</v>
      </c>
      <c r="JD18" s="1507">
        <f>IFERROR(__xludf.DUMMYFUNCTION("""COMPUTED_VALUE"""),21.406944444444445)</f>
        <v>21.40694444</v>
      </c>
      <c r="JE18" s="1508">
        <f>IFERROR(__xludf.DUMMYFUNCTION("""COMPUTED_VALUE"""),7.8727E11)</f>
        <v>787270000000</v>
      </c>
      <c r="JF18" s="1507">
        <f>IFERROR(__xludf.DUMMYFUNCTION("""COMPUTED_VALUE"""),21.406944444444445)</f>
        <v>21.40694444</v>
      </c>
      <c r="JG18" s="1508">
        <f>IFERROR(__xludf.DUMMYFUNCTION("""COMPUTED_VALUE"""),7.8727E11)</f>
        <v>787270000000</v>
      </c>
      <c r="JH18" s="1507">
        <f>IFERROR(__xludf.DUMMYFUNCTION("""COMPUTED_VALUE"""),21.869444444444444)</f>
        <v>21.86944444</v>
      </c>
      <c r="JI18" s="1508">
        <f>IFERROR(__xludf.DUMMYFUNCTION("""COMPUTED_VALUE"""),1.28E12)</f>
        <v>1280000000000</v>
      </c>
      <c r="JJ18" s="1507">
        <f>IFERROR(__xludf.DUMMYFUNCTION("""COMPUTED_VALUE"""),172.79166666666666)</f>
        <v>172.7916667</v>
      </c>
      <c r="JK18" s="1509">
        <f>IFERROR(__xludf.DUMMYFUNCTION("""COMPUTED_VALUE"""),4.0E18)</f>
        <v>4E+18</v>
      </c>
      <c r="JL18" s="1507">
        <f>IFERROR(__xludf.DUMMYFUNCTION("""COMPUTED_VALUE"""),172.79166666666666)</f>
        <v>172.7916667</v>
      </c>
      <c r="JM18" s="1509">
        <f>IFERROR(__xludf.DUMMYFUNCTION("""COMPUTED_VALUE"""),4.0E18)</f>
        <v>4E+18</v>
      </c>
      <c r="JN18" s="1507">
        <f>IFERROR(__xludf.DUMMYFUNCTION("""COMPUTED_VALUE"""),172.79166666666666)</f>
        <v>172.7916667</v>
      </c>
      <c r="JO18" s="1509">
        <f>IFERROR(__xludf.DUMMYFUNCTION("""COMPUTED_VALUE"""),4.0E18)</f>
        <v>4E+18</v>
      </c>
      <c r="JP18" s="1507">
        <f>IFERROR(__xludf.DUMMYFUNCTION("""COMPUTED_VALUE"""),172.79166666666666)</f>
        <v>172.7916667</v>
      </c>
      <c r="JQ18" s="1509">
        <f>IFERROR(__xludf.DUMMYFUNCTION("""COMPUTED_VALUE"""),4.0E18)</f>
        <v>4E+18</v>
      </c>
      <c r="JR18" s="1507">
        <f>IFERROR(__xludf.DUMMYFUNCTION("""COMPUTED_VALUE"""),172.79166666666666)</f>
        <v>172.7916667</v>
      </c>
      <c r="JS18" s="1509">
        <f>IFERROR(__xludf.DUMMYFUNCTION("""COMPUTED_VALUE"""),4.0E18)</f>
        <v>4E+18</v>
      </c>
      <c r="JT18" s="1507">
        <f>IFERROR(__xludf.DUMMYFUNCTION("""COMPUTED_VALUE"""),172.79166666666666)</f>
        <v>172.7916667</v>
      </c>
      <c r="JU18" s="1509">
        <f>IFERROR(__xludf.DUMMYFUNCTION("""COMPUTED_VALUE"""),4.0E18)</f>
        <v>4E+18</v>
      </c>
      <c r="JV18" s="1507">
        <f>IFERROR(__xludf.DUMMYFUNCTION("""COMPUTED_VALUE"""),43.197916666666664)</f>
        <v>43.19791667</v>
      </c>
      <c r="JW18" s="1509">
        <f>IFERROR(__xludf.DUMMYFUNCTION("""COMPUTED_VALUE"""),1.555680956E14)</f>
        <v>155568095600000</v>
      </c>
      <c r="JX18" s="1562"/>
      <c r="JY18" s="1560"/>
      <c r="JZ18" s="1510">
        <f>IFERROR(__xludf.DUMMYFUNCTION("""COMPUTED_VALUE"""),2.048761574)</f>
        <v>2.048761574</v>
      </c>
      <c r="KA18" s="1514">
        <f>IFERROR(__xludf.DUMMYFUNCTION("""COMPUTED_VALUE"""),3.0E9)</f>
        <v>3000000000</v>
      </c>
      <c r="KB18" s="1510">
        <f>IFERROR(__xludf.DUMMYFUNCTION("""COMPUTED_VALUE"""),2.448240741)</f>
        <v>2.448240741</v>
      </c>
      <c r="KC18" s="1514">
        <f>IFERROR(__xludf.DUMMYFUNCTION("""COMPUTED_VALUE"""),1.013E10)</f>
        <v>10130000000</v>
      </c>
      <c r="KD18" s="1510">
        <f>IFERROR(__xludf.DUMMYFUNCTION("""COMPUTED_VALUE"""),9.820046296)</f>
        <v>9.820046296</v>
      </c>
      <c r="KE18" s="1514">
        <f>IFERROR(__xludf.DUMMYFUNCTION("""COMPUTED_VALUE"""),5.8539E11)</f>
        <v>585390000000</v>
      </c>
      <c r="KF18" s="1510">
        <f>IFERROR(__xludf.DUMMYFUNCTION("""COMPUTED_VALUE"""),9.820046296)</f>
        <v>9.820046296</v>
      </c>
      <c r="KG18" s="1514">
        <f>IFERROR(__xludf.DUMMYFUNCTION("""COMPUTED_VALUE"""),5.8539E11)</f>
        <v>585390000000</v>
      </c>
      <c r="KH18" s="1562"/>
      <c r="KI18" s="1560"/>
      <c r="KJ18" s="1527"/>
      <c r="KK18" s="1527"/>
      <c r="KL18" s="1527"/>
      <c r="KM18" s="1527"/>
      <c r="KN18" s="1527"/>
      <c r="KO18" s="1527"/>
      <c r="KP18" s="1527"/>
      <c r="KQ18" s="1527"/>
      <c r="KR18" s="1527"/>
      <c r="KS18" s="1527"/>
      <c r="KT18" s="1527"/>
      <c r="KU18" s="1527"/>
      <c r="KV18" s="1525">
        <f>IFERROR(__xludf.DUMMYFUNCTION("""COMPUTED_VALUE"""),172.79166666666666)</f>
        <v>172.7916667</v>
      </c>
      <c r="KW18" s="1526">
        <f>IFERROR(__xludf.DUMMYFUNCTION("""COMPUTED_VALUE"""),4.0E18)</f>
        <v>4E+18</v>
      </c>
      <c r="KX18" s="1525">
        <f>IFERROR(__xludf.DUMMYFUNCTION("""COMPUTED_VALUE"""),172.79166666666666)</f>
        <v>172.7916667</v>
      </c>
      <c r="KY18" s="1526">
        <f>IFERROR(__xludf.DUMMYFUNCTION("""COMPUTED_VALUE"""),4.0E18)</f>
        <v>4E+18</v>
      </c>
      <c r="KZ18" s="1525">
        <f>IFERROR(__xludf.DUMMYFUNCTION("""COMPUTED_VALUE"""),172.79166666666666)</f>
        <v>172.7916667</v>
      </c>
      <c r="LA18" s="1526">
        <f>IFERROR(__xludf.DUMMYFUNCTION("""COMPUTED_VALUE"""),4.0E18)</f>
        <v>4E+18</v>
      </c>
      <c r="LB18" s="1525">
        <f>IFERROR(__xludf.DUMMYFUNCTION("""COMPUTED_VALUE"""),172.79166666666666)</f>
        <v>172.7916667</v>
      </c>
      <c r="LC18" s="1526">
        <f>IFERROR(__xludf.DUMMYFUNCTION("""COMPUTED_VALUE"""),4.0E18)</f>
        <v>4E+18</v>
      </c>
      <c r="LD18" s="1525">
        <f>IFERROR(__xludf.DUMMYFUNCTION("""COMPUTED_VALUE"""),172.79166666666666)</f>
        <v>172.7916667</v>
      </c>
      <c r="LE18" s="1526">
        <f>IFERROR(__xludf.DUMMYFUNCTION("""COMPUTED_VALUE"""),4.0E18)</f>
        <v>4E+18</v>
      </c>
      <c r="LF18" s="1525">
        <f>IFERROR(__xludf.DUMMYFUNCTION("""COMPUTED_VALUE"""),172.79166666666666)</f>
        <v>172.7916667</v>
      </c>
      <c r="LG18" s="1526">
        <f>IFERROR(__xludf.DUMMYFUNCTION("""COMPUTED_VALUE"""),4.0E18)</f>
        <v>4E+18</v>
      </c>
      <c r="LH18" s="1525">
        <f>IFERROR(__xludf.DUMMYFUNCTION("""COMPUTED_VALUE"""),172.79166666666666)</f>
        <v>172.7916667</v>
      </c>
      <c r="LI18" s="1526">
        <f>IFERROR(__xludf.DUMMYFUNCTION("""COMPUTED_VALUE"""),4.0E18)</f>
        <v>4E+18</v>
      </c>
      <c r="LJ18" s="1525">
        <f>IFERROR(__xludf.DUMMYFUNCTION("""COMPUTED_VALUE"""),172.79166666666666)</f>
        <v>172.7916667</v>
      </c>
      <c r="LK18" s="1526">
        <f>IFERROR(__xludf.DUMMYFUNCTION("""COMPUTED_VALUE"""),4.0E18)</f>
        <v>4E+18</v>
      </c>
      <c r="LL18" s="1527"/>
      <c r="LM18" s="1527"/>
      <c r="LN18" s="1516">
        <f>IFERROR(__xludf.DUMMYFUNCTION("""COMPUTED_VALUE"""),215.99027777777778)</f>
        <v>215.9902778</v>
      </c>
      <c r="LO18" s="1495">
        <f>IFERROR(__xludf.DUMMYFUNCTION("""COMPUTED_VALUE"""),3.2000000000000005E18)</f>
        <v>3.2E+18</v>
      </c>
      <c r="LP18" s="1516">
        <f>IFERROR(__xludf.DUMMYFUNCTION("""COMPUTED_VALUE"""),215.99027777777778)</f>
        <v>215.9902778</v>
      </c>
      <c r="LQ18" s="1495">
        <f>IFERROR(__xludf.DUMMYFUNCTION("""COMPUTED_VALUE"""),3.2000000000000005E18)</f>
        <v>3.2E+18</v>
      </c>
      <c r="LR18" s="1516">
        <f>IFERROR(__xludf.DUMMYFUNCTION("""COMPUTED_VALUE"""),215.99027777777778)</f>
        <v>215.9902778</v>
      </c>
      <c r="LS18" s="1495">
        <f>IFERROR(__xludf.DUMMYFUNCTION("""COMPUTED_VALUE"""),3.2000000000000005E18)</f>
        <v>3.2E+18</v>
      </c>
      <c r="LT18" s="1516">
        <f>IFERROR(__xludf.DUMMYFUNCTION("""COMPUTED_VALUE"""),215.99027777777778)</f>
        <v>215.9902778</v>
      </c>
      <c r="LU18" s="1495">
        <f>IFERROR(__xludf.DUMMYFUNCTION("""COMPUTED_VALUE"""),3.2000000000000005E18)</f>
        <v>3.2E+18</v>
      </c>
      <c r="LV18" s="1516">
        <f>IFERROR(__xludf.DUMMYFUNCTION("""COMPUTED_VALUE"""),215.99027777777778)</f>
        <v>215.9902778</v>
      </c>
      <c r="LW18" s="1495">
        <f>IFERROR(__xludf.DUMMYFUNCTION("""COMPUTED_VALUE"""),3.2000000000000005E18)</f>
        <v>3.2E+18</v>
      </c>
      <c r="LX18" s="1516">
        <f>IFERROR(__xludf.DUMMYFUNCTION("""COMPUTED_VALUE"""),259.18819444444443)</f>
        <v>259.1881944</v>
      </c>
      <c r="LY18" s="1517">
        <f>IFERROR(__xludf.DUMMYFUNCTION("""COMPUTED_VALUE"""),8.0E18)</f>
        <v>8E+18</v>
      </c>
      <c r="LZ18" s="1516">
        <f>IFERROR(__xludf.DUMMYFUNCTION("""COMPUTED_VALUE"""),259.18819444444443)</f>
        <v>259.1881944</v>
      </c>
      <c r="MA18" s="1517">
        <f>IFERROR(__xludf.DUMMYFUNCTION("""COMPUTED_VALUE"""),8.0E18)</f>
        <v>8E+18</v>
      </c>
      <c r="MB18" s="1516">
        <f>IFERROR(__xludf.DUMMYFUNCTION("""COMPUTED_VALUE"""),259.18819444444443)</f>
        <v>259.1881944</v>
      </c>
      <c r="MC18" s="1517">
        <f>IFERROR(__xludf.DUMMYFUNCTION("""COMPUTED_VALUE"""),8.0E18)</f>
        <v>8E+18</v>
      </c>
      <c r="MD18" s="1516">
        <f>IFERROR(__xludf.DUMMYFUNCTION("""COMPUTED_VALUE"""),259.18819444444443)</f>
        <v>259.1881944</v>
      </c>
      <c r="ME18" s="1517">
        <f>IFERROR(__xludf.DUMMYFUNCTION("""COMPUTED_VALUE"""),8.0E18)</f>
        <v>8E+18</v>
      </c>
      <c r="MF18" s="1527"/>
      <c r="MG18" s="1527"/>
      <c r="MH18" s="1527"/>
      <c r="MI18" s="1527"/>
      <c r="MJ18" s="1527"/>
      <c r="MK18" s="1527"/>
      <c r="ML18" s="1527"/>
      <c r="MM18" s="1527"/>
      <c r="MN18" s="1527"/>
      <c r="MO18" s="1527"/>
      <c r="MP18" s="1527"/>
      <c r="MQ18" s="1527"/>
      <c r="MR18" s="1527"/>
      <c r="MS18" s="1527"/>
      <c r="MT18" s="1527"/>
      <c r="MU18" s="1527"/>
      <c r="MV18" s="1527"/>
      <c r="MW18" s="1527"/>
      <c r="MX18" s="1527"/>
      <c r="MY18" s="1527"/>
    </row>
    <row r="19">
      <c r="A19" s="1465">
        <f>IFERROR(__xludf.DUMMYFUNCTION("""COMPUTED_VALUE"""),17.0)</f>
        <v>17</v>
      </c>
      <c r="B19" s="1518"/>
      <c r="C19" s="1519"/>
      <c r="D19" s="1466">
        <f>IFERROR(__xludf.DUMMYFUNCTION("""COMPUTED_VALUE"""),0.6840277777777778)</f>
        <v>0.6840277778</v>
      </c>
      <c r="E19" s="1467">
        <f>IFERROR(__xludf.DUMMYFUNCTION("""COMPUTED_VALUE"""),29130.0)</f>
        <v>29130</v>
      </c>
      <c r="F19" s="1466">
        <f>IFERROR(__xludf.DUMMYFUNCTION("""COMPUTED_VALUE"""),0.6840277777777778)</f>
        <v>0.6840277778</v>
      </c>
      <c r="G19" s="1468">
        <f>IFERROR(__xludf.DUMMYFUNCTION("""COMPUTED_VALUE"""),29130.0)</f>
        <v>29130</v>
      </c>
      <c r="H19" s="1466">
        <f>IFERROR(__xludf.DUMMYFUNCTION("""COMPUTED_VALUE"""),0.6840277777777778)</f>
        <v>0.6840277778</v>
      </c>
      <c r="I19" s="1467">
        <f>IFERROR(__xludf.DUMMYFUNCTION("""COMPUTED_VALUE"""),29130.0)</f>
        <v>29130</v>
      </c>
      <c r="J19" s="1466">
        <f>IFERROR(__xludf.DUMMYFUNCTION("""COMPUTED_VALUE"""),0.6840277777777778)</f>
        <v>0.6840277778</v>
      </c>
      <c r="K19" s="1467">
        <f>IFERROR(__xludf.DUMMYFUNCTION("""COMPUTED_VALUE"""),29130.0)</f>
        <v>29130</v>
      </c>
      <c r="L19" s="1466">
        <f>IFERROR(__xludf.DUMMYFUNCTION("""COMPUTED_VALUE"""),1.0451388888888888)</f>
        <v>1.045138889</v>
      </c>
      <c r="M19" s="1469">
        <f>IFERROR(__xludf.DUMMYFUNCTION("""COMPUTED_VALUE"""),67380.0)</f>
        <v>67380</v>
      </c>
      <c r="N19" s="1470">
        <f>IFERROR(__xludf.DUMMYFUNCTION("""COMPUTED_VALUE"""),0.7916666666666666)</f>
        <v>0.7916666667</v>
      </c>
      <c r="O19" s="1467">
        <f>IFERROR(__xludf.DUMMYFUNCTION("""COMPUTED_VALUE"""),70780.0)</f>
        <v>70780</v>
      </c>
      <c r="P19" s="1518"/>
      <c r="Q19" s="1519"/>
      <c r="R19" s="1518"/>
      <c r="S19" s="1519"/>
      <c r="T19" s="1518"/>
      <c r="U19" s="1519"/>
      <c r="V19" s="1518"/>
      <c r="W19" s="1519"/>
      <c r="X19" s="1518"/>
      <c r="Y19" s="1519"/>
      <c r="Z19" s="1518"/>
      <c r="AA19" s="1519"/>
      <c r="AB19" s="1518"/>
      <c r="AC19" s="1519"/>
      <c r="AD19" s="1466">
        <f>IFERROR(__xludf.DUMMYFUNCTION("""COMPUTED_VALUE"""),18.35902777777778)</f>
        <v>18.35902778</v>
      </c>
      <c r="AE19" s="1474">
        <f>IFERROR(__xludf.DUMMYFUNCTION("""COMPUTED_VALUE"""),6.654166092E10)</f>
        <v>66541660920</v>
      </c>
      <c r="AF19" s="1466">
        <f>IFERROR(__xludf.DUMMYFUNCTION("""COMPUTED_VALUE"""),18.35902777777778)</f>
        <v>18.35902778</v>
      </c>
      <c r="AG19" s="1474">
        <f>IFERROR(__xludf.DUMMYFUNCTION("""COMPUTED_VALUE"""),6.654166092E10)</f>
        <v>66541660920</v>
      </c>
      <c r="AH19" s="1466">
        <f>IFERROR(__xludf.DUMMYFUNCTION("""COMPUTED_VALUE"""),18.35902777777778)</f>
        <v>18.35902778</v>
      </c>
      <c r="AI19" s="1474">
        <f>IFERROR(__xludf.DUMMYFUNCTION("""COMPUTED_VALUE"""),6.654166092E10)</f>
        <v>66541660920</v>
      </c>
      <c r="AJ19" s="1475">
        <f>IFERROR(__xludf.DUMMYFUNCTION("""COMPUTED_VALUE"""),0.6840277777777778)</f>
        <v>0.6840277778</v>
      </c>
      <c r="AK19" s="1476">
        <f>IFERROR(__xludf.DUMMYFUNCTION("""COMPUTED_VALUE"""),29130.0)</f>
        <v>29130</v>
      </c>
      <c r="AL19" s="1475">
        <f>IFERROR(__xludf.DUMMYFUNCTION("""COMPUTED_VALUE"""),0.6840277777777778)</f>
        <v>0.6840277778</v>
      </c>
      <c r="AM19" s="1476">
        <f>IFERROR(__xludf.DUMMYFUNCTION("""COMPUTED_VALUE"""),29130.0)</f>
        <v>29130</v>
      </c>
      <c r="AN19" s="1475">
        <f>IFERROR(__xludf.DUMMYFUNCTION("""COMPUTED_VALUE"""),0.6840277777777778)</f>
        <v>0.6840277778</v>
      </c>
      <c r="AO19" s="1476">
        <f>IFERROR(__xludf.DUMMYFUNCTION("""COMPUTED_VALUE"""),29130.0)</f>
        <v>29130</v>
      </c>
      <c r="AP19" s="1475">
        <f>IFERROR(__xludf.DUMMYFUNCTION("""COMPUTED_VALUE"""),0.6840277777777778)</f>
        <v>0.6840277778</v>
      </c>
      <c r="AQ19" s="1476">
        <f>IFERROR(__xludf.DUMMYFUNCTION("""COMPUTED_VALUE"""),29130.0)</f>
        <v>29130</v>
      </c>
      <c r="AR19" s="1475">
        <f>IFERROR(__xludf.DUMMYFUNCTION("""COMPUTED_VALUE"""),0.6840277777777778)</f>
        <v>0.6840277778</v>
      </c>
      <c r="AS19" s="1476">
        <f>IFERROR(__xludf.DUMMYFUNCTION("""COMPUTED_VALUE"""),29140.0)</f>
        <v>29140</v>
      </c>
      <c r="AT19" s="1475">
        <f>IFERROR(__xludf.DUMMYFUNCTION("""COMPUTED_VALUE"""),102.8625)</f>
        <v>102.8625</v>
      </c>
      <c r="AU19" s="1476">
        <f>IFERROR(__xludf.DUMMYFUNCTION("""COMPUTED_VALUE"""),4.5982E8)</f>
        <v>459820000</v>
      </c>
      <c r="AV19" s="1475">
        <f>IFERROR(__xludf.DUMMYFUNCTION("""COMPUTED_VALUE"""),63.5125)</f>
        <v>63.5125</v>
      </c>
      <c r="AW19" s="1476">
        <f>IFERROR(__xludf.DUMMYFUNCTION("""COMPUTED_VALUE"""),4.5982E8)</f>
        <v>459820000</v>
      </c>
      <c r="AX19" s="1475">
        <f>IFERROR(__xludf.DUMMYFUNCTION("""COMPUTED_VALUE"""),13.092361111111112)</f>
        <v>13.09236111</v>
      </c>
      <c r="AY19" s="1476">
        <f>IFERROR(__xludf.DUMMYFUNCTION("""COMPUTED_VALUE"""),8.5882E11)</f>
        <v>858820000000</v>
      </c>
      <c r="AZ19" s="1518"/>
      <c r="BA19" s="1518"/>
      <c r="BB19" s="1477">
        <f>IFERROR(__xludf.DUMMYFUNCTION("""COMPUTED_VALUE"""),0.6840277777777778)</f>
        <v>0.6840277778</v>
      </c>
      <c r="BC19" s="1478">
        <f>IFERROR(__xludf.DUMMYFUNCTION("""COMPUTED_VALUE"""),29130.0)</f>
        <v>29130</v>
      </c>
      <c r="BD19" s="1477">
        <f>IFERROR(__xludf.DUMMYFUNCTION("""COMPUTED_VALUE"""),0.6840277777777778)</f>
        <v>0.6840277778</v>
      </c>
      <c r="BE19" s="1478">
        <f>IFERROR(__xludf.DUMMYFUNCTION("""COMPUTED_VALUE"""),29130.0)</f>
        <v>29130</v>
      </c>
      <c r="BF19" s="1477">
        <f>IFERROR(__xludf.DUMMYFUNCTION("""COMPUTED_VALUE"""),0.6840277777777778)</f>
        <v>0.6840277778</v>
      </c>
      <c r="BG19" s="1478">
        <f>IFERROR(__xludf.DUMMYFUNCTION("""COMPUTED_VALUE"""),29130.0)</f>
        <v>29130</v>
      </c>
      <c r="BH19" s="1477">
        <f>IFERROR(__xludf.DUMMYFUNCTION("""COMPUTED_VALUE"""),8.220833333333333)</f>
        <v>8.220833333</v>
      </c>
      <c r="BI19" s="1478">
        <f>IFERROR(__xludf.DUMMYFUNCTION("""COMPUTED_VALUE"""),6.557E7)</f>
        <v>65570000</v>
      </c>
      <c r="BJ19" s="1477">
        <f>IFERROR(__xludf.DUMMYFUNCTION("""COMPUTED_VALUE"""),11.22638888888889)</f>
        <v>11.22638889</v>
      </c>
      <c r="BK19" s="1478">
        <f>IFERROR(__xludf.DUMMYFUNCTION("""COMPUTED_VALUE"""),4.3243E8)</f>
        <v>432430000</v>
      </c>
      <c r="BL19" s="1477">
        <f>IFERROR(__xludf.DUMMYFUNCTION("""COMPUTED_VALUE"""),15.565277777777778)</f>
        <v>15.56527778</v>
      </c>
      <c r="BM19" s="1478">
        <f>IFERROR(__xludf.DUMMYFUNCTION("""COMPUTED_VALUE"""),1.51E9)</f>
        <v>1510000000</v>
      </c>
      <c r="BN19" s="1477">
        <f>IFERROR(__xludf.DUMMYFUNCTION("""COMPUTED_VALUE"""),15.565277777777778)</f>
        <v>15.56527778</v>
      </c>
      <c r="BO19" s="1478">
        <f>IFERROR(__xludf.DUMMYFUNCTION("""COMPUTED_VALUE"""),1.51E9)</f>
        <v>1510000000</v>
      </c>
      <c r="BP19" s="1477">
        <f>IFERROR(__xludf.DUMMYFUNCTION("""COMPUTED_VALUE"""),22.82777777777778)</f>
        <v>22.82777778</v>
      </c>
      <c r="BQ19" s="1478">
        <f>IFERROR(__xludf.DUMMYFUNCTION("""COMPUTED_VALUE"""),1.51E9)</f>
        <v>1510000000</v>
      </c>
      <c r="BR19" s="1520"/>
      <c r="BS19" s="1519"/>
      <c r="BT19" s="1479">
        <f>IFERROR(__xludf.DUMMYFUNCTION("""COMPUTED_VALUE"""),0.8972222222222223)</f>
        <v>0.8972222222</v>
      </c>
      <c r="BU19" s="1480">
        <f>IFERROR(__xludf.DUMMYFUNCTION("""COMPUTED_VALUE"""),5.14E9)</f>
        <v>5140000000</v>
      </c>
      <c r="BV19" s="1479">
        <f>IFERROR(__xludf.DUMMYFUNCTION("""COMPUTED_VALUE"""),25.500694444444445)</f>
        <v>25.50069444</v>
      </c>
      <c r="BW19" s="1480">
        <f>IFERROR(__xludf.DUMMYFUNCTION("""COMPUTED_VALUE"""),1.816E10)</f>
        <v>18160000000</v>
      </c>
      <c r="BX19" s="1479">
        <f>IFERROR(__xludf.DUMMYFUNCTION("""COMPUTED_VALUE"""),45.42282407407407)</f>
        <v>45.42282407</v>
      </c>
      <c r="BY19" s="1480">
        <f>IFERROR(__xludf.DUMMYFUNCTION("""COMPUTED_VALUE"""),1.247E11)</f>
        <v>124700000000</v>
      </c>
      <c r="BZ19" s="1479">
        <f>IFERROR(__xludf.DUMMYFUNCTION("""COMPUTED_VALUE"""),128.69583333333333)</f>
        <v>128.6958333</v>
      </c>
      <c r="CA19" s="1480">
        <f>IFERROR(__xludf.DUMMYFUNCTION("""COMPUTED_VALUE"""),1.727E11)</f>
        <v>172700000000</v>
      </c>
      <c r="CB19" s="1520"/>
      <c r="CC19" s="1519"/>
      <c r="CD19" s="1477">
        <f>IFERROR(__xludf.DUMMYFUNCTION("""COMPUTED_VALUE"""),5.425949074074074)</f>
        <v>5.425949074</v>
      </c>
      <c r="CE19" s="1481">
        <f>IFERROR(__xludf.DUMMYFUNCTION("""COMPUTED_VALUE"""),5.0512E11)</f>
        <v>505120000000</v>
      </c>
      <c r="CF19" s="1527"/>
      <c r="CG19" s="1560"/>
      <c r="CH19" s="1482">
        <f>IFERROR(__xludf.DUMMYFUNCTION("""COMPUTED_VALUE"""),0.6840277777777778)</f>
        <v>0.6840277778</v>
      </c>
      <c r="CI19" s="1483">
        <f>IFERROR(__xludf.DUMMYFUNCTION("""COMPUTED_VALUE"""),29140.0)</f>
        <v>29140</v>
      </c>
      <c r="CJ19" s="1482">
        <f>IFERROR(__xludf.DUMMYFUNCTION("""COMPUTED_VALUE"""),0.6840277777777778)</f>
        <v>0.6840277778</v>
      </c>
      <c r="CK19" s="1483">
        <f>IFERROR(__xludf.DUMMYFUNCTION("""COMPUTED_VALUE"""),29140.0)</f>
        <v>29140</v>
      </c>
      <c r="CL19" s="1482">
        <f>IFERROR(__xludf.DUMMYFUNCTION("""COMPUTED_VALUE"""),0.6840277777777778)</f>
        <v>0.6840277778</v>
      </c>
      <c r="CM19" s="1483">
        <f>IFERROR(__xludf.DUMMYFUNCTION("""COMPUTED_VALUE"""),29140.0)</f>
        <v>29140</v>
      </c>
      <c r="CN19" s="1482">
        <f>IFERROR(__xludf.DUMMYFUNCTION("""COMPUTED_VALUE"""),0.6840277777777778)</f>
        <v>0.6840277778</v>
      </c>
      <c r="CO19" s="1483">
        <f>IFERROR(__xludf.DUMMYFUNCTION("""COMPUTED_VALUE"""),29140.0)</f>
        <v>29140</v>
      </c>
      <c r="CP19" s="1482">
        <f>IFERROR(__xludf.DUMMYFUNCTION("""COMPUTED_VALUE"""),1.1875)</f>
        <v>1.1875</v>
      </c>
      <c r="CQ19" s="1483">
        <f>IFERROR(__xludf.DUMMYFUNCTION("""COMPUTED_VALUE"""),70790.0)</f>
        <v>70790</v>
      </c>
      <c r="CR19" s="1518"/>
      <c r="CS19" s="1519"/>
      <c r="CT19" s="1520"/>
      <c r="CU19" s="1519"/>
      <c r="CV19" s="1484">
        <f>IFERROR(__xludf.DUMMYFUNCTION("""COMPUTED_VALUE"""),25.385416666666668)</f>
        <v>25.38541667</v>
      </c>
      <c r="CW19" s="1485">
        <f>IFERROR(__xludf.DUMMYFUNCTION("""COMPUTED_VALUE"""),2.882E11)</f>
        <v>288200000000</v>
      </c>
      <c r="CX19" s="1484">
        <f>IFERROR(__xludf.DUMMYFUNCTION("""COMPUTED_VALUE"""),25.385416666666668)</f>
        <v>25.38541667</v>
      </c>
      <c r="CY19" s="1485">
        <f>IFERROR(__xludf.DUMMYFUNCTION("""COMPUTED_VALUE"""),2.882E11)</f>
        <v>288200000000</v>
      </c>
      <c r="CZ19" s="1484">
        <f>IFERROR(__xludf.DUMMYFUNCTION("""COMPUTED_VALUE"""),25.385416666666668)</f>
        <v>25.38541667</v>
      </c>
      <c r="DA19" s="1485">
        <f>IFERROR(__xludf.DUMMYFUNCTION("""COMPUTED_VALUE"""),2.882E11)</f>
        <v>288200000000</v>
      </c>
      <c r="DB19" s="1484">
        <f>IFERROR(__xludf.DUMMYFUNCTION("""COMPUTED_VALUE"""),12.027777777777779)</f>
        <v>12.02777778</v>
      </c>
      <c r="DC19" s="1485">
        <f>IFERROR(__xludf.DUMMYFUNCTION("""COMPUTED_VALUE"""),8.442E10)</f>
        <v>84420000000</v>
      </c>
      <c r="DD19" s="1484">
        <f>IFERROR(__xludf.DUMMYFUNCTION("""COMPUTED_VALUE"""),12.027777777777779)</f>
        <v>12.02777778</v>
      </c>
      <c r="DE19" s="1485">
        <f>IFERROR(__xludf.DUMMYFUNCTION("""COMPUTED_VALUE"""),8.442E10)</f>
        <v>84420000000</v>
      </c>
      <c r="DF19" s="1486">
        <f>IFERROR(__xludf.DUMMYFUNCTION("""COMPUTED_VALUE"""),16.329166666666666)</f>
        <v>16.32916667</v>
      </c>
      <c r="DG19" s="1487">
        <f>IFERROR(__xludf.DUMMYFUNCTION("""COMPUTED_VALUE"""),1.51E9)</f>
        <v>1510000000</v>
      </c>
      <c r="DH19" s="1518"/>
      <c r="DI19" s="1519"/>
      <c r="DJ19" s="1486">
        <f>IFERROR(__xludf.DUMMYFUNCTION("""COMPUTED_VALUE"""),17.116666666666667)</f>
        <v>17.11666667</v>
      </c>
      <c r="DK19" s="1487">
        <f>IFERROR(__xludf.DUMMYFUNCTION("""COMPUTED_VALUE"""),1.51E9)</f>
        <v>1510000000</v>
      </c>
      <c r="DL19" s="1486">
        <f>IFERROR(__xludf.DUMMYFUNCTION("""COMPUTED_VALUE"""),16.329166666666666)</f>
        <v>16.32916667</v>
      </c>
      <c r="DM19" s="1487">
        <f>IFERROR(__xludf.DUMMYFUNCTION("""COMPUTED_VALUE"""),1.51E9)</f>
        <v>1510000000</v>
      </c>
      <c r="DN19" s="1518"/>
      <c r="DO19" s="1519"/>
      <c r="DP19" s="1486">
        <f>IFERROR(__xludf.DUMMYFUNCTION("""COMPUTED_VALUE"""),16.329166666666666)</f>
        <v>16.32916667</v>
      </c>
      <c r="DQ19" s="1487">
        <f>IFERROR(__xludf.DUMMYFUNCTION("""COMPUTED_VALUE"""),1.51E9)</f>
        <v>1510000000</v>
      </c>
      <c r="DR19" s="1486">
        <f>IFERROR(__xludf.DUMMYFUNCTION("""COMPUTED_VALUE"""),16.329166666666666)</f>
        <v>16.32916667</v>
      </c>
      <c r="DS19" s="1487">
        <f>IFERROR(__xludf.DUMMYFUNCTION("""COMPUTED_VALUE"""),1.51E9)</f>
        <v>1510000000</v>
      </c>
      <c r="DT19" s="1518"/>
      <c r="DU19" s="1519"/>
      <c r="DV19" s="1486">
        <f>IFERROR(__xludf.DUMMYFUNCTION("""COMPUTED_VALUE"""),16.329166666666666)</f>
        <v>16.32916667</v>
      </c>
      <c r="DW19" s="1487">
        <f>IFERROR(__xludf.DUMMYFUNCTION("""COMPUTED_VALUE"""),1.51E9)</f>
        <v>1510000000</v>
      </c>
      <c r="DX19" s="1486">
        <f>IFERROR(__xludf.DUMMYFUNCTION("""COMPUTED_VALUE"""),16.329166666666666)</f>
        <v>16.32916667</v>
      </c>
      <c r="DY19" s="1487">
        <f>IFERROR(__xludf.DUMMYFUNCTION("""COMPUTED_VALUE"""),1.51E9)</f>
        <v>1510000000</v>
      </c>
      <c r="DZ19" s="1486">
        <f>IFERROR(__xludf.DUMMYFUNCTION("""COMPUTED_VALUE"""),20.495833333333334)</f>
        <v>20.49583333</v>
      </c>
      <c r="EA19" s="1487">
        <f>IFERROR(__xludf.DUMMYFUNCTION("""COMPUTED_VALUE"""),3.98E9)</f>
        <v>3980000000</v>
      </c>
      <c r="EB19" s="1486">
        <f>IFERROR(__xludf.DUMMYFUNCTION("""COMPUTED_VALUE"""),20.495833333333334)</f>
        <v>20.49583333</v>
      </c>
      <c r="EC19" s="1487">
        <f>IFERROR(__xludf.DUMMYFUNCTION("""COMPUTED_VALUE"""),3.98E9)</f>
        <v>3980000000</v>
      </c>
      <c r="ED19" s="1518"/>
      <c r="EE19" s="1519"/>
      <c r="EF19" s="1486">
        <f>IFERROR(__xludf.DUMMYFUNCTION("""COMPUTED_VALUE"""),19.6625)</f>
        <v>19.6625</v>
      </c>
      <c r="EG19" s="1487">
        <f>IFERROR(__xludf.DUMMYFUNCTION("""COMPUTED_VALUE"""),3.98E9)</f>
        <v>3980000000</v>
      </c>
      <c r="EH19" s="1518"/>
      <c r="EI19" s="1519"/>
      <c r="EJ19" s="1486">
        <f>IFERROR(__xludf.DUMMYFUNCTION("""COMPUTED_VALUE"""),9.857395833333333)</f>
        <v>9.857395833</v>
      </c>
      <c r="EK19" s="1487">
        <f>IFERROR(__xludf.DUMMYFUNCTION("""COMPUTED_VALUE"""),4.6864E8)</f>
        <v>468640000</v>
      </c>
      <c r="EL19" s="1486">
        <f>IFERROR(__xludf.DUMMYFUNCTION("""COMPUTED_VALUE"""),19.66295138888889)</f>
        <v>19.66295139</v>
      </c>
      <c r="EM19" s="1487">
        <f>IFERROR(__xludf.DUMMYFUNCTION("""COMPUTED_VALUE"""),3.98E9)</f>
        <v>3980000000</v>
      </c>
      <c r="EN19" s="1486">
        <f>IFERROR(__xludf.DUMMYFUNCTION("""COMPUTED_VALUE"""),19.6625)</f>
        <v>19.6625</v>
      </c>
      <c r="EO19" s="1487">
        <f>IFERROR(__xludf.DUMMYFUNCTION("""COMPUTED_VALUE"""),3.98E9)</f>
        <v>3980000000</v>
      </c>
      <c r="EP19" s="1486">
        <f>IFERROR(__xludf.DUMMYFUNCTION("""COMPUTED_VALUE"""),19.6625)</f>
        <v>19.6625</v>
      </c>
      <c r="EQ19" s="1487">
        <f>IFERROR(__xludf.DUMMYFUNCTION("""COMPUTED_VALUE"""),3.98E9)</f>
        <v>3980000000</v>
      </c>
      <c r="ER19" s="1486">
        <f>IFERROR(__xludf.DUMMYFUNCTION("""COMPUTED_VALUE"""),19.6625)</f>
        <v>19.6625</v>
      </c>
      <c r="ES19" s="1487">
        <f>IFERROR(__xludf.DUMMYFUNCTION("""COMPUTED_VALUE"""),3.98E9)</f>
        <v>3980000000</v>
      </c>
      <c r="ET19" s="1486">
        <f>IFERROR(__xludf.DUMMYFUNCTION("""COMPUTED_VALUE"""),19.6625)</f>
        <v>19.6625</v>
      </c>
      <c r="EU19" s="1487">
        <f>IFERROR(__xludf.DUMMYFUNCTION("""COMPUTED_VALUE"""),3.98E9)</f>
        <v>3980000000</v>
      </c>
      <c r="EV19" s="1518"/>
      <c r="EW19" s="1519"/>
      <c r="EX19" s="1518"/>
      <c r="EY19" s="1519"/>
      <c r="EZ19" s="1518"/>
      <c r="FA19" s="1519"/>
      <c r="FB19" s="1520"/>
      <c r="FC19" s="1519"/>
      <c r="FD19" s="1520"/>
      <c r="FE19" s="1519"/>
      <c r="FF19" s="1486">
        <f>IFERROR(__xludf.DUMMYFUNCTION("""COMPUTED_VALUE"""),20.495833333333334)</f>
        <v>20.49583333</v>
      </c>
      <c r="FG19" s="1488">
        <f>IFERROR(__xludf.DUMMYFUNCTION("""COMPUTED_VALUE"""),1.052E10)</f>
        <v>10520000000</v>
      </c>
      <c r="FH19" s="1486">
        <f>IFERROR(__xludf.DUMMYFUNCTION("""COMPUTED_VALUE"""),20.495833333333334)</f>
        <v>20.49583333</v>
      </c>
      <c r="FI19" s="1488">
        <f>IFERROR(__xludf.DUMMYFUNCTION("""COMPUTED_VALUE"""),1.052E10)</f>
        <v>10520000000</v>
      </c>
      <c r="FJ19" s="1486">
        <f>IFERROR(__xludf.DUMMYFUNCTION("""COMPUTED_VALUE"""),25.495752314814816)</f>
        <v>25.49575231</v>
      </c>
      <c r="FK19" s="1487">
        <f>IFERROR(__xludf.DUMMYFUNCTION("""COMPUTED_VALUE"""),4.172972973E9)</f>
        <v>4172972973</v>
      </c>
      <c r="FL19" s="1518"/>
      <c r="FM19" s="1519"/>
      <c r="FN19" s="1532"/>
      <c r="FO19" s="1520"/>
      <c r="FP19" s="1486">
        <f>IFERROR(__xludf.DUMMYFUNCTION("""COMPUTED_VALUE"""),51.0866087962963)</f>
        <v>51.0866088</v>
      </c>
      <c r="FQ19" s="1488">
        <f>IFERROR(__xludf.DUMMYFUNCTION("""COMPUTED_VALUE"""),6.568000000000001E13)</f>
        <v>65680000000000</v>
      </c>
      <c r="FR19" s="1532"/>
      <c r="FS19" s="1520"/>
      <c r="FT19" s="1486">
        <f>IFERROR(__xludf.DUMMYFUNCTION("""COMPUTED_VALUE"""),51.0866087962963)</f>
        <v>51.0866088</v>
      </c>
      <c r="FU19" s="1488">
        <f>IFERROR(__xludf.DUMMYFUNCTION("""COMPUTED_VALUE"""),6.568000000000001E13)</f>
        <v>65680000000000</v>
      </c>
      <c r="FV19" s="1486">
        <f>IFERROR(__xludf.DUMMYFUNCTION("""COMPUTED_VALUE"""),51.0866087962963)</f>
        <v>51.0866088</v>
      </c>
      <c r="FW19" s="1488">
        <f>IFERROR(__xludf.DUMMYFUNCTION("""COMPUTED_VALUE"""),6.568000000000001E13)</f>
        <v>65680000000000</v>
      </c>
      <c r="FX19" s="1491">
        <f>IFERROR(__xludf.DUMMYFUNCTION("""COMPUTED_VALUE"""),19.30611111111111)</f>
        <v>19.30611111</v>
      </c>
      <c r="FY19" s="1492">
        <f>IFERROR(__xludf.DUMMYFUNCTION("""COMPUTED_VALUE"""),6.5684E11)</f>
        <v>656840000000</v>
      </c>
      <c r="FZ19" s="1491">
        <f>IFERROR(__xludf.DUMMYFUNCTION("""COMPUTED_VALUE"""),51.0866087962963)</f>
        <v>51.0866088</v>
      </c>
      <c r="GA19" s="1492">
        <f>IFERROR(__xludf.DUMMYFUNCTION("""COMPUTED_VALUE"""),6.5684E13)</f>
        <v>65684000000000</v>
      </c>
      <c r="GB19" s="1527"/>
      <c r="GC19" s="1527"/>
      <c r="GD19" s="1527"/>
      <c r="GE19" s="1560"/>
      <c r="GF19" s="1518"/>
      <c r="GG19" s="1519"/>
      <c r="GH19" s="1494">
        <f>IFERROR(__xludf.DUMMYFUNCTION("""COMPUTED_VALUE"""),18.870833333333334)</f>
        <v>18.87083333</v>
      </c>
      <c r="GI19" s="1495">
        <f>IFERROR(__xludf.DUMMYFUNCTION("""COMPUTED_VALUE"""),1.049E10)</f>
        <v>10490000000</v>
      </c>
      <c r="GJ19" s="1518"/>
      <c r="GK19" s="1519"/>
      <c r="GL19" s="1518"/>
      <c r="GM19" s="1519"/>
      <c r="GN19" s="1520"/>
      <c r="GO19" s="1519"/>
      <c r="GP19" s="1496">
        <f>IFERROR(__xludf.DUMMYFUNCTION("""COMPUTED_VALUE"""),19.0375)</f>
        <v>19.0375</v>
      </c>
      <c r="GQ19" s="1497">
        <f>IFERROR(__xludf.DUMMYFUNCTION("""COMPUTED_VALUE"""),2.062E11)</f>
        <v>206200000000</v>
      </c>
      <c r="GR19" s="1518"/>
      <c r="GS19" s="1519"/>
      <c r="GT19" s="1518"/>
      <c r="GU19" s="1519"/>
      <c r="GV19" s="1520"/>
      <c r="GW19" s="1519"/>
      <c r="GX19" s="1561"/>
      <c r="GY19" s="1527"/>
      <c r="GZ19" s="1518"/>
      <c r="HA19" s="1519"/>
      <c r="HB19" s="1501">
        <f>IFERROR(__xludf.DUMMYFUNCTION("""COMPUTED_VALUE"""),15.565277777777778)</f>
        <v>15.56527778</v>
      </c>
      <c r="HC19" s="1502">
        <f>IFERROR(__xludf.DUMMYFUNCTION("""COMPUTED_VALUE"""),2.097E10)</f>
        <v>20970000000</v>
      </c>
      <c r="HD19" s="1518"/>
      <c r="HE19" s="1519"/>
      <c r="HF19" s="1501">
        <f>IFERROR(__xludf.DUMMYFUNCTION("""COMPUTED_VALUE"""),15.935416666666667)</f>
        <v>15.93541667</v>
      </c>
      <c r="HG19" s="1502">
        <f>IFERROR(__xludf.DUMMYFUNCTION("""COMPUTED_VALUE"""),3.146E10)</f>
        <v>31460000000</v>
      </c>
      <c r="HH19" s="1518"/>
      <c r="HI19" s="1519"/>
      <c r="HJ19" s="1518"/>
      <c r="HK19" s="1519"/>
      <c r="HL19" s="1518"/>
      <c r="HM19" s="1519"/>
      <c r="HN19" s="1520"/>
      <c r="HO19" s="1519"/>
      <c r="HP19" s="1501">
        <f>IFERROR(__xludf.DUMMYFUNCTION("""COMPUTED_VALUE"""),63.179409722222225)</f>
        <v>63.17940972</v>
      </c>
      <c r="HQ19" s="1503">
        <f>IFERROR(__xludf.DUMMYFUNCTION("""COMPUTED_VALUE"""),7.87E9)</f>
        <v>7870000000</v>
      </c>
      <c r="HR19" s="1522">
        <f>IFERROR(__xludf.DUMMYFUNCTION("""COMPUTED_VALUE"""),24.690972222222225)</f>
        <v>24.69097222</v>
      </c>
      <c r="HS19" s="1523">
        <f>IFERROR(__xludf.DUMMYFUNCTION("""COMPUTED_VALUE"""),5.294E10)</f>
        <v>52940000000</v>
      </c>
      <c r="HT19" s="1522">
        <f>IFERROR(__xludf.DUMMYFUNCTION("""COMPUTED_VALUE"""),24.690972222222225)</f>
        <v>24.69097222</v>
      </c>
      <c r="HU19" s="1523">
        <f>IFERROR(__xludf.DUMMYFUNCTION("""COMPUTED_VALUE"""),5.294E10)</f>
        <v>52940000000</v>
      </c>
      <c r="HV19" s="1522">
        <f>IFERROR(__xludf.DUMMYFUNCTION("""COMPUTED_VALUE"""),24.690972222222225)</f>
        <v>24.69097222</v>
      </c>
      <c r="HW19" s="1523">
        <f>IFERROR(__xludf.DUMMYFUNCTION("""COMPUTED_VALUE"""),5.294E10)</f>
        <v>52940000000</v>
      </c>
      <c r="HX19" s="1524">
        <f>IFERROR(__xludf.DUMMYFUNCTION("""COMPUTED_VALUE"""),24.69097222222222)</f>
        <v>24.69097222</v>
      </c>
      <c r="HY19" s="1523">
        <f>IFERROR(__xludf.DUMMYFUNCTION("""COMPUTED_VALUE"""),5.294E10)</f>
        <v>52940000000</v>
      </c>
      <c r="HZ19" s="1518"/>
      <c r="IA19" s="1519"/>
      <c r="IB19" s="1524">
        <f>IFERROR(__xludf.DUMMYFUNCTION("""COMPUTED_VALUE"""),77.98013888888889)</f>
        <v>77.98013889</v>
      </c>
      <c r="IC19" s="1523">
        <f>IFERROR(__xludf.DUMMYFUNCTION("""COMPUTED_VALUE"""),6.568000000000001E13)</f>
        <v>65680000000000</v>
      </c>
      <c r="ID19" s="1524">
        <f>IFERROR(__xludf.DUMMYFUNCTION("""COMPUTED_VALUE"""),77.98013888888889)</f>
        <v>77.98013889</v>
      </c>
      <c r="IE19" s="1523">
        <f>IFERROR(__xludf.DUMMYFUNCTION("""COMPUTED_VALUE"""),6.568000000000001E13)</f>
        <v>65680000000000</v>
      </c>
      <c r="IF19" s="1524">
        <f>IFERROR(__xludf.DUMMYFUNCTION("""COMPUTED_VALUE"""),77.98013888888889)</f>
        <v>77.98013889</v>
      </c>
      <c r="IG19" s="1523">
        <f>IFERROR(__xludf.DUMMYFUNCTION("""COMPUTED_VALUE"""),6.568000000000001E13)</f>
        <v>65680000000000</v>
      </c>
      <c r="IH19" s="1507">
        <f>IFERROR(__xludf.DUMMYFUNCTION("""COMPUTED_VALUE"""),25.385416666666668)</f>
        <v>25.38541667</v>
      </c>
      <c r="II19" s="1508">
        <f>IFERROR(__xludf.DUMMYFUNCTION("""COMPUTED_VALUE"""),5.282E11)</f>
        <v>528200000000</v>
      </c>
      <c r="IJ19" s="1507">
        <f>IFERROR(__xludf.DUMMYFUNCTION("""COMPUTED_VALUE"""),25.385416666666668)</f>
        <v>25.38541667</v>
      </c>
      <c r="IK19" s="1508">
        <f>IFERROR(__xludf.DUMMYFUNCTION("""COMPUTED_VALUE"""),5.282E11)</f>
        <v>528200000000</v>
      </c>
      <c r="IL19" s="1507">
        <f>IFERROR(__xludf.DUMMYFUNCTION("""COMPUTED_VALUE"""),25.385416666666668)</f>
        <v>25.38541667</v>
      </c>
      <c r="IM19" s="1508">
        <f>IFERROR(__xludf.DUMMYFUNCTION("""COMPUTED_VALUE"""),6.982E11)</f>
        <v>698200000000</v>
      </c>
      <c r="IN19" s="1507">
        <f>IFERROR(__xludf.DUMMYFUNCTION("""COMPUTED_VALUE"""),25.385416666666668)</f>
        <v>25.38541667</v>
      </c>
      <c r="IO19" s="1508">
        <f>IFERROR(__xludf.DUMMYFUNCTION("""COMPUTED_VALUE"""),6.982E11)</f>
        <v>698200000000</v>
      </c>
      <c r="IP19" s="1507">
        <f>IFERROR(__xludf.DUMMYFUNCTION("""COMPUTED_VALUE"""),25.847916666666666)</f>
        <v>25.84791667</v>
      </c>
      <c r="IQ19" s="1508">
        <f>IFERROR(__xludf.DUMMYFUNCTION("""COMPUTED_VALUE"""),1.21E12)</f>
        <v>1210000000000</v>
      </c>
      <c r="IR19" s="1507">
        <f>IFERROR(__xludf.DUMMYFUNCTION("""COMPUTED_VALUE"""),25.385416666666668)</f>
        <v>25.38541667</v>
      </c>
      <c r="IS19" s="1508">
        <f>IFERROR(__xludf.DUMMYFUNCTION("""COMPUTED_VALUE"""),6.982E11)</f>
        <v>698200000000</v>
      </c>
      <c r="IT19" s="1507">
        <f>IFERROR(__xludf.DUMMYFUNCTION("""COMPUTED_VALUE"""),25.385416666666668)</f>
        <v>25.38541667</v>
      </c>
      <c r="IU19" s="1508">
        <f>IFERROR(__xludf.DUMMYFUNCTION("""COMPUTED_VALUE"""),6.982E11)</f>
        <v>698200000000</v>
      </c>
      <c r="IV19" s="1507">
        <f>IFERROR(__xludf.DUMMYFUNCTION("""COMPUTED_VALUE"""),25.385416666666668)</f>
        <v>25.38541667</v>
      </c>
      <c r="IW19" s="1508">
        <f>IFERROR(__xludf.DUMMYFUNCTION("""COMPUTED_VALUE"""),6.982E11)</f>
        <v>698200000000</v>
      </c>
      <c r="IX19" s="1507">
        <f>IFERROR(__xludf.DUMMYFUNCTION("""COMPUTED_VALUE"""),25.385416666666668)</f>
        <v>25.38541667</v>
      </c>
      <c r="IY19" s="1508">
        <f>IFERROR(__xludf.DUMMYFUNCTION("""COMPUTED_VALUE"""),6.982E11)</f>
        <v>698200000000</v>
      </c>
      <c r="IZ19" s="1507">
        <f>IFERROR(__xludf.DUMMYFUNCTION("""COMPUTED_VALUE"""),25.385416666666668)</f>
        <v>25.38541667</v>
      </c>
      <c r="JA19" s="1508">
        <f>IFERROR(__xludf.DUMMYFUNCTION("""COMPUTED_VALUE"""),8.682E11)</f>
        <v>868200000000</v>
      </c>
      <c r="JB19" s="1507">
        <f>IFERROR(__xludf.DUMMYFUNCTION("""COMPUTED_VALUE"""),25.385416666666668)</f>
        <v>25.38541667</v>
      </c>
      <c r="JC19" s="1508">
        <f>IFERROR(__xludf.DUMMYFUNCTION("""COMPUTED_VALUE"""),8.682E11)</f>
        <v>868200000000</v>
      </c>
      <c r="JD19" s="1507">
        <f>IFERROR(__xludf.DUMMYFUNCTION("""COMPUTED_VALUE"""),25.385416666666668)</f>
        <v>25.38541667</v>
      </c>
      <c r="JE19" s="1508">
        <f>IFERROR(__xludf.DUMMYFUNCTION("""COMPUTED_VALUE"""),8.682E11)</f>
        <v>868200000000</v>
      </c>
      <c r="JF19" s="1507">
        <f>IFERROR(__xludf.DUMMYFUNCTION("""COMPUTED_VALUE"""),25.385416666666668)</f>
        <v>25.38541667</v>
      </c>
      <c r="JG19" s="1508">
        <f>IFERROR(__xludf.DUMMYFUNCTION("""COMPUTED_VALUE"""),8.682E11)</f>
        <v>868200000000</v>
      </c>
      <c r="JH19" s="1507">
        <f>IFERROR(__xludf.DUMMYFUNCTION("""COMPUTED_VALUE"""),25.847916666666666)</f>
        <v>25.84791667</v>
      </c>
      <c r="JI19" s="1508">
        <f>IFERROR(__xludf.DUMMYFUNCTION("""COMPUTED_VALUE"""),1.39E12)</f>
        <v>1390000000000</v>
      </c>
      <c r="JJ19" s="1507">
        <f>IFERROR(__xludf.DUMMYFUNCTION("""COMPUTED_VALUE"""),183.59166666666667)</f>
        <v>183.5916667</v>
      </c>
      <c r="JK19" s="1509">
        <f>IFERROR(__xludf.DUMMYFUNCTION("""COMPUTED_VALUE"""),4.25E18)</f>
        <v>4.25E+18</v>
      </c>
      <c r="JL19" s="1507">
        <f>IFERROR(__xludf.DUMMYFUNCTION("""COMPUTED_VALUE"""),183.59166666666667)</f>
        <v>183.5916667</v>
      </c>
      <c r="JM19" s="1509">
        <f>IFERROR(__xludf.DUMMYFUNCTION("""COMPUTED_VALUE"""),4.25E18)</f>
        <v>4.25E+18</v>
      </c>
      <c r="JN19" s="1507">
        <f>IFERROR(__xludf.DUMMYFUNCTION("""COMPUTED_VALUE"""),183.59166666666667)</f>
        <v>183.5916667</v>
      </c>
      <c r="JO19" s="1509">
        <f>IFERROR(__xludf.DUMMYFUNCTION("""COMPUTED_VALUE"""),4.25E18)</f>
        <v>4.25E+18</v>
      </c>
      <c r="JP19" s="1507">
        <f>IFERROR(__xludf.DUMMYFUNCTION("""COMPUTED_VALUE"""),183.59166666666667)</f>
        <v>183.5916667</v>
      </c>
      <c r="JQ19" s="1509">
        <f>IFERROR(__xludf.DUMMYFUNCTION("""COMPUTED_VALUE"""),4.25E18)</f>
        <v>4.25E+18</v>
      </c>
      <c r="JR19" s="1507">
        <f>IFERROR(__xludf.DUMMYFUNCTION("""COMPUTED_VALUE"""),183.59166666666667)</f>
        <v>183.5916667</v>
      </c>
      <c r="JS19" s="1509">
        <f>IFERROR(__xludf.DUMMYFUNCTION("""COMPUTED_VALUE"""),4.25E18)</f>
        <v>4.25E+18</v>
      </c>
      <c r="JT19" s="1507">
        <f>IFERROR(__xludf.DUMMYFUNCTION("""COMPUTED_VALUE"""),183.59166666666667)</f>
        <v>183.5916667</v>
      </c>
      <c r="JU19" s="1509">
        <f>IFERROR(__xludf.DUMMYFUNCTION("""COMPUTED_VALUE"""),4.25E18)</f>
        <v>4.25E+18</v>
      </c>
      <c r="JV19" s="1507">
        <f>IFERROR(__xludf.DUMMYFUNCTION("""COMPUTED_VALUE"""),45.89791666666667)</f>
        <v>45.89791667</v>
      </c>
      <c r="JW19" s="1509">
        <f>IFERROR(__xludf.DUMMYFUNCTION("""COMPUTED_VALUE"""),2.177953338E14)</f>
        <v>217795333800000</v>
      </c>
      <c r="JX19" s="1562"/>
      <c r="JY19" s="1560"/>
      <c r="JZ19" s="1510">
        <f>IFERROR(__xludf.DUMMYFUNCTION("""COMPUTED_VALUE"""),2.10162037)</f>
        <v>2.10162037</v>
      </c>
      <c r="KA19" s="1514">
        <f>IFERROR(__xludf.DUMMYFUNCTION("""COMPUTED_VALUE"""),3.57E9)</f>
        <v>3570000000</v>
      </c>
      <c r="KB19" s="1510">
        <f>IFERROR(__xludf.DUMMYFUNCTION("""COMPUTED_VALUE"""),2.57318287)</f>
        <v>2.57318287</v>
      </c>
      <c r="KC19" s="1514">
        <f>IFERROR(__xludf.DUMMYFUNCTION("""COMPUTED_VALUE"""),1.229E10)</f>
        <v>12290000000</v>
      </c>
      <c r="KD19" s="1510">
        <f>IFERROR(__xludf.DUMMYFUNCTION("""COMPUTED_VALUE"""),9.892094907)</f>
        <v>9.892094907</v>
      </c>
      <c r="KE19" s="1514">
        <f>IFERROR(__xludf.DUMMYFUNCTION("""COMPUTED_VALUE"""),7.1848E11)</f>
        <v>718480000000</v>
      </c>
      <c r="KF19" s="1510">
        <f>IFERROR(__xludf.DUMMYFUNCTION("""COMPUTED_VALUE"""),9.892094907)</f>
        <v>9.892094907</v>
      </c>
      <c r="KG19" s="1514">
        <f>IFERROR(__xludf.DUMMYFUNCTION("""COMPUTED_VALUE"""),7.1848E11)</f>
        <v>718480000000</v>
      </c>
      <c r="KH19" s="1562"/>
      <c r="KI19" s="1560"/>
      <c r="KJ19" s="1527"/>
      <c r="KK19" s="1527"/>
      <c r="KL19" s="1527"/>
      <c r="KM19" s="1527"/>
      <c r="KN19" s="1527"/>
      <c r="KO19" s="1527"/>
      <c r="KP19" s="1527"/>
      <c r="KQ19" s="1527"/>
      <c r="KR19" s="1527"/>
      <c r="KS19" s="1527"/>
      <c r="KT19" s="1527"/>
      <c r="KU19" s="1527"/>
      <c r="KV19" s="1525">
        <f>IFERROR(__xludf.DUMMYFUNCTION("""COMPUTED_VALUE"""),183.59166666666667)</f>
        <v>183.5916667</v>
      </c>
      <c r="KW19" s="1526">
        <f>IFERROR(__xludf.DUMMYFUNCTION("""COMPUTED_VALUE"""),4.25E18)</f>
        <v>4.25E+18</v>
      </c>
      <c r="KX19" s="1525">
        <f>IFERROR(__xludf.DUMMYFUNCTION("""COMPUTED_VALUE"""),183.59166666666667)</f>
        <v>183.5916667</v>
      </c>
      <c r="KY19" s="1526">
        <f>IFERROR(__xludf.DUMMYFUNCTION("""COMPUTED_VALUE"""),4.25E18)</f>
        <v>4.25E+18</v>
      </c>
      <c r="KZ19" s="1525">
        <f>IFERROR(__xludf.DUMMYFUNCTION("""COMPUTED_VALUE"""),183.59166666666667)</f>
        <v>183.5916667</v>
      </c>
      <c r="LA19" s="1526">
        <f>IFERROR(__xludf.DUMMYFUNCTION("""COMPUTED_VALUE"""),4.25E18)</f>
        <v>4.25E+18</v>
      </c>
      <c r="LB19" s="1525">
        <f>IFERROR(__xludf.DUMMYFUNCTION("""COMPUTED_VALUE"""),183.59166666666667)</f>
        <v>183.5916667</v>
      </c>
      <c r="LC19" s="1526">
        <f>IFERROR(__xludf.DUMMYFUNCTION("""COMPUTED_VALUE"""),4.25E18)</f>
        <v>4.25E+18</v>
      </c>
      <c r="LD19" s="1525">
        <f>IFERROR(__xludf.DUMMYFUNCTION("""COMPUTED_VALUE"""),183.59166666666667)</f>
        <v>183.5916667</v>
      </c>
      <c r="LE19" s="1526">
        <f>IFERROR(__xludf.DUMMYFUNCTION("""COMPUTED_VALUE"""),4.25E18)</f>
        <v>4.25E+18</v>
      </c>
      <c r="LF19" s="1525">
        <f>IFERROR(__xludf.DUMMYFUNCTION("""COMPUTED_VALUE"""),183.59166666666667)</f>
        <v>183.5916667</v>
      </c>
      <c r="LG19" s="1526">
        <f>IFERROR(__xludf.DUMMYFUNCTION("""COMPUTED_VALUE"""),4.25E18)</f>
        <v>4.25E+18</v>
      </c>
      <c r="LH19" s="1525">
        <f>IFERROR(__xludf.DUMMYFUNCTION("""COMPUTED_VALUE"""),183.59166666666667)</f>
        <v>183.5916667</v>
      </c>
      <c r="LI19" s="1526">
        <f>IFERROR(__xludf.DUMMYFUNCTION("""COMPUTED_VALUE"""),4.25E18)</f>
        <v>4.25E+18</v>
      </c>
      <c r="LJ19" s="1525">
        <f>IFERROR(__xludf.DUMMYFUNCTION("""COMPUTED_VALUE"""),183.59166666666667)</f>
        <v>183.5916667</v>
      </c>
      <c r="LK19" s="1526">
        <f>IFERROR(__xludf.DUMMYFUNCTION("""COMPUTED_VALUE"""),4.25E18)</f>
        <v>4.25E+18</v>
      </c>
      <c r="LL19" s="1527"/>
      <c r="LM19" s="1527"/>
      <c r="LN19" s="1516">
        <f>IFERROR(__xludf.DUMMYFUNCTION("""COMPUTED_VALUE"""),229.48958333333334)</f>
        <v>229.4895833</v>
      </c>
      <c r="LO19" s="1495">
        <f>IFERROR(__xludf.DUMMYFUNCTION("""COMPUTED_VALUE"""),3.400000000000001E18)</f>
        <v>3.4E+18</v>
      </c>
      <c r="LP19" s="1516">
        <f>IFERROR(__xludf.DUMMYFUNCTION("""COMPUTED_VALUE"""),229.48958333333334)</f>
        <v>229.4895833</v>
      </c>
      <c r="LQ19" s="1495">
        <f>IFERROR(__xludf.DUMMYFUNCTION("""COMPUTED_VALUE"""),3.400000000000001E18)</f>
        <v>3.4E+18</v>
      </c>
      <c r="LR19" s="1516">
        <f>IFERROR(__xludf.DUMMYFUNCTION("""COMPUTED_VALUE"""),229.48958333333334)</f>
        <v>229.4895833</v>
      </c>
      <c r="LS19" s="1495">
        <f>IFERROR(__xludf.DUMMYFUNCTION("""COMPUTED_VALUE"""),3.400000000000001E18)</f>
        <v>3.4E+18</v>
      </c>
      <c r="LT19" s="1516">
        <f>IFERROR(__xludf.DUMMYFUNCTION("""COMPUTED_VALUE"""),229.48958333333334)</f>
        <v>229.4895833</v>
      </c>
      <c r="LU19" s="1495">
        <f>IFERROR(__xludf.DUMMYFUNCTION("""COMPUTED_VALUE"""),3.400000000000001E18)</f>
        <v>3.4E+18</v>
      </c>
      <c r="LV19" s="1516">
        <f>IFERROR(__xludf.DUMMYFUNCTION("""COMPUTED_VALUE"""),229.48958333333334)</f>
        <v>229.4895833</v>
      </c>
      <c r="LW19" s="1495">
        <f>IFERROR(__xludf.DUMMYFUNCTION("""COMPUTED_VALUE"""),3.400000000000001E18)</f>
        <v>3.4E+18</v>
      </c>
      <c r="LX19" s="1516">
        <f>IFERROR(__xludf.DUMMYFUNCTION("""COMPUTED_VALUE"""),275.3875)</f>
        <v>275.3875</v>
      </c>
      <c r="LY19" s="1517">
        <f>IFERROR(__xludf.DUMMYFUNCTION("""COMPUTED_VALUE"""),8.5E18)</f>
        <v>8.5E+18</v>
      </c>
      <c r="LZ19" s="1516">
        <f>IFERROR(__xludf.DUMMYFUNCTION("""COMPUTED_VALUE"""),275.3875)</f>
        <v>275.3875</v>
      </c>
      <c r="MA19" s="1517">
        <f>IFERROR(__xludf.DUMMYFUNCTION("""COMPUTED_VALUE"""),8.5E18)</f>
        <v>8.5E+18</v>
      </c>
      <c r="MB19" s="1516">
        <f>IFERROR(__xludf.DUMMYFUNCTION("""COMPUTED_VALUE"""),275.3875)</f>
        <v>275.3875</v>
      </c>
      <c r="MC19" s="1517">
        <f>IFERROR(__xludf.DUMMYFUNCTION("""COMPUTED_VALUE"""),8.5E18)</f>
        <v>8.5E+18</v>
      </c>
      <c r="MD19" s="1516">
        <f>IFERROR(__xludf.DUMMYFUNCTION("""COMPUTED_VALUE"""),275.3875)</f>
        <v>275.3875</v>
      </c>
      <c r="ME19" s="1517">
        <f>IFERROR(__xludf.DUMMYFUNCTION("""COMPUTED_VALUE"""),8.5E18)</f>
        <v>8.5E+18</v>
      </c>
      <c r="MF19" s="1527"/>
      <c r="MG19" s="1527"/>
      <c r="MH19" s="1527"/>
      <c r="MI19" s="1527"/>
      <c r="MJ19" s="1527"/>
      <c r="MK19" s="1527"/>
      <c r="ML19" s="1527"/>
      <c r="MM19" s="1527"/>
      <c r="MN19" s="1527"/>
      <c r="MO19" s="1527"/>
      <c r="MP19" s="1527"/>
      <c r="MQ19" s="1527"/>
      <c r="MR19" s="1527"/>
      <c r="MS19" s="1527"/>
      <c r="MT19" s="1527"/>
      <c r="MU19" s="1527"/>
      <c r="MV19" s="1527"/>
      <c r="MW19" s="1527"/>
      <c r="MX19" s="1527"/>
      <c r="MY19" s="1527"/>
    </row>
    <row r="20">
      <c r="A20" s="1465">
        <f>IFERROR(__xludf.DUMMYFUNCTION("""COMPUTED_VALUE"""),18.0)</f>
        <v>18</v>
      </c>
      <c r="B20" s="1518"/>
      <c r="C20" s="1519"/>
      <c r="D20" s="1466">
        <f>IFERROR(__xludf.DUMMYFUNCTION("""COMPUTED_VALUE"""),0.7861111111111111)</f>
        <v>0.7861111111</v>
      </c>
      <c r="E20" s="1467">
        <f>IFERROR(__xludf.DUMMYFUNCTION("""COMPUTED_VALUE"""),34360.0)</f>
        <v>34360</v>
      </c>
      <c r="F20" s="1466">
        <f>IFERROR(__xludf.DUMMYFUNCTION("""COMPUTED_VALUE"""),0.7861111111111111)</f>
        <v>0.7861111111</v>
      </c>
      <c r="G20" s="1468">
        <f>IFERROR(__xludf.DUMMYFUNCTION("""COMPUTED_VALUE"""),34360.0)</f>
        <v>34360</v>
      </c>
      <c r="H20" s="1466">
        <f>IFERROR(__xludf.DUMMYFUNCTION("""COMPUTED_VALUE"""),0.7861111111111111)</f>
        <v>0.7861111111</v>
      </c>
      <c r="I20" s="1467">
        <f>IFERROR(__xludf.DUMMYFUNCTION("""COMPUTED_VALUE"""),34360.0)</f>
        <v>34360</v>
      </c>
      <c r="J20" s="1466">
        <f>IFERROR(__xludf.DUMMYFUNCTION("""COMPUTED_VALUE"""),0.7861111111111111)</f>
        <v>0.7861111111</v>
      </c>
      <c r="K20" s="1467">
        <f>IFERROR(__xludf.DUMMYFUNCTION("""COMPUTED_VALUE"""),34360.0)</f>
        <v>34360</v>
      </c>
      <c r="L20" s="1466">
        <f>IFERROR(__xludf.DUMMYFUNCTION("""COMPUTED_VALUE"""),1.2104166666666667)</f>
        <v>1.210416667</v>
      </c>
      <c r="M20" s="1469">
        <f>IFERROR(__xludf.DUMMYFUNCTION("""COMPUTED_VALUE"""),80990.0)</f>
        <v>80990</v>
      </c>
      <c r="N20" s="1470">
        <f>IFERROR(__xludf.DUMMYFUNCTION("""COMPUTED_VALUE"""),0.9034722222222222)</f>
        <v>0.9034722222</v>
      </c>
      <c r="O20" s="1467">
        <f>IFERROR(__xludf.DUMMYFUNCTION("""COMPUTED_VALUE"""),85340.0)</f>
        <v>85340</v>
      </c>
      <c r="P20" s="1518"/>
      <c r="Q20" s="1519"/>
      <c r="R20" s="1518"/>
      <c r="S20" s="1519"/>
      <c r="T20" s="1518"/>
      <c r="U20" s="1519"/>
      <c r="V20" s="1518"/>
      <c r="W20" s="1519"/>
      <c r="X20" s="1518"/>
      <c r="Y20" s="1519"/>
      <c r="Z20" s="1518"/>
      <c r="AA20" s="1519"/>
      <c r="AB20" s="1518"/>
      <c r="AC20" s="1519"/>
      <c r="AD20" s="1466">
        <f>IFERROR(__xludf.DUMMYFUNCTION("""COMPUTED_VALUE"""),19.43888888888889)</f>
        <v>19.43888889</v>
      </c>
      <c r="AE20" s="1474">
        <f>IFERROR(__xludf.DUMMYFUNCTION("""COMPUTED_VALUE"""),8.650415919E10)</f>
        <v>86504159190</v>
      </c>
      <c r="AF20" s="1466">
        <f>IFERROR(__xludf.DUMMYFUNCTION("""COMPUTED_VALUE"""),19.43888888888889)</f>
        <v>19.43888889</v>
      </c>
      <c r="AG20" s="1474">
        <f>IFERROR(__xludf.DUMMYFUNCTION("""COMPUTED_VALUE"""),8.650415919E10)</f>
        <v>86504159190</v>
      </c>
      <c r="AH20" s="1466">
        <f>IFERROR(__xludf.DUMMYFUNCTION("""COMPUTED_VALUE"""),19.43888888888889)</f>
        <v>19.43888889</v>
      </c>
      <c r="AI20" s="1474">
        <f>IFERROR(__xludf.DUMMYFUNCTION("""COMPUTED_VALUE"""),8.650415919E10)</f>
        <v>86504159190</v>
      </c>
      <c r="AJ20" s="1475">
        <f>IFERROR(__xludf.DUMMYFUNCTION("""COMPUTED_VALUE"""),0.7861111111111111)</f>
        <v>0.7861111111</v>
      </c>
      <c r="AK20" s="1476">
        <f>IFERROR(__xludf.DUMMYFUNCTION("""COMPUTED_VALUE"""),34360.0)</f>
        <v>34360</v>
      </c>
      <c r="AL20" s="1475">
        <f>IFERROR(__xludf.DUMMYFUNCTION("""COMPUTED_VALUE"""),0.7861111111111111)</f>
        <v>0.7861111111</v>
      </c>
      <c r="AM20" s="1476">
        <f>IFERROR(__xludf.DUMMYFUNCTION("""COMPUTED_VALUE"""),34360.0)</f>
        <v>34360</v>
      </c>
      <c r="AN20" s="1475">
        <f>IFERROR(__xludf.DUMMYFUNCTION("""COMPUTED_VALUE"""),0.7861111111111111)</f>
        <v>0.7861111111</v>
      </c>
      <c r="AO20" s="1476">
        <f>IFERROR(__xludf.DUMMYFUNCTION("""COMPUTED_VALUE"""),34360.0)</f>
        <v>34360</v>
      </c>
      <c r="AP20" s="1475">
        <f>IFERROR(__xludf.DUMMYFUNCTION("""COMPUTED_VALUE"""),0.7861111111111111)</f>
        <v>0.7861111111</v>
      </c>
      <c r="AQ20" s="1476">
        <f>IFERROR(__xludf.DUMMYFUNCTION("""COMPUTED_VALUE"""),34360.0)</f>
        <v>34360</v>
      </c>
      <c r="AR20" s="1475">
        <f>IFERROR(__xludf.DUMMYFUNCTION("""COMPUTED_VALUE"""),0.7861111111111111)</f>
        <v>0.7861111111</v>
      </c>
      <c r="AS20" s="1476">
        <f>IFERROR(__xludf.DUMMYFUNCTION("""COMPUTED_VALUE"""),34370.0)</f>
        <v>34370</v>
      </c>
      <c r="AT20" s="1475">
        <f>IFERROR(__xludf.DUMMYFUNCTION("""COMPUTED_VALUE"""),130.24791666666667)</f>
        <v>130.2479167</v>
      </c>
      <c r="AU20" s="1476">
        <f>IFERROR(__xludf.DUMMYFUNCTION("""COMPUTED_VALUE"""),6.1049E8)</f>
        <v>610490000</v>
      </c>
      <c r="AV20" s="1475">
        <f>IFERROR(__xludf.DUMMYFUNCTION("""COMPUTED_VALUE"""),78.6625)</f>
        <v>78.6625</v>
      </c>
      <c r="AW20" s="1476">
        <f>IFERROR(__xludf.DUMMYFUNCTION("""COMPUTED_VALUE"""),6.1049E8)</f>
        <v>610490000</v>
      </c>
      <c r="AX20" s="1475">
        <f>IFERROR(__xludf.DUMMYFUNCTION("""COMPUTED_VALUE"""),13.722222222222223)</f>
        <v>13.72222222</v>
      </c>
      <c r="AY20" s="1476">
        <f>IFERROR(__xludf.DUMMYFUNCTION("""COMPUTED_VALUE"""),9.037E11)</f>
        <v>903700000000</v>
      </c>
      <c r="AZ20" s="1518"/>
      <c r="BA20" s="1518"/>
      <c r="BB20" s="1477">
        <f>IFERROR(__xludf.DUMMYFUNCTION("""COMPUTED_VALUE"""),0.7861111111111111)</f>
        <v>0.7861111111</v>
      </c>
      <c r="BC20" s="1478">
        <f>IFERROR(__xludf.DUMMYFUNCTION("""COMPUTED_VALUE"""),34360.0)</f>
        <v>34360</v>
      </c>
      <c r="BD20" s="1477">
        <f>IFERROR(__xludf.DUMMYFUNCTION("""COMPUTED_VALUE"""),0.7861111111111111)</f>
        <v>0.7861111111</v>
      </c>
      <c r="BE20" s="1478">
        <f>IFERROR(__xludf.DUMMYFUNCTION("""COMPUTED_VALUE"""),34360.0)</f>
        <v>34360</v>
      </c>
      <c r="BF20" s="1477">
        <f>IFERROR(__xludf.DUMMYFUNCTION("""COMPUTED_VALUE"""),0.7861111111111111)</f>
        <v>0.7861111111</v>
      </c>
      <c r="BG20" s="1478">
        <f>IFERROR(__xludf.DUMMYFUNCTION("""COMPUTED_VALUE"""),34360.0)</f>
        <v>34360</v>
      </c>
      <c r="BH20" s="1477">
        <f>IFERROR(__xludf.DUMMYFUNCTION("""COMPUTED_VALUE"""),9.94375)</f>
        <v>9.94375</v>
      </c>
      <c r="BI20" s="1478">
        <f>IFERROR(__xludf.DUMMYFUNCTION("""COMPUTED_VALUE"""),8.355E7)</f>
        <v>83550000</v>
      </c>
      <c r="BJ20" s="1477">
        <f>IFERROR(__xludf.DUMMYFUNCTION("""COMPUTED_VALUE"""),13.598611111111111)</f>
        <v>13.59861111</v>
      </c>
      <c r="BK20" s="1478">
        <f>IFERROR(__xludf.DUMMYFUNCTION("""COMPUTED_VALUE"""),5.5444E8)</f>
        <v>554440000</v>
      </c>
      <c r="BL20" s="1477">
        <f>IFERROR(__xludf.DUMMYFUNCTION("""COMPUTED_VALUE"""),18.841666666666665)</f>
        <v>18.84166667</v>
      </c>
      <c r="BM20" s="1478">
        <f>IFERROR(__xludf.DUMMYFUNCTION("""COMPUTED_VALUE"""),1.95E9)</f>
        <v>1950000000</v>
      </c>
      <c r="BN20" s="1477">
        <f>IFERROR(__xludf.DUMMYFUNCTION("""COMPUTED_VALUE"""),18.841666666666665)</f>
        <v>18.84166667</v>
      </c>
      <c r="BO20" s="1478">
        <f>IFERROR(__xludf.DUMMYFUNCTION("""COMPUTED_VALUE"""),1.95E9)</f>
        <v>1950000000</v>
      </c>
      <c r="BP20" s="1477">
        <f>IFERROR(__xludf.DUMMYFUNCTION("""COMPUTED_VALUE"""),27.972916666666666)</f>
        <v>27.97291667</v>
      </c>
      <c r="BQ20" s="1478">
        <f>IFERROR(__xludf.DUMMYFUNCTION("""COMPUTED_VALUE"""),1.95E9)</f>
        <v>1950000000</v>
      </c>
      <c r="BR20" s="1520"/>
      <c r="BS20" s="1519"/>
      <c r="BT20" s="1479">
        <f>IFERROR(__xludf.DUMMYFUNCTION("""COMPUTED_VALUE"""),0.9979166666666667)</f>
        <v>0.9979166667</v>
      </c>
      <c r="BU20" s="1480">
        <f>IFERROR(__xludf.DUMMYFUNCTION("""COMPUTED_VALUE"""),5.55E9)</f>
        <v>5550000000</v>
      </c>
      <c r="BV20" s="1479">
        <f>IFERROR(__xludf.DUMMYFUNCTION("""COMPUTED_VALUE"""),30.23611111111111)</f>
        <v>30.23611111</v>
      </c>
      <c r="BW20" s="1480">
        <f>IFERROR(__xludf.DUMMYFUNCTION("""COMPUTED_VALUE"""),2.064E10)</f>
        <v>20640000000</v>
      </c>
      <c r="BX20" s="1479">
        <f>IFERROR(__xludf.DUMMYFUNCTION("""COMPUTED_VALUE"""),52.23625)</f>
        <v>52.23625</v>
      </c>
      <c r="BY20" s="1480">
        <f>IFERROR(__xludf.DUMMYFUNCTION("""COMPUTED_VALUE"""),1.314E11)</f>
        <v>131400000000</v>
      </c>
      <c r="BZ20" s="1479">
        <f>IFERROR(__xludf.DUMMYFUNCTION("""COMPUTED_VALUE"""),165.37222222222223)</f>
        <v>165.3722222</v>
      </c>
      <c r="CA20" s="1480">
        <f>IFERROR(__xludf.DUMMYFUNCTION("""COMPUTED_VALUE"""),1.824E11)</f>
        <v>182400000000</v>
      </c>
      <c r="CB20" s="1520"/>
      <c r="CC20" s="1519"/>
      <c r="CD20" s="1477">
        <f>IFERROR(__xludf.DUMMYFUNCTION("""COMPUTED_VALUE"""),5.787002314814814)</f>
        <v>5.787002315</v>
      </c>
      <c r="CE20" s="1481">
        <f>IFERROR(__xludf.DUMMYFUNCTION("""COMPUTED_VALUE"""),5.4599E11)</f>
        <v>545990000000</v>
      </c>
      <c r="CF20" s="1527"/>
      <c r="CG20" s="1560"/>
      <c r="CH20" s="1482">
        <f>IFERROR(__xludf.DUMMYFUNCTION("""COMPUTED_VALUE"""),0.7861111111111111)</f>
        <v>0.7861111111</v>
      </c>
      <c r="CI20" s="1483">
        <f>IFERROR(__xludf.DUMMYFUNCTION("""COMPUTED_VALUE"""),34370.0)</f>
        <v>34370</v>
      </c>
      <c r="CJ20" s="1482">
        <f>IFERROR(__xludf.DUMMYFUNCTION("""COMPUTED_VALUE"""),0.7861111111111111)</f>
        <v>0.7861111111</v>
      </c>
      <c r="CK20" s="1483">
        <f>IFERROR(__xludf.DUMMYFUNCTION("""COMPUTED_VALUE"""),34370.0)</f>
        <v>34370</v>
      </c>
      <c r="CL20" s="1482">
        <f>IFERROR(__xludf.DUMMYFUNCTION("""COMPUTED_VALUE"""),0.7861111111111111)</f>
        <v>0.7861111111</v>
      </c>
      <c r="CM20" s="1483">
        <f>IFERROR(__xludf.DUMMYFUNCTION("""COMPUTED_VALUE"""),34370.0)</f>
        <v>34370</v>
      </c>
      <c r="CN20" s="1482">
        <f>IFERROR(__xludf.DUMMYFUNCTION("""COMPUTED_VALUE"""),0.7861111111111111)</f>
        <v>0.7861111111</v>
      </c>
      <c r="CO20" s="1483">
        <f>IFERROR(__xludf.DUMMYFUNCTION("""COMPUTED_VALUE"""),34370.0)</f>
        <v>34370</v>
      </c>
      <c r="CP20" s="1482">
        <f>IFERROR(__xludf.DUMMYFUNCTION("""COMPUTED_VALUE"""),1.3798611111111112)</f>
        <v>1.379861111</v>
      </c>
      <c r="CQ20" s="1483">
        <f>IFERROR(__xludf.DUMMYFUNCTION("""COMPUTED_VALUE"""),85350.0)</f>
        <v>85350</v>
      </c>
      <c r="CR20" s="1518"/>
      <c r="CS20" s="1519"/>
      <c r="CT20" s="1520"/>
      <c r="CU20" s="1519"/>
      <c r="CV20" s="1484">
        <f>IFERROR(__xludf.DUMMYFUNCTION("""COMPUTED_VALUE"""),30.004166666666666)</f>
        <v>30.00416667</v>
      </c>
      <c r="CW20" s="1485">
        <f>IFERROR(__xludf.DUMMYFUNCTION("""COMPUTED_VALUE"""),3.4196E11)</f>
        <v>341960000000</v>
      </c>
      <c r="CX20" s="1484">
        <f>IFERROR(__xludf.DUMMYFUNCTION("""COMPUTED_VALUE"""),30.004166666666666)</f>
        <v>30.00416667</v>
      </c>
      <c r="CY20" s="1485">
        <f>IFERROR(__xludf.DUMMYFUNCTION("""COMPUTED_VALUE"""),3.4196E11)</f>
        <v>341960000000</v>
      </c>
      <c r="CZ20" s="1484">
        <f>IFERROR(__xludf.DUMMYFUNCTION("""COMPUTED_VALUE"""),30.004166666666666)</f>
        <v>30.00416667</v>
      </c>
      <c r="DA20" s="1485">
        <f>IFERROR(__xludf.DUMMYFUNCTION("""COMPUTED_VALUE"""),3.4196E11)</f>
        <v>341960000000</v>
      </c>
      <c r="DB20" s="1484">
        <f>IFERROR(__xludf.DUMMYFUNCTION("""COMPUTED_VALUE"""),13.611805555555556)</f>
        <v>13.61180556</v>
      </c>
      <c r="DC20" s="1485">
        <f>IFERROR(__xludf.DUMMYFUNCTION("""COMPUTED_VALUE"""),1.0388E11)</f>
        <v>103880000000</v>
      </c>
      <c r="DD20" s="1484">
        <f>IFERROR(__xludf.DUMMYFUNCTION("""COMPUTED_VALUE"""),13.611805555555556)</f>
        <v>13.61180556</v>
      </c>
      <c r="DE20" s="1485">
        <f>IFERROR(__xludf.DUMMYFUNCTION("""COMPUTED_VALUE"""),1.0388E11)</f>
        <v>103880000000</v>
      </c>
      <c r="DF20" s="1486">
        <f>IFERROR(__xludf.DUMMYFUNCTION("""COMPUTED_VALUE"""),19.605555555555554)</f>
        <v>19.60555556</v>
      </c>
      <c r="DG20" s="1487">
        <f>IFERROR(__xludf.DUMMYFUNCTION("""COMPUTED_VALUE"""),1.95E9)</f>
        <v>1950000000</v>
      </c>
      <c r="DH20" s="1518"/>
      <c r="DI20" s="1519"/>
      <c r="DJ20" s="1486">
        <f>IFERROR(__xludf.DUMMYFUNCTION("""COMPUTED_VALUE"""),20.393055555555556)</f>
        <v>20.39305556</v>
      </c>
      <c r="DK20" s="1487">
        <f>IFERROR(__xludf.DUMMYFUNCTION("""COMPUTED_VALUE"""),1.96E9)</f>
        <v>1960000000</v>
      </c>
      <c r="DL20" s="1486">
        <f>IFERROR(__xludf.DUMMYFUNCTION("""COMPUTED_VALUE"""),19.605555555555554)</f>
        <v>19.60555556</v>
      </c>
      <c r="DM20" s="1487">
        <f>IFERROR(__xludf.DUMMYFUNCTION("""COMPUTED_VALUE"""),1.95E9)</f>
        <v>1950000000</v>
      </c>
      <c r="DN20" s="1518"/>
      <c r="DO20" s="1519"/>
      <c r="DP20" s="1486">
        <f>IFERROR(__xludf.DUMMYFUNCTION("""COMPUTED_VALUE"""),19.605555555555554)</f>
        <v>19.60555556</v>
      </c>
      <c r="DQ20" s="1487">
        <f>IFERROR(__xludf.DUMMYFUNCTION("""COMPUTED_VALUE"""),1.95E9)</f>
        <v>1950000000</v>
      </c>
      <c r="DR20" s="1486">
        <f>IFERROR(__xludf.DUMMYFUNCTION("""COMPUTED_VALUE"""),19.605555555555554)</f>
        <v>19.60555556</v>
      </c>
      <c r="DS20" s="1487">
        <f>IFERROR(__xludf.DUMMYFUNCTION("""COMPUTED_VALUE"""),1.95E9)</f>
        <v>1950000000</v>
      </c>
      <c r="DT20" s="1518"/>
      <c r="DU20" s="1519"/>
      <c r="DV20" s="1486">
        <f>IFERROR(__xludf.DUMMYFUNCTION("""COMPUTED_VALUE"""),19.605555555555554)</f>
        <v>19.60555556</v>
      </c>
      <c r="DW20" s="1487">
        <f>IFERROR(__xludf.DUMMYFUNCTION("""COMPUTED_VALUE"""),1.95E9)</f>
        <v>1950000000</v>
      </c>
      <c r="DX20" s="1486">
        <f>IFERROR(__xludf.DUMMYFUNCTION("""COMPUTED_VALUE"""),19.605555555555554)</f>
        <v>19.60555556</v>
      </c>
      <c r="DY20" s="1487">
        <f>IFERROR(__xludf.DUMMYFUNCTION("""COMPUTED_VALUE"""),1.95E9)</f>
        <v>1950000000</v>
      </c>
      <c r="DZ20" s="1486">
        <f>IFERROR(__xludf.DUMMYFUNCTION("""COMPUTED_VALUE"""),23.980555555555554)</f>
        <v>23.98055556</v>
      </c>
      <c r="EA20" s="1487">
        <f>IFERROR(__xludf.DUMMYFUNCTION("""COMPUTED_VALUE"""),5.27E9)</f>
        <v>5270000000</v>
      </c>
      <c r="EB20" s="1486">
        <f>IFERROR(__xludf.DUMMYFUNCTION("""COMPUTED_VALUE"""),23.980555555555554)</f>
        <v>23.98055556</v>
      </c>
      <c r="EC20" s="1487">
        <f>IFERROR(__xludf.DUMMYFUNCTION("""COMPUTED_VALUE"""),5.27E9)</f>
        <v>5270000000</v>
      </c>
      <c r="ED20" s="1518"/>
      <c r="EE20" s="1519"/>
      <c r="EF20" s="1486">
        <f>IFERROR(__xludf.DUMMYFUNCTION("""COMPUTED_VALUE"""),23.147222222222222)</f>
        <v>23.14722222</v>
      </c>
      <c r="EG20" s="1487">
        <f>IFERROR(__xludf.DUMMYFUNCTION("""COMPUTED_VALUE"""),5.27E9)</f>
        <v>5270000000</v>
      </c>
      <c r="EH20" s="1518"/>
      <c r="EI20" s="1519"/>
      <c r="EJ20" s="1486">
        <f>IFERROR(__xludf.DUMMYFUNCTION("""COMPUTED_VALUE"""),10.34039351851852)</f>
        <v>10.34039352</v>
      </c>
      <c r="EK20" s="1487">
        <f>IFERROR(__xludf.DUMMYFUNCTION("""COMPUTED_VALUE"""),5.0767E8)</f>
        <v>507670000</v>
      </c>
      <c r="EL20" s="1486">
        <f>IFERROR(__xludf.DUMMYFUNCTION("""COMPUTED_VALUE"""),22.98121527777778)</f>
        <v>22.98121528</v>
      </c>
      <c r="EM20" s="1487">
        <f>IFERROR(__xludf.DUMMYFUNCTION("""COMPUTED_VALUE"""),5.27E9)</f>
        <v>5270000000</v>
      </c>
      <c r="EN20" s="1486">
        <f>IFERROR(__xludf.DUMMYFUNCTION("""COMPUTED_VALUE"""),23.147222222222222)</f>
        <v>23.14722222</v>
      </c>
      <c r="EO20" s="1487">
        <f>IFERROR(__xludf.DUMMYFUNCTION("""COMPUTED_VALUE"""),5.27E9)</f>
        <v>5270000000</v>
      </c>
      <c r="EP20" s="1486">
        <f>IFERROR(__xludf.DUMMYFUNCTION("""COMPUTED_VALUE"""),23.147222222222222)</f>
        <v>23.14722222</v>
      </c>
      <c r="EQ20" s="1487">
        <f>IFERROR(__xludf.DUMMYFUNCTION("""COMPUTED_VALUE"""),5.27E9)</f>
        <v>5270000000</v>
      </c>
      <c r="ER20" s="1486">
        <f>IFERROR(__xludf.DUMMYFUNCTION("""COMPUTED_VALUE"""),23.147222222222222)</f>
        <v>23.14722222</v>
      </c>
      <c r="ES20" s="1487">
        <f>IFERROR(__xludf.DUMMYFUNCTION("""COMPUTED_VALUE"""),5.27E9)</f>
        <v>5270000000</v>
      </c>
      <c r="ET20" s="1486">
        <f>IFERROR(__xludf.DUMMYFUNCTION("""COMPUTED_VALUE"""),23.147222222222222)</f>
        <v>23.14722222</v>
      </c>
      <c r="EU20" s="1487">
        <f>IFERROR(__xludf.DUMMYFUNCTION("""COMPUTED_VALUE"""),5.27E9)</f>
        <v>5270000000</v>
      </c>
      <c r="EV20" s="1518"/>
      <c r="EW20" s="1519"/>
      <c r="EX20" s="1518"/>
      <c r="EY20" s="1519"/>
      <c r="EZ20" s="1518"/>
      <c r="FA20" s="1519"/>
      <c r="FB20" s="1520"/>
      <c r="FC20" s="1519"/>
      <c r="FD20" s="1520"/>
      <c r="FE20" s="1519"/>
      <c r="FF20" s="1486">
        <f>IFERROR(__xludf.DUMMYFUNCTION("""COMPUTED_VALUE"""),23.980555555555554)</f>
        <v>23.98055556</v>
      </c>
      <c r="FG20" s="1488">
        <f>IFERROR(__xludf.DUMMYFUNCTION("""COMPUTED_VALUE"""),1.423E10)</f>
        <v>14230000000</v>
      </c>
      <c r="FH20" s="1486">
        <f>IFERROR(__xludf.DUMMYFUNCTION("""COMPUTED_VALUE"""),23.980555555555554)</f>
        <v>23.98055556</v>
      </c>
      <c r="FI20" s="1488">
        <f>IFERROR(__xludf.DUMMYFUNCTION("""COMPUTED_VALUE"""),1.423E10)</f>
        <v>14230000000</v>
      </c>
      <c r="FJ20" s="1486">
        <f>IFERROR(__xludf.DUMMYFUNCTION("""COMPUTED_VALUE"""),28.980752314814815)</f>
        <v>28.98075231</v>
      </c>
      <c r="FK20" s="1487">
        <f>IFERROR(__xludf.DUMMYFUNCTION("""COMPUTED_VALUE"""),5.47027027E9)</f>
        <v>5470270270</v>
      </c>
      <c r="FL20" s="1518"/>
      <c r="FM20" s="1519"/>
      <c r="FN20" s="1532"/>
      <c r="FO20" s="1520"/>
      <c r="FP20" s="1486">
        <f>IFERROR(__xludf.DUMMYFUNCTION("""COMPUTED_VALUE"""),57.21700231481481)</f>
        <v>57.21700231</v>
      </c>
      <c r="FQ20" s="1488">
        <f>IFERROR(__xludf.DUMMYFUNCTION("""COMPUTED_VALUE"""),9.853E13)</f>
        <v>98530000000000</v>
      </c>
      <c r="FR20" s="1532"/>
      <c r="FS20" s="1520"/>
      <c r="FT20" s="1486">
        <f>IFERROR(__xludf.DUMMYFUNCTION("""COMPUTED_VALUE"""),57.21700231481481)</f>
        <v>57.21700231</v>
      </c>
      <c r="FU20" s="1488">
        <f>IFERROR(__xludf.DUMMYFUNCTION("""COMPUTED_VALUE"""),9.853E13)</f>
        <v>98530000000000</v>
      </c>
      <c r="FV20" s="1486">
        <f>IFERROR(__xludf.DUMMYFUNCTION("""COMPUTED_VALUE"""),57.21700231481481)</f>
        <v>57.21700231</v>
      </c>
      <c r="FW20" s="1488">
        <f>IFERROR(__xludf.DUMMYFUNCTION("""COMPUTED_VALUE"""),9.853E13)</f>
        <v>98530000000000</v>
      </c>
      <c r="FX20" s="1491">
        <f>IFERROR(__xludf.DUMMYFUNCTION("""COMPUTED_VALUE"""),21.337511574074075)</f>
        <v>21.33751157</v>
      </c>
      <c r="FY20" s="1492">
        <f>IFERROR(__xludf.DUMMYFUNCTION("""COMPUTED_VALUE"""),9.8526E11)</f>
        <v>985260000000</v>
      </c>
      <c r="FZ20" s="1491">
        <f>IFERROR(__xludf.DUMMYFUNCTION("""COMPUTED_VALUE"""),57.21700231481481)</f>
        <v>57.21700231</v>
      </c>
      <c r="GA20" s="1492">
        <f>IFERROR(__xludf.DUMMYFUNCTION("""COMPUTED_VALUE"""),9.8526E13)</f>
        <v>98526000000000</v>
      </c>
      <c r="GB20" s="1527"/>
      <c r="GC20" s="1527"/>
      <c r="GD20" s="1527"/>
      <c r="GE20" s="1560"/>
      <c r="GF20" s="1518"/>
      <c r="GG20" s="1519"/>
      <c r="GH20" s="1494">
        <f>IFERROR(__xludf.DUMMYFUNCTION("""COMPUTED_VALUE"""),22.355555555555554)</f>
        <v>22.35555556</v>
      </c>
      <c r="GI20" s="1495">
        <f>IFERROR(__xludf.DUMMYFUNCTION("""COMPUTED_VALUE"""),1.421E10)</f>
        <v>14210000000</v>
      </c>
      <c r="GJ20" s="1518"/>
      <c r="GK20" s="1519"/>
      <c r="GL20" s="1518"/>
      <c r="GM20" s="1519"/>
      <c r="GN20" s="1520"/>
      <c r="GO20" s="1519"/>
      <c r="GP20" s="1496">
        <f>IFERROR(__xludf.DUMMYFUNCTION("""COMPUTED_VALUE"""),22.522222222222222)</f>
        <v>22.52222222</v>
      </c>
      <c r="GQ20" s="1497">
        <f>IFERROR(__xludf.DUMMYFUNCTION("""COMPUTED_VALUE"""),2.5596E11)</f>
        <v>255960000000</v>
      </c>
      <c r="GR20" s="1518"/>
      <c r="GS20" s="1519"/>
      <c r="GT20" s="1518"/>
      <c r="GU20" s="1519"/>
      <c r="GV20" s="1520"/>
      <c r="GW20" s="1519"/>
      <c r="GX20" s="1561"/>
      <c r="GY20" s="1527"/>
      <c r="GZ20" s="1518"/>
      <c r="HA20" s="1519"/>
      <c r="HB20" s="1501">
        <f>IFERROR(__xludf.DUMMYFUNCTION("""COMPUTED_VALUE"""),18.841666666666665)</f>
        <v>18.84166667</v>
      </c>
      <c r="HC20" s="1502">
        <f>IFERROR(__xludf.DUMMYFUNCTION("""COMPUTED_VALUE"""),2.84E10)</f>
        <v>28400000000</v>
      </c>
      <c r="HD20" s="1518"/>
      <c r="HE20" s="1519"/>
      <c r="HF20" s="1501">
        <f>IFERROR(__xludf.DUMMYFUNCTION("""COMPUTED_VALUE"""),19.235416666666666)</f>
        <v>19.23541667</v>
      </c>
      <c r="HG20" s="1502">
        <f>IFERROR(__xludf.DUMMYFUNCTION("""COMPUTED_VALUE"""),4.26E10)</f>
        <v>42600000000</v>
      </c>
      <c r="HH20" s="1518"/>
      <c r="HI20" s="1519"/>
      <c r="HJ20" s="1518"/>
      <c r="HK20" s="1519"/>
      <c r="HL20" s="1518"/>
      <c r="HM20" s="1519"/>
      <c r="HN20" s="1520"/>
      <c r="HO20" s="1519"/>
      <c r="HP20" s="1501">
        <f>IFERROR(__xludf.DUMMYFUNCTION("""COMPUTED_VALUE"""),78.74365740740741)</f>
        <v>78.74365741</v>
      </c>
      <c r="HQ20" s="1503">
        <f>IFERROR(__xludf.DUMMYFUNCTION("""COMPUTED_VALUE"""),1.033E10)</f>
        <v>10330000000</v>
      </c>
      <c r="HR20" s="1522">
        <f>IFERROR(__xludf.DUMMYFUNCTION("""COMPUTED_VALUE"""),29.309722222222224)</f>
        <v>29.30972222</v>
      </c>
      <c r="HS20" s="1523">
        <f>IFERROR(__xludf.DUMMYFUNCTION("""COMPUTED_VALUE"""),7.153E10)</f>
        <v>71530000000</v>
      </c>
      <c r="HT20" s="1522">
        <f>IFERROR(__xludf.DUMMYFUNCTION("""COMPUTED_VALUE"""),29.309722222222224)</f>
        <v>29.30972222</v>
      </c>
      <c r="HU20" s="1523">
        <f>IFERROR(__xludf.DUMMYFUNCTION("""COMPUTED_VALUE"""),7.153E10)</f>
        <v>71530000000</v>
      </c>
      <c r="HV20" s="1522">
        <f>IFERROR(__xludf.DUMMYFUNCTION("""COMPUTED_VALUE"""),29.309722222222224)</f>
        <v>29.30972222</v>
      </c>
      <c r="HW20" s="1523">
        <f>IFERROR(__xludf.DUMMYFUNCTION("""COMPUTED_VALUE"""),7.153E10)</f>
        <v>71530000000</v>
      </c>
      <c r="HX20" s="1524">
        <f>IFERROR(__xludf.DUMMYFUNCTION("""COMPUTED_VALUE"""),29.309722222222224)</f>
        <v>29.30972222</v>
      </c>
      <c r="HY20" s="1523">
        <f>IFERROR(__xludf.DUMMYFUNCTION("""COMPUTED_VALUE"""),7.153E10)</f>
        <v>71530000000</v>
      </c>
      <c r="HZ20" s="1518"/>
      <c r="IA20" s="1519"/>
      <c r="IB20" s="1524">
        <f>IFERROR(__xludf.DUMMYFUNCTION("""COMPUTED_VALUE"""),89.67715277777778)</f>
        <v>89.67715278</v>
      </c>
      <c r="IC20" s="1523">
        <f>IFERROR(__xludf.DUMMYFUNCTION("""COMPUTED_VALUE"""),9.853E13)</f>
        <v>98530000000000</v>
      </c>
      <c r="ID20" s="1524">
        <f>IFERROR(__xludf.DUMMYFUNCTION("""COMPUTED_VALUE"""),89.67715277777778)</f>
        <v>89.67715278</v>
      </c>
      <c r="IE20" s="1523">
        <f>IFERROR(__xludf.DUMMYFUNCTION("""COMPUTED_VALUE"""),9.853E13)</f>
        <v>98530000000000</v>
      </c>
      <c r="IF20" s="1524">
        <f>IFERROR(__xludf.DUMMYFUNCTION("""COMPUTED_VALUE"""),89.67715277777778)</f>
        <v>89.67715278</v>
      </c>
      <c r="IG20" s="1523">
        <f>IFERROR(__xludf.DUMMYFUNCTION("""COMPUTED_VALUE"""),9.853E13)</f>
        <v>98530000000000</v>
      </c>
      <c r="IH20" s="1507">
        <f>IFERROR(__xludf.DUMMYFUNCTION("""COMPUTED_VALUE"""),30.004166666666666)</f>
        <v>30.00416667</v>
      </c>
      <c r="II20" s="1508">
        <f>IFERROR(__xludf.DUMMYFUNCTION("""COMPUTED_VALUE"""),5.9696E11)</f>
        <v>596960000000</v>
      </c>
      <c r="IJ20" s="1507">
        <f>IFERROR(__xludf.DUMMYFUNCTION("""COMPUTED_VALUE"""),30.004166666666666)</f>
        <v>30.00416667</v>
      </c>
      <c r="IK20" s="1508">
        <f>IFERROR(__xludf.DUMMYFUNCTION("""COMPUTED_VALUE"""),5.9696E11)</f>
        <v>596960000000</v>
      </c>
      <c r="IL20" s="1507">
        <f>IFERROR(__xludf.DUMMYFUNCTION("""COMPUTED_VALUE"""),30.004166666666666)</f>
        <v>30.00416667</v>
      </c>
      <c r="IM20" s="1508">
        <f>IFERROR(__xludf.DUMMYFUNCTION("""COMPUTED_VALUE"""),7.7696E11)</f>
        <v>776960000000</v>
      </c>
      <c r="IN20" s="1507">
        <f>IFERROR(__xludf.DUMMYFUNCTION("""COMPUTED_VALUE"""),30.004166666666666)</f>
        <v>30.00416667</v>
      </c>
      <c r="IO20" s="1508">
        <f>IFERROR(__xludf.DUMMYFUNCTION("""COMPUTED_VALUE"""),7.7696E11)</f>
        <v>776960000000</v>
      </c>
      <c r="IP20" s="1507">
        <f>IFERROR(__xludf.DUMMYFUNCTION("""COMPUTED_VALUE"""),30.46736111111111)</f>
        <v>30.46736111</v>
      </c>
      <c r="IQ20" s="1508">
        <f>IFERROR(__xludf.DUMMYFUNCTION("""COMPUTED_VALUE"""),1.32E12)</f>
        <v>1320000000000</v>
      </c>
      <c r="IR20" s="1507">
        <f>IFERROR(__xludf.DUMMYFUNCTION("""COMPUTED_VALUE"""),30.004166666666666)</f>
        <v>30.00416667</v>
      </c>
      <c r="IS20" s="1508">
        <f>IFERROR(__xludf.DUMMYFUNCTION("""COMPUTED_VALUE"""),7.7696E11)</f>
        <v>776960000000</v>
      </c>
      <c r="IT20" s="1507">
        <f>IFERROR(__xludf.DUMMYFUNCTION("""COMPUTED_VALUE"""),30.004166666666666)</f>
        <v>30.00416667</v>
      </c>
      <c r="IU20" s="1508">
        <f>IFERROR(__xludf.DUMMYFUNCTION("""COMPUTED_VALUE"""),7.7696E11)</f>
        <v>776960000000</v>
      </c>
      <c r="IV20" s="1507">
        <f>IFERROR(__xludf.DUMMYFUNCTION("""COMPUTED_VALUE"""),30.004166666666666)</f>
        <v>30.00416667</v>
      </c>
      <c r="IW20" s="1508">
        <f>IFERROR(__xludf.DUMMYFUNCTION("""COMPUTED_VALUE"""),7.7696E11)</f>
        <v>776960000000</v>
      </c>
      <c r="IX20" s="1507">
        <f>IFERROR(__xludf.DUMMYFUNCTION("""COMPUTED_VALUE"""),30.004166666666666)</f>
        <v>30.00416667</v>
      </c>
      <c r="IY20" s="1508">
        <f>IFERROR(__xludf.DUMMYFUNCTION("""COMPUTED_VALUE"""),7.7696E11)</f>
        <v>776960000000</v>
      </c>
      <c r="IZ20" s="1507">
        <f>IFERROR(__xludf.DUMMYFUNCTION("""COMPUTED_VALUE"""),30.004166666666666)</f>
        <v>30.00416667</v>
      </c>
      <c r="JA20" s="1508">
        <f>IFERROR(__xludf.DUMMYFUNCTION("""COMPUTED_VALUE"""),9.5696E11)</f>
        <v>956960000000</v>
      </c>
      <c r="JB20" s="1507">
        <f>IFERROR(__xludf.DUMMYFUNCTION("""COMPUTED_VALUE"""),30.004166666666666)</f>
        <v>30.00416667</v>
      </c>
      <c r="JC20" s="1508">
        <f>IFERROR(__xludf.DUMMYFUNCTION("""COMPUTED_VALUE"""),9.5696E11)</f>
        <v>956960000000</v>
      </c>
      <c r="JD20" s="1507">
        <f>IFERROR(__xludf.DUMMYFUNCTION("""COMPUTED_VALUE"""),30.004166666666666)</f>
        <v>30.00416667</v>
      </c>
      <c r="JE20" s="1508">
        <f>IFERROR(__xludf.DUMMYFUNCTION("""COMPUTED_VALUE"""),9.5696E11)</f>
        <v>956960000000</v>
      </c>
      <c r="JF20" s="1507">
        <f>IFERROR(__xludf.DUMMYFUNCTION("""COMPUTED_VALUE"""),30.004166666666666)</f>
        <v>30.00416667</v>
      </c>
      <c r="JG20" s="1508">
        <f>IFERROR(__xludf.DUMMYFUNCTION("""COMPUTED_VALUE"""),9.5696E11)</f>
        <v>956960000000</v>
      </c>
      <c r="JH20" s="1507">
        <f>IFERROR(__xludf.DUMMYFUNCTION("""COMPUTED_VALUE"""),30.46736111111111)</f>
        <v>30.46736111</v>
      </c>
      <c r="JI20" s="1508">
        <f>IFERROR(__xludf.DUMMYFUNCTION("""COMPUTED_VALUE"""),1.51E12)</f>
        <v>1510000000000</v>
      </c>
      <c r="JJ20" s="1507">
        <f>IFERROR(__xludf.DUMMYFUNCTION("""COMPUTED_VALUE"""),194.39097222222222)</f>
        <v>194.3909722</v>
      </c>
      <c r="JK20" s="1509">
        <f>IFERROR(__xludf.DUMMYFUNCTION("""COMPUTED_VALUE"""),4.5E18)</f>
        <v>4.5E+18</v>
      </c>
      <c r="JL20" s="1507">
        <f>IFERROR(__xludf.DUMMYFUNCTION("""COMPUTED_VALUE"""),194.39097222222222)</f>
        <v>194.3909722</v>
      </c>
      <c r="JM20" s="1509">
        <f>IFERROR(__xludf.DUMMYFUNCTION("""COMPUTED_VALUE"""),4.5E18)</f>
        <v>4.5E+18</v>
      </c>
      <c r="JN20" s="1507">
        <f>IFERROR(__xludf.DUMMYFUNCTION("""COMPUTED_VALUE"""),194.39097222222222)</f>
        <v>194.3909722</v>
      </c>
      <c r="JO20" s="1509">
        <f>IFERROR(__xludf.DUMMYFUNCTION("""COMPUTED_VALUE"""),4.5E18)</f>
        <v>4.5E+18</v>
      </c>
      <c r="JP20" s="1507">
        <f>IFERROR(__xludf.DUMMYFUNCTION("""COMPUTED_VALUE"""),194.39097222222222)</f>
        <v>194.3909722</v>
      </c>
      <c r="JQ20" s="1509">
        <f>IFERROR(__xludf.DUMMYFUNCTION("""COMPUTED_VALUE"""),4.5E18)</f>
        <v>4.5E+18</v>
      </c>
      <c r="JR20" s="1507">
        <f>IFERROR(__xludf.DUMMYFUNCTION("""COMPUTED_VALUE"""),194.39097222222222)</f>
        <v>194.3909722</v>
      </c>
      <c r="JS20" s="1509">
        <f>IFERROR(__xludf.DUMMYFUNCTION("""COMPUTED_VALUE"""),4.5E18)</f>
        <v>4.5E+18</v>
      </c>
      <c r="JT20" s="1507">
        <f>IFERROR(__xludf.DUMMYFUNCTION("""COMPUTED_VALUE"""),194.39097222222222)</f>
        <v>194.3909722</v>
      </c>
      <c r="JU20" s="1509">
        <f>IFERROR(__xludf.DUMMYFUNCTION("""COMPUTED_VALUE"""),4.5E18)</f>
        <v>4.5E+18</v>
      </c>
      <c r="JV20" s="1507">
        <f>IFERROR(__xludf.DUMMYFUNCTION("""COMPUTED_VALUE"""),48.59722222222222)</f>
        <v>48.59722222</v>
      </c>
      <c r="JW20" s="1509">
        <f>IFERROR(__xludf.DUMMYFUNCTION("""COMPUTED_VALUE"""),3.049134673E14)</f>
        <v>304913467300000</v>
      </c>
      <c r="JX20" s="1562"/>
      <c r="JY20" s="1560"/>
      <c r="JZ20" s="1510">
        <f>IFERROR(__xludf.DUMMYFUNCTION("""COMPUTED_VALUE"""),2.155532407)</f>
        <v>2.155532407</v>
      </c>
      <c r="KA20" s="1514">
        <f>IFERROR(__xludf.DUMMYFUNCTION("""COMPUTED_VALUE"""),4.2E9)</f>
        <v>4200000000</v>
      </c>
      <c r="KB20" s="1510">
        <f>IFERROR(__xludf.DUMMYFUNCTION("""COMPUTED_VALUE"""),2.706377315)</f>
        <v>2.706377315</v>
      </c>
      <c r="KC20" s="1514">
        <f>IFERROR(__xludf.DUMMYFUNCTION("""COMPUTED_VALUE"""),1.474E10)</f>
        <v>14740000000</v>
      </c>
      <c r="KD20" s="1510">
        <f>IFERROR(__xludf.DUMMYFUNCTION("""COMPUTED_VALUE"""),10.41833333)</f>
        <v>10.41833333</v>
      </c>
      <c r="KE20" s="1514">
        <f>IFERROR(__xludf.DUMMYFUNCTION("""COMPUTED_VALUE"""),8.7118E11)</f>
        <v>871180000000</v>
      </c>
      <c r="KF20" s="1510">
        <f>IFERROR(__xludf.DUMMYFUNCTION("""COMPUTED_VALUE"""),10.41833333)</f>
        <v>10.41833333</v>
      </c>
      <c r="KG20" s="1514">
        <f>IFERROR(__xludf.DUMMYFUNCTION("""COMPUTED_VALUE"""),8.7118E11)</f>
        <v>871180000000</v>
      </c>
      <c r="KH20" s="1562"/>
      <c r="KI20" s="1560"/>
      <c r="KJ20" s="1527"/>
      <c r="KK20" s="1527"/>
      <c r="KL20" s="1527"/>
      <c r="KM20" s="1527"/>
      <c r="KN20" s="1527"/>
      <c r="KO20" s="1527"/>
      <c r="KP20" s="1527"/>
      <c r="KQ20" s="1527"/>
      <c r="KR20" s="1527"/>
      <c r="KS20" s="1527"/>
      <c r="KT20" s="1527"/>
      <c r="KU20" s="1527"/>
      <c r="KV20" s="1525">
        <f>IFERROR(__xludf.DUMMYFUNCTION("""COMPUTED_VALUE"""),194.39097222222222)</f>
        <v>194.3909722</v>
      </c>
      <c r="KW20" s="1526">
        <f>IFERROR(__xludf.DUMMYFUNCTION("""COMPUTED_VALUE"""),4.5E18)</f>
        <v>4.5E+18</v>
      </c>
      <c r="KX20" s="1525">
        <f>IFERROR(__xludf.DUMMYFUNCTION("""COMPUTED_VALUE"""),194.39097222222222)</f>
        <v>194.3909722</v>
      </c>
      <c r="KY20" s="1526">
        <f>IFERROR(__xludf.DUMMYFUNCTION("""COMPUTED_VALUE"""),4.5E18)</f>
        <v>4.5E+18</v>
      </c>
      <c r="KZ20" s="1525">
        <f>IFERROR(__xludf.DUMMYFUNCTION("""COMPUTED_VALUE"""),194.39097222222222)</f>
        <v>194.3909722</v>
      </c>
      <c r="LA20" s="1526">
        <f>IFERROR(__xludf.DUMMYFUNCTION("""COMPUTED_VALUE"""),4.5E18)</f>
        <v>4.5E+18</v>
      </c>
      <c r="LB20" s="1525">
        <f>IFERROR(__xludf.DUMMYFUNCTION("""COMPUTED_VALUE"""),194.39097222222222)</f>
        <v>194.3909722</v>
      </c>
      <c r="LC20" s="1526">
        <f>IFERROR(__xludf.DUMMYFUNCTION("""COMPUTED_VALUE"""),4.5E18)</f>
        <v>4.5E+18</v>
      </c>
      <c r="LD20" s="1525">
        <f>IFERROR(__xludf.DUMMYFUNCTION("""COMPUTED_VALUE"""),194.39097222222222)</f>
        <v>194.3909722</v>
      </c>
      <c r="LE20" s="1526">
        <f>IFERROR(__xludf.DUMMYFUNCTION("""COMPUTED_VALUE"""),4.5E18)</f>
        <v>4.5E+18</v>
      </c>
      <c r="LF20" s="1525">
        <f>IFERROR(__xludf.DUMMYFUNCTION("""COMPUTED_VALUE"""),194.39097222222222)</f>
        <v>194.3909722</v>
      </c>
      <c r="LG20" s="1526">
        <f>IFERROR(__xludf.DUMMYFUNCTION("""COMPUTED_VALUE"""),4.5E18)</f>
        <v>4.5E+18</v>
      </c>
      <c r="LH20" s="1525">
        <f>IFERROR(__xludf.DUMMYFUNCTION("""COMPUTED_VALUE"""),194.39097222222222)</f>
        <v>194.3909722</v>
      </c>
      <c r="LI20" s="1526">
        <f>IFERROR(__xludf.DUMMYFUNCTION("""COMPUTED_VALUE"""),4.5E18)</f>
        <v>4.5E+18</v>
      </c>
      <c r="LJ20" s="1525">
        <f>IFERROR(__xludf.DUMMYFUNCTION("""COMPUTED_VALUE"""),194.39097222222222)</f>
        <v>194.3909722</v>
      </c>
      <c r="LK20" s="1526">
        <f>IFERROR(__xludf.DUMMYFUNCTION("""COMPUTED_VALUE"""),4.5E18)</f>
        <v>4.5E+18</v>
      </c>
      <c r="LL20" s="1527"/>
      <c r="LM20" s="1527"/>
      <c r="LN20" s="1516">
        <f>IFERROR(__xludf.DUMMYFUNCTION("""COMPUTED_VALUE"""),242.98888888888888)</f>
        <v>242.9888889</v>
      </c>
      <c r="LO20" s="1495">
        <f>IFERROR(__xludf.DUMMYFUNCTION("""COMPUTED_VALUE"""),3.600000000000001E18)</f>
        <v>3.6E+18</v>
      </c>
      <c r="LP20" s="1516">
        <f>IFERROR(__xludf.DUMMYFUNCTION("""COMPUTED_VALUE"""),242.98888888888888)</f>
        <v>242.9888889</v>
      </c>
      <c r="LQ20" s="1495">
        <f>IFERROR(__xludf.DUMMYFUNCTION("""COMPUTED_VALUE"""),3.600000000000001E18)</f>
        <v>3.6E+18</v>
      </c>
      <c r="LR20" s="1516">
        <f>IFERROR(__xludf.DUMMYFUNCTION("""COMPUTED_VALUE"""),242.98888888888888)</f>
        <v>242.9888889</v>
      </c>
      <c r="LS20" s="1495">
        <f>IFERROR(__xludf.DUMMYFUNCTION("""COMPUTED_VALUE"""),3.600000000000001E18)</f>
        <v>3.6E+18</v>
      </c>
      <c r="LT20" s="1516">
        <f>IFERROR(__xludf.DUMMYFUNCTION("""COMPUTED_VALUE"""),242.98888888888888)</f>
        <v>242.9888889</v>
      </c>
      <c r="LU20" s="1495">
        <f>IFERROR(__xludf.DUMMYFUNCTION("""COMPUTED_VALUE"""),3.600000000000001E18)</f>
        <v>3.6E+18</v>
      </c>
      <c r="LV20" s="1516">
        <f>IFERROR(__xludf.DUMMYFUNCTION("""COMPUTED_VALUE"""),242.98888888888888)</f>
        <v>242.9888889</v>
      </c>
      <c r="LW20" s="1495">
        <f>IFERROR(__xludf.DUMMYFUNCTION("""COMPUTED_VALUE"""),3.600000000000001E18)</f>
        <v>3.6E+18</v>
      </c>
      <c r="LX20" s="1516">
        <f>IFERROR(__xludf.DUMMYFUNCTION("""COMPUTED_VALUE"""),291.58680555555554)</f>
        <v>291.5868056</v>
      </c>
      <c r="LY20" s="1517">
        <f>IFERROR(__xludf.DUMMYFUNCTION("""COMPUTED_VALUE"""),9.0E18)</f>
        <v>9E+18</v>
      </c>
      <c r="LZ20" s="1516">
        <f>IFERROR(__xludf.DUMMYFUNCTION("""COMPUTED_VALUE"""),291.58680555555554)</f>
        <v>291.5868056</v>
      </c>
      <c r="MA20" s="1517">
        <f>IFERROR(__xludf.DUMMYFUNCTION("""COMPUTED_VALUE"""),9.0E18)</f>
        <v>9E+18</v>
      </c>
      <c r="MB20" s="1516">
        <f>IFERROR(__xludf.DUMMYFUNCTION("""COMPUTED_VALUE"""),291.58680555555554)</f>
        <v>291.5868056</v>
      </c>
      <c r="MC20" s="1517">
        <f>IFERROR(__xludf.DUMMYFUNCTION("""COMPUTED_VALUE"""),9.0E18)</f>
        <v>9E+18</v>
      </c>
      <c r="MD20" s="1516">
        <f>IFERROR(__xludf.DUMMYFUNCTION("""COMPUTED_VALUE"""),291.58680555555554)</f>
        <v>291.5868056</v>
      </c>
      <c r="ME20" s="1517">
        <f>IFERROR(__xludf.DUMMYFUNCTION("""COMPUTED_VALUE"""),9.0E18)</f>
        <v>9E+18</v>
      </c>
      <c r="MF20" s="1527"/>
      <c r="MG20" s="1527"/>
      <c r="MH20" s="1527"/>
      <c r="MI20" s="1527"/>
      <c r="MJ20" s="1527"/>
      <c r="MK20" s="1527"/>
      <c r="ML20" s="1527"/>
      <c r="MM20" s="1527"/>
      <c r="MN20" s="1527"/>
      <c r="MO20" s="1527"/>
      <c r="MP20" s="1527"/>
      <c r="MQ20" s="1527"/>
      <c r="MR20" s="1527"/>
      <c r="MS20" s="1527"/>
      <c r="MT20" s="1527"/>
      <c r="MU20" s="1527"/>
      <c r="MV20" s="1527"/>
      <c r="MW20" s="1527"/>
      <c r="MX20" s="1527"/>
      <c r="MY20" s="1527"/>
    </row>
    <row r="21">
      <c r="A21" s="1465">
        <f>IFERROR(__xludf.DUMMYFUNCTION("""COMPUTED_VALUE"""),19.0)</f>
        <v>19</v>
      </c>
      <c r="B21" s="1518"/>
      <c r="C21" s="1519"/>
      <c r="D21" s="1466">
        <f>IFERROR(__xludf.DUMMYFUNCTION("""COMPUTED_VALUE"""),0.8965277777777778)</f>
        <v>0.8965277778</v>
      </c>
      <c r="E21" s="1467">
        <f>IFERROR(__xludf.DUMMYFUNCTION("""COMPUTED_VALUE"""),40160.0)</f>
        <v>40160</v>
      </c>
      <c r="F21" s="1466">
        <f>IFERROR(__xludf.DUMMYFUNCTION("""COMPUTED_VALUE"""),0.8965277777777778)</f>
        <v>0.8965277778</v>
      </c>
      <c r="G21" s="1468">
        <f>IFERROR(__xludf.DUMMYFUNCTION("""COMPUTED_VALUE"""),40160.0)</f>
        <v>40160</v>
      </c>
      <c r="H21" s="1466">
        <f>IFERROR(__xludf.DUMMYFUNCTION("""COMPUTED_VALUE"""),0.8965277777777778)</f>
        <v>0.8965277778</v>
      </c>
      <c r="I21" s="1467">
        <f>IFERROR(__xludf.DUMMYFUNCTION("""COMPUTED_VALUE"""),40160.0)</f>
        <v>40160</v>
      </c>
      <c r="J21" s="1466">
        <f>IFERROR(__xludf.DUMMYFUNCTION("""COMPUTED_VALUE"""),0.8965277777777778)</f>
        <v>0.8965277778</v>
      </c>
      <c r="K21" s="1467">
        <f>IFERROR(__xludf.DUMMYFUNCTION("""COMPUTED_VALUE"""),40160.0)</f>
        <v>40160</v>
      </c>
      <c r="L21" s="1466">
        <f>IFERROR(__xludf.DUMMYFUNCTION("""COMPUTED_VALUE"""),1.3979166666666667)</f>
        <v>1.397916667</v>
      </c>
      <c r="M21" s="1469">
        <f>IFERROR(__xludf.DUMMYFUNCTION("""COMPUTED_VALUE"""),96310.0)</f>
        <v>96310</v>
      </c>
      <c r="N21" s="1470">
        <f>IFERROR(__xludf.DUMMYFUNCTION("""COMPUTED_VALUE"""),1.0229166666666667)</f>
        <v>1.022916667</v>
      </c>
      <c r="O21" s="1467">
        <f>IFERROR(__xludf.DUMMYFUNCTION("""COMPUTED_VALUE"""),101810.0)</f>
        <v>101810</v>
      </c>
      <c r="P21" s="1518"/>
      <c r="Q21" s="1519"/>
      <c r="R21" s="1518"/>
      <c r="S21" s="1519"/>
      <c r="T21" s="1518"/>
      <c r="U21" s="1519"/>
      <c r="V21" s="1518"/>
      <c r="W21" s="1519"/>
      <c r="X21" s="1518"/>
      <c r="Y21" s="1519"/>
      <c r="Z21" s="1518"/>
      <c r="AA21" s="1519"/>
      <c r="AB21" s="1518"/>
      <c r="AC21" s="1519"/>
      <c r="AD21" s="1466">
        <f>IFERROR(__xludf.DUMMYFUNCTION("""COMPUTED_VALUE"""),20.51875)</f>
        <v>20.51875</v>
      </c>
      <c r="AE21" s="1474">
        <f>IFERROR(__xludf.DUMMYFUNCTION("""COMPUTED_VALUE"""),1.12455407E11)</f>
        <v>112455407000</v>
      </c>
      <c r="AF21" s="1466">
        <f>IFERROR(__xludf.DUMMYFUNCTION("""COMPUTED_VALUE"""),20.51875)</f>
        <v>20.51875</v>
      </c>
      <c r="AG21" s="1474">
        <f>IFERROR(__xludf.DUMMYFUNCTION("""COMPUTED_VALUE"""),1.12455407E11)</f>
        <v>112455407000</v>
      </c>
      <c r="AH21" s="1466">
        <f>IFERROR(__xludf.DUMMYFUNCTION("""COMPUTED_VALUE"""),20.51875)</f>
        <v>20.51875</v>
      </c>
      <c r="AI21" s="1474">
        <f>IFERROR(__xludf.DUMMYFUNCTION("""COMPUTED_VALUE"""),1.12455407E11)</f>
        <v>112455407000</v>
      </c>
      <c r="AJ21" s="1475">
        <f>IFERROR(__xludf.DUMMYFUNCTION("""COMPUTED_VALUE"""),0.8965277777777778)</f>
        <v>0.8965277778</v>
      </c>
      <c r="AK21" s="1476">
        <f>IFERROR(__xludf.DUMMYFUNCTION("""COMPUTED_VALUE"""),40160.0)</f>
        <v>40160</v>
      </c>
      <c r="AL21" s="1475">
        <f>IFERROR(__xludf.DUMMYFUNCTION("""COMPUTED_VALUE"""),0.8965277777777778)</f>
        <v>0.8965277778</v>
      </c>
      <c r="AM21" s="1476">
        <f>IFERROR(__xludf.DUMMYFUNCTION("""COMPUTED_VALUE"""),40160.0)</f>
        <v>40160</v>
      </c>
      <c r="AN21" s="1475">
        <f>IFERROR(__xludf.DUMMYFUNCTION("""COMPUTED_VALUE"""),0.8965277777777778)</f>
        <v>0.8965277778</v>
      </c>
      <c r="AO21" s="1476">
        <f>IFERROR(__xludf.DUMMYFUNCTION("""COMPUTED_VALUE"""),40160.0)</f>
        <v>40160</v>
      </c>
      <c r="AP21" s="1475">
        <f>IFERROR(__xludf.DUMMYFUNCTION("""COMPUTED_VALUE"""),0.8965277777777778)</f>
        <v>0.8965277778</v>
      </c>
      <c r="AQ21" s="1476">
        <f>IFERROR(__xludf.DUMMYFUNCTION("""COMPUTED_VALUE"""),40160.0)</f>
        <v>40160</v>
      </c>
      <c r="AR21" s="1475">
        <f>IFERROR(__xludf.DUMMYFUNCTION("""COMPUTED_VALUE"""),0.8965277777777778)</f>
        <v>0.8965277778</v>
      </c>
      <c r="AS21" s="1476">
        <f>IFERROR(__xludf.DUMMYFUNCTION("""COMPUTED_VALUE"""),40170.0)</f>
        <v>40170</v>
      </c>
      <c r="AT21" s="1475">
        <f>IFERROR(__xludf.DUMMYFUNCTION("""COMPUTED_VALUE"""),163.18402777777777)</f>
        <v>163.1840278</v>
      </c>
      <c r="AU21" s="1476">
        <f>IFERROR(__xludf.DUMMYFUNCTION("""COMPUTED_VALUE"""),7.9773E8)</f>
        <v>797730000</v>
      </c>
      <c r="AV21" s="1475">
        <f>IFERROR(__xludf.DUMMYFUNCTION("""COMPUTED_VALUE"""),96.6236111111111)</f>
        <v>96.62361111</v>
      </c>
      <c r="AW21" s="1476">
        <f>IFERROR(__xludf.DUMMYFUNCTION("""COMPUTED_VALUE"""),7.9773E8)</f>
        <v>797730000</v>
      </c>
      <c r="AX21" s="1475">
        <f>IFERROR(__xludf.DUMMYFUNCTION("""COMPUTED_VALUE"""),14.356250000000001)</f>
        <v>14.35625</v>
      </c>
      <c r="AY21" s="1476">
        <f>IFERROR(__xludf.DUMMYFUNCTION("""COMPUTED_VALUE"""),9.4944E11)</f>
        <v>949440000000</v>
      </c>
      <c r="AZ21" s="1518"/>
      <c r="BA21" s="1518"/>
      <c r="BB21" s="1477">
        <f>IFERROR(__xludf.DUMMYFUNCTION("""COMPUTED_VALUE"""),0.8965277777777778)</f>
        <v>0.8965277778</v>
      </c>
      <c r="BC21" s="1478">
        <f>IFERROR(__xludf.DUMMYFUNCTION("""COMPUTED_VALUE"""),40160.0)</f>
        <v>40160</v>
      </c>
      <c r="BD21" s="1477">
        <f>IFERROR(__xludf.DUMMYFUNCTION("""COMPUTED_VALUE"""),0.8965277777777778)</f>
        <v>0.8965277778</v>
      </c>
      <c r="BE21" s="1478">
        <f>IFERROR(__xludf.DUMMYFUNCTION("""COMPUTED_VALUE"""),40160.0)</f>
        <v>40160</v>
      </c>
      <c r="BF21" s="1477">
        <f>IFERROR(__xludf.DUMMYFUNCTION("""COMPUTED_VALUE"""),0.8965277777777778)</f>
        <v>0.8965277778</v>
      </c>
      <c r="BG21" s="1478">
        <f>IFERROR(__xludf.DUMMYFUNCTION("""COMPUTED_VALUE"""),40160.0)</f>
        <v>40160</v>
      </c>
      <c r="BH21" s="1477">
        <f>IFERROR(__xludf.DUMMYFUNCTION("""COMPUTED_VALUE"""),11.911805555555556)</f>
        <v>11.91180556</v>
      </c>
      <c r="BI21" s="1478">
        <f>IFERROR(__xludf.DUMMYFUNCTION("""COMPUTED_VALUE"""),1.0501E8)</f>
        <v>105010000</v>
      </c>
      <c r="BJ21" s="1477">
        <f>IFERROR(__xludf.DUMMYFUNCTION("""COMPUTED_VALUE"""),16.319444444444443)</f>
        <v>16.31944444</v>
      </c>
      <c r="BK21" s="1478">
        <f>IFERROR(__xludf.DUMMYFUNCTION("""COMPUTED_VALUE"""),7.0085E8)</f>
        <v>700850000</v>
      </c>
      <c r="BL21" s="1477">
        <f>IFERROR(__xludf.DUMMYFUNCTION("""COMPUTED_VALUE"""),22.615277777777777)</f>
        <v>22.61527778</v>
      </c>
      <c r="BM21" s="1478">
        <f>IFERROR(__xludf.DUMMYFUNCTION("""COMPUTED_VALUE"""),2.5E9)</f>
        <v>2500000000</v>
      </c>
      <c r="BN21" s="1477">
        <f>IFERROR(__xludf.DUMMYFUNCTION("""COMPUTED_VALUE"""),22.615277777777777)</f>
        <v>22.61527778</v>
      </c>
      <c r="BO21" s="1478">
        <f>IFERROR(__xludf.DUMMYFUNCTION("""COMPUTED_VALUE"""),2.5E9)</f>
        <v>2500000000</v>
      </c>
      <c r="BP21" s="1477">
        <f>IFERROR(__xludf.DUMMYFUNCTION("""COMPUTED_VALUE"""),33.958333333333336)</f>
        <v>33.95833333</v>
      </c>
      <c r="BQ21" s="1478">
        <f>IFERROR(__xludf.DUMMYFUNCTION("""COMPUTED_VALUE"""),2.5E9)</f>
        <v>2500000000</v>
      </c>
      <c r="BR21" s="1520"/>
      <c r="BS21" s="1519"/>
      <c r="BT21" s="1479">
        <f>IFERROR(__xludf.DUMMYFUNCTION("""COMPUTED_VALUE"""),1.1069444444444443)</f>
        <v>1.106944444</v>
      </c>
      <c r="BU21" s="1480">
        <f>IFERROR(__xludf.DUMMYFUNCTION("""COMPUTED_VALUE"""),5.99E9)</f>
        <v>5990000000</v>
      </c>
      <c r="BV21" s="1479">
        <f>IFERROR(__xludf.DUMMYFUNCTION("""COMPUTED_VALUE"""),35.67638888888889)</f>
        <v>35.67638889</v>
      </c>
      <c r="BW21" s="1480">
        <f>IFERROR(__xludf.DUMMYFUNCTION("""COMPUTED_VALUE"""),2.336E10)</f>
        <v>23360000000</v>
      </c>
      <c r="BX21" s="1479">
        <f>IFERROR(__xludf.DUMMYFUNCTION("""COMPUTED_VALUE"""),60.07168981481482)</f>
        <v>60.07168981</v>
      </c>
      <c r="BY21" s="1480">
        <f>IFERROR(__xludf.DUMMYFUNCTION("""COMPUTED_VALUE"""),1.3818E11)</f>
        <v>138180000000</v>
      </c>
      <c r="BZ21" s="1479">
        <f>IFERROR(__xludf.DUMMYFUNCTION("""COMPUTED_VALUE"""),209.82847222222222)</f>
        <v>209.8284722</v>
      </c>
      <c r="CA21" s="1480">
        <f>IFERROR(__xludf.DUMMYFUNCTION("""COMPUTED_VALUE"""),1.9218E11)</f>
        <v>192180000000</v>
      </c>
      <c r="CB21" s="1520"/>
      <c r="CC21" s="1519"/>
      <c r="CD21" s="1477">
        <f>IFERROR(__xludf.DUMMYFUNCTION("""COMPUTED_VALUE"""),6.175081018518519)</f>
        <v>6.175081019</v>
      </c>
      <c r="CE21" s="1481">
        <f>IFERROR(__xludf.DUMMYFUNCTION("""COMPUTED_VALUE"""),5.9196E11)</f>
        <v>591960000000</v>
      </c>
      <c r="CF21" s="1527"/>
      <c r="CG21" s="1560"/>
      <c r="CH21" s="1482">
        <f>IFERROR(__xludf.DUMMYFUNCTION("""COMPUTED_VALUE"""),0.8965277777777778)</f>
        <v>0.8965277778</v>
      </c>
      <c r="CI21" s="1483">
        <f>IFERROR(__xludf.DUMMYFUNCTION("""COMPUTED_VALUE"""),40170.0)</f>
        <v>40170</v>
      </c>
      <c r="CJ21" s="1482">
        <f>IFERROR(__xludf.DUMMYFUNCTION("""COMPUTED_VALUE"""),0.8965277777777778)</f>
        <v>0.8965277778</v>
      </c>
      <c r="CK21" s="1483">
        <f>IFERROR(__xludf.DUMMYFUNCTION("""COMPUTED_VALUE"""),40170.0)</f>
        <v>40170</v>
      </c>
      <c r="CL21" s="1482">
        <f>IFERROR(__xludf.DUMMYFUNCTION("""COMPUTED_VALUE"""),0.8965277777777778)</f>
        <v>0.8965277778</v>
      </c>
      <c r="CM21" s="1483">
        <f>IFERROR(__xludf.DUMMYFUNCTION("""COMPUTED_VALUE"""),40170.0)</f>
        <v>40170</v>
      </c>
      <c r="CN21" s="1482">
        <f>IFERROR(__xludf.DUMMYFUNCTION("""COMPUTED_VALUE"""),0.8965277777777778)</f>
        <v>0.8965277778</v>
      </c>
      <c r="CO21" s="1483">
        <f>IFERROR(__xludf.DUMMYFUNCTION("""COMPUTED_VALUE"""),40170.0)</f>
        <v>40170</v>
      </c>
      <c r="CP21" s="1482">
        <f>IFERROR(__xludf.DUMMYFUNCTION("""COMPUTED_VALUE"""),1.5909722222222225)</f>
        <v>1.590972222</v>
      </c>
      <c r="CQ21" s="1483">
        <f>IFERROR(__xludf.DUMMYFUNCTION("""COMPUTED_VALUE"""),101820.0)</f>
        <v>101820</v>
      </c>
      <c r="CR21" s="1518"/>
      <c r="CS21" s="1519"/>
      <c r="CT21" s="1520"/>
      <c r="CU21" s="1519"/>
      <c r="CV21" s="1484">
        <f>IFERROR(__xludf.DUMMYFUNCTION("""COMPUTED_VALUE"""),35.329166666666666)</f>
        <v>35.32916667</v>
      </c>
      <c r="CW21" s="1485">
        <f>IFERROR(__xludf.DUMMYFUNCTION("""COMPUTED_VALUE"""),4.0445E11)</f>
        <v>404450000000</v>
      </c>
      <c r="CX21" s="1484">
        <f>IFERROR(__xludf.DUMMYFUNCTION("""COMPUTED_VALUE"""),35.329166666666666)</f>
        <v>35.32916667</v>
      </c>
      <c r="CY21" s="1485">
        <f>IFERROR(__xludf.DUMMYFUNCTION("""COMPUTED_VALUE"""),4.0445E11)</f>
        <v>404450000000</v>
      </c>
      <c r="CZ21" s="1484">
        <f>IFERROR(__xludf.DUMMYFUNCTION("""COMPUTED_VALUE"""),35.329166666666666)</f>
        <v>35.32916667</v>
      </c>
      <c r="DA21" s="1485">
        <f>IFERROR(__xludf.DUMMYFUNCTION("""COMPUTED_VALUE"""),4.0445E11)</f>
        <v>404450000000</v>
      </c>
      <c r="DB21" s="1484">
        <f>IFERROR(__xludf.DUMMYFUNCTION("""COMPUTED_VALUE"""),15.366666666666667)</f>
        <v>15.36666667</v>
      </c>
      <c r="DC21" s="1485">
        <f>IFERROR(__xludf.DUMMYFUNCTION("""COMPUTED_VALUE"""),1.2642E11)</f>
        <v>126420000000</v>
      </c>
      <c r="DD21" s="1484">
        <f>IFERROR(__xludf.DUMMYFUNCTION("""COMPUTED_VALUE"""),15.366666666666667)</f>
        <v>15.36666667</v>
      </c>
      <c r="DE21" s="1485">
        <f>IFERROR(__xludf.DUMMYFUNCTION("""COMPUTED_VALUE"""),1.2642E11)</f>
        <v>126420000000</v>
      </c>
      <c r="DF21" s="1486">
        <f>IFERROR(__xludf.DUMMYFUNCTION("""COMPUTED_VALUE"""),23.379166666666666)</f>
        <v>23.37916667</v>
      </c>
      <c r="DG21" s="1487">
        <f>IFERROR(__xludf.DUMMYFUNCTION("""COMPUTED_VALUE"""),2.5E9)</f>
        <v>2500000000</v>
      </c>
      <c r="DH21" s="1518"/>
      <c r="DI21" s="1519"/>
      <c r="DJ21" s="1486">
        <f>IFERROR(__xludf.DUMMYFUNCTION("""COMPUTED_VALUE"""),24.166666666666668)</f>
        <v>24.16666667</v>
      </c>
      <c r="DK21" s="1487">
        <f>IFERROR(__xludf.DUMMYFUNCTION("""COMPUTED_VALUE"""),2.5E9)</f>
        <v>2500000000</v>
      </c>
      <c r="DL21" s="1486">
        <f>IFERROR(__xludf.DUMMYFUNCTION("""COMPUTED_VALUE"""),23.379166666666666)</f>
        <v>23.37916667</v>
      </c>
      <c r="DM21" s="1487">
        <f>IFERROR(__xludf.DUMMYFUNCTION("""COMPUTED_VALUE"""),2.5E9)</f>
        <v>2500000000</v>
      </c>
      <c r="DN21" s="1518"/>
      <c r="DO21" s="1519"/>
      <c r="DP21" s="1486">
        <f>IFERROR(__xludf.DUMMYFUNCTION("""COMPUTED_VALUE"""),23.379166666666666)</f>
        <v>23.37916667</v>
      </c>
      <c r="DQ21" s="1487">
        <f>IFERROR(__xludf.DUMMYFUNCTION("""COMPUTED_VALUE"""),2.5E9)</f>
        <v>2500000000</v>
      </c>
      <c r="DR21" s="1486">
        <f>IFERROR(__xludf.DUMMYFUNCTION("""COMPUTED_VALUE"""),23.379166666666666)</f>
        <v>23.37916667</v>
      </c>
      <c r="DS21" s="1487">
        <f>IFERROR(__xludf.DUMMYFUNCTION("""COMPUTED_VALUE"""),2.5E9)</f>
        <v>2500000000</v>
      </c>
      <c r="DT21" s="1518"/>
      <c r="DU21" s="1519"/>
      <c r="DV21" s="1486">
        <f>IFERROR(__xludf.DUMMYFUNCTION("""COMPUTED_VALUE"""),23.379166666666666)</f>
        <v>23.37916667</v>
      </c>
      <c r="DW21" s="1487">
        <f>IFERROR(__xludf.DUMMYFUNCTION("""COMPUTED_VALUE"""),2.5E9)</f>
        <v>2500000000</v>
      </c>
      <c r="DX21" s="1486">
        <f>IFERROR(__xludf.DUMMYFUNCTION("""COMPUTED_VALUE"""),23.379166666666666)</f>
        <v>23.37916667</v>
      </c>
      <c r="DY21" s="1487">
        <f>IFERROR(__xludf.DUMMYFUNCTION("""COMPUTED_VALUE"""),2.5E9)</f>
        <v>2500000000</v>
      </c>
      <c r="DZ21" s="1486">
        <f>IFERROR(__xludf.DUMMYFUNCTION("""COMPUTED_VALUE"""),27.9625)</f>
        <v>27.9625</v>
      </c>
      <c r="EA21" s="1487">
        <f>IFERROR(__xludf.DUMMYFUNCTION("""COMPUTED_VALUE"""),6.88E9)</f>
        <v>6880000000</v>
      </c>
      <c r="EB21" s="1486">
        <f>IFERROR(__xludf.DUMMYFUNCTION("""COMPUTED_VALUE"""),27.9625)</f>
        <v>27.9625</v>
      </c>
      <c r="EC21" s="1487">
        <f>IFERROR(__xludf.DUMMYFUNCTION("""COMPUTED_VALUE"""),6.88E9)</f>
        <v>6880000000</v>
      </c>
      <c r="ED21" s="1518"/>
      <c r="EE21" s="1519"/>
      <c r="EF21" s="1486">
        <f>IFERROR(__xludf.DUMMYFUNCTION("""COMPUTED_VALUE"""),27.129166666666666)</f>
        <v>27.12916667</v>
      </c>
      <c r="EG21" s="1487">
        <f>IFERROR(__xludf.DUMMYFUNCTION("""COMPUTED_VALUE"""),6.88E9)</f>
        <v>6880000000</v>
      </c>
      <c r="EH21" s="1518"/>
      <c r="EI21" s="1519"/>
      <c r="EJ21" s="1486">
        <f>IFERROR(__xludf.DUMMYFUNCTION("""COMPUTED_VALUE"""),10.835902777777777)</f>
        <v>10.83590278</v>
      </c>
      <c r="EK21" s="1487">
        <f>IFERROR(__xludf.DUMMYFUNCTION("""COMPUTED_VALUE"""),5.5283E8)</f>
        <v>552830000</v>
      </c>
      <c r="EL21" s="1486">
        <f>IFERROR(__xludf.DUMMYFUNCTION("""COMPUTED_VALUE"""),27.129803240740742)</f>
        <v>27.12980324</v>
      </c>
      <c r="EM21" s="1487">
        <f>IFERROR(__xludf.DUMMYFUNCTION("""COMPUTED_VALUE"""),6.88E9)</f>
        <v>6880000000</v>
      </c>
      <c r="EN21" s="1486">
        <f>IFERROR(__xludf.DUMMYFUNCTION("""COMPUTED_VALUE"""),27.129166666666666)</f>
        <v>27.12916667</v>
      </c>
      <c r="EO21" s="1487">
        <f>IFERROR(__xludf.DUMMYFUNCTION("""COMPUTED_VALUE"""),6.88E9)</f>
        <v>6880000000</v>
      </c>
      <c r="EP21" s="1486">
        <f>IFERROR(__xludf.DUMMYFUNCTION("""COMPUTED_VALUE"""),27.129166666666666)</f>
        <v>27.12916667</v>
      </c>
      <c r="EQ21" s="1487">
        <f>IFERROR(__xludf.DUMMYFUNCTION("""COMPUTED_VALUE"""),6.88E9)</f>
        <v>6880000000</v>
      </c>
      <c r="ER21" s="1486">
        <f>IFERROR(__xludf.DUMMYFUNCTION("""COMPUTED_VALUE"""),27.129166666666666)</f>
        <v>27.12916667</v>
      </c>
      <c r="ES21" s="1487">
        <f>IFERROR(__xludf.DUMMYFUNCTION("""COMPUTED_VALUE"""),6.88E9)</f>
        <v>6880000000</v>
      </c>
      <c r="ET21" s="1486">
        <f>IFERROR(__xludf.DUMMYFUNCTION("""COMPUTED_VALUE"""),27.129166666666666)</f>
        <v>27.12916667</v>
      </c>
      <c r="EU21" s="1487">
        <f>IFERROR(__xludf.DUMMYFUNCTION("""COMPUTED_VALUE"""),6.88E9)</f>
        <v>6880000000</v>
      </c>
      <c r="EV21" s="1518"/>
      <c r="EW21" s="1519"/>
      <c r="EX21" s="1518"/>
      <c r="EY21" s="1519"/>
      <c r="EZ21" s="1518"/>
      <c r="FA21" s="1519"/>
      <c r="FB21" s="1520"/>
      <c r="FC21" s="1519"/>
      <c r="FD21" s="1520"/>
      <c r="FE21" s="1519"/>
      <c r="FF21" s="1486">
        <f>IFERROR(__xludf.DUMMYFUNCTION("""COMPUTED_VALUE"""),27.96216435185185)</f>
        <v>27.96216435</v>
      </c>
      <c r="FG21" s="1488">
        <f>IFERROR(__xludf.DUMMYFUNCTION("""COMPUTED_VALUE"""),1.893E10)</f>
        <v>18930000000</v>
      </c>
      <c r="FH21" s="1486">
        <f>IFERROR(__xludf.DUMMYFUNCTION("""COMPUTED_VALUE"""),27.96216435185185)</f>
        <v>27.96216435</v>
      </c>
      <c r="FI21" s="1488">
        <f>IFERROR(__xludf.DUMMYFUNCTION("""COMPUTED_VALUE"""),1.893E10)</f>
        <v>18930000000</v>
      </c>
      <c r="FJ21" s="1520"/>
      <c r="FK21" s="1519"/>
      <c r="FL21" s="1518"/>
      <c r="FM21" s="1519"/>
      <c r="FN21" s="1532"/>
      <c r="FO21" s="1520"/>
      <c r="FP21" s="1486">
        <f>IFERROR(__xludf.DUMMYFUNCTION("""COMPUTED_VALUE"""),64.08304398148148)</f>
        <v>64.08304398</v>
      </c>
      <c r="FQ21" s="1488">
        <f>IFERROR(__xludf.DUMMYFUNCTION("""COMPUTED_VALUE"""),1.4779E14)</f>
        <v>147790000000000</v>
      </c>
      <c r="FR21" s="1532"/>
      <c r="FS21" s="1520"/>
      <c r="FT21" s="1486">
        <f>IFERROR(__xludf.DUMMYFUNCTION("""COMPUTED_VALUE"""),64.08304398148148)</f>
        <v>64.08304398</v>
      </c>
      <c r="FU21" s="1488">
        <f>IFERROR(__xludf.DUMMYFUNCTION("""COMPUTED_VALUE"""),1.4779E14)</f>
        <v>147790000000000</v>
      </c>
      <c r="FV21" s="1486">
        <f>IFERROR(__xludf.DUMMYFUNCTION("""COMPUTED_VALUE"""),64.08304398148148)</f>
        <v>64.08304398</v>
      </c>
      <c r="FW21" s="1488">
        <f>IFERROR(__xludf.DUMMYFUNCTION("""COMPUTED_VALUE"""),1.4779E14)</f>
        <v>147790000000000</v>
      </c>
      <c r="FX21" s="1491">
        <f>IFERROR(__xludf.DUMMYFUNCTION("""COMPUTED_VALUE"""),24.76534722222222)</f>
        <v>24.76534722</v>
      </c>
      <c r="FY21" s="1492">
        <f>IFERROR(__xludf.DUMMYFUNCTION("""COMPUTED_VALUE"""),1.48E12)</f>
        <v>1480000000000</v>
      </c>
      <c r="FZ21" s="1491">
        <f>IFERROR(__xludf.DUMMYFUNCTION("""COMPUTED_VALUE"""),64.12471064814815)</f>
        <v>64.12471065</v>
      </c>
      <c r="GA21" s="1492">
        <f>IFERROR(__xludf.DUMMYFUNCTION("""COMPUTED_VALUE"""),1.4779E14)</f>
        <v>147790000000000</v>
      </c>
      <c r="GB21" s="1527"/>
      <c r="GC21" s="1527"/>
      <c r="GD21" s="1527"/>
      <c r="GE21" s="1560"/>
      <c r="GF21" s="1518"/>
      <c r="GG21" s="1519"/>
      <c r="GH21" s="1494">
        <f>IFERROR(__xludf.DUMMYFUNCTION("""COMPUTED_VALUE"""),26.3375)</f>
        <v>26.3375</v>
      </c>
      <c r="GI21" s="1495">
        <f>IFERROR(__xludf.DUMMYFUNCTION("""COMPUTED_VALUE"""),1.89E10)</f>
        <v>18900000000</v>
      </c>
      <c r="GJ21" s="1518"/>
      <c r="GK21" s="1519"/>
      <c r="GL21" s="1518"/>
      <c r="GM21" s="1519"/>
      <c r="GN21" s="1520"/>
      <c r="GO21" s="1519"/>
      <c r="GP21" s="1496">
        <f>IFERROR(__xludf.DUMMYFUNCTION("""COMPUTED_VALUE"""),26.504166666666666)</f>
        <v>26.50416667</v>
      </c>
      <c r="GQ21" s="1497">
        <f>IFERROR(__xludf.DUMMYFUNCTION("""COMPUTED_VALUE"""),3.1445E11)</f>
        <v>314450000000</v>
      </c>
      <c r="GR21" s="1518"/>
      <c r="GS21" s="1519"/>
      <c r="GT21" s="1518"/>
      <c r="GU21" s="1519"/>
      <c r="GV21" s="1520"/>
      <c r="GW21" s="1519"/>
      <c r="GX21" s="1561"/>
      <c r="GY21" s="1527"/>
      <c r="GZ21" s="1518"/>
      <c r="HA21" s="1519"/>
      <c r="HB21" s="1501">
        <f>IFERROR(__xludf.DUMMYFUNCTION("""COMPUTED_VALUE"""),22.615277777777777)</f>
        <v>22.61527778</v>
      </c>
      <c r="HC21" s="1502">
        <f>IFERROR(__xludf.DUMMYFUNCTION("""COMPUTED_VALUE"""),3.779E10)</f>
        <v>37790000000</v>
      </c>
      <c r="HD21" s="1518"/>
      <c r="HE21" s="1519"/>
      <c r="HF21" s="1501">
        <f>IFERROR(__xludf.DUMMYFUNCTION("""COMPUTED_VALUE"""),23.031944444444445)</f>
        <v>23.03194444</v>
      </c>
      <c r="HG21" s="1502">
        <f>IFERROR(__xludf.DUMMYFUNCTION("""COMPUTED_VALUE"""),5.669E10)</f>
        <v>56690000000</v>
      </c>
      <c r="HH21" s="1518"/>
      <c r="HI21" s="1519"/>
      <c r="HJ21" s="1518"/>
      <c r="HK21" s="1519"/>
      <c r="HL21" s="1518"/>
      <c r="HM21" s="1519"/>
      <c r="HN21" s="1520"/>
      <c r="HO21" s="1519"/>
      <c r="HP21" s="1501">
        <f>IFERROR(__xludf.DUMMYFUNCTION("""COMPUTED_VALUE"""),97.15971064814815)</f>
        <v>97.15971065</v>
      </c>
      <c r="HQ21" s="1503">
        <f>IFERROR(__xludf.DUMMYFUNCTION("""COMPUTED_VALUE"""),1.336E10)</f>
        <v>13360000000</v>
      </c>
      <c r="HR21" s="1522">
        <f>IFERROR(__xludf.DUMMYFUNCTION("""COMPUTED_VALUE"""),34.63472222222222)</f>
        <v>34.63472222</v>
      </c>
      <c r="HS21" s="1523">
        <f>IFERROR(__xludf.DUMMYFUNCTION("""COMPUTED_VALUE"""),9.505E10)</f>
        <v>95050000000</v>
      </c>
      <c r="HT21" s="1522">
        <f>IFERROR(__xludf.DUMMYFUNCTION("""COMPUTED_VALUE"""),34.63472222222222)</f>
        <v>34.63472222</v>
      </c>
      <c r="HU21" s="1523">
        <f>IFERROR(__xludf.DUMMYFUNCTION("""COMPUTED_VALUE"""),9.505E10)</f>
        <v>95050000000</v>
      </c>
      <c r="HV21" s="1522">
        <f>IFERROR(__xludf.DUMMYFUNCTION("""COMPUTED_VALUE"""),34.63472222222222)</f>
        <v>34.63472222</v>
      </c>
      <c r="HW21" s="1523">
        <f>IFERROR(__xludf.DUMMYFUNCTION("""COMPUTED_VALUE"""),9.505E10)</f>
        <v>95050000000</v>
      </c>
      <c r="HX21" s="1524">
        <f>IFERROR(__xludf.DUMMYFUNCTION("""COMPUTED_VALUE"""),34.63472222222222)</f>
        <v>34.63472222</v>
      </c>
      <c r="HY21" s="1523">
        <f>IFERROR(__xludf.DUMMYFUNCTION("""COMPUTED_VALUE"""),9.505E10)</f>
        <v>95050000000</v>
      </c>
      <c r="HZ21" s="1518"/>
      <c r="IA21" s="1519"/>
      <c r="IB21" s="1524">
        <f>IFERROR(__xludf.DUMMYFUNCTION("""COMPUTED_VALUE"""),103.12872685185185)</f>
        <v>103.1287269</v>
      </c>
      <c r="IC21" s="1523">
        <f>IFERROR(__xludf.DUMMYFUNCTION("""COMPUTED_VALUE"""),1.4779E14)</f>
        <v>147790000000000</v>
      </c>
      <c r="ID21" s="1524">
        <f>IFERROR(__xludf.DUMMYFUNCTION("""COMPUTED_VALUE"""),103.12872685185185)</f>
        <v>103.1287269</v>
      </c>
      <c r="IE21" s="1523">
        <f>IFERROR(__xludf.DUMMYFUNCTION("""COMPUTED_VALUE"""),1.4779E14)</f>
        <v>147790000000000</v>
      </c>
      <c r="IF21" s="1524">
        <f>IFERROR(__xludf.DUMMYFUNCTION("""COMPUTED_VALUE"""),103.12872685185185)</f>
        <v>103.1287269</v>
      </c>
      <c r="IG21" s="1523">
        <f>IFERROR(__xludf.DUMMYFUNCTION("""COMPUTED_VALUE"""),1.4779E14)</f>
        <v>147790000000000</v>
      </c>
      <c r="IH21" s="1507">
        <f>IFERROR(__xludf.DUMMYFUNCTION("""COMPUTED_VALUE"""),35.329166666666666)</f>
        <v>35.32916667</v>
      </c>
      <c r="II21" s="1508">
        <f>IFERROR(__xludf.DUMMYFUNCTION("""COMPUTED_VALUE"""),6.7445E11)</f>
        <v>674450000000</v>
      </c>
      <c r="IJ21" s="1507">
        <f>IFERROR(__xludf.DUMMYFUNCTION("""COMPUTED_VALUE"""),35.329166666666666)</f>
        <v>35.32916667</v>
      </c>
      <c r="IK21" s="1508">
        <f>IFERROR(__xludf.DUMMYFUNCTION("""COMPUTED_VALUE"""),6.7445E11)</f>
        <v>674450000000</v>
      </c>
      <c r="IL21" s="1507">
        <f>IFERROR(__xludf.DUMMYFUNCTION("""COMPUTED_VALUE"""),35.329166666666666)</f>
        <v>35.32916667</v>
      </c>
      <c r="IM21" s="1508">
        <f>IFERROR(__xludf.DUMMYFUNCTION("""COMPUTED_VALUE"""),8.6445E11)</f>
        <v>864450000000</v>
      </c>
      <c r="IN21" s="1507">
        <f>IFERROR(__xludf.DUMMYFUNCTION("""COMPUTED_VALUE"""),35.329166666666666)</f>
        <v>35.32916667</v>
      </c>
      <c r="IO21" s="1508">
        <f>IFERROR(__xludf.DUMMYFUNCTION("""COMPUTED_VALUE"""),8.6445E11)</f>
        <v>864450000000</v>
      </c>
      <c r="IP21" s="1507">
        <f>IFERROR(__xludf.DUMMYFUNCTION("""COMPUTED_VALUE"""),35.792361111111106)</f>
        <v>35.79236111</v>
      </c>
      <c r="IQ21" s="1508">
        <f>IFERROR(__xludf.DUMMYFUNCTION("""COMPUTED_VALUE"""),1.43E12)</f>
        <v>1430000000000</v>
      </c>
      <c r="IR21" s="1507">
        <f>IFERROR(__xludf.DUMMYFUNCTION("""COMPUTED_VALUE"""),35.329166666666666)</f>
        <v>35.32916667</v>
      </c>
      <c r="IS21" s="1508">
        <f>IFERROR(__xludf.DUMMYFUNCTION("""COMPUTED_VALUE"""),8.6445E11)</f>
        <v>864450000000</v>
      </c>
      <c r="IT21" s="1507">
        <f>IFERROR(__xludf.DUMMYFUNCTION("""COMPUTED_VALUE"""),35.329166666666666)</f>
        <v>35.32916667</v>
      </c>
      <c r="IU21" s="1508">
        <f>IFERROR(__xludf.DUMMYFUNCTION("""COMPUTED_VALUE"""),8.6445E11)</f>
        <v>864450000000</v>
      </c>
      <c r="IV21" s="1507">
        <f>IFERROR(__xludf.DUMMYFUNCTION("""COMPUTED_VALUE"""),35.329166666666666)</f>
        <v>35.32916667</v>
      </c>
      <c r="IW21" s="1508">
        <f>IFERROR(__xludf.DUMMYFUNCTION("""COMPUTED_VALUE"""),8.6445E11)</f>
        <v>864450000000</v>
      </c>
      <c r="IX21" s="1507">
        <f>IFERROR(__xludf.DUMMYFUNCTION("""COMPUTED_VALUE"""),35.329166666666666)</f>
        <v>35.32916667</v>
      </c>
      <c r="IY21" s="1508">
        <f>IFERROR(__xludf.DUMMYFUNCTION("""COMPUTED_VALUE"""),8.6445E11)</f>
        <v>864450000000</v>
      </c>
      <c r="IZ21" s="1507">
        <f>IFERROR(__xludf.DUMMYFUNCTION("""COMPUTED_VALUE"""),35.329166666666666)</f>
        <v>35.32916667</v>
      </c>
      <c r="JA21" s="1508">
        <f>IFERROR(__xludf.DUMMYFUNCTION("""COMPUTED_VALUE"""),1.05E12)</f>
        <v>1050000000000</v>
      </c>
      <c r="JB21" s="1507">
        <f>IFERROR(__xludf.DUMMYFUNCTION("""COMPUTED_VALUE"""),35.329166666666666)</f>
        <v>35.32916667</v>
      </c>
      <c r="JC21" s="1508">
        <f>IFERROR(__xludf.DUMMYFUNCTION("""COMPUTED_VALUE"""),1.05E12)</f>
        <v>1050000000000</v>
      </c>
      <c r="JD21" s="1507">
        <f>IFERROR(__xludf.DUMMYFUNCTION("""COMPUTED_VALUE"""),35.329166666666666)</f>
        <v>35.32916667</v>
      </c>
      <c r="JE21" s="1508">
        <f>IFERROR(__xludf.DUMMYFUNCTION("""COMPUTED_VALUE"""),1.05E12)</f>
        <v>1050000000000</v>
      </c>
      <c r="JF21" s="1507">
        <f>IFERROR(__xludf.DUMMYFUNCTION("""COMPUTED_VALUE"""),35.329166666666666)</f>
        <v>35.32916667</v>
      </c>
      <c r="JG21" s="1508">
        <f>IFERROR(__xludf.DUMMYFUNCTION("""COMPUTED_VALUE"""),1.05E12)</f>
        <v>1050000000000</v>
      </c>
      <c r="JH21" s="1507">
        <f>IFERROR(__xludf.DUMMYFUNCTION("""COMPUTED_VALUE"""),35.792361111111106)</f>
        <v>35.79236111</v>
      </c>
      <c r="JI21" s="1508">
        <f>IFERROR(__xludf.DUMMYFUNCTION("""COMPUTED_VALUE"""),1.63E12)</f>
        <v>1630000000000</v>
      </c>
      <c r="JJ21" s="1507">
        <f>IFERROR(__xludf.DUMMYFUNCTION("""COMPUTED_VALUE"""),205.19027777777777)</f>
        <v>205.1902778</v>
      </c>
      <c r="JK21" s="1509">
        <f>IFERROR(__xludf.DUMMYFUNCTION("""COMPUTED_VALUE"""),4.75E18)</f>
        <v>4.75E+18</v>
      </c>
      <c r="JL21" s="1507">
        <f>IFERROR(__xludf.DUMMYFUNCTION("""COMPUTED_VALUE"""),205.19027777777777)</f>
        <v>205.1902778</v>
      </c>
      <c r="JM21" s="1509">
        <f>IFERROR(__xludf.DUMMYFUNCTION("""COMPUTED_VALUE"""),4.75E18)</f>
        <v>4.75E+18</v>
      </c>
      <c r="JN21" s="1507">
        <f>IFERROR(__xludf.DUMMYFUNCTION("""COMPUTED_VALUE"""),205.19027777777777)</f>
        <v>205.1902778</v>
      </c>
      <c r="JO21" s="1509">
        <f>IFERROR(__xludf.DUMMYFUNCTION("""COMPUTED_VALUE"""),4.75E18)</f>
        <v>4.75E+18</v>
      </c>
      <c r="JP21" s="1507">
        <f>IFERROR(__xludf.DUMMYFUNCTION("""COMPUTED_VALUE"""),205.19027777777777)</f>
        <v>205.1902778</v>
      </c>
      <c r="JQ21" s="1509">
        <f>IFERROR(__xludf.DUMMYFUNCTION("""COMPUTED_VALUE"""),4.75E18)</f>
        <v>4.75E+18</v>
      </c>
      <c r="JR21" s="1507">
        <f>IFERROR(__xludf.DUMMYFUNCTION("""COMPUTED_VALUE"""),205.19027777777777)</f>
        <v>205.1902778</v>
      </c>
      <c r="JS21" s="1509">
        <f>IFERROR(__xludf.DUMMYFUNCTION("""COMPUTED_VALUE"""),4.75E18)</f>
        <v>4.75E+18</v>
      </c>
      <c r="JT21" s="1507">
        <f>IFERROR(__xludf.DUMMYFUNCTION("""COMPUTED_VALUE"""),205.19027777777777)</f>
        <v>205.1902778</v>
      </c>
      <c r="JU21" s="1509">
        <f>IFERROR(__xludf.DUMMYFUNCTION("""COMPUTED_VALUE"""),4.75E18)</f>
        <v>4.75E+18</v>
      </c>
      <c r="JV21" s="1507">
        <f>IFERROR(__xludf.DUMMYFUNCTION("""COMPUTED_VALUE"""),51.297222222222224)</f>
        <v>51.29722222</v>
      </c>
      <c r="JW21" s="1509">
        <f>IFERROR(__xludf.DUMMYFUNCTION("""COMPUTED_VALUE"""),4.268788542E14)</f>
        <v>426878854200000</v>
      </c>
      <c r="JX21" s="1562"/>
      <c r="JY21" s="1560"/>
      <c r="JZ21" s="1510">
        <f>IFERROR(__xludf.DUMMYFUNCTION("""COMPUTED_VALUE"""),2.210486111)</f>
        <v>2.210486111</v>
      </c>
      <c r="KA21" s="1514">
        <f>IFERROR(__xludf.DUMMYFUNCTION("""COMPUTED_VALUE"""),4.9E9)</f>
        <v>4900000000</v>
      </c>
      <c r="KB21" s="1510">
        <f>IFERROR(__xludf.DUMMYFUNCTION("""COMPUTED_VALUE"""),2.848032407)</f>
        <v>2.848032407</v>
      </c>
      <c r="KC21" s="1514">
        <f>IFERROR(__xludf.DUMMYFUNCTION("""COMPUTED_VALUE"""),1.75E10)</f>
        <v>17500000000</v>
      </c>
      <c r="KD21" s="1510">
        <f>IFERROR(__xludf.DUMMYFUNCTION("""COMPUTED_VALUE"""),10.98394676)</f>
        <v>10.98394676</v>
      </c>
      <c r="KE21" s="1514">
        <f>IFERROR(__xludf.DUMMYFUNCTION("""COMPUTED_VALUE"""),1.04E12)</f>
        <v>1040000000000</v>
      </c>
      <c r="KF21" s="1510">
        <f>IFERROR(__xludf.DUMMYFUNCTION("""COMPUTED_VALUE"""),10.98394676)</f>
        <v>10.98394676</v>
      </c>
      <c r="KG21" s="1514">
        <f>IFERROR(__xludf.DUMMYFUNCTION("""COMPUTED_VALUE"""),1.04E12)</f>
        <v>1040000000000</v>
      </c>
      <c r="KH21" s="1562"/>
      <c r="KI21" s="1560"/>
      <c r="KJ21" s="1527"/>
      <c r="KK21" s="1527"/>
      <c r="KL21" s="1527"/>
      <c r="KM21" s="1527"/>
      <c r="KN21" s="1527"/>
      <c r="KO21" s="1527"/>
      <c r="KP21" s="1527"/>
      <c r="KQ21" s="1527"/>
      <c r="KR21" s="1527"/>
      <c r="KS21" s="1527"/>
      <c r="KT21" s="1527"/>
      <c r="KU21" s="1527"/>
      <c r="KV21" s="1525">
        <f>IFERROR(__xludf.DUMMYFUNCTION("""COMPUTED_VALUE"""),205.19027777777777)</f>
        <v>205.1902778</v>
      </c>
      <c r="KW21" s="1526">
        <f>IFERROR(__xludf.DUMMYFUNCTION("""COMPUTED_VALUE"""),4.75E18)</f>
        <v>4.75E+18</v>
      </c>
      <c r="KX21" s="1525">
        <f>IFERROR(__xludf.DUMMYFUNCTION("""COMPUTED_VALUE"""),205.19027777777777)</f>
        <v>205.1902778</v>
      </c>
      <c r="KY21" s="1526">
        <f>IFERROR(__xludf.DUMMYFUNCTION("""COMPUTED_VALUE"""),4.75E18)</f>
        <v>4.75E+18</v>
      </c>
      <c r="KZ21" s="1525">
        <f>IFERROR(__xludf.DUMMYFUNCTION("""COMPUTED_VALUE"""),205.19027777777777)</f>
        <v>205.1902778</v>
      </c>
      <c r="LA21" s="1526">
        <f>IFERROR(__xludf.DUMMYFUNCTION("""COMPUTED_VALUE"""),4.75E18)</f>
        <v>4.75E+18</v>
      </c>
      <c r="LB21" s="1525">
        <f>IFERROR(__xludf.DUMMYFUNCTION("""COMPUTED_VALUE"""),205.19027777777777)</f>
        <v>205.1902778</v>
      </c>
      <c r="LC21" s="1526">
        <f>IFERROR(__xludf.DUMMYFUNCTION("""COMPUTED_VALUE"""),4.75E18)</f>
        <v>4.75E+18</v>
      </c>
      <c r="LD21" s="1525">
        <f>IFERROR(__xludf.DUMMYFUNCTION("""COMPUTED_VALUE"""),205.19027777777777)</f>
        <v>205.1902778</v>
      </c>
      <c r="LE21" s="1526">
        <f>IFERROR(__xludf.DUMMYFUNCTION("""COMPUTED_VALUE"""),4.75E18)</f>
        <v>4.75E+18</v>
      </c>
      <c r="LF21" s="1525">
        <f>IFERROR(__xludf.DUMMYFUNCTION("""COMPUTED_VALUE"""),205.19027777777777)</f>
        <v>205.1902778</v>
      </c>
      <c r="LG21" s="1526">
        <f>IFERROR(__xludf.DUMMYFUNCTION("""COMPUTED_VALUE"""),4.75E18)</f>
        <v>4.75E+18</v>
      </c>
      <c r="LH21" s="1525">
        <f>IFERROR(__xludf.DUMMYFUNCTION("""COMPUTED_VALUE"""),205.19027777777777)</f>
        <v>205.1902778</v>
      </c>
      <c r="LI21" s="1526">
        <f>IFERROR(__xludf.DUMMYFUNCTION("""COMPUTED_VALUE"""),4.75E18)</f>
        <v>4.75E+18</v>
      </c>
      <c r="LJ21" s="1525">
        <f>IFERROR(__xludf.DUMMYFUNCTION("""COMPUTED_VALUE"""),205.19027777777777)</f>
        <v>205.1902778</v>
      </c>
      <c r="LK21" s="1526">
        <f>IFERROR(__xludf.DUMMYFUNCTION("""COMPUTED_VALUE"""),4.75E18)</f>
        <v>4.75E+18</v>
      </c>
      <c r="LL21" s="1527"/>
      <c r="LM21" s="1527"/>
      <c r="LN21" s="1516">
        <f>IFERROR(__xludf.DUMMYFUNCTION("""COMPUTED_VALUE"""),256.48819444444445)</f>
        <v>256.4881944</v>
      </c>
      <c r="LO21" s="1495">
        <f>IFERROR(__xludf.DUMMYFUNCTION("""COMPUTED_VALUE"""),3.800000000000001E18)</f>
        <v>3.8E+18</v>
      </c>
      <c r="LP21" s="1516">
        <f>IFERROR(__xludf.DUMMYFUNCTION("""COMPUTED_VALUE"""),256.48819444444445)</f>
        <v>256.4881944</v>
      </c>
      <c r="LQ21" s="1495">
        <f>IFERROR(__xludf.DUMMYFUNCTION("""COMPUTED_VALUE"""),3.800000000000001E18)</f>
        <v>3.8E+18</v>
      </c>
      <c r="LR21" s="1516">
        <f>IFERROR(__xludf.DUMMYFUNCTION("""COMPUTED_VALUE"""),256.48819444444445)</f>
        <v>256.4881944</v>
      </c>
      <c r="LS21" s="1495">
        <f>IFERROR(__xludf.DUMMYFUNCTION("""COMPUTED_VALUE"""),3.800000000000001E18)</f>
        <v>3.8E+18</v>
      </c>
      <c r="LT21" s="1516">
        <f>IFERROR(__xludf.DUMMYFUNCTION("""COMPUTED_VALUE"""),256.48819444444445)</f>
        <v>256.4881944</v>
      </c>
      <c r="LU21" s="1495">
        <f>IFERROR(__xludf.DUMMYFUNCTION("""COMPUTED_VALUE"""),3.800000000000001E18)</f>
        <v>3.8E+18</v>
      </c>
      <c r="LV21" s="1516">
        <f>IFERROR(__xludf.DUMMYFUNCTION("""COMPUTED_VALUE"""),256.48819444444445)</f>
        <v>256.4881944</v>
      </c>
      <c r="LW21" s="1495">
        <f>IFERROR(__xludf.DUMMYFUNCTION("""COMPUTED_VALUE"""),3.800000000000001E18)</f>
        <v>3.8E+18</v>
      </c>
      <c r="LX21" s="1516">
        <f>IFERROR(__xludf.DUMMYFUNCTION("""COMPUTED_VALUE"""),307.7861111111111)</f>
        <v>307.7861111</v>
      </c>
      <c r="LY21" s="1517">
        <f>IFERROR(__xludf.DUMMYFUNCTION("""COMPUTED_VALUE"""),9.5E18)</f>
        <v>9.5E+18</v>
      </c>
      <c r="LZ21" s="1516">
        <f>IFERROR(__xludf.DUMMYFUNCTION("""COMPUTED_VALUE"""),307.7861111111111)</f>
        <v>307.7861111</v>
      </c>
      <c r="MA21" s="1517">
        <f>IFERROR(__xludf.DUMMYFUNCTION("""COMPUTED_VALUE"""),9.5E18)</f>
        <v>9.5E+18</v>
      </c>
      <c r="MB21" s="1516">
        <f>IFERROR(__xludf.DUMMYFUNCTION("""COMPUTED_VALUE"""),307.7861111111111)</f>
        <v>307.7861111</v>
      </c>
      <c r="MC21" s="1517">
        <f>IFERROR(__xludf.DUMMYFUNCTION("""COMPUTED_VALUE"""),9.5E18)</f>
        <v>9.5E+18</v>
      </c>
      <c r="MD21" s="1516">
        <f>IFERROR(__xludf.DUMMYFUNCTION("""COMPUTED_VALUE"""),307.7861111111111)</f>
        <v>307.7861111</v>
      </c>
      <c r="ME21" s="1517">
        <f>IFERROR(__xludf.DUMMYFUNCTION("""COMPUTED_VALUE"""),9.5E18)</f>
        <v>9.5E+18</v>
      </c>
      <c r="MF21" s="1527"/>
      <c r="MG21" s="1527"/>
      <c r="MH21" s="1527"/>
      <c r="MI21" s="1527"/>
      <c r="MJ21" s="1527"/>
      <c r="MK21" s="1527"/>
      <c r="ML21" s="1527"/>
      <c r="MM21" s="1527"/>
      <c r="MN21" s="1527"/>
      <c r="MO21" s="1527"/>
      <c r="MP21" s="1527"/>
      <c r="MQ21" s="1527"/>
      <c r="MR21" s="1527"/>
      <c r="MS21" s="1527"/>
      <c r="MT21" s="1527"/>
      <c r="MU21" s="1527"/>
      <c r="MV21" s="1527"/>
      <c r="MW21" s="1527"/>
      <c r="MX21" s="1527"/>
      <c r="MY21" s="1527"/>
    </row>
    <row r="22">
      <c r="A22" s="1465">
        <f>IFERROR(__xludf.DUMMYFUNCTION("""COMPUTED_VALUE"""),20.0)</f>
        <v>20</v>
      </c>
      <c r="B22" s="1533"/>
      <c r="C22" s="1534"/>
      <c r="D22" s="1471">
        <f>IFERROR(__xludf.DUMMYFUNCTION("""COMPUTED_VALUE"""),1.0152777777777777)</f>
        <v>1.015277778</v>
      </c>
      <c r="E22" s="1472">
        <f>IFERROR(__xludf.DUMMYFUNCTION("""COMPUTED_VALUE"""),46540.0)</f>
        <v>46540</v>
      </c>
      <c r="F22" s="1471">
        <f>IFERROR(__xludf.DUMMYFUNCTION("""COMPUTED_VALUE"""),1.0152777777777777)</f>
        <v>1.015277778</v>
      </c>
      <c r="G22" s="1535">
        <f>IFERROR(__xludf.DUMMYFUNCTION("""COMPUTED_VALUE"""),46540.0)</f>
        <v>46540</v>
      </c>
      <c r="H22" s="1471">
        <f>IFERROR(__xludf.DUMMYFUNCTION("""COMPUTED_VALUE"""),1.0152777777777777)</f>
        <v>1.015277778</v>
      </c>
      <c r="I22" s="1472">
        <f>IFERROR(__xludf.DUMMYFUNCTION("""COMPUTED_VALUE"""),46540.0)</f>
        <v>46540</v>
      </c>
      <c r="J22" s="1471">
        <f>IFERROR(__xludf.DUMMYFUNCTION("""COMPUTED_VALUE"""),1.0152777777777777)</f>
        <v>1.015277778</v>
      </c>
      <c r="K22" s="1472">
        <f>IFERROR(__xludf.DUMMYFUNCTION("""COMPUTED_VALUE"""),46540.0)</f>
        <v>46540</v>
      </c>
      <c r="L22" s="1471">
        <f>IFERROR(__xludf.DUMMYFUNCTION("""COMPUTED_VALUE"""),1.5868055555555556)</f>
        <v>1.586805556</v>
      </c>
      <c r="M22" s="1536">
        <f>IFERROR(__xludf.DUMMYFUNCTION("""COMPUTED_VALUE"""),113450.0)</f>
        <v>113450</v>
      </c>
      <c r="N22" s="1537">
        <f>IFERROR(__xludf.DUMMYFUNCTION("""COMPUTED_VALUE"""),1.15)</f>
        <v>1.15</v>
      </c>
      <c r="O22" s="1472">
        <f>IFERROR(__xludf.DUMMYFUNCTION("""COMPUTED_VALUE"""),120310.0)</f>
        <v>120310</v>
      </c>
      <c r="P22" s="1533"/>
      <c r="Q22" s="1534"/>
      <c r="R22" s="1533"/>
      <c r="S22" s="1534"/>
      <c r="T22" s="1533"/>
      <c r="U22" s="1534"/>
      <c r="V22" s="1533"/>
      <c r="W22" s="1534"/>
      <c r="X22" s="1533"/>
      <c r="Y22" s="1534"/>
      <c r="Z22" s="1533"/>
      <c r="AA22" s="1534"/>
      <c r="AB22" s="1533"/>
      <c r="AC22" s="1534"/>
      <c r="AD22" s="1471">
        <f>IFERROR(__xludf.DUMMYFUNCTION("""COMPUTED_VALUE"""),21.59861111111111)</f>
        <v>21.59861111</v>
      </c>
      <c r="AE22" s="1538">
        <f>IFERROR(__xludf.DUMMYFUNCTION("""COMPUTED_VALUE"""),1.46192029E11)</f>
        <v>146192029000</v>
      </c>
      <c r="AF22" s="1471">
        <f>IFERROR(__xludf.DUMMYFUNCTION("""COMPUTED_VALUE"""),21.59861111111111)</f>
        <v>21.59861111</v>
      </c>
      <c r="AG22" s="1538">
        <f>IFERROR(__xludf.DUMMYFUNCTION("""COMPUTED_VALUE"""),1.46192029E11)</f>
        <v>146192029000</v>
      </c>
      <c r="AH22" s="1471">
        <f>IFERROR(__xludf.DUMMYFUNCTION("""COMPUTED_VALUE"""),21.59861111111111)</f>
        <v>21.59861111</v>
      </c>
      <c r="AI22" s="1538">
        <f>IFERROR(__xludf.DUMMYFUNCTION("""COMPUTED_VALUE"""),1.46192029E11)</f>
        <v>146192029000</v>
      </c>
      <c r="AJ22" s="1539">
        <f>IFERROR(__xludf.DUMMYFUNCTION("""COMPUTED_VALUE"""),1.0152777777777777)</f>
        <v>1.015277778</v>
      </c>
      <c r="AK22" s="1540">
        <f>IFERROR(__xludf.DUMMYFUNCTION("""COMPUTED_VALUE"""),46540.0)</f>
        <v>46540</v>
      </c>
      <c r="AL22" s="1539">
        <f>IFERROR(__xludf.DUMMYFUNCTION("""COMPUTED_VALUE"""),1.0152777777777777)</f>
        <v>1.015277778</v>
      </c>
      <c r="AM22" s="1540">
        <f>IFERROR(__xludf.DUMMYFUNCTION("""COMPUTED_VALUE"""),46540.0)</f>
        <v>46540</v>
      </c>
      <c r="AN22" s="1539">
        <f>IFERROR(__xludf.DUMMYFUNCTION("""COMPUTED_VALUE"""),1.0152777777777777)</f>
        <v>1.015277778</v>
      </c>
      <c r="AO22" s="1540">
        <f>IFERROR(__xludf.DUMMYFUNCTION("""COMPUTED_VALUE"""),46540.0)</f>
        <v>46540</v>
      </c>
      <c r="AP22" s="1539">
        <f>IFERROR(__xludf.DUMMYFUNCTION("""COMPUTED_VALUE"""),1.0152777777777777)</f>
        <v>1.015277778</v>
      </c>
      <c r="AQ22" s="1540">
        <f>IFERROR(__xludf.DUMMYFUNCTION("""COMPUTED_VALUE"""),46540.0)</f>
        <v>46540</v>
      </c>
      <c r="AR22" s="1539">
        <f>IFERROR(__xludf.DUMMYFUNCTION("""COMPUTED_VALUE"""),1.0152777777777777)</f>
        <v>1.015277778</v>
      </c>
      <c r="AS22" s="1540">
        <f>IFERROR(__xludf.DUMMYFUNCTION("""COMPUTED_VALUE"""),46550.0)</f>
        <v>46550</v>
      </c>
      <c r="AT22" s="1475">
        <f>IFERROR(__xludf.DUMMYFUNCTION("""COMPUTED_VALUE"""),202.41319444444446)</f>
        <v>202.4131944</v>
      </c>
      <c r="AU22" s="1476">
        <f>IFERROR(__xludf.DUMMYFUNCTION("""COMPUTED_VALUE"""),1.03E9)</f>
        <v>1030000000</v>
      </c>
      <c r="AV22" s="1475">
        <f>IFERROR(__xludf.DUMMYFUNCTION("""COMPUTED_VALUE"""),117.73680555555555)</f>
        <v>117.7368056</v>
      </c>
      <c r="AW22" s="1476">
        <f>IFERROR(__xludf.DUMMYFUNCTION("""COMPUTED_VALUE"""),1.03E9)</f>
        <v>1030000000</v>
      </c>
      <c r="AX22" s="1539">
        <f>IFERROR(__xludf.DUMMYFUNCTION("""COMPUTED_VALUE"""),14.994444444444445)</f>
        <v>14.99444444</v>
      </c>
      <c r="AY22" s="1540">
        <f>IFERROR(__xludf.DUMMYFUNCTION("""COMPUTED_VALUE"""),9.9616E11)</f>
        <v>996160000000</v>
      </c>
      <c r="AZ22" s="1533"/>
      <c r="BA22" s="1533"/>
      <c r="BB22" s="1479">
        <f>IFERROR(__xludf.DUMMYFUNCTION("""COMPUTED_VALUE"""),1.0152777777777777)</f>
        <v>1.015277778</v>
      </c>
      <c r="BC22" s="1480">
        <f>IFERROR(__xludf.DUMMYFUNCTION("""COMPUTED_VALUE"""),46540.0)</f>
        <v>46540</v>
      </c>
      <c r="BD22" s="1479">
        <f>IFERROR(__xludf.DUMMYFUNCTION("""COMPUTED_VALUE"""),1.0152777777777777)</f>
        <v>1.015277778</v>
      </c>
      <c r="BE22" s="1480">
        <f>IFERROR(__xludf.DUMMYFUNCTION("""COMPUTED_VALUE"""),46540.0)</f>
        <v>46540</v>
      </c>
      <c r="BF22" s="1479">
        <f>IFERROR(__xludf.DUMMYFUNCTION("""COMPUTED_VALUE"""),1.0152777777777777)</f>
        <v>1.015277778</v>
      </c>
      <c r="BG22" s="1480">
        <f>IFERROR(__xludf.DUMMYFUNCTION("""COMPUTED_VALUE"""),46540.0)</f>
        <v>46540</v>
      </c>
      <c r="BH22" s="1479">
        <f>IFERROR(__xludf.DUMMYFUNCTION("""COMPUTED_VALUE"""),14.143055555555556)</f>
        <v>14.14305556</v>
      </c>
      <c r="BI22" s="1480">
        <f>IFERROR(__xludf.DUMMYFUNCTION("""COMPUTED_VALUE"""),1.3035E8)</f>
        <v>130350000</v>
      </c>
      <c r="BJ22" s="1479">
        <f>IFERROR(__xludf.DUMMYFUNCTION("""COMPUTED_VALUE"""),19.42361111111111)</f>
        <v>19.42361111</v>
      </c>
      <c r="BK22" s="1480">
        <f>IFERROR(__xludf.DUMMYFUNCTION("""COMPUTED_VALUE"""),8.7476E8)</f>
        <v>874760000</v>
      </c>
      <c r="BL22" s="1479">
        <f>IFERROR(__xludf.DUMMYFUNCTION("""COMPUTED_VALUE"""),26.930555555555557)</f>
        <v>26.93055556</v>
      </c>
      <c r="BM22" s="1480">
        <f>IFERROR(__xludf.DUMMYFUNCTION("""COMPUTED_VALUE"""),3.15E9)</f>
        <v>3150000000</v>
      </c>
      <c r="BN22" s="1479">
        <f>IFERROR(__xludf.DUMMYFUNCTION("""COMPUTED_VALUE"""),26.930555555555557)</f>
        <v>26.93055556</v>
      </c>
      <c r="BO22" s="1480">
        <f>IFERROR(__xludf.DUMMYFUNCTION("""COMPUTED_VALUE"""),3.15E9)</f>
        <v>3150000000</v>
      </c>
      <c r="BP22" s="1479">
        <f>IFERROR(__xludf.DUMMYFUNCTION("""COMPUTED_VALUE"""),40.86736111111111)</f>
        <v>40.86736111</v>
      </c>
      <c r="BQ22" s="1480">
        <f>IFERROR(__xludf.DUMMYFUNCTION("""COMPUTED_VALUE"""),3.15E9)</f>
        <v>3150000000</v>
      </c>
      <c r="BR22" s="1541"/>
      <c r="BS22" s="1534"/>
      <c r="BT22" s="1479">
        <f>IFERROR(__xludf.DUMMYFUNCTION("""COMPUTED_VALUE"""),1.2249999999999999)</f>
        <v>1.225</v>
      </c>
      <c r="BU22" s="1480">
        <f>IFERROR(__xludf.DUMMYFUNCTION("""COMPUTED_VALUE"""),6.46E9)</f>
        <v>6460000000</v>
      </c>
      <c r="BV22" s="1479">
        <f>IFERROR(__xludf.DUMMYFUNCTION("""COMPUTED_VALUE"""),41.890972222222224)</f>
        <v>41.89097222</v>
      </c>
      <c r="BW22" s="1480">
        <f>IFERROR(__xludf.DUMMYFUNCTION("""COMPUTED_VALUE"""),2.633E10)</f>
        <v>26330000000</v>
      </c>
      <c r="BX22" s="1479">
        <f>IFERROR(__xludf.DUMMYFUNCTION("""COMPUTED_VALUE"""),69.08244212962963)</f>
        <v>69.08244213</v>
      </c>
      <c r="BY22" s="1480">
        <f>IFERROR(__xludf.DUMMYFUNCTION("""COMPUTED_VALUE"""),1.4503E11)</f>
        <v>145030000000</v>
      </c>
      <c r="BZ22" s="1479">
        <f>IFERROR(__xludf.DUMMYFUNCTION("""COMPUTED_VALUE"""),263.15694444444443)</f>
        <v>263.1569444</v>
      </c>
      <c r="CA22" s="1480">
        <f>IFERROR(__xludf.DUMMYFUNCTION("""COMPUTED_VALUE"""),2.0203E11)</f>
        <v>202030000000</v>
      </c>
      <c r="CB22" s="1541"/>
      <c r="CC22" s="1534"/>
      <c r="CD22" s="1477">
        <f>IFERROR(__xludf.DUMMYFUNCTION("""COMPUTED_VALUE"""),6.591284722222222)</f>
        <v>6.591284722</v>
      </c>
      <c r="CE22" s="1481">
        <f>IFERROR(__xludf.DUMMYFUNCTION("""COMPUTED_VALUE"""),6.4333E11)</f>
        <v>643330000000</v>
      </c>
      <c r="CF22" s="1550"/>
      <c r="CG22" s="1564"/>
      <c r="CH22" s="1484">
        <f>IFERROR(__xludf.DUMMYFUNCTION("""COMPUTED_VALUE"""),1.0152777777777777)</f>
        <v>1.015277778</v>
      </c>
      <c r="CI22" s="1485">
        <f>IFERROR(__xludf.DUMMYFUNCTION("""COMPUTED_VALUE"""),46550.0)</f>
        <v>46550</v>
      </c>
      <c r="CJ22" s="1484">
        <f>IFERROR(__xludf.DUMMYFUNCTION("""COMPUTED_VALUE"""),1.0152777777777777)</f>
        <v>1.015277778</v>
      </c>
      <c r="CK22" s="1485">
        <f>IFERROR(__xludf.DUMMYFUNCTION("""COMPUTED_VALUE"""),46550.0)</f>
        <v>46550</v>
      </c>
      <c r="CL22" s="1484">
        <f>IFERROR(__xludf.DUMMYFUNCTION("""COMPUTED_VALUE"""),1.0152777777777777)</f>
        <v>1.015277778</v>
      </c>
      <c r="CM22" s="1485">
        <f>IFERROR(__xludf.DUMMYFUNCTION("""COMPUTED_VALUE"""),46550.0)</f>
        <v>46550</v>
      </c>
      <c r="CN22" s="1484">
        <f>IFERROR(__xludf.DUMMYFUNCTION("""COMPUTED_VALUE"""),1.0152777777777777)</f>
        <v>1.015277778</v>
      </c>
      <c r="CO22" s="1485">
        <f>IFERROR(__xludf.DUMMYFUNCTION("""COMPUTED_VALUE"""),46550.0)</f>
        <v>46550</v>
      </c>
      <c r="CP22" s="1484">
        <f>IFERROR(__xludf.DUMMYFUNCTION("""COMPUTED_VALUE"""),1.8215277777777776)</f>
        <v>1.821527778</v>
      </c>
      <c r="CQ22" s="1485">
        <f>IFERROR(__xludf.DUMMYFUNCTION("""COMPUTED_VALUE"""),120320.0)</f>
        <v>120320</v>
      </c>
      <c r="CR22" s="1533"/>
      <c r="CS22" s="1534"/>
      <c r="CT22" s="1541"/>
      <c r="CU22" s="1534"/>
      <c r="CV22" s="1484">
        <f>IFERROR(__xludf.DUMMYFUNCTION("""COMPUTED_VALUE"""),41.42777777777778)</f>
        <v>41.42777778</v>
      </c>
      <c r="CW22" s="1485">
        <f>IFERROR(__xludf.DUMMYFUNCTION("""COMPUTED_VALUE"""),4.766E11)</f>
        <v>476600000000</v>
      </c>
      <c r="CX22" s="1484">
        <f>IFERROR(__xludf.DUMMYFUNCTION("""COMPUTED_VALUE"""),41.42777777777778)</f>
        <v>41.42777778</v>
      </c>
      <c r="CY22" s="1485">
        <f>IFERROR(__xludf.DUMMYFUNCTION("""COMPUTED_VALUE"""),4.766E11)</f>
        <v>476600000000</v>
      </c>
      <c r="CZ22" s="1484">
        <f>IFERROR(__xludf.DUMMYFUNCTION("""COMPUTED_VALUE"""),41.42777777777778)</f>
        <v>41.42777778</v>
      </c>
      <c r="DA22" s="1485">
        <f>IFERROR(__xludf.DUMMYFUNCTION("""COMPUTED_VALUE"""),4.766E11)</f>
        <v>476600000000</v>
      </c>
      <c r="DB22" s="1484">
        <f>IFERROR(__xludf.DUMMYFUNCTION("""COMPUTED_VALUE"""),17.304861111111112)</f>
        <v>17.30486111</v>
      </c>
      <c r="DC22" s="1485">
        <f>IFERROR(__xludf.DUMMYFUNCTION("""COMPUTED_VALUE"""),1.5229E11)</f>
        <v>152290000000</v>
      </c>
      <c r="DD22" s="1484">
        <f>IFERROR(__xludf.DUMMYFUNCTION("""COMPUTED_VALUE"""),17.304861111111112)</f>
        <v>17.30486111</v>
      </c>
      <c r="DE22" s="1485">
        <f>IFERROR(__xludf.DUMMYFUNCTION("""COMPUTED_VALUE"""),1.5229E11)</f>
        <v>152290000000</v>
      </c>
      <c r="DF22" s="1542">
        <f>IFERROR(__xludf.DUMMYFUNCTION("""COMPUTED_VALUE"""),27.694444444444443)</f>
        <v>27.69444444</v>
      </c>
      <c r="DG22" s="1543">
        <f>IFERROR(__xludf.DUMMYFUNCTION("""COMPUTED_VALUE"""),3.15E9)</f>
        <v>3150000000</v>
      </c>
      <c r="DH22" s="1533"/>
      <c r="DI22" s="1534"/>
      <c r="DJ22" s="1542">
        <f>IFERROR(__xludf.DUMMYFUNCTION("""COMPUTED_VALUE"""),28.48125)</f>
        <v>28.48125</v>
      </c>
      <c r="DK22" s="1543">
        <f>IFERROR(__xludf.DUMMYFUNCTION("""COMPUTED_VALUE"""),3.15E9)</f>
        <v>3150000000</v>
      </c>
      <c r="DL22" s="1542">
        <f>IFERROR(__xludf.DUMMYFUNCTION("""COMPUTED_VALUE"""),27.694444444444443)</f>
        <v>27.69444444</v>
      </c>
      <c r="DM22" s="1543">
        <f>IFERROR(__xludf.DUMMYFUNCTION("""COMPUTED_VALUE"""),3.15E9)</f>
        <v>3150000000</v>
      </c>
      <c r="DN22" s="1533"/>
      <c r="DO22" s="1534"/>
      <c r="DP22" s="1542">
        <f>IFERROR(__xludf.DUMMYFUNCTION("""COMPUTED_VALUE"""),27.694444444444443)</f>
        <v>27.69444444</v>
      </c>
      <c r="DQ22" s="1543">
        <f>IFERROR(__xludf.DUMMYFUNCTION("""COMPUTED_VALUE"""),3.15E9)</f>
        <v>3150000000</v>
      </c>
      <c r="DR22" s="1542">
        <f>IFERROR(__xludf.DUMMYFUNCTION("""COMPUTED_VALUE"""),27.694444444444443)</f>
        <v>27.69444444</v>
      </c>
      <c r="DS22" s="1543">
        <f>IFERROR(__xludf.DUMMYFUNCTION("""COMPUTED_VALUE"""),3.15E9)</f>
        <v>3150000000</v>
      </c>
      <c r="DT22" s="1533"/>
      <c r="DU22" s="1534"/>
      <c r="DV22" s="1542">
        <f>IFERROR(__xludf.DUMMYFUNCTION("""COMPUTED_VALUE"""),27.694444444444443)</f>
        <v>27.69444444</v>
      </c>
      <c r="DW22" s="1543">
        <f>IFERROR(__xludf.DUMMYFUNCTION("""COMPUTED_VALUE"""),3.15E9)</f>
        <v>3150000000</v>
      </c>
      <c r="DX22" s="1542">
        <f>IFERROR(__xludf.DUMMYFUNCTION("""COMPUTED_VALUE"""),27.694444444444443)</f>
        <v>27.69444444</v>
      </c>
      <c r="DY22" s="1543">
        <f>IFERROR(__xludf.DUMMYFUNCTION("""COMPUTED_VALUE"""),3.15E9)</f>
        <v>3150000000</v>
      </c>
      <c r="DZ22" s="1542">
        <f>IFERROR(__xludf.DUMMYFUNCTION("""COMPUTED_VALUE"""),32.486111111111114)</f>
        <v>32.48611111</v>
      </c>
      <c r="EA22" s="1543">
        <f>IFERROR(__xludf.DUMMYFUNCTION("""COMPUTED_VALUE"""),8.84E9)</f>
        <v>8840000000</v>
      </c>
      <c r="EB22" s="1542">
        <f>IFERROR(__xludf.DUMMYFUNCTION("""COMPUTED_VALUE"""),32.486111111111114)</f>
        <v>32.48611111</v>
      </c>
      <c r="EC22" s="1543">
        <f>IFERROR(__xludf.DUMMYFUNCTION("""COMPUTED_VALUE"""),8.84E9)</f>
        <v>8840000000</v>
      </c>
      <c r="ED22" s="1533"/>
      <c r="EE22" s="1534"/>
      <c r="EF22" s="1542">
        <f>IFERROR(__xludf.DUMMYFUNCTION("""COMPUTED_VALUE"""),31.65277777777778)</f>
        <v>31.65277778</v>
      </c>
      <c r="EG22" s="1543">
        <f>IFERROR(__xludf.DUMMYFUNCTION("""COMPUTED_VALUE"""),8.84E9)</f>
        <v>8840000000</v>
      </c>
      <c r="EH22" s="1533"/>
      <c r="EI22" s="1534"/>
      <c r="EJ22" s="1486">
        <f>IFERROR(__xludf.DUMMYFUNCTION("""COMPUTED_VALUE"""),11.34431712962963)</f>
        <v>11.34431713</v>
      </c>
      <c r="EK22" s="1487">
        <f>IFERROR(__xludf.DUMMYFUNCTION("""COMPUTED_VALUE"""),6.0468E8)</f>
        <v>604680000</v>
      </c>
      <c r="EL22" s="1486">
        <f>IFERROR(__xludf.DUMMYFUNCTION("""COMPUTED_VALUE"""),31.653206018518517)</f>
        <v>31.65320602</v>
      </c>
      <c r="EM22" s="1487">
        <f>IFERROR(__xludf.DUMMYFUNCTION("""COMPUTED_VALUE"""),8.84E9)</f>
        <v>8840000000</v>
      </c>
      <c r="EN22" s="1542">
        <f>IFERROR(__xludf.DUMMYFUNCTION("""COMPUTED_VALUE"""),31.65277777777778)</f>
        <v>31.65277778</v>
      </c>
      <c r="EO22" s="1543">
        <f>IFERROR(__xludf.DUMMYFUNCTION("""COMPUTED_VALUE"""),8.84E9)</f>
        <v>8840000000</v>
      </c>
      <c r="EP22" s="1542">
        <f>IFERROR(__xludf.DUMMYFUNCTION("""COMPUTED_VALUE"""),31.65277777777778)</f>
        <v>31.65277778</v>
      </c>
      <c r="EQ22" s="1543">
        <f>IFERROR(__xludf.DUMMYFUNCTION("""COMPUTED_VALUE"""),8.84E9)</f>
        <v>8840000000</v>
      </c>
      <c r="ER22" s="1542">
        <f>IFERROR(__xludf.DUMMYFUNCTION("""COMPUTED_VALUE"""),31.65277777777778)</f>
        <v>31.65277778</v>
      </c>
      <c r="ES22" s="1543">
        <f>IFERROR(__xludf.DUMMYFUNCTION("""COMPUTED_VALUE"""),8.84E9)</f>
        <v>8840000000</v>
      </c>
      <c r="ET22" s="1542">
        <f>IFERROR(__xludf.DUMMYFUNCTION("""COMPUTED_VALUE"""),31.65277777777778)</f>
        <v>31.65277778</v>
      </c>
      <c r="EU22" s="1543">
        <f>IFERROR(__xludf.DUMMYFUNCTION("""COMPUTED_VALUE"""),8.84E9)</f>
        <v>8840000000</v>
      </c>
      <c r="EV22" s="1533"/>
      <c r="EW22" s="1534"/>
      <c r="EX22" s="1533"/>
      <c r="EY22" s="1534"/>
      <c r="EZ22" s="1533"/>
      <c r="FA22" s="1534"/>
      <c r="FB22" s="1541"/>
      <c r="FC22" s="1534"/>
      <c r="FD22" s="1541"/>
      <c r="FE22" s="1534"/>
      <c r="FF22" s="1542">
        <f>IFERROR(__xludf.DUMMYFUNCTION("""COMPUTED_VALUE"""),32.486111111111114)</f>
        <v>32.48611111</v>
      </c>
      <c r="FG22" s="1546">
        <f>IFERROR(__xludf.DUMMYFUNCTION("""COMPUTED_VALUE"""),2.48E10)</f>
        <v>24800000000</v>
      </c>
      <c r="FH22" s="1542">
        <f>IFERROR(__xludf.DUMMYFUNCTION("""COMPUTED_VALUE"""),32.486111111111114)</f>
        <v>32.48611111</v>
      </c>
      <c r="FI22" s="1546">
        <f>IFERROR(__xludf.DUMMYFUNCTION("""COMPUTED_VALUE"""),2.48E10)</f>
        <v>24800000000</v>
      </c>
      <c r="FJ22" s="1541"/>
      <c r="FK22" s="1534"/>
      <c r="FL22" s="1533"/>
      <c r="FM22" s="1534"/>
      <c r="FN22" s="1545"/>
      <c r="FO22" s="1541"/>
      <c r="FP22" s="1542">
        <f>IFERROR(__xludf.DUMMYFUNCTION("""COMPUTED_VALUE"""),71.77300925925925)</f>
        <v>71.77300926</v>
      </c>
      <c r="FQ22" s="1546">
        <f>IFERROR(__xludf.DUMMYFUNCTION("""COMPUTED_VALUE"""),2.2168E14)</f>
        <v>221680000000000</v>
      </c>
      <c r="FR22" s="1545"/>
      <c r="FS22" s="1541"/>
      <c r="FT22" s="1542">
        <f>IFERROR(__xludf.DUMMYFUNCTION("""COMPUTED_VALUE"""),71.77300925925925)</f>
        <v>71.77300926</v>
      </c>
      <c r="FU22" s="1546">
        <f>IFERROR(__xludf.DUMMYFUNCTION("""COMPUTED_VALUE"""),2.2168E14)</f>
        <v>221680000000000</v>
      </c>
      <c r="FV22" s="1542">
        <f>IFERROR(__xludf.DUMMYFUNCTION("""COMPUTED_VALUE"""),71.77300925925925)</f>
        <v>71.77300926</v>
      </c>
      <c r="FW22" s="1546">
        <f>IFERROR(__xludf.DUMMYFUNCTION("""COMPUTED_VALUE"""),2.2168E14)</f>
        <v>221680000000000</v>
      </c>
      <c r="FX22" s="1547">
        <f>IFERROR(__xludf.DUMMYFUNCTION("""COMPUTED_VALUE"""),27.556851851851853)</f>
        <v>27.55685185</v>
      </c>
      <c r="FY22" s="1548">
        <f>IFERROR(__xludf.DUMMYFUNCTION("""COMPUTED_VALUE"""),2.22E12)</f>
        <v>2220000000000</v>
      </c>
      <c r="FZ22" s="1547">
        <f>IFERROR(__xludf.DUMMYFUNCTION("""COMPUTED_VALUE"""),71.77300925925925)</f>
        <v>71.77300926</v>
      </c>
      <c r="GA22" s="1548">
        <f>IFERROR(__xludf.DUMMYFUNCTION("""COMPUTED_VALUE"""),2.2168E14)</f>
        <v>221680000000000</v>
      </c>
      <c r="GB22" s="1550"/>
      <c r="GC22" s="1550"/>
      <c r="GD22" s="1550"/>
      <c r="GE22" s="1564"/>
      <c r="GF22" s="1533"/>
      <c r="GG22" s="1534"/>
      <c r="GH22" s="1496">
        <f>IFERROR(__xludf.DUMMYFUNCTION("""COMPUTED_VALUE"""),30.86111111111111)</f>
        <v>30.86111111</v>
      </c>
      <c r="GI22" s="1497">
        <f>IFERROR(__xludf.DUMMYFUNCTION("""COMPUTED_VALUE"""),2.477E10)</f>
        <v>24770000000</v>
      </c>
      <c r="GJ22" s="1533"/>
      <c r="GK22" s="1534"/>
      <c r="GL22" s="1533"/>
      <c r="GM22" s="1534"/>
      <c r="GN22" s="1541"/>
      <c r="GO22" s="1534"/>
      <c r="GP22" s="1496">
        <f>IFERROR(__xludf.DUMMYFUNCTION("""COMPUTED_VALUE"""),31.02777777777778)</f>
        <v>31.02777778</v>
      </c>
      <c r="GQ22" s="1497">
        <f>IFERROR(__xludf.DUMMYFUNCTION("""COMPUTED_VALUE"""),3.826E11)</f>
        <v>382600000000</v>
      </c>
      <c r="GR22" s="1533"/>
      <c r="GS22" s="1534"/>
      <c r="GT22" s="1533"/>
      <c r="GU22" s="1534"/>
      <c r="GV22" s="1541"/>
      <c r="GW22" s="1534"/>
      <c r="GX22" s="1549"/>
      <c r="GY22" s="1550"/>
      <c r="GZ22" s="1533"/>
      <c r="HA22" s="1534"/>
      <c r="HB22" s="1551">
        <f>IFERROR(__xludf.DUMMYFUNCTION("""COMPUTED_VALUE"""),26.930555555555557)</f>
        <v>26.93055556</v>
      </c>
      <c r="HC22" s="1552">
        <f>IFERROR(__xludf.DUMMYFUNCTION("""COMPUTED_VALUE"""),4.952E10)</f>
        <v>49520000000</v>
      </c>
      <c r="HD22" s="1533"/>
      <c r="HE22" s="1534"/>
      <c r="HF22" s="1551">
        <f>IFERROR(__xludf.DUMMYFUNCTION("""COMPUTED_VALUE"""),27.37013888888889)</f>
        <v>27.37013889</v>
      </c>
      <c r="HG22" s="1552">
        <f>IFERROR(__xludf.DUMMYFUNCTION("""COMPUTED_VALUE"""),7.429E10)</f>
        <v>74290000000</v>
      </c>
      <c r="HH22" s="1533"/>
      <c r="HI22" s="1534"/>
      <c r="HJ22" s="1533"/>
      <c r="HK22" s="1534"/>
      <c r="HL22" s="1533"/>
      <c r="HM22" s="1534"/>
      <c r="HN22" s="1541"/>
      <c r="HO22" s="1534"/>
      <c r="HP22" s="1551">
        <f>IFERROR(__xludf.DUMMYFUNCTION("""COMPUTED_VALUE"""),118.75243055555555)</f>
        <v>118.7524306</v>
      </c>
      <c r="HQ22" s="1553">
        <f>IFERROR(__xludf.DUMMYFUNCTION("""COMPUTED_VALUE"""),1.704E10)</f>
        <v>17040000000</v>
      </c>
      <c r="HR22" s="1554">
        <f>IFERROR(__xludf.DUMMYFUNCTION("""COMPUTED_VALUE"""),40.733333333333334)</f>
        <v>40.73333333</v>
      </c>
      <c r="HS22" s="1555">
        <f>IFERROR(__xludf.DUMMYFUNCTION("""COMPUTED_VALUE"""),1.244E11)</f>
        <v>124400000000</v>
      </c>
      <c r="HT22" s="1554">
        <f>IFERROR(__xludf.DUMMYFUNCTION("""COMPUTED_VALUE"""),40.733333333333334)</f>
        <v>40.73333333</v>
      </c>
      <c r="HU22" s="1555">
        <f>IFERROR(__xludf.DUMMYFUNCTION("""COMPUTED_VALUE"""),1.244E11)</f>
        <v>124400000000</v>
      </c>
      <c r="HV22" s="1554">
        <f>IFERROR(__xludf.DUMMYFUNCTION("""COMPUTED_VALUE"""),40.733333333333334)</f>
        <v>40.73333333</v>
      </c>
      <c r="HW22" s="1555">
        <f>IFERROR(__xludf.DUMMYFUNCTION("""COMPUTED_VALUE"""),1.244E11)</f>
        <v>124400000000</v>
      </c>
      <c r="HX22" s="1556">
        <f>IFERROR(__xludf.DUMMYFUNCTION("""COMPUTED_VALUE"""),40.733333333333334)</f>
        <v>40.73333333</v>
      </c>
      <c r="HY22" s="1555">
        <f>IFERROR(__xludf.DUMMYFUNCTION("""COMPUTED_VALUE"""),1.244E11)</f>
        <v>124400000000</v>
      </c>
      <c r="HZ22" s="1533"/>
      <c r="IA22" s="1534"/>
      <c r="IB22" s="1556">
        <f>IFERROR(__xludf.DUMMYFUNCTION("""COMPUTED_VALUE"""),118.5980324074074)</f>
        <v>118.5980324</v>
      </c>
      <c r="IC22" s="1555">
        <f>IFERROR(__xludf.DUMMYFUNCTION("""COMPUTED_VALUE"""),2.2168E14)</f>
        <v>221680000000000</v>
      </c>
      <c r="ID22" s="1556">
        <f>IFERROR(__xludf.DUMMYFUNCTION("""COMPUTED_VALUE"""),118.5980324074074)</f>
        <v>118.5980324</v>
      </c>
      <c r="IE22" s="1555">
        <f>IFERROR(__xludf.DUMMYFUNCTION("""COMPUTED_VALUE"""),2.2168E14)</f>
        <v>221680000000000</v>
      </c>
      <c r="IF22" s="1556">
        <f>IFERROR(__xludf.DUMMYFUNCTION("""COMPUTED_VALUE"""),118.5980324074074)</f>
        <v>118.5980324</v>
      </c>
      <c r="IG22" s="1555">
        <f>IFERROR(__xludf.DUMMYFUNCTION("""COMPUTED_VALUE"""),2.2168E14)</f>
        <v>221680000000000</v>
      </c>
      <c r="IH22" s="1507">
        <f>IFERROR(__xludf.DUMMYFUNCTION("""COMPUTED_VALUE"""),41.42777777777778)</f>
        <v>41.42777778</v>
      </c>
      <c r="II22" s="1508">
        <f>IFERROR(__xludf.DUMMYFUNCTION("""COMPUTED_VALUE"""),7.616E11)</f>
        <v>761600000000</v>
      </c>
      <c r="IJ22" s="1507">
        <f>IFERROR(__xludf.DUMMYFUNCTION("""COMPUTED_VALUE"""),41.42777777777778)</f>
        <v>41.42777778</v>
      </c>
      <c r="IK22" s="1508">
        <f>IFERROR(__xludf.DUMMYFUNCTION("""COMPUTED_VALUE"""),7.616E11)</f>
        <v>761600000000</v>
      </c>
      <c r="IL22" s="1507">
        <f>IFERROR(__xludf.DUMMYFUNCTION("""COMPUTED_VALUE"""),41.42777777777778)</f>
        <v>41.42777778</v>
      </c>
      <c r="IM22" s="1508">
        <f>IFERROR(__xludf.DUMMYFUNCTION("""COMPUTED_VALUE"""),9.616E11)</f>
        <v>961600000000</v>
      </c>
      <c r="IN22" s="1507">
        <f>IFERROR(__xludf.DUMMYFUNCTION("""COMPUTED_VALUE"""),41.42777777777778)</f>
        <v>41.42777778</v>
      </c>
      <c r="IO22" s="1508">
        <f>IFERROR(__xludf.DUMMYFUNCTION("""COMPUTED_VALUE"""),9.616E11)</f>
        <v>961600000000</v>
      </c>
      <c r="IP22" s="1507">
        <f>IFERROR(__xludf.DUMMYFUNCTION("""COMPUTED_VALUE"""),41.890972222222224)</f>
        <v>41.89097222</v>
      </c>
      <c r="IQ22" s="1508">
        <f>IFERROR(__xludf.DUMMYFUNCTION("""COMPUTED_VALUE"""),1.56E12)</f>
        <v>1560000000000</v>
      </c>
      <c r="IR22" s="1507">
        <f>IFERROR(__xludf.DUMMYFUNCTION("""COMPUTED_VALUE"""),41.42777777777778)</f>
        <v>41.42777778</v>
      </c>
      <c r="IS22" s="1508">
        <f>IFERROR(__xludf.DUMMYFUNCTION("""COMPUTED_VALUE"""),9.616E11)</f>
        <v>961600000000</v>
      </c>
      <c r="IT22" s="1507">
        <f>IFERROR(__xludf.DUMMYFUNCTION("""COMPUTED_VALUE"""),41.42777777777778)</f>
        <v>41.42777778</v>
      </c>
      <c r="IU22" s="1508">
        <f>IFERROR(__xludf.DUMMYFUNCTION("""COMPUTED_VALUE"""),9.616E11)</f>
        <v>961600000000</v>
      </c>
      <c r="IV22" s="1507">
        <f>IFERROR(__xludf.DUMMYFUNCTION("""COMPUTED_VALUE"""),41.42777777777778)</f>
        <v>41.42777778</v>
      </c>
      <c r="IW22" s="1508">
        <f>IFERROR(__xludf.DUMMYFUNCTION("""COMPUTED_VALUE"""),9.616E11)</f>
        <v>961600000000</v>
      </c>
      <c r="IX22" s="1507">
        <f>IFERROR(__xludf.DUMMYFUNCTION("""COMPUTED_VALUE"""),41.42777777777778)</f>
        <v>41.42777778</v>
      </c>
      <c r="IY22" s="1508">
        <f>IFERROR(__xludf.DUMMYFUNCTION("""COMPUTED_VALUE"""),9.616E11)</f>
        <v>961600000000</v>
      </c>
      <c r="IZ22" s="1507">
        <f>IFERROR(__xludf.DUMMYFUNCTION("""COMPUTED_VALUE"""),41.42777777777778)</f>
        <v>41.42777778</v>
      </c>
      <c r="JA22" s="1508">
        <f>IFERROR(__xludf.DUMMYFUNCTION("""COMPUTED_VALUE"""),1.16E12)</f>
        <v>1160000000000</v>
      </c>
      <c r="JB22" s="1507">
        <f>IFERROR(__xludf.DUMMYFUNCTION("""COMPUTED_VALUE"""),41.42777777777778)</f>
        <v>41.42777778</v>
      </c>
      <c r="JC22" s="1508">
        <f>IFERROR(__xludf.DUMMYFUNCTION("""COMPUTED_VALUE"""),1.16E12)</f>
        <v>1160000000000</v>
      </c>
      <c r="JD22" s="1507">
        <f>IFERROR(__xludf.DUMMYFUNCTION("""COMPUTED_VALUE"""),41.42777777777778)</f>
        <v>41.42777778</v>
      </c>
      <c r="JE22" s="1508">
        <f>IFERROR(__xludf.DUMMYFUNCTION("""COMPUTED_VALUE"""),1.16E12)</f>
        <v>1160000000000</v>
      </c>
      <c r="JF22" s="1507">
        <f>IFERROR(__xludf.DUMMYFUNCTION("""COMPUTED_VALUE"""),41.42777777777778)</f>
        <v>41.42777778</v>
      </c>
      <c r="JG22" s="1508">
        <f>IFERROR(__xludf.DUMMYFUNCTION("""COMPUTED_VALUE"""),1.16E12)</f>
        <v>1160000000000</v>
      </c>
      <c r="JH22" s="1507">
        <f>IFERROR(__xludf.DUMMYFUNCTION("""COMPUTED_VALUE"""),41.890972222222224)</f>
        <v>41.89097222</v>
      </c>
      <c r="JI22" s="1508">
        <f>IFERROR(__xludf.DUMMYFUNCTION("""COMPUTED_VALUE"""),1.77E12)</f>
        <v>1770000000000</v>
      </c>
      <c r="JJ22" s="1507">
        <f>IFERROR(__xludf.DUMMYFUNCTION("""COMPUTED_VALUE"""),215.99027777777778)</f>
        <v>215.9902778</v>
      </c>
      <c r="JK22" s="1509">
        <f>IFERROR(__xludf.DUMMYFUNCTION("""COMPUTED_VALUE"""),5.0E18)</f>
        <v>5E+18</v>
      </c>
      <c r="JL22" s="1507">
        <f>IFERROR(__xludf.DUMMYFUNCTION("""COMPUTED_VALUE"""),215.99027777777778)</f>
        <v>215.9902778</v>
      </c>
      <c r="JM22" s="1509">
        <f>IFERROR(__xludf.DUMMYFUNCTION("""COMPUTED_VALUE"""),5.0E18)</f>
        <v>5E+18</v>
      </c>
      <c r="JN22" s="1507">
        <f>IFERROR(__xludf.DUMMYFUNCTION("""COMPUTED_VALUE"""),215.99027777777778)</f>
        <v>215.9902778</v>
      </c>
      <c r="JO22" s="1509">
        <f>IFERROR(__xludf.DUMMYFUNCTION("""COMPUTED_VALUE"""),5.0E18)</f>
        <v>5E+18</v>
      </c>
      <c r="JP22" s="1507">
        <f>IFERROR(__xludf.DUMMYFUNCTION("""COMPUTED_VALUE"""),215.99027777777778)</f>
        <v>215.9902778</v>
      </c>
      <c r="JQ22" s="1509">
        <f>IFERROR(__xludf.DUMMYFUNCTION("""COMPUTED_VALUE"""),5.0E18)</f>
        <v>5E+18</v>
      </c>
      <c r="JR22" s="1507">
        <f>IFERROR(__xludf.DUMMYFUNCTION("""COMPUTED_VALUE"""),215.99027777777778)</f>
        <v>215.9902778</v>
      </c>
      <c r="JS22" s="1509">
        <f>IFERROR(__xludf.DUMMYFUNCTION("""COMPUTED_VALUE"""),5.0E18)</f>
        <v>5E+18</v>
      </c>
      <c r="JT22" s="1507">
        <f>IFERROR(__xludf.DUMMYFUNCTION("""COMPUTED_VALUE"""),215.99027777777778)</f>
        <v>215.9902778</v>
      </c>
      <c r="JU22" s="1509">
        <f>IFERROR(__xludf.DUMMYFUNCTION("""COMPUTED_VALUE"""),5.0E18)</f>
        <v>5E+18</v>
      </c>
      <c r="JV22" s="1507">
        <f>IFERROR(__xludf.DUMMYFUNCTION("""COMPUTED_VALUE"""),53.99722222222222)</f>
        <v>53.99722222</v>
      </c>
      <c r="JW22" s="1509">
        <f>IFERROR(__xludf.DUMMYFUNCTION("""COMPUTED_VALUE"""),5.976303959E14)</f>
        <v>597630395900000</v>
      </c>
      <c r="JX22" s="1565"/>
      <c r="JY22" s="1564"/>
      <c r="JZ22" s="1510">
        <f>IFERROR(__xludf.DUMMYFUNCTION("""COMPUTED_VALUE"""),2.266481481)</f>
        <v>2.266481481</v>
      </c>
      <c r="KA22" s="1514">
        <f>IFERROR(__xludf.DUMMYFUNCTION("""COMPUTED_VALUE"""),5.67E9)</f>
        <v>5670000000</v>
      </c>
      <c r="KB22" s="1510">
        <f>IFERROR(__xludf.DUMMYFUNCTION("""COMPUTED_VALUE"""),2.998321759)</f>
        <v>2.998321759</v>
      </c>
      <c r="KC22" s="1514">
        <f>IFERROR(__xludf.DUMMYFUNCTION("""COMPUTED_VALUE"""),2.058E10)</f>
        <v>20580000000</v>
      </c>
      <c r="KD22" s="1510">
        <f>IFERROR(__xludf.DUMMYFUNCTION("""COMPUTED_VALUE"""),11.59079861)</f>
        <v>11.59079861</v>
      </c>
      <c r="KE22" s="1514">
        <f>IFERROR(__xludf.DUMMYFUNCTION("""COMPUTED_VALUE"""),1.24E12)</f>
        <v>1240000000000</v>
      </c>
      <c r="KF22" s="1510">
        <f>IFERROR(__xludf.DUMMYFUNCTION("""COMPUTED_VALUE"""),11.59079861)</f>
        <v>11.59079861</v>
      </c>
      <c r="KG22" s="1514">
        <f>IFERROR(__xludf.DUMMYFUNCTION("""COMPUTED_VALUE"""),1.24E12)</f>
        <v>1240000000000</v>
      </c>
      <c r="KH22" s="1565"/>
      <c r="KI22" s="1564"/>
      <c r="KJ22" s="1527"/>
      <c r="KK22" s="1527"/>
      <c r="KL22" s="1527"/>
      <c r="KM22" s="1527"/>
      <c r="KN22" s="1527"/>
      <c r="KO22" s="1527"/>
      <c r="KP22" s="1527"/>
      <c r="KQ22" s="1527"/>
      <c r="KR22" s="1527"/>
      <c r="KS22" s="1527"/>
      <c r="KT22" s="1527"/>
      <c r="KU22" s="1527"/>
      <c r="KV22" s="1557">
        <f>IFERROR(__xludf.DUMMYFUNCTION("""COMPUTED_VALUE"""),215.99027777777778)</f>
        <v>215.9902778</v>
      </c>
      <c r="KW22" s="1558">
        <f>IFERROR(__xludf.DUMMYFUNCTION("""COMPUTED_VALUE"""),5.0E18)</f>
        <v>5E+18</v>
      </c>
      <c r="KX22" s="1557">
        <f>IFERROR(__xludf.DUMMYFUNCTION("""COMPUTED_VALUE"""),215.99027777777778)</f>
        <v>215.9902778</v>
      </c>
      <c r="KY22" s="1558">
        <f>IFERROR(__xludf.DUMMYFUNCTION("""COMPUTED_VALUE"""),5.0E18)</f>
        <v>5E+18</v>
      </c>
      <c r="KZ22" s="1557">
        <f>IFERROR(__xludf.DUMMYFUNCTION("""COMPUTED_VALUE"""),215.99027777777778)</f>
        <v>215.9902778</v>
      </c>
      <c r="LA22" s="1558">
        <f>IFERROR(__xludf.DUMMYFUNCTION("""COMPUTED_VALUE"""),5.0E18)</f>
        <v>5E+18</v>
      </c>
      <c r="LB22" s="1557">
        <f>IFERROR(__xludf.DUMMYFUNCTION("""COMPUTED_VALUE"""),215.99027777777778)</f>
        <v>215.9902778</v>
      </c>
      <c r="LC22" s="1558">
        <f>IFERROR(__xludf.DUMMYFUNCTION("""COMPUTED_VALUE"""),5.0E18)</f>
        <v>5E+18</v>
      </c>
      <c r="LD22" s="1557">
        <f>IFERROR(__xludf.DUMMYFUNCTION("""COMPUTED_VALUE"""),215.99027777777778)</f>
        <v>215.9902778</v>
      </c>
      <c r="LE22" s="1558">
        <f>IFERROR(__xludf.DUMMYFUNCTION("""COMPUTED_VALUE"""),5.0E18)</f>
        <v>5E+18</v>
      </c>
      <c r="LF22" s="1557">
        <f>IFERROR(__xludf.DUMMYFUNCTION("""COMPUTED_VALUE"""),215.99027777777778)</f>
        <v>215.9902778</v>
      </c>
      <c r="LG22" s="1558">
        <f>IFERROR(__xludf.DUMMYFUNCTION("""COMPUTED_VALUE"""),5.0E18)</f>
        <v>5E+18</v>
      </c>
      <c r="LH22" s="1557">
        <f>IFERROR(__xludf.DUMMYFUNCTION("""COMPUTED_VALUE"""),215.99027777777778)</f>
        <v>215.9902778</v>
      </c>
      <c r="LI22" s="1558">
        <f>IFERROR(__xludf.DUMMYFUNCTION("""COMPUTED_VALUE"""),5.0E18)</f>
        <v>5E+18</v>
      </c>
      <c r="LJ22" s="1557">
        <f>IFERROR(__xludf.DUMMYFUNCTION("""COMPUTED_VALUE"""),215.99027777777778)</f>
        <v>215.9902778</v>
      </c>
      <c r="LK22" s="1558">
        <f>IFERROR(__xludf.DUMMYFUNCTION("""COMPUTED_VALUE"""),5.0E18)</f>
        <v>5E+18</v>
      </c>
      <c r="LL22" s="1527"/>
      <c r="LM22" s="1527"/>
      <c r="LN22" s="1498">
        <f>IFERROR(__xludf.DUMMYFUNCTION("""COMPUTED_VALUE"""),269.9875)</f>
        <v>269.9875</v>
      </c>
      <c r="LO22" s="1497">
        <f>IFERROR(__xludf.DUMMYFUNCTION("""COMPUTED_VALUE"""),4.000000000000001E18)</f>
        <v>4E+18</v>
      </c>
      <c r="LP22" s="1498">
        <f>IFERROR(__xludf.DUMMYFUNCTION("""COMPUTED_VALUE"""),269.9875)</f>
        <v>269.9875</v>
      </c>
      <c r="LQ22" s="1497">
        <f>IFERROR(__xludf.DUMMYFUNCTION("""COMPUTED_VALUE"""),4.000000000000001E18)</f>
        <v>4E+18</v>
      </c>
      <c r="LR22" s="1498">
        <f>IFERROR(__xludf.DUMMYFUNCTION("""COMPUTED_VALUE"""),269.9875)</f>
        <v>269.9875</v>
      </c>
      <c r="LS22" s="1497">
        <f>IFERROR(__xludf.DUMMYFUNCTION("""COMPUTED_VALUE"""),4.000000000000001E18)</f>
        <v>4E+18</v>
      </c>
      <c r="LT22" s="1498">
        <f>IFERROR(__xludf.DUMMYFUNCTION("""COMPUTED_VALUE"""),269.9875)</f>
        <v>269.9875</v>
      </c>
      <c r="LU22" s="1497">
        <f>IFERROR(__xludf.DUMMYFUNCTION("""COMPUTED_VALUE"""),4.000000000000001E18)</f>
        <v>4E+18</v>
      </c>
      <c r="LV22" s="1498">
        <f>IFERROR(__xludf.DUMMYFUNCTION("""COMPUTED_VALUE"""),269.9875)</f>
        <v>269.9875</v>
      </c>
      <c r="LW22" s="1497">
        <f>IFERROR(__xludf.DUMMYFUNCTION("""COMPUTED_VALUE"""),4.000000000000001E18)</f>
        <v>4E+18</v>
      </c>
      <c r="LX22" s="1498">
        <f>IFERROR(__xludf.DUMMYFUNCTION("""COMPUTED_VALUE"""),323.98541666666665)</f>
        <v>323.9854167</v>
      </c>
      <c r="LY22" s="1559">
        <f>IFERROR(__xludf.DUMMYFUNCTION("""COMPUTED_VALUE"""),1.0E19)</f>
        <v>1E+19</v>
      </c>
      <c r="LZ22" s="1498">
        <f>IFERROR(__xludf.DUMMYFUNCTION("""COMPUTED_VALUE"""),323.98541666666665)</f>
        <v>323.9854167</v>
      </c>
      <c r="MA22" s="1559">
        <f>IFERROR(__xludf.DUMMYFUNCTION("""COMPUTED_VALUE"""),1.0E19)</f>
        <v>1E+19</v>
      </c>
      <c r="MB22" s="1498">
        <f>IFERROR(__xludf.DUMMYFUNCTION("""COMPUTED_VALUE"""),323.98541666666665)</f>
        <v>323.9854167</v>
      </c>
      <c r="MC22" s="1559">
        <f>IFERROR(__xludf.DUMMYFUNCTION("""COMPUTED_VALUE"""),1.0E19)</f>
        <v>1E+19</v>
      </c>
      <c r="MD22" s="1498">
        <f>IFERROR(__xludf.DUMMYFUNCTION("""COMPUTED_VALUE"""),323.98541666666665)</f>
        <v>323.9854167</v>
      </c>
      <c r="ME22" s="1559">
        <f>IFERROR(__xludf.DUMMYFUNCTION("""COMPUTED_VALUE"""),1.0E19)</f>
        <v>1E+19</v>
      </c>
      <c r="MF22" s="1527"/>
      <c r="MG22" s="1527"/>
      <c r="MH22" s="1527"/>
      <c r="MI22" s="1527"/>
      <c r="MJ22" s="1527"/>
      <c r="MK22" s="1527"/>
      <c r="ML22" s="1527"/>
      <c r="MM22" s="1527"/>
      <c r="MN22" s="1527"/>
      <c r="MO22" s="1527"/>
      <c r="MP22" s="1527"/>
      <c r="MQ22" s="1527"/>
      <c r="MR22" s="1527"/>
      <c r="MS22" s="1527"/>
      <c r="MT22" s="1527"/>
      <c r="MU22" s="1527"/>
      <c r="MV22" s="1527"/>
      <c r="MW22" s="1527"/>
      <c r="MX22" s="1527"/>
      <c r="MY22" s="1527"/>
    </row>
    <row r="23">
      <c r="A23" s="1465">
        <f>IFERROR(__xludf.DUMMYFUNCTION("""COMPUTED_VALUE"""),21.0)</f>
        <v>21</v>
      </c>
      <c r="B23" s="1518"/>
      <c r="C23" s="1520"/>
      <c r="D23" s="1466">
        <f>IFERROR(__xludf.DUMMYFUNCTION("""COMPUTED_VALUE"""),1.1430555555555555)</f>
        <v>1.143055556</v>
      </c>
      <c r="E23" s="1467">
        <f>IFERROR(__xludf.DUMMYFUNCTION("""COMPUTED_VALUE"""),53530.0)</f>
        <v>53530</v>
      </c>
      <c r="F23" s="1466">
        <f>IFERROR(__xludf.DUMMYFUNCTION("""COMPUTED_VALUE"""),1.1430555555555555)</f>
        <v>1.143055556</v>
      </c>
      <c r="G23" s="1467">
        <f>IFERROR(__xludf.DUMMYFUNCTION("""COMPUTED_VALUE"""),53530.0)</f>
        <v>53530</v>
      </c>
      <c r="H23" s="1466">
        <f>IFERROR(__xludf.DUMMYFUNCTION("""COMPUTED_VALUE"""),1.1430555555555555)</f>
        <v>1.143055556</v>
      </c>
      <c r="I23" s="1467">
        <f>IFERROR(__xludf.DUMMYFUNCTION("""COMPUTED_VALUE"""),53530.0)</f>
        <v>53530</v>
      </c>
      <c r="J23" s="1466">
        <f>IFERROR(__xludf.DUMMYFUNCTION("""COMPUTED_VALUE"""),1.1430555555555555)</f>
        <v>1.143055556</v>
      </c>
      <c r="K23" s="1467">
        <f>IFERROR(__xludf.DUMMYFUNCTION("""COMPUTED_VALUE"""),53530.0)</f>
        <v>53530</v>
      </c>
      <c r="L23" s="1466">
        <f>IFERROR(__xludf.DUMMYFUNCTION("""COMPUTED_VALUE"""),1.7993055555555555)</f>
        <v>1.799305556</v>
      </c>
      <c r="M23" s="1469">
        <f>IFERROR(__xludf.DUMMYFUNCTION("""COMPUTED_VALUE"""),132510.0)</f>
        <v>132510</v>
      </c>
      <c r="N23" s="1470">
        <f>IFERROR(__xludf.DUMMYFUNCTION("""COMPUTED_VALUE"""),1.2847222222222223)</f>
        <v>1.284722222</v>
      </c>
      <c r="O23" s="1467">
        <f>IFERROR(__xludf.DUMMYFUNCTION("""COMPUTED_VALUE"""),140970.0)</f>
        <v>140970</v>
      </c>
      <c r="P23" s="1518"/>
      <c r="Q23" s="1519"/>
      <c r="R23" s="1518"/>
      <c r="S23" s="1519"/>
      <c r="T23" s="1518"/>
      <c r="U23" s="1519"/>
      <c r="V23" s="1518"/>
      <c r="W23" s="1519"/>
      <c r="X23" s="1518"/>
      <c r="Y23" s="1519"/>
      <c r="Z23" s="1518"/>
      <c r="AA23" s="1519"/>
      <c r="AB23" s="1518"/>
      <c r="AC23" s="1519"/>
      <c r="AD23" s="1466">
        <f>IFERROR(__xludf.DUMMYFUNCTION("""COMPUTED_VALUE"""),22.678472222222222)</f>
        <v>22.67847222</v>
      </c>
      <c r="AE23" s="1474">
        <f>IFERROR(__xludf.DUMMYFUNCTION("""COMPUTED_VALUE"""),1.900496377E11)</f>
        <v>190049637700</v>
      </c>
      <c r="AF23" s="1466">
        <f>IFERROR(__xludf.DUMMYFUNCTION("""COMPUTED_VALUE"""),22.678472222222222)</f>
        <v>22.67847222</v>
      </c>
      <c r="AG23" s="1474">
        <f>IFERROR(__xludf.DUMMYFUNCTION("""COMPUTED_VALUE"""),1.900496377E11)</f>
        <v>190049637700</v>
      </c>
      <c r="AH23" s="1466">
        <f>IFERROR(__xludf.DUMMYFUNCTION("""COMPUTED_VALUE"""),22.678472222222222)</f>
        <v>22.67847222</v>
      </c>
      <c r="AI23" s="1474">
        <f>IFERROR(__xludf.DUMMYFUNCTION("""COMPUTED_VALUE"""),1.900496377E11)</f>
        <v>190049637700</v>
      </c>
      <c r="AJ23" s="1475">
        <f>IFERROR(__xludf.DUMMYFUNCTION("""COMPUTED_VALUE"""),1.1430555555555555)</f>
        <v>1.143055556</v>
      </c>
      <c r="AK23" s="1476">
        <f>IFERROR(__xludf.DUMMYFUNCTION("""COMPUTED_VALUE"""),53530.0)</f>
        <v>53530</v>
      </c>
      <c r="AL23" s="1475">
        <f>IFERROR(__xludf.DUMMYFUNCTION("""COMPUTED_VALUE"""),1.1430555555555555)</f>
        <v>1.143055556</v>
      </c>
      <c r="AM23" s="1476">
        <f>IFERROR(__xludf.DUMMYFUNCTION("""COMPUTED_VALUE"""),53530.0)</f>
        <v>53530</v>
      </c>
      <c r="AN23" s="1475">
        <f>IFERROR(__xludf.DUMMYFUNCTION("""COMPUTED_VALUE"""),1.1430555555555555)</f>
        <v>1.143055556</v>
      </c>
      <c r="AO23" s="1476">
        <f>IFERROR(__xludf.DUMMYFUNCTION("""COMPUTED_VALUE"""),53530.0)</f>
        <v>53530</v>
      </c>
      <c r="AP23" s="1475">
        <f>IFERROR(__xludf.DUMMYFUNCTION("""COMPUTED_VALUE"""),1.1430555555555555)</f>
        <v>1.143055556</v>
      </c>
      <c r="AQ23" s="1476">
        <f>IFERROR(__xludf.DUMMYFUNCTION("""COMPUTED_VALUE"""),53530.0)</f>
        <v>53530</v>
      </c>
      <c r="AR23" s="1475">
        <f>IFERROR(__xludf.DUMMYFUNCTION("""COMPUTED_VALUE"""),1.14375)</f>
        <v>1.14375</v>
      </c>
      <c r="AS23" s="1476">
        <f>IFERROR(__xludf.DUMMYFUNCTION("""COMPUTED_VALUE"""),53540.0)</f>
        <v>53540</v>
      </c>
      <c r="AT23" s="1475">
        <f>IFERROR(__xludf.DUMMYFUNCTION("""COMPUTED_VALUE"""),248.72986111111112)</f>
        <v>248.7298611</v>
      </c>
      <c r="AU23" s="1476">
        <f>IFERROR(__xludf.DUMMYFUNCTION("""COMPUTED_VALUE"""),1.31E9)</f>
        <v>1310000000</v>
      </c>
      <c r="AV23" s="1475">
        <f>IFERROR(__xludf.DUMMYFUNCTION("""COMPUTED_VALUE"""),142.36041666666668)</f>
        <v>142.3604167</v>
      </c>
      <c r="AW23" s="1476">
        <f>IFERROR(__xludf.DUMMYFUNCTION("""COMPUTED_VALUE"""),1.31E9)</f>
        <v>1310000000</v>
      </c>
      <c r="AX23" s="1475">
        <f>IFERROR(__xludf.DUMMYFUNCTION("""COMPUTED_VALUE"""),15.636111111111111)</f>
        <v>15.63611111</v>
      </c>
      <c r="AY23" s="1476">
        <f>IFERROR(__xludf.DUMMYFUNCTION("""COMPUTED_VALUE"""),1.04E12)</f>
        <v>1040000000000</v>
      </c>
      <c r="AZ23" s="1518"/>
      <c r="BA23" s="1518"/>
      <c r="BB23" s="1477">
        <f>IFERROR(__xludf.DUMMYFUNCTION("""COMPUTED_VALUE"""),1.1430555555555555)</f>
        <v>1.143055556</v>
      </c>
      <c r="BC23" s="1478">
        <f>IFERROR(__xludf.DUMMYFUNCTION("""COMPUTED_VALUE"""),53530.0)</f>
        <v>53530</v>
      </c>
      <c r="BD23" s="1477">
        <f>IFERROR(__xludf.DUMMYFUNCTION("""COMPUTED_VALUE"""),1.1430555555555555)</f>
        <v>1.143055556</v>
      </c>
      <c r="BE23" s="1478">
        <f>IFERROR(__xludf.DUMMYFUNCTION("""COMPUTED_VALUE"""),53530.0)</f>
        <v>53530</v>
      </c>
      <c r="BF23" s="1477">
        <f>IFERROR(__xludf.DUMMYFUNCTION("""COMPUTED_VALUE"""),1.1430555555555555)</f>
        <v>1.143055556</v>
      </c>
      <c r="BG23" s="1478">
        <f>IFERROR(__xludf.DUMMYFUNCTION("""COMPUTED_VALUE"""),53530.0)</f>
        <v>53530</v>
      </c>
      <c r="BH23" s="1477">
        <f>IFERROR(__xludf.DUMMYFUNCTION("""COMPUTED_VALUE"""),16.656944444444445)</f>
        <v>16.65694444</v>
      </c>
      <c r="BI23" s="1478">
        <f>IFERROR(__xludf.DUMMYFUNCTION("""COMPUTED_VALUE"""),1.6004E8)</f>
        <v>160040000</v>
      </c>
      <c r="BJ23" s="1518"/>
      <c r="BK23" s="1519"/>
      <c r="BL23" s="1518"/>
      <c r="BM23" s="1519"/>
      <c r="BN23" s="1477">
        <f>IFERROR(__xludf.DUMMYFUNCTION("""COMPUTED_VALUE"""),31.832638888888887)</f>
        <v>31.83263889</v>
      </c>
      <c r="BO23" s="1478">
        <f>IFERROR(__xludf.DUMMYFUNCTION("""COMPUTED_VALUE"""),3.93E9)</f>
        <v>3930000000</v>
      </c>
      <c r="BP23" s="1518"/>
      <c r="BQ23" s="1519"/>
      <c r="BR23" s="1520"/>
      <c r="BS23" s="1519"/>
      <c r="BT23" s="1479">
        <f>IFERROR(__xludf.DUMMYFUNCTION("""COMPUTED_VALUE"""),1.3513888888888888)</f>
        <v>1.351388889</v>
      </c>
      <c r="BU23" s="1480">
        <f>IFERROR(__xludf.DUMMYFUNCTION("""COMPUTED_VALUE"""),6.97E9)</f>
        <v>6970000000</v>
      </c>
      <c r="BV23" s="1520"/>
      <c r="BW23" s="1520"/>
      <c r="BX23" s="1479">
        <f>IFERROR(__xludf.DUMMYFUNCTION("""COMPUTED_VALUE"""),79.44481481481482)</f>
        <v>79.44481481</v>
      </c>
      <c r="BY23" s="1480">
        <f>IFERROR(__xludf.DUMMYFUNCTION("""COMPUTED_VALUE"""),1.5197E11)</f>
        <v>151970000000</v>
      </c>
      <c r="BZ23" s="1520"/>
      <c r="CA23" s="1520"/>
      <c r="CB23" s="1520"/>
      <c r="CC23" s="1519"/>
      <c r="CD23" s="1477">
        <f>IFERROR(__xludf.DUMMYFUNCTION("""COMPUTED_VALUE"""),7.036689814814815)</f>
        <v>7.036689815</v>
      </c>
      <c r="CE23" s="1481">
        <f>IFERROR(__xludf.DUMMYFUNCTION("""COMPUTED_VALUE"""),7.004E11)</f>
        <v>700400000000</v>
      </c>
      <c r="CF23" s="1527"/>
      <c r="CG23" s="1560"/>
      <c r="CH23" s="1482">
        <f>IFERROR(__xludf.DUMMYFUNCTION("""COMPUTED_VALUE"""),1.14375)</f>
        <v>1.14375</v>
      </c>
      <c r="CI23" s="1483">
        <f>IFERROR(__xludf.DUMMYFUNCTION("""COMPUTED_VALUE"""),53540.0)</f>
        <v>53540</v>
      </c>
      <c r="CJ23" s="1482">
        <f>IFERROR(__xludf.DUMMYFUNCTION("""COMPUTED_VALUE"""),1.14375)</f>
        <v>1.14375</v>
      </c>
      <c r="CK23" s="1483">
        <f>IFERROR(__xludf.DUMMYFUNCTION("""COMPUTED_VALUE"""),53540.0)</f>
        <v>53540</v>
      </c>
      <c r="CL23" s="1482">
        <f>IFERROR(__xludf.DUMMYFUNCTION("""COMPUTED_VALUE"""),1.14375)</f>
        <v>1.14375</v>
      </c>
      <c r="CM23" s="1483">
        <f>IFERROR(__xludf.DUMMYFUNCTION("""COMPUTED_VALUE"""),53540.0)</f>
        <v>53540</v>
      </c>
      <c r="CN23" s="1482">
        <f>IFERROR(__xludf.DUMMYFUNCTION("""COMPUTED_VALUE"""),1.14375)</f>
        <v>1.14375</v>
      </c>
      <c r="CO23" s="1483">
        <f>IFERROR(__xludf.DUMMYFUNCTION("""COMPUTED_VALUE"""),53540.0)</f>
        <v>53540</v>
      </c>
      <c r="CP23" s="1482">
        <f>IFERROR(__xludf.DUMMYFUNCTION("""COMPUTED_VALUE"""),2.0715277777777774)</f>
        <v>2.071527778</v>
      </c>
      <c r="CQ23" s="1483">
        <f>IFERROR(__xludf.DUMMYFUNCTION("""COMPUTED_VALUE"""),140980.0)</f>
        <v>140980</v>
      </c>
      <c r="CR23" s="1518"/>
      <c r="CS23" s="1519"/>
      <c r="CT23" s="1520"/>
      <c r="CU23" s="1519"/>
      <c r="CV23" s="1520"/>
      <c r="CW23" s="1519"/>
      <c r="CX23" s="1520"/>
      <c r="CY23" s="1519"/>
      <c r="CZ23" s="1520"/>
      <c r="DA23" s="1520"/>
      <c r="DB23" s="1520"/>
      <c r="DC23" s="1520"/>
      <c r="DD23" s="1520"/>
      <c r="DE23" s="1519"/>
      <c r="DF23" s="1520"/>
      <c r="DG23" s="1519"/>
      <c r="DH23" s="1518"/>
      <c r="DI23" s="1519"/>
      <c r="DJ23" s="1520"/>
      <c r="DK23" s="1519"/>
      <c r="DL23" s="1486">
        <f>IFERROR(__xludf.DUMMYFUNCTION("""COMPUTED_VALUE"""),32.59652777777778)</f>
        <v>32.59652778</v>
      </c>
      <c r="DM23" s="1487">
        <f>IFERROR(__xludf.DUMMYFUNCTION("""COMPUTED_VALUE"""),3.93E9)</f>
        <v>3930000000</v>
      </c>
      <c r="DN23" s="1518"/>
      <c r="DO23" s="1519"/>
      <c r="DP23" s="1486">
        <f>IFERROR(__xludf.DUMMYFUNCTION("""COMPUTED_VALUE"""),32.59652777777778)</f>
        <v>32.59652778</v>
      </c>
      <c r="DQ23" s="1487">
        <f>IFERROR(__xludf.DUMMYFUNCTION("""COMPUTED_VALUE"""),3.93E9)</f>
        <v>3930000000</v>
      </c>
      <c r="DR23" s="1486">
        <f>IFERROR(__xludf.DUMMYFUNCTION("""COMPUTED_VALUE"""),32.59652777777778)</f>
        <v>32.59652778</v>
      </c>
      <c r="DS23" s="1487">
        <f>IFERROR(__xludf.DUMMYFUNCTION("""COMPUTED_VALUE"""),3.93E9)</f>
        <v>3930000000</v>
      </c>
      <c r="DT23" s="1518"/>
      <c r="DU23" s="1519"/>
      <c r="DV23" s="1486">
        <f>IFERROR(__xludf.DUMMYFUNCTION("""COMPUTED_VALUE"""),32.59652777777778)</f>
        <v>32.59652778</v>
      </c>
      <c r="DW23" s="1487">
        <f>IFERROR(__xludf.DUMMYFUNCTION("""COMPUTED_VALUE"""),3.93E9)</f>
        <v>3930000000</v>
      </c>
      <c r="DX23" s="1486">
        <f>IFERROR(__xludf.DUMMYFUNCTION("""COMPUTED_VALUE"""),32.59652777777778)</f>
        <v>32.59652778</v>
      </c>
      <c r="DY23" s="1487">
        <f>IFERROR(__xludf.DUMMYFUNCTION("""COMPUTED_VALUE"""),3.93E9)</f>
        <v>3930000000</v>
      </c>
      <c r="DZ23" s="1486">
        <f>IFERROR(__xludf.DUMMYFUNCTION("""COMPUTED_VALUE"""),37.59652777777778)</f>
        <v>37.59652778</v>
      </c>
      <c r="EA23" s="1487">
        <f>IFERROR(__xludf.DUMMYFUNCTION("""COMPUTED_VALUE"""),1.122E10)</f>
        <v>11220000000</v>
      </c>
      <c r="EB23" s="1518"/>
      <c r="EC23" s="1519"/>
      <c r="ED23" s="1518"/>
      <c r="EE23" s="1519"/>
      <c r="EF23" s="1486">
        <f>IFERROR(__xludf.DUMMYFUNCTION("""COMPUTED_VALUE"""),36.763194444444444)</f>
        <v>36.76319444</v>
      </c>
      <c r="EG23" s="1487">
        <f>IFERROR(__xludf.DUMMYFUNCTION("""COMPUTED_VALUE"""),1.122E10)</f>
        <v>11220000000</v>
      </c>
      <c r="EH23" s="1518"/>
      <c r="EI23" s="1519"/>
      <c r="EJ23" s="1486">
        <f>IFERROR(__xludf.DUMMYFUNCTION("""COMPUTED_VALUE"""),11.865960648148148)</f>
        <v>11.86596065</v>
      </c>
      <c r="EK23" s="1487">
        <f>IFERROR(__xludf.DUMMYFUNCTION("""COMPUTED_VALUE"""),6.6377E8)</f>
        <v>663770000</v>
      </c>
      <c r="EL23" s="1562"/>
      <c r="EM23" s="1560"/>
      <c r="EN23" s="1518"/>
      <c r="EO23" s="1519"/>
      <c r="EP23" s="1518"/>
      <c r="EQ23" s="1519"/>
      <c r="ER23" s="1518"/>
      <c r="ES23" s="1519"/>
      <c r="ET23" s="1486">
        <f>IFERROR(__xludf.DUMMYFUNCTION("""COMPUTED_VALUE"""),36.763194444444444)</f>
        <v>36.76319444</v>
      </c>
      <c r="EU23" s="1487">
        <f>IFERROR(__xludf.DUMMYFUNCTION("""COMPUTED_VALUE"""),1.122E10)</f>
        <v>11220000000</v>
      </c>
      <c r="EV23" s="1518"/>
      <c r="EW23" s="1519"/>
      <c r="EX23" s="1518"/>
      <c r="EY23" s="1519"/>
      <c r="EZ23" s="1518"/>
      <c r="FA23" s="1519"/>
      <c r="FB23" s="1520"/>
      <c r="FC23" s="1519"/>
      <c r="FD23" s="1520"/>
      <c r="FE23" s="1519"/>
      <c r="FF23" s="1520"/>
      <c r="FG23" s="1519"/>
      <c r="FH23" s="1520"/>
      <c r="FI23" s="1520"/>
      <c r="FJ23" s="1520"/>
      <c r="FK23" s="1519"/>
      <c r="FL23" s="1518"/>
      <c r="FM23" s="1519"/>
      <c r="FN23" s="1532"/>
      <c r="FO23" s="1520"/>
      <c r="FP23" s="1486">
        <f>IFERROR(__xludf.DUMMYFUNCTION("""COMPUTED_VALUE"""),80.38577546296297)</f>
        <v>80.38577546</v>
      </c>
      <c r="FQ23" s="1488">
        <f>IFERROR(__xludf.DUMMYFUNCTION("""COMPUTED_VALUE"""),3.3253E14)</f>
        <v>332530000000000</v>
      </c>
      <c r="FR23" s="1532"/>
      <c r="FS23" s="1520"/>
      <c r="FT23" s="1486">
        <f>IFERROR(__xludf.DUMMYFUNCTION("""COMPUTED_VALUE"""),80.38577546296297)</f>
        <v>80.38577546</v>
      </c>
      <c r="FU23" s="1488">
        <f>IFERROR(__xludf.DUMMYFUNCTION("""COMPUTED_VALUE"""),3.3253E14)</f>
        <v>332530000000000</v>
      </c>
      <c r="FV23" s="1486">
        <f>IFERROR(__xludf.DUMMYFUNCTION("""COMPUTED_VALUE"""),80.38577546296297)</f>
        <v>80.38577546</v>
      </c>
      <c r="FW23" s="1488">
        <f>IFERROR(__xludf.DUMMYFUNCTION("""COMPUTED_VALUE"""),3.3253E14)</f>
        <v>332530000000000</v>
      </c>
      <c r="FX23" s="1527"/>
      <c r="FY23" s="1527"/>
      <c r="FZ23" s="1491">
        <f>IFERROR(__xludf.DUMMYFUNCTION("""COMPUTED_VALUE"""),80.38577546296297)</f>
        <v>80.38577546</v>
      </c>
      <c r="GA23" s="1492">
        <f>IFERROR(__xludf.DUMMYFUNCTION("""COMPUTED_VALUE"""),3.3253E14)</f>
        <v>332530000000000</v>
      </c>
      <c r="GB23" s="1527"/>
      <c r="GC23" s="1527"/>
      <c r="GD23" s="1527"/>
      <c r="GE23" s="1560"/>
      <c r="GF23" s="1520"/>
      <c r="GG23" s="1519"/>
      <c r="GH23" s="1494">
        <f>IFERROR(__xludf.DUMMYFUNCTION("""COMPUTED_VALUE"""),35.97152777777778)</f>
        <v>35.97152778</v>
      </c>
      <c r="GI23" s="1495">
        <f>IFERROR(__xludf.DUMMYFUNCTION("""COMPUTED_VALUE"""),3.201E10)</f>
        <v>32010000000</v>
      </c>
      <c r="GJ23" s="1518"/>
      <c r="GK23" s="1519"/>
      <c r="GL23" s="1518"/>
      <c r="GM23" s="1519"/>
      <c r="GN23" s="1520"/>
      <c r="GO23" s="1519"/>
      <c r="GP23" s="1496">
        <f>IFERROR(__xludf.DUMMYFUNCTION("""COMPUTED_VALUE"""),36.138194444444444)</f>
        <v>36.13819444</v>
      </c>
      <c r="GQ23" s="1497">
        <f>IFERROR(__xludf.DUMMYFUNCTION("""COMPUTED_VALUE"""),4.6142E11)</f>
        <v>461420000000</v>
      </c>
      <c r="GR23" s="1518"/>
      <c r="GS23" s="1519"/>
      <c r="GT23" s="1518"/>
      <c r="GU23" s="1519"/>
      <c r="GV23" s="1520"/>
      <c r="GW23" s="1519"/>
      <c r="GX23" s="1561"/>
      <c r="GY23" s="1527"/>
      <c r="GZ23" s="1518"/>
      <c r="HA23" s="1519"/>
      <c r="HB23" s="1501">
        <f>IFERROR(__xludf.DUMMYFUNCTION("""COMPUTED_VALUE"""),31.832638888888887)</f>
        <v>31.83263889</v>
      </c>
      <c r="HC23" s="1502">
        <f>IFERROR(__xludf.DUMMYFUNCTION("""COMPUTED_VALUE"""),6.4E10)</f>
        <v>64000000000</v>
      </c>
      <c r="HD23" s="1518"/>
      <c r="HE23" s="1519"/>
      <c r="HF23" s="1501">
        <f>IFERROR(__xludf.DUMMYFUNCTION("""COMPUTED_VALUE"""),32.295833333333334)</f>
        <v>32.29583333</v>
      </c>
      <c r="HG23" s="1502">
        <f>IFERROR(__xludf.DUMMYFUNCTION("""COMPUTED_VALUE"""),9.6E10)</f>
        <v>96000000000</v>
      </c>
      <c r="HH23" s="1518"/>
      <c r="HI23" s="1519"/>
      <c r="HJ23" s="1518"/>
      <c r="HK23" s="1519"/>
      <c r="HL23" s="1518"/>
      <c r="HM23" s="1519"/>
      <c r="HN23" s="1520"/>
      <c r="HO23" s="1519"/>
      <c r="HP23" s="1501">
        <f>IFERROR(__xludf.DUMMYFUNCTION("""COMPUTED_VALUE"""),143.86752314814814)</f>
        <v>143.8675231</v>
      </c>
      <c r="HQ23" s="1502">
        <f>IFERROR(__xludf.DUMMYFUNCTION("""COMPUTED_VALUE"""),2.147E10)</f>
        <v>21470000000</v>
      </c>
      <c r="HR23" s="1524">
        <f>IFERROR(__xludf.DUMMYFUNCTION("""COMPUTED_VALUE"""),47.67519675925926)</f>
        <v>47.67519676</v>
      </c>
      <c r="HS23" s="1523">
        <f>IFERROR(__xludf.DUMMYFUNCTION("""COMPUTED_VALUE"""),1.6063E11)</f>
        <v>160630000000</v>
      </c>
      <c r="HT23" s="1524">
        <f>IFERROR(__xludf.DUMMYFUNCTION("""COMPUTED_VALUE"""),47.67519675925926)</f>
        <v>47.67519676</v>
      </c>
      <c r="HU23" s="1523">
        <f>IFERROR(__xludf.DUMMYFUNCTION("""COMPUTED_VALUE"""),1.6063E11)</f>
        <v>160630000000</v>
      </c>
      <c r="HV23" s="1524">
        <f>IFERROR(__xludf.DUMMYFUNCTION("""COMPUTED_VALUE"""),47.67519675925926)</f>
        <v>47.67519676</v>
      </c>
      <c r="HW23" s="1523">
        <f>IFERROR(__xludf.DUMMYFUNCTION("""COMPUTED_VALUE"""),1.6063E11)</f>
        <v>160630000000</v>
      </c>
      <c r="HX23" s="1524">
        <f>IFERROR(__xludf.DUMMYFUNCTION("""COMPUTED_VALUE"""),47.67519675925926)</f>
        <v>47.67519676</v>
      </c>
      <c r="HY23" s="1523">
        <f>IFERROR(__xludf.DUMMYFUNCTION("""COMPUTED_VALUE"""),1.6063E11)</f>
        <v>160630000000</v>
      </c>
      <c r="HZ23" s="1518"/>
      <c r="IA23" s="1519"/>
      <c r="IB23" s="1518"/>
      <c r="IC23" s="1519"/>
      <c r="ID23" s="1518"/>
      <c r="IE23" s="1519"/>
      <c r="IF23" s="1518"/>
      <c r="IG23" s="1519"/>
      <c r="IH23" s="1507">
        <f>IFERROR(__xludf.DUMMYFUNCTION("""COMPUTED_VALUE"""),48.36944444444445)</f>
        <v>48.36944444</v>
      </c>
      <c r="II23" s="1508">
        <f>IFERROR(__xludf.DUMMYFUNCTION("""COMPUTED_VALUE"""),8.5942E11)</f>
        <v>859420000000</v>
      </c>
      <c r="IJ23" s="1507">
        <f>IFERROR(__xludf.DUMMYFUNCTION("""COMPUTED_VALUE"""),48.36944444444445)</f>
        <v>48.36944444</v>
      </c>
      <c r="IK23" s="1508">
        <f>IFERROR(__xludf.DUMMYFUNCTION("""COMPUTED_VALUE"""),8.5942E11)</f>
        <v>859420000000</v>
      </c>
      <c r="IL23" s="1507">
        <f>IFERROR(__xludf.DUMMYFUNCTION("""COMPUTED_VALUE"""),48.36944444444445)</f>
        <v>48.36944444</v>
      </c>
      <c r="IM23" s="1508">
        <f>IFERROR(__xludf.DUMMYFUNCTION("""COMPUTED_VALUE"""),1.07E12)</f>
        <v>1070000000000</v>
      </c>
      <c r="IN23" s="1507">
        <f>IFERROR(__xludf.DUMMYFUNCTION("""COMPUTED_VALUE"""),48.36944444444445)</f>
        <v>48.36944444</v>
      </c>
      <c r="IO23" s="1508">
        <f>IFERROR(__xludf.DUMMYFUNCTION("""COMPUTED_VALUE"""),1.07E12)</f>
        <v>1070000000000</v>
      </c>
      <c r="IP23" s="1507">
        <f>IFERROR(__xludf.DUMMYFUNCTION("""COMPUTED_VALUE"""),48.83194444444444)</f>
        <v>48.83194444</v>
      </c>
      <c r="IQ23" s="1508">
        <f>IFERROR(__xludf.DUMMYFUNCTION("""COMPUTED_VALUE"""),1.7E12)</f>
        <v>1700000000000</v>
      </c>
      <c r="IR23" s="1507">
        <f>IFERROR(__xludf.DUMMYFUNCTION("""COMPUTED_VALUE"""),48.36944444444445)</f>
        <v>48.36944444</v>
      </c>
      <c r="IS23" s="1508">
        <f>IFERROR(__xludf.DUMMYFUNCTION("""COMPUTED_VALUE"""),1.07E12)</f>
        <v>1070000000000</v>
      </c>
      <c r="IT23" s="1507">
        <f>IFERROR(__xludf.DUMMYFUNCTION("""COMPUTED_VALUE"""),48.36944444444445)</f>
        <v>48.36944444</v>
      </c>
      <c r="IU23" s="1508">
        <f>IFERROR(__xludf.DUMMYFUNCTION("""COMPUTED_VALUE"""),1.07E12)</f>
        <v>1070000000000</v>
      </c>
      <c r="IV23" s="1507">
        <f>IFERROR(__xludf.DUMMYFUNCTION("""COMPUTED_VALUE"""),48.36944444444445)</f>
        <v>48.36944444</v>
      </c>
      <c r="IW23" s="1508">
        <f>IFERROR(__xludf.DUMMYFUNCTION("""COMPUTED_VALUE"""),1.07E12)</f>
        <v>1070000000000</v>
      </c>
      <c r="IX23" s="1507">
        <f>IFERROR(__xludf.DUMMYFUNCTION("""COMPUTED_VALUE"""),48.36944444444445)</f>
        <v>48.36944444</v>
      </c>
      <c r="IY23" s="1508">
        <f>IFERROR(__xludf.DUMMYFUNCTION("""COMPUTED_VALUE"""),1.07E12)</f>
        <v>1070000000000</v>
      </c>
      <c r="IZ23" s="1507">
        <f>IFERROR(__xludf.DUMMYFUNCTION("""COMPUTED_VALUE"""),48.36944444444445)</f>
        <v>48.36944444</v>
      </c>
      <c r="JA23" s="1508">
        <f>IFERROR(__xludf.DUMMYFUNCTION("""COMPUTED_VALUE"""),1.28E12)</f>
        <v>1280000000000</v>
      </c>
      <c r="JB23" s="1507">
        <f>IFERROR(__xludf.DUMMYFUNCTION("""COMPUTED_VALUE"""),48.36944444444445)</f>
        <v>48.36944444</v>
      </c>
      <c r="JC23" s="1508">
        <f>IFERROR(__xludf.DUMMYFUNCTION("""COMPUTED_VALUE"""),1.28E12)</f>
        <v>1280000000000</v>
      </c>
      <c r="JD23" s="1507">
        <f>IFERROR(__xludf.DUMMYFUNCTION("""COMPUTED_VALUE"""),48.36944444444445)</f>
        <v>48.36944444</v>
      </c>
      <c r="JE23" s="1508">
        <f>IFERROR(__xludf.DUMMYFUNCTION("""COMPUTED_VALUE"""),1.28E12)</f>
        <v>1280000000000</v>
      </c>
      <c r="JF23" s="1507">
        <f>IFERROR(__xludf.DUMMYFUNCTION("""COMPUTED_VALUE"""),48.36944444444445)</f>
        <v>48.36944444</v>
      </c>
      <c r="JG23" s="1508">
        <f>IFERROR(__xludf.DUMMYFUNCTION("""COMPUTED_VALUE"""),1.28E12)</f>
        <v>1280000000000</v>
      </c>
      <c r="JH23" s="1518"/>
      <c r="JI23" s="1519"/>
      <c r="JJ23" s="1507">
        <f>IFERROR(__xludf.DUMMYFUNCTION("""COMPUTED_VALUE"""),226.78958333333333)</f>
        <v>226.7895833</v>
      </c>
      <c r="JK23" s="1509">
        <f>IFERROR(__xludf.DUMMYFUNCTION("""COMPUTED_VALUE"""),5.25E18)</f>
        <v>5.25E+18</v>
      </c>
      <c r="JL23" s="1507">
        <f>IFERROR(__xludf.DUMMYFUNCTION("""COMPUTED_VALUE"""),226.78958333333333)</f>
        <v>226.7895833</v>
      </c>
      <c r="JM23" s="1509">
        <f>IFERROR(__xludf.DUMMYFUNCTION("""COMPUTED_VALUE"""),5.25E18)</f>
        <v>5.25E+18</v>
      </c>
      <c r="JN23" s="1507">
        <f>IFERROR(__xludf.DUMMYFUNCTION("""COMPUTED_VALUE"""),226.78958333333333)</f>
        <v>226.7895833</v>
      </c>
      <c r="JO23" s="1509">
        <f>IFERROR(__xludf.DUMMYFUNCTION("""COMPUTED_VALUE"""),5.25E18)</f>
        <v>5.25E+18</v>
      </c>
      <c r="JP23" s="1507">
        <f>IFERROR(__xludf.DUMMYFUNCTION("""COMPUTED_VALUE"""),226.78958333333333)</f>
        <v>226.7895833</v>
      </c>
      <c r="JQ23" s="1509">
        <f>IFERROR(__xludf.DUMMYFUNCTION("""COMPUTED_VALUE"""),5.25E18)</f>
        <v>5.25E+18</v>
      </c>
      <c r="JR23" s="1507">
        <f>IFERROR(__xludf.DUMMYFUNCTION("""COMPUTED_VALUE"""),226.78958333333333)</f>
        <v>226.7895833</v>
      </c>
      <c r="JS23" s="1509">
        <f>IFERROR(__xludf.DUMMYFUNCTION("""COMPUTED_VALUE"""),5.25E18)</f>
        <v>5.25E+18</v>
      </c>
      <c r="JT23" s="1507">
        <f>IFERROR(__xludf.DUMMYFUNCTION("""COMPUTED_VALUE"""),226.78958333333333)</f>
        <v>226.7895833</v>
      </c>
      <c r="JU23" s="1509">
        <f>IFERROR(__xludf.DUMMYFUNCTION("""COMPUTED_VALUE"""),5.25E18)</f>
        <v>5.25E+18</v>
      </c>
      <c r="JV23" s="1507">
        <f>IFERROR(__xludf.DUMMYFUNCTION("""COMPUTED_VALUE"""),56.69722222222222)</f>
        <v>56.69722222</v>
      </c>
      <c r="JW23" s="1509">
        <f>IFERROR(__xludf.DUMMYFUNCTION("""COMPUTED_VALUE"""),8.366825543E14)</f>
        <v>836682554300000</v>
      </c>
      <c r="JX23" s="1562"/>
      <c r="JY23" s="1527"/>
      <c r="JZ23" s="1566">
        <f>IFERROR(__xludf.DUMMYFUNCTION("""COMPUTED_VALUE"""),2.323506944)</f>
        <v>2.323506944</v>
      </c>
      <c r="KA23" s="1514">
        <f>IFERROR(__xludf.DUMMYFUNCTION("""COMPUTED_VALUE"""),6.51E9)</f>
        <v>6510000000</v>
      </c>
      <c r="KB23" s="1566">
        <f>IFERROR(__xludf.DUMMYFUNCTION("""COMPUTED_VALUE"""),3.157453704)</f>
        <v>3.157453704</v>
      </c>
      <c r="KC23" s="1567">
        <f>IFERROR(__xludf.DUMMYFUNCTION("""COMPUTED_VALUE"""),2.4E10)</f>
        <v>24000000000</v>
      </c>
      <c r="KD23" s="1566">
        <f>IFERROR(__xludf.DUMMYFUNCTION("""COMPUTED_VALUE"""),12.24069444)</f>
        <v>12.24069444</v>
      </c>
      <c r="KE23" s="1514">
        <f>IFERROR(__xludf.DUMMYFUNCTION("""COMPUTED_VALUE"""),1.46E12)</f>
        <v>1460000000000</v>
      </c>
      <c r="KF23" s="1566">
        <f>IFERROR(__xludf.DUMMYFUNCTION("""COMPUTED_VALUE"""),12.24069444)</f>
        <v>12.24069444</v>
      </c>
      <c r="KG23" s="1514">
        <f>IFERROR(__xludf.DUMMYFUNCTION("""COMPUTED_VALUE"""),1.46E12)</f>
        <v>1460000000000</v>
      </c>
      <c r="KH23" s="1527"/>
      <c r="KI23" s="1527"/>
      <c r="KJ23" s="1527"/>
      <c r="KK23" s="1527"/>
      <c r="KL23" s="1527"/>
      <c r="KM23" s="1527"/>
      <c r="KN23" s="1527"/>
      <c r="KO23" s="1527"/>
      <c r="KP23" s="1527"/>
      <c r="KQ23" s="1527"/>
      <c r="KR23" s="1527"/>
      <c r="KS23" s="1527"/>
      <c r="KT23" s="1527"/>
      <c r="KU23" s="1527"/>
      <c r="KV23" s="1512">
        <f>IFERROR(__xludf.DUMMYFUNCTION("""COMPUTED_VALUE"""),226.78958333333333)</f>
        <v>226.7895833</v>
      </c>
      <c r="KW23" s="1513">
        <f>IFERROR(__xludf.DUMMYFUNCTION("""COMPUTED_VALUE"""),5.25E18)</f>
        <v>5.25E+18</v>
      </c>
      <c r="KX23" s="1512">
        <f>IFERROR(__xludf.DUMMYFUNCTION("""COMPUTED_VALUE"""),226.78958333333333)</f>
        <v>226.7895833</v>
      </c>
      <c r="KY23" s="1513">
        <f>IFERROR(__xludf.DUMMYFUNCTION("""COMPUTED_VALUE"""),5.25E18)</f>
        <v>5.25E+18</v>
      </c>
      <c r="KZ23" s="1512">
        <f>IFERROR(__xludf.DUMMYFUNCTION("""COMPUTED_VALUE"""),226.78958333333333)</f>
        <v>226.7895833</v>
      </c>
      <c r="LA23" s="1513">
        <f>IFERROR(__xludf.DUMMYFUNCTION("""COMPUTED_VALUE"""),5.25E18)</f>
        <v>5.25E+18</v>
      </c>
      <c r="LB23" s="1512">
        <f>IFERROR(__xludf.DUMMYFUNCTION("""COMPUTED_VALUE"""),226.78958333333333)</f>
        <v>226.7895833</v>
      </c>
      <c r="LC23" s="1513">
        <f>IFERROR(__xludf.DUMMYFUNCTION("""COMPUTED_VALUE"""),5.25E18)</f>
        <v>5.25E+18</v>
      </c>
      <c r="LD23" s="1512">
        <f>IFERROR(__xludf.DUMMYFUNCTION("""COMPUTED_VALUE"""),226.78958333333333)</f>
        <v>226.7895833</v>
      </c>
      <c r="LE23" s="1513">
        <f>IFERROR(__xludf.DUMMYFUNCTION("""COMPUTED_VALUE"""),5.25E18)</f>
        <v>5.25E+18</v>
      </c>
      <c r="LF23" s="1512">
        <f>IFERROR(__xludf.DUMMYFUNCTION("""COMPUTED_VALUE"""),226.78958333333333)</f>
        <v>226.7895833</v>
      </c>
      <c r="LG23" s="1513">
        <f>IFERROR(__xludf.DUMMYFUNCTION("""COMPUTED_VALUE"""),5.25E18)</f>
        <v>5.25E+18</v>
      </c>
      <c r="LH23" s="1512">
        <f>IFERROR(__xludf.DUMMYFUNCTION("""COMPUTED_VALUE"""),226.78958333333333)</f>
        <v>226.7895833</v>
      </c>
      <c r="LI23" s="1513">
        <f>IFERROR(__xludf.DUMMYFUNCTION("""COMPUTED_VALUE"""),5.25E18)</f>
        <v>5.25E+18</v>
      </c>
      <c r="LJ23" s="1512">
        <f>IFERROR(__xludf.DUMMYFUNCTION("""COMPUTED_VALUE"""),226.78958333333333)</f>
        <v>226.7895833</v>
      </c>
      <c r="LK23" s="1513">
        <f>IFERROR(__xludf.DUMMYFUNCTION("""COMPUTED_VALUE"""),5.25E18)</f>
        <v>5.25E+18</v>
      </c>
      <c r="LL23" s="1527"/>
      <c r="LM23" s="1527"/>
      <c r="LN23" s="1527"/>
      <c r="LO23" s="1527"/>
      <c r="LP23" s="1527"/>
      <c r="LQ23" s="1527"/>
      <c r="LR23" s="1527"/>
      <c r="LS23" s="1527"/>
      <c r="LT23" s="1527"/>
      <c r="LU23" s="1527"/>
      <c r="LV23" s="1527"/>
      <c r="LW23" s="1527"/>
      <c r="LX23" s="1527"/>
      <c r="LY23" s="1527"/>
      <c r="LZ23" s="1527"/>
      <c r="MA23" s="1527"/>
      <c r="MB23" s="1527"/>
      <c r="MC23" s="1527"/>
      <c r="MD23" s="1527"/>
      <c r="ME23" s="1527"/>
      <c r="MF23" s="1527"/>
      <c r="MG23" s="1527"/>
      <c r="MH23" s="1527"/>
      <c r="MI23" s="1527"/>
      <c r="MJ23" s="1527"/>
      <c r="MK23" s="1527"/>
      <c r="ML23" s="1527"/>
      <c r="MM23" s="1527"/>
      <c r="MN23" s="1527"/>
      <c r="MO23" s="1527"/>
      <c r="MP23" s="1527"/>
      <c r="MQ23" s="1527"/>
      <c r="MR23" s="1527"/>
      <c r="MS23" s="1527"/>
      <c r="MT23" s="1527"/>
      <c r="MU23" s="1527"/>
      <c r="MV23" s="1527"/>
      <c r="MW23" s="1527"/>
      <c r="MX23" s="1527"/>
      <c r="MY23" s="1527"/>
    </row>
    <row r="24">
      <c r="A24" s="1465">
        <f>IFERROR(__xludf.DUMMYFUNCTION("""COMPUTED_VALUE"""),22.0)</f>
        <v>22</v>
      </c>
      <c r="B24" s="1518"/>
      <c r="C24" s="1520"/>
      <c r="D24" s="1466">
        <f>IFERROR(__xludf.DUMMYFUNCTION("""COMPUTED_VALUE"""),1.2805555555555554)</f>
        <v>1.280555556</v>
      </c>
      <c r="E24" s="1467">
        <f>IFERROR(__xludf.DUMMYFUNCTION("""COMPUTED_VALUE"""),61160.0)</f>
        <v>61160</v>
      </c>
      <c r="F24" s="1466">
        <f>IFERROR(__xludf.DUMMYFUNCTION("""COMPUTED_VALUE"""),1.2805555555555554)</f>
        <v>1.280555556</v>
      </c>
      <c r="G24" s="1467">
        <f>IFERROR(__xludf.DUMMYFUNCTION("""COMPUTED_VALUE"""),61160.0)</f>
        <v>61160</v>
      </c>
      <c r="H24" s="1466">
        <f>IFERROR(__xludf.DUMMYFUNCTION("""COMPUTED_VALUE"""),1.2805555555555554)</f>
        <v>1.280555556</v>
      </c>
      <c r="I24" s="1467">
        <f>IFERROR(__xludf.DUMMYFUNCTION("""COMPUTED_VALUE"""),61160.0)</f>
        <v>61160</v>
      </c>
      <c r="J24" s="1466">
        <f>IFERROR(__xludf.DUMMYFUNCTION("""COMPUTED_VALUE"""),1.2805555555555554)</f>
        <v>1.280555556</v>
      </c>
      <c r="K24" s="1467">
        <f>IFERROR(__xludf.DUMMYFUNCTION("""COMPUTED_VALUE"""),61160.0)</f>
        <v>61160</v>
      </c>
      <c r="L24" s="1466">
        <f>IFERROR(__xludf.DUMMYFUNCTION("""COMPUTED_VALUE"""),2.0277777777777777)</f>
        <v>2.027777778</v>
      </c>
      <c r="M24" s="1469">
        <f>IFERROR(__xludf.DUMMYFUNCTION("""COMPUTED_VALUE"""),153580.0)</f>
        <v>153580</v>
      </c>
      <c r="N24" s="1470">
        <f>IFERROR(__xludf.DUMMYFUNCTION("""COMPUTED_VALUE"""),1.4277777777777778)</f>
        <v>1.427777778</v>
      </c>
      <c r="O24" s="1467">
        <f>IFERROR(__xludf.DUMMYFUNCTION("""COMPUTED_VALUE"""),163910.0)</f>
        <v>163910</v>
      </c>
      <c r="P24" s="1518"/>
      <c r="Q24" s="1519"/>
      <c r="R24" s="1518"/>
      <c r="S24" s="1519"/>
      <c r="T24" s="1518"/>
      <c r="U24" s="1519"/>
      <c r="V24" s="1518"/>
      <c r="W24" s="1519"/>
      <c r="X24" s="1518"/>
      <c r="Y24" s="1519"/>
      <c r="Z24" s="1518"/>
      <c r="AA24" s="1519"/>
      <c r="AB24" s="1518"/>
      <c r="AC24" s="1519"/>
      <c r="AD24" s="1466">
        <f>IFERROR(__xludf.DUMMYFUNCTION("""COMPUTED_VALUE"""),23.758333333333333)</f>
        <v>23.75833333</v>
      </c>
      <c r="AE24" s="1474">
        <f>IFERROR(__xludf.DUMMYFUNCTION("""COMPUTED_VALUE"""),2.470645291E11)</f>
        <v>247064529100</v>
      </c>
      <c r="AF24" s="1466">
        <f>IFERROR(__xludf.DUMMYFUNCTION("""COMPUTED_VALUE"""),23.758333333333333)</f>
        <v>23.75833333</v>
      </c>
      <c r="AG24" s="1474">
        <f>IFERROR(__xludf.DUMMYFUNCTION("""COMPUTED_VALUE"""),2.470645291E11)</f>
        <v>247064529100</v>
      </c>
      <c r="AH24" s="1466">
        <f>IFERROR(__xludf.DUMMYFUNCTION("""COMPUTED_VALUE"""),23.758333333333333)</f>
        <v>23.75833333</v>
      </c>
      <c r="AI24" s="1474">
        <f>IFERROR(__xludf.DUMMYFUNCTION("""COMPUTED_VALUE"""),2.470645291E11)</f>
        <v>247064529100</v>
      </c>
      <c r="AJ24" s="1475">
        <f>IFERROR(__xludf.DUMMYFUNCTION("""COMPUTED_VALUE"""),1.2805555555555554)</f>
        <v>1.280555556</v>
      </c>
      <c r="AK24" s="1476">
        <f>IFERROR(__xludf.DUMMYFUNCTION("""COMPUTED_VALUE"""),61160.0)</f>
        <v>61160</v>
      </c>
      <c r="AL24" s="1475">
        <f>IFERROR(__xludf.DUMMYFUNCTION("""COMPUTED_VALUE"""),1.2805555555555554)</f>
        <v>1.280555556</v>
      </c>
      <c r="AM24" s="1476">
        <f>IFERROR(__xludf.DUMMYFUNCTION("""COMPUTED_VALUE"""),61160.0)</f>
        <v>61160</v>
      </c>
      <c r="AN24" s="1475">
        <f>IFERROR(__xludf.DUMMYFUNCTION("""COMPUTED_VALUE"""),1.2805555555555554)</f>
        <v>1.280555556</v>
      </c>
      <c r="AO24" s="1476">
        <f>IFERROR(__xludf.DUMMYFUNCTION("""COMPUTED_VALUE"""),61160.0)</f>
        <v>61160</v>
      </c>
      <c r="AP24" s="1475">
        <f>IFERROR(__xludf.DUMMYFUNCTION("""COMPUTED_VALUE"""),1.2805555555555554)</f>
        <v>1.280555556</v>
      </c>
      <c r="AQ24" s="1476">
        <f>IFERROR(__xludf.DUMMYFUNCTION("""COMPUTED_VALUE"""),61160.0)</f>
        <v>61160</v>
      </c>
      <c r="AR24" s="1475">
        <f>IFERROR(__xludf.DUMMYFUNCTION("""COMPUTED_VALUE"""),1.2805555555555554)</f>
        <v>1.280555556</v>
      </c>
      <c r="AS24" s="1476">
        <f>IFERROR(__xludf.DUMMYFUNCTION("""COMPUTED_VALUE"""),61170.0)</f>
        <v>61170</v>
      </c>
      <c r="AT24" s="1475">
        <f>IFERROR(__xludf.DUMMYFUNCTION("""COMPUTED_VALUE"""),302.98055555555555)</f>
        <v>302.9805556</v>
      </c>
      <c r="AU24" s="1476">
        <f>IFERROR(__xludf.DUMMYFUNCTION("""COMPUTED_VALUE"""),1.64E9)</f>
        <v>1640000000</v>
      </c>
      <c r="AV24" s="1475">
        <f>IFERROR(__xludf.DUMMYFUNCTION("""COMPUTED_VALUE"""),170.87569444444443)</f>
        <v>170.8756944</v>
      </c>
      <c r="AW24" s="1476">
        <f>IFERROR(__xludf.DUMMYFUNCTION("""COMPUTED_VALUE"""),1.64E9)</f>
        <v>1640000000</v>
      </c>
      <c r="AX24" s="1475">
        <f>IFERROR(__xludf.DUMMYFUNCTION("""COMPUTED_VALUE"""),16.28125)</f>
        <v>16.28125</v>
      </c>
      <c r="AY24" s="1476">
        <f>IFERROR(__xludf.DUMMYFUNCTION("""COMPUTED_VALUE"""),1.09E12)</f>
        <v>1090000000000</v>
      </c>
      <c r="AZ24" s="1518"/>
      <c r="BA24" s="1518"/>
      <c r="BB24" s="1477">
        <f>IFERROR(__xludf.DUMMYFUNCTION("""COMPUTED_VALUE"""),1.2805555555555554)</f>
        <v>1.280555556</v>
      </c>
      <c r="BC24" s="1478">
        <f>IFERROR(__xludf.DUMMYFUNCTION("""COMPUTED_VALUE"""),61160.0)</f>
        <v>61160</v>
      </c>
      <c r="BD24" s="1477">
        <f>IFERROR(__xludf.DUMMYFUNCTION("""COMPUTED_VALUE"""),1.2805555555555554)</f>
        <v>1.280555556</v>
      </c>
      <c r="BE24" s="1478">
        <f>IFERROR(__xludf.DUMMYFUNCTION("""COMPUTED_VALUE"""),61160.0)</f>
        <v>61160</v>
      </c>
      <c r="BF24" s="1477">
        <f>IFERROR(__xludf.DUMMYFUNCTION("""COMPUTED_VALUE"""),1.2805555555555554)</f>
        <v>1.280555556</v>
      </c>
      <c r="BG24" s="1478">
        <f>IFERROR(__xludf.DUMMYFUNCTION("""COMPUTED_VALUE"""),61160.0)</f>
        <v>61160</v>
      </c>
      <c r="BH24" s="1477">
        <f>IFERROR(__xludf.DUMMYFUNCTION("""COMPUTED_VALUE"""),19.47361111111111)</f>
        <v>19.47361111</v>
      </c>
      <c r="BI24" s="1478">
        <f>IFERROR(__xludf.DUMMYFUNCTION("""COMPUTED_VALUE"""),1.9452E8)</f>
        <v>194520000</v>
      </c>
      <c r="BJ24" s="1518"/>
      <c r="BK24" s="1519"/>
      <c r="BL24" s="1518"/>
      <c r="BM24" s="1519"/>
      <c r="BN24" s="1477">
        <f>IFERROR(__xludf.DUMMYFUNCTION("""COMPUTED_VALUE"""),37.36944444444445)</f>
        <v>37.36944444</v>
      </c>
      <c r="BO24" s="1478">
        <f>IFERROR(__xludf.DUMMYFUNCTION("""COMPUTED_VALUE"""),4.85E9)</f>
        <v>4850000000</v>
      </c>
      <c r="BP24" s="1518"/>
      <c r="BQ24" s="1519"/>
      <c r="BR24" s="1520"/>
      <c r="BS24" s="1519"/>
      <c r="BT24" s="1479">
        <f>IFERROR(__xludf.DUMMYFUNCTION("""COMPUTED_VALUE"""),1.4874999999999998)</f>
        <v>1.4875</v>
      </c>
      <c r="BU24" s="1480">
        <f>IFERROR(__xludf.DUMMYFUNCTION("""COMPUTED_VALUE"""),7.51E9)</f>
        <v>7510000000</v>
      </c>
      <c r="BV24" s="1520"/>
      <c r="BW24" s="1520"/>
      <c r="BX24" s="1479">
        <f>IFERROR(__xludf.DUMMYFUNCTION("""COMPUTED_VALUE"""),91.36153935185185)</f>
        <v>91.36153935</v>
      </c>
      <c r="BY24" s="1480">
        <f>IFERROR(__xludf.DUMMYFUNCTION("""COMPUTED_VALUE"""),1.5899E11)</f>
        <v>158990000000</v>
      </c>
      <c r="BZ24" s="1520"/>
      <c r="CA24" s="1520"/>
      <c r="CB24" s="1520"/>
      <c r="CC24" s="1519"/>
      <c r="CD24" s="1477">
        <f>IFERROR(__xludf.DUMMYFUNCTION("""COMPUTED_VALUE"""),7.512372685185185)</f>
        <v>7.512372685</v>
      </c>
      <c r="CE24" s="1481">
        <f>IFERROR(__xludf.DUMMYFUNCTION("""COMPUTED_VALUE"""),7.6347E11)</f>
        <v>763470000000</v>
      </c>
      <c r="CF24" s="1527"/>
      <c r="CG24" s="1560"/>
      <c r="CH24" s="1482">
        <f>IFERROR(__xludf.DUMMYFUNCTION("""COMPUTED_VALUE"""),1.2805555555555554)</f>
        <v>1.280555556</v>
      </c>
      <c r="CI24" s="1483">
        <f>IFERROR(__xludf.DUMMYFUNCTION("""COMPUTED_VALUE"""),61170.0)</f>
        <v>61170</v>
      </c>
      <c r="CJ24" s="1482">
        <f>IFERROR(__xludf.DUMMYFUNCTION("""COMPUTED_VALUE"""),1.2805555555555554)</f>
        <v>1.280555556</v>
      </c>
      <c r="CK24" s="1483">
        <f>IFERROR(__xludf.DUMMYFUNCTION("""COMPUTED_VALUE"""),61170.0)</f>
        <v>61170</v>
      </c>
      <c r="CL24" s="1482">
        <f>IFERROR(__xludf.DUMMYFUNCTION("""COMPUTED_VALUE"""),1.2805555555555554)</f>
        <v>1.280555556</v>
      </c>
      <c r="CM24" s="1483">
        <f>IFERROR(__xludf.DUMMYFUNCTION("""COMPUTED_VALUE"""),61170.0)</f>
        <v>61170</v>
      </c>
      <c r="CN24" s="1482">
        <f>IFERROR(__xludf.DUMMYFUNCTION("""COMPUTED_VALUE"""),1.2805555555555554)</f>
        <v>1.280555556</v>
      </c>
      <c r="CO24" s="1483">
        <f>IFERROR(__xludf.DUMMYFUNCTION("""COMPUTED_VALUE"""),61170.0)</f>
        <v>61170</v>
      </c>
      <c r="CP24" s="1482">
        <f>IFERROR(__xludf.DUMMYFUNCTION("""COMPUTED_VALUE"""),2.341666666666667)</f>
        <v>2.341666667</v>
      </c>
      <c r="CQ24" s="1483">
        <f>IFERROR(__xludf.DUMMYFUNCTION("""COMPUTED_VALUE"""),163920.0)</f>
        <v>163920</v>
      </c>
      <c r="CR24" s="1518"/>
      <c r="CS24" s="1519"/>
      <c r="CT24" s="1520"/>
      <c r="CU24" s="1519"/>
      <c r="CV24" s="1520"/>
      <c r="CW24" s="1519"/>
      <c r="CX24" s="1520"/>
      <c r="CY24" s="1519"/>
      <c r="CZ24" s="1520"/>
      <c r="DA24" s="1520"/>
      <c r="DB24" s="1520"/>
      <c r="DC24" s="1520"/>
      <c r="DD24" s="1520"/>
      <c r="DE24" s="1519"/>
      <c r="DF24" s="1520"/>
      <c r="DG24" s="1519"/>
      <c r="DH24" s="1518"/>
      <c r="DI24" s="1519"/>
      <c r="DJ24" s="1518"/>
      <c r="DK24" s="1519"/>
      <c r="DL24" s="1486">
        <f>IFERROR(__xludf.DUMMYFUNCTION("""COMPUTED_VALUE"""),38.13333333333333)</f>
        <v>38.13333333</v>
      </c>
      <c r="DM24" s="1487">
        <f>IFERROR(__xludf.DUMMYFUNCTION("""COMPUTED_VALUE"""),4.85E9)</f>
        <v>4850000000</v>
      </c>
      <c r="DN24" s="1518"/>
      <c r="DO24" s="1519"/>
      <c r="DP24" s="1486">
        <f>IFERROR(__xludf.DUMMYFUNCTION("""COMPUTED_VALUE"""),38.13333333333333)</f>
        <v>38.13333333</v>
      </c>
      <c r="DQ24" s="1487">
        <f>IFERROR(__xludf.DUMMYFUNCTION("""COMPUTED_VALUE"""),4.85E9)</f>
        <v>4850000000</v>
      </c>
      <c r="DR24" s="1486">
        <f>IFERROR(__xludf.DUMMYFUNCTION("""COMPUTED_VALUE"""),38.13333333333333)</f>
        <v>38.13333333</v>
      </c>
      <c r="DS24" s="1487">
        <f>IFERROR(__xludf.DUMMYFUNCTION("""COMPUTED_VALUE"""),4.85E9)</f>
        <v>4850000000</v>
      </c>
      <c r="DT24" s="1518"/>
      <c r="DU24" s="1519"/>
      <c r="DV24" s="1486">
        <f>IFERROR(__xludf.DUMMYFUNCTION("""COMPUTED_VALUE"""),38.13333333333333)</f>
        <v>38.13333333</v>
      </c>
      <c r="DW24" s="1487">
        <f>IFERROR(__xludf.DUMMYFUNCTION("""COMPUTED_VALUE"""),4.85E9)</f>
        <v>4850000000</v>
      </c>
      <c r="DX24" s="1486">
        <f>IFERROR(__xludf.DUMMYFUNCTION("""COMPUTED_VALUE"""),38.13333333333333)</f>
        <v>38.13333333</v>
      </c>
      <c r="DY24" s="1487">
        <f>IFERROR(__xludf.DUMMYFUNCTION("""COMPUTED_VALUE"""),4.85E9)</f>
        <v>4850000000</v>
      </c>
      <c r="DZ24" s="1486">
        <f>IFERROR(__xludf.DUMMYFUNCTION("""COMPUTED_VALUE"""),43.34166666666667)</f>
        <v>43.34166667</v>
      </c>
      <c r="EA24" s="1487">
        <f>IFERROR(__xludf.DUMMYFUNCTION("""COMPUTED_VALUE"""),1.408E10)</f>
        <v>14080000000</v>
      </c>
      <c r="EB24" s="1518"/>
      <c r="EC24" s="1519"/>
      <c r="ED24" s="1518"/>
      <c r="EE24" s="1519"/>
      <c r="EF24" s="1486">
        <f>IFERROR(__xludf.DUMMYFUNCTION("""COMPUTED_VALUE"""),42.50833333333333)</f>
        <v>42.50833333</v>
      </c>
      <c r="EG24" s="1487">
        <f>IFERROR(__xludf.DUMMYFUNCTION("""COMPUTED_VALUE"""),1.408E10)</f>
        <v>14080000000</v>
      </c>
      <c r="EH24" s="1518"/>
      <c r="EI24" s="1519"/>
      <c r="EJ24" s="1486">
        <f>IFERROR(__xludf.DUMMYFUNCTION("""COMPUTED_VALUE"""),12.40119212962963)</f>
        <v>12.40119213</v>
      </c>
      <c r="EK24" s="1487">
        <f>IFERROR(__xludf.DUMMYFUNCTION("""COMPUTED_VALUE"""),7.3069E8)</f>
        <v>730690000</v>
      </c>
      <c r="EL24" s="1562"/>
      <c r="EM24" s="1560"/>
      <c r="EN24" s="1518"/>
      <c r="EO24" s="1519"/>
      <c r="EP24" s="1518"/>
      <c r="EQ24" s="1519"/>
      <c r="ER24" s="1518"/>
      <c r="ES24" s="1519"/>
      <c r="ET24" s="1486">
        <f>IFERROR(__xludf.DUMMYFUNCTION("""COMPUTED_VALUE"""),42.50833333333333)</f>
        <v>42.50833333</v>
      </c>
      <c r="EU24" s="1487">
        <f>IFERROR(__xludf.DUMMYFUNCTION("""COMPUTED_VALUE"""),1.408E10)</f>
        <v>14080000000</v>
      </c>
      <c r="EV24" s="1518"/>
      <c r="EW24" s="1519"/>
      <c r="EX24" s="1518"/>
      <c r="EY24" s="1519"/>
      <c r="EZ24" s="1518"/>
      <c r="FA24" s="1519"/>
      <c r="FB24" s="1520"/>
      <c r="FC24" s="1519"/>
      <c r="FD24" s="1520"/>
      <c r="FE24" s="1519"/>
      <c r="FF24" s="1520"/>
      <c r="FG24" s="1519"/>
      <c r="FH24" s="1520"/>
      <c r="FI24" s="1520"/>
      <c r="FJ24" s="1520"/>
      <c r="FK24" s="1519"/>
      <c r="FL24" s="1518"/>
      <c r="FM24" s="1519"/>
      <c r="FN24" s="1532"/>
      <c r="FO24" s="1520"/>
      <c r="FP24" s="1486">
        <f>IFERROR(__xludf.DUMMYFUNCTION("""COMPUTED_VALUE"""),90.03207175925925)</f>
        <v>90.03207176</v>
      </c>
      <c r="FQ24" s="1488">
        <f>IFERROR(__xludf.DUMMYFUNCTION("""COMPUTED_VALUE"""),4.9879E14)</f>
        <v>498790000000000</v>
      </c>
      <c r="FR24" s="1532"/>
      <c r="FS24" s="1520"/>
      <c r="FT24" s="1486">
        <f>IFERROR(__xludf.DUMMYFUNCTION("""COMPUTED_VALUE"""),90.03207175925925)</f>
        <v>90.03207176</v>
      </c>
      <c r="FU24" s="1488">
        <f>IFERROR(__xludf.DUMMYFUNCTION("""COMPUTED_VALUE"""),4.9879E14)</f>
        <v>498790000000000</v>
      </c>
      <c r="FV24" s="1486">
        <f>IFERROR(__xludf.DUMMYFUNCTION("""COMPUTED_VALUE"""),90.03207175925925)</f>
        <v>90.03207176</v>
      </c>
      <c r="FW24" s="1488">
        <f>IFERROR(__xludf.DUMMYFUNCTION("""COMPUTED_VALUE"""),4.9879E14)</f>
        <v>498790000000000</v>
      </c>
      <c r="FX24" s="1527"/>
      <c r="FY24" s="1527"/>
      <c r="FZ24" s="1491">
        <f>IFERROR(__xludf.DUMMYFUNCTION("""COMPUTED_VALUE"""),90.03207175925925)</f>
        <v>90.03207176</v>
      </c>
      <c r="GA24" s="1492">
        <f>IFERROR(__xludf.DUMMYFUNCTION("""COMPUTED_VALUE"""),4.9879E14)</f>
        <v>498790000000000</v>
      </c>
      <c r="GB24" s="1527"/>
      <c r="GC24" s="1527"/>
      <c r="GD24" s="1527"/>
      <c r="GE24" s="1560"/>
      <c r="GF24" s="1518"/>
      <c r="GG24" s="1519"/>
      <c r="GH24" s="1494">
        <f>IFERROR(__xludf.DUMMYFUNCTION("""COMPUTED_VALUE"""),41.71666666666667)</f>
        <v>41.71666667</v>
      </c>
      <c r="GI24" s="1495">
        <f>IFERROR(__xludf.DUMMYFUNCTION("""COMPUTED_VALUE"""),4.085E10)</f>
        <v>40850000000</v>
      </c>
      <c r="GJ24" s="1518"/>
      <c r="GK24" s="1519"/>
      <c r="GL24" s="1518"/>
      <c r="GM24" s="1519"/>
      <c r="GN24" s="1520"/>
      <c r="GO24" s="1519"/>
      <c r="GP24" s="1496">
        <f>IFERROR(__xludf.DUMMYFUNCTION("""COMPUTED_VALUE"""),41.88333333333333)</f>
        <v>41.88333333</v>
      </c>
      <c r="GQ24" s="1497">
        <f>IFERROR(__xludf.DUMMYFUNCTION("""COMPUTED_VALUE"""),5.5194E11)</f>
        <v>551940000000</v>
      </c>
      <c r="GR24" s="1518"/>
      <c r="GS24" s="1519"/>
      <c r="GT24" s="1518"/>
      <c r="GU24" s="1519"/>
      <c r="GV24" s="1520"/>
      <c r="GW24" s="1519"/>
      <c r="GX24" s="1561"/>
      <c r="GY24" s="1527"/>
      <c r="GZ24" s="1518"/>
      <c r="HA24" s="1519"/>
      <c r="HB24" s="1501">
        <f>IFERROR(__xludf.DUMMYFUNCTION("""COMPUTED_VALUE"""),37.37013888888889)</f>
        <v>37.37013889</v>
      </c>
      <c r="HC24" s="1502">
        <f>IFERROR(__xludf.DUMMYFUNCTION("""COMPUTED_VALUE"""),8.168E10)</f>
        <v>81680000000</v>
      </c>
      <c r="HD24" s="1518"/>
      <c r="HE24" s="1519"/>
      <c r="HF24" s="1501">
        <f>IFERROR(__xludf.DUMMYFUNCTION("""COMPUTED_VALUE"""),37.855555555555554)</f>
        <v>37.85555556</v>
      </c>
      <c r="HG24" s="1502">
        <f>IFERROR(__xludf.DUMMYFUNCTION("""COMPUTED_VALUE"""),1.2253E11)</f>
        <v>122530000000</v>
      </c>
      <c r="HH24" s="1518"/>
      <c r="HI24" s="1519"/>
      <c r="HJ24" s="1518"/>
      <c r="HK24" s="1519"/>
      <c r="HL24" s="1518"/>
      <c r="HM24" s="1519"/>
      <c r="HN24" s="1520"/>
      <c r="HO24" s="1519"/>
      <c r="HP24" s="1501">
        <f>IFERROR(__xludf.DUMMYFUNCTION("""COMPUTED_VALUE"""),172.86466435185184)</f>
        <v>172.8646644</v>
      </c>
      <c r="HQ24" s="1502">
        <f>IFERROR(__xludf.DUMMYFUNCTION("""COMPUTED_VALUE"""),2.674E10)</f>
        <v>26740000000</v>
      </c>
      <c r="HR24" s="1524">
        <f>IFERROR(__xludf.DUMMYFUNCTION("""COMPUTED_VALUE"""),55.53217592592593)</f>
        <v>55.53217593</v>
      </c>
      <c r="HS24" s="1523">
        <f>IFERROR(__xludf.DUMMYFUNCTION("""COMPUTED_VALUE"""),2.0487E11)</f>
        <v>204870000000</v>
      </c>
      <c r="HT24" s="1524">
        <f>IFERROR(__xludf.DUMMYFUNCTION("""COMPUTED_VALUE"""),55.53217592592593)</f>
        <v>55.53217593</v>
      </c>
      <c r="HU24" s="1523">
        <f>IFERROR(__xludf.DUMMYFUNCTION("""COMPUTED_VALUE"""),2.0487E11)</f>
        <v>204870000000</v>
      </c>
      <c r="HV24" s="1524">
        <f>IFERROR(__xludf.DUMMYFUNCTION("""COMPUTED_VALUE"""),55.53217592592593)</f>
        <v>55.53217593</v>
      </c>
      <c r="HW24" s="1523">
        <f>IFERROR(__xludf.DUMMYFUNCTION("""COMPUTED_VALUE"""),2.0487E11)</f>
        <v>204870000000</v>
      </c>
      <c r="HX24" s="1524">
        <f>IFERROR(__xludf.DUMMYFUNCTION("""COMPUTED_VALUE"""),55.53217592592593)</f>
        <v>55.53217593</v>
      </c>
      <c r="HY24" s="1523">
        <f>IFERROR(__xludf.DUMMYFUNCTION("""COMPUTED_VALUE"""),2.0487E11)</f>
        <v>204870000000</v>
      </c>
      <c r="HZ24" s="1518"/>
      <c r="IA24" s="1519"/>
      <c r="IB24" s="1518"/>
      <c r="IC24" s="1519"/>
      <c r="ID24" s="1518"/>
      <c r="IE24" s="1519"/>
      <c r="IF24" s="1518"/>
      <c r="IG24" s="1519"/>
      <c r="IH24" s="1507">
        <f>IFERROR(__xludf.DUMMYFUNCTION("""COMPUTED_VALUE"""),56.22638888888889)</f>
        <v>56.22638889</v>
      </c>
      <c r="II24" s="1508">
        <f>IFERROR(__xludf.DUMMYFUNCTION("""COMPUTED_VALUE"""),9.6894E11)</f>
        <v>968940000000</v>
      </c>
      <c r="IJ24" s="1507">
        <f>IFERROR(__xludf.DUMMYFUNCTION("""COMPUTED_VALUE"""),56.22638888888889)</f>
        <v>56.22638889</v>
      </c>
      <c r="IK24" s="1508">
        <f>IFERROR(__xludf.DUMMYFUNCTION("""COMPUTED_VALUE"""),9.6894E11)</f>
        <v>968940000000</v>
      </c>
      <c r="IL24" s="1507">
        <f>IFERROR(__xludf.DUMMYFUNCTION("""COMPUTED_VALUE"""),56.22638888888889)</f>
        <v>56.22638889</v>
      </c>
      <c r="IM24" s="1508">
        <f>IFERROR(__xludf.DUMMYFUNCTION("""COMPUTED_VALUE"""),1.19E12)</f>
        <v>1190000000000</v>
      </c>
      <c r="IN24" s="1507">
        <f>IFERROR(__xludf.DUMMYFUNCTION("""COMPUTED_VALUE"""),56.22638888888889)</f>
        <v>56.22638889</v>
      </c>
      <c r="IO24" s="1508">
        <f>IFERROR(__xludf.DUMMYFUNCTION("""COMPUTED_VALUE"""),1.19E12)</f>
        <v>1190000000000</v>
      </c>
      <c r="IP24" s="1507">
        <f>IFERROR(__xludf.DUMMYFUNCTION("""COMPUTED_VALUE"""),56.68958333333333)</f>
        <v>56.68958333</v>
      </c>
      <c r="IQ24" s="1508">
        <f>IFERROR(__xludf.DUMMYFUNCTION("""COMPUTED_VALUE"""),1.85E12)</f>
        <v>1850000000000</v>
      </c>
      <c r="IR24" s="1507">
        <f>IFERROR(__xludf.DUMMYFUNCTION("""COMPUTED_VALUE"""),56.22638888888889)</f>
        <v>56.22638889</v>
      </c>
      <c r="IS24" s="1508">
        <f>IFERROR(__xludf.DUMMYFUNCTION("""COMPUTED_VALUE"""),1.19E12)</f>
        <v>1190000000000</v>
      </c>
      <c r="IT24" s="1507">
        <f>IFERROR(__xludf.DUMMYFUNCTION("""COMPUTED_VALUE"""),56.22638888888889)</f>
        <v>56.22638889</v>
      </c>
      <c r="IU24" s="1508">
        <f>IFERROR(__xludf.DUMMYFUNCTION("""COMPUTED_VALUE"""),1.19E12)</f>
        <v>1190000000000</v>
      </c>
      <c r="IV24" s="1507">
        <f>IFERROR(__xludf.DUMMYFUNCTION("""COMPUTED_VALUE"""),56.22638888888889)</f>
        <v>56.22638889</v>
      </c>
      <c r="IW24" s="1508">
        <f>IFERROR(__xludf.DUMMYFUNCTION("""COMPUTED_VALUE"""),1.19E12)</f>
        <v>1190000000000</v>
      </c>
      <c r="IX24" s="1507">
        <f>IFERROR(__xludf.DUMMYFUNCTION("""COMPUTED_VALUE"""),56.22638888888889)</f>
        <v>56.22638889</v>
      </c>
      <c r="IY24" s="1508">
        <f>IFERROR(__xludf.DUMMYFUNCTION("""COMPUTED_VALUE"""),1.19E12)</f>
        <v>1190000000000</v>
      </c>
      <c r="IZ24" s="1507">
        <f>IFERROR(__xludf.DUMMYFUNCTION("""COMPUTED_VALUE"""),56.22638888888889)</f>
        <v>56.22638889</v>
      </c>
      <c r="JA24" s="1508">
        <f>IFERROR(__xludf.DUMMYFUNCTION("""COMPUTED_VALUE"""),1.41E12)</f>
        <v>1410000000000</v>
      </c>
      <c r="JB24" s="1507">
        <f>IFERROR(__xludf.DUMMYFUNCTION("""COMPUTED_VALUE"""),56.22638888888889)</f>
        <v>56.22638889</v>
      </c>
      <c r="JC24" s="1508">
        <f>IFERROR(__xludf.DUMMYFUNCTION("""COMPUTED_VALUE"""),1.41E12)</f>
        <v>1410000000000</v>
      </c>
      <c r="JD24" s="1507">
        <f>IFERROR(__xludf.DUMMYFUNCTION("""COMPUTED_VALUE"""),56.22638888888889)</f>
        <v>56.22638889</v>
      </c>
      <c r="JE24" s="1508">
        <f>IFERROR(__xludf.DUMMYFUNCTION("""COMPUTED_VALUE"""),1.41E12)</f>
        <v>1410000000000</v>
      </c>
      <c r="JF24" s="1507">
        <f>IFERROR(__xludf.DUMMYFUNCTION("""COMPUTED_VALUE"""),56.22638888888889)</f>
        <v>56.22638889</v>
      </c>
      <c r="JG24" s="1508">
        <f>IFERROR(__xludf.DUMMYFUNCTION("""COMPUTED_VALUE"""),1.41E12)</f>
        <v>1410000000000</v>
      </c>
      <c r="JH24" s="1518"/>
      <c r="JI24" s="1519"/>
      <c r="JJ24" s="1507">
        <f>IFERROR(__xludf.DUMMYFUNCTION("""COMPUTED_VALUE"""),237.5888888888889)</f>
        <v>237.5888889</v>
      </c>
      <c r="JK24" s="1509">
        <f>IFERROR(__xludf.DUMMYFUNCTION("""COMPUTED_VALUE"""),5.5E18)</f>
        <v>5.5E+18</v>
      </c>
      <c r="JL24" s="1507">
        <f>IFERROR(__xludf.DUMMYFUNCTION("""COMPUTED_VALUE"""),237.5888888888889)</f>
        <v>237.5888889</v>
      </c>
      <c r="JM24" s="1509">
        <f>IFERROR(__xludf.DUMMYFUNCTION("""COMPUTED_VALUE"""),5.5E18)</f>
        <v>5.5E+18</v>
      </c>
      <c r="JN24" s="1507">
        <f>IFERROR(__xludf.DUMMYFUNCTION("""COMPUTED_VALUE"""),237.5888888888889)</f>
        <v>237.5888889</v>
      </c>
      <c r="JO24" s="1509">
        <f>IFERROR(__xludf.DUMMYFUNCTION("""COMPUTED_VALUE"""),5.5E18)</f>
        <v>5.5E+18</v>
      </c>
      <c r="JP24" s="1507">
        <f>IFERROR(__xludf.DUMMYFUNCTION("""COMPUTED_VALUE"""),237.5888888888889)</f>
        <v>237.5888889</v>
      </c>
      <c r="JQ24" s="1509">
        <f>IFERROR(__xludf.DUMMYFUNCTION("""COMPUTED_VALUE"""),5.5E18)</f>
        <v>5.5E+18</v>
      </c>
      <c r="JR24" s="1507">
        <f>IFERROR(__xludf.DUMMYFUNCTION("""COMPUTED_VALUE"""),237.5888888888889)</f>
        <v>237.5888889</v>
      </c>
      <c r="JS24" s="1509">
        <f>IFERROR(__xludf.DUMMYFUNCTION("""COMPUTED_VALUE"""),5.5E18)</f>
        <v>5.5E+18</v>
      </c>
      <c r="JT24" s="1507">
        <f>IFERROR(__xludf.DUMMYFUNCTION("""COMPUTED_VALUE"""),237.5888888888889)</f>
        <v>237.5888889</v>
      </c>
      <c r="JU24" s="1509">
        <f>IFERROR(__xludf.DUMMYFUNCTION("""COMPUTED_VALUE"""),5.5E18)</f>
        <v>5.5E+18</v>
      </c>
      <c r="JV24" s="1507">
        <f>IFERROR(__xludf.DUMMYFUNCTION("""COMPUTED_VALUE"""),59.397222222222226)</f>
        <v>59.39722222</v>
      </c>
      <c r="JW24" s="1509">
        <f>IFERROR(__xludf.DUMMYFUNCTION("""COMPUTED_VALUE"""),1.171355576E15)</f>
        <v>1.17136E+15</v>
      </c>
      <c r="JX24" s="1562"/>
      <c r="JY24" s="1527"/>
      <c r="JZ24" s="1566">
        <f>IFERROR(__xludf.DUMMYFUNCTION("""COMPUTED_VALUE"""),2.3815625)</f>
        <v>2.3815625</v>
      </c>
      <c r="KA24" s="1514">
        <f>IFERROR(__xludf.DUMMYFUNCTION("""COMPUTED_VALUE"""),7.43E9)</f>
        <v>7430000000</v>
      </c>
      <c r="KB24" s="1566">
        <f>IFERROR(__xludf.DUMMYFUNCTION("""COMPUTED_VALUE"""),3.325613426)</f>
        <v>3.325613426</v>
      </c>
      <c r="KC24" s="1567">
        <f>IFERROR(__xludf.DUMMYFUNCTION("""COMPUTED_VALUE"""),2.778E10)</f>
        <v>27780000000</v>
      </c>
      <c r="KD24" s="1566">
        <f>IFERROR(__xludf.DUMMYFUNCTION("""COMPUTED_VALUE"""),12.93546296)</f>
        <v>12.93546296</v>
      </c>
      <c r="KE24" s="1514">
        <f>IFERROR(__xludf.DUMMYFUNCTION("""COMPUTED_VALUE"""),1.71E12)</f>
        <v>1710000000000</v>
      </c>
      <c r="KF24" s="1566">
        <f>IFERROR(__xludf.DUMMYFUNCTION("""COMPUTED_VALUE"""),12.93546296)</f>
        <v>12.93546296</v>
      </c>
      <c r="KG24" s="1514">
        <f>IFERROR(__xludf.DUMMYFUNCTION("""COMPUTED_VALUE"""),1.71E12)</f>
        <v>1710000000000</v>
      </c>
      <c r="KH24" s="1527"/>
      <c r="KI24" s="1527"/>
      <c r="KJ24" s="1527"/>
      <c r="KK24" s="1527"/>
      <c r="KL24" s="1527"/>
      <c r="KM24" s="1527"/>
      <c r="KN24" s="1527"/>
      <c r="KO24" s="1527"/>
      <c r="KP24" s="1527"/>
      <c r="KQ24" s="1527"/>
      <c r="KR24" s="1527"/>
      <c r="KS24" s="1527"/>
      <c r="KT24" s="1527"/>
      <c r="KU24" s="1527"/>
      <c r="KV24" s="1525">
        <f>IFERROR(__xludf.DUMMYFUNCTION("""COMPUTED_VALUE"""),237.5888888888889)</f>
        <v>237.5888889</v>
      </c>
      <c r="KW24" s="1526">
        <f>IFERROR(__xludf.DUMMYFUNCTION("""COMPUTED_VALUE"""),5.5E18)</f>
        <v>5.5E+18</v>
      </c>
      <c r="KX24" s="1525">
        <f>IFERROR(__xludf.DUMMYFUNCTION("""COMPUTED_VALUE"""),237.5888888888889)</f>
        <v>237.5888889</v>
      </c>
      <c r="KY24" s="1526">
        <f>IFERROR(__xludf.DUMMYFUNCTION("""COMPUTED_VALUE"""),5.5E18)</f>
        <v>5.5E+18</v>
      </c>
      <c r="KZ24" s="1525">
        <f>IFERROR(__xludf.DUMMYFUNCTION("""COMPUTED_VALUE"""),237.5888888888889)</f>
        <v>237.5888889</v>
      </c>
      <c r="LA24" s="1526">
        <f>IFERROR(__xludf.DUMMYFUNCTION("""COMPUTED_VALUE"""),5.5E18)</f>
        <v>5.5E+18</v>
      </c>
      <c r="LB24" s="1525">
        <f>IFERROR(__xludf.DUMMYFUNCTION("""COMPUTED_VALUE"""),237.5888888888889)</f>
        <v>237.5888889</v>
      </c>
      <c r="LC24" s="1526">
        <f>IFERROR(__xludf.DUMMYFUNCTION("""COMPUTED_VALUE"""),5.5E18)</f>
        <v>5.5E+18</v>
      </c>
      <c r="LD24" s="1525">
        <f>IFERROR(__xludf.DUMMYFUNCTION("""COMPUTED_VALUE"""),237.5888888888889)</f>
        <v>237.5888889</v>
      </c>
      <c r="LE24" s="1526">
        <f>IFERROR(__xludf.DUMMYFUNCTION("""COMPUTED_VALUE"""),5.5E18)</f>
        <v>5.5E+18</v>
      </c>
      <c r="LF24" s="1525">
        <f>IFERROR(__xludf.DUMMYFUNCTION("""COMPUTED_VALUE"""),237.5888888888889)</f>
        <v>237.5888889</v>
      </c>
      <c r="LG24" s="1526">
        <f>IFERROR(__xludf.DUMMYFUNCTION("""COMPUTED_VALUE"""),5.5E18)</f>
        <v>5.5E+18</v>
      </c>
      <c r="LH24" s="1525">
        <f>IFERROR(__xludf.DUMMYFUNCTION("""COMPUTED_VALUE"""),237.5888888888889)</f>
        <v>237.5888889</v>
      </c>
      <c r="LI24" s="1526">
        <f>IFERROR(__xludf.DUMMYFUNCTION("""COMPUTED_VALUE"""),5.5E18)</f>
        <v>5.5E+18</v>
      </c>
      <c r="LJ24" s="1525">
        <f>IFERROR(__xludf.DUMMYFUNCTION("""COMPUTED_VALUE"""),237.5888888888889)</f>
        <v>237.5888889</v>
      </c>
      <c r="LK24" s="1526">
        <f>IFERROR(__xludf.DUMMYFUNCTION("""COMPUTED_VALUE"""),5.5E18)</f>
        <v>5.5E+18</v>
      </c>
      <c r="LL24" s="1527"/>
      <c r="LM24" s="1527"/>
      <c r="LN24" s="1527"/>
      <c r="LO24" s="1527"/>
      <c r="LP24" s="1527"/>
      <c r="LQ24" s="1527"/>
      <c r="LR24" s="1527"/>
      <c r="LS24" s="1527"/>
      <c r="LT24" s="1527"/>
      <c r="LU24" s="1527"/>
      <c r="LV24" s="1527"/>
      <c r="LW24" s="1527"/>
      <c r="LX24" s="1527"/>
      <c r="LY24" s="1527"/>
      <c r="LZ24" s="1527"/>
      <c r="MA24" s="1527"/>
      <c r="MB24" s="1527"/>
      <c r="MC24" s="1527"/>
      <c r="MD24" s="1527"/>
      <c r="ME24" s="1527"/>
      <c r="MF24" s="1527"/>
      <c r="MG24" s="1527"/>
      <c r="MH24" s="1527"/>
      <c r="MI24" s="1527"/>
      <c r="MJ24" s="1527"/>
      <c r="MK24" s="1527"/>
      <c r="ML24" s="1527"/>
      <c r="MM24" s="1527"/>
      <c r="MN24" s="1527"/>
      <c r="MO24" s="1527"/>
      <c r="MP24" s="1527"/>
      <c r="MQ24" s="1527"/>
      <c r="MR24" s="1527"/>
      <c r="MS24" s="1527"/>
      <c r="MT24" s="1527"/>
      <c r="MU24" s="1527"/>
      <c r="MV24" s="1527"/>
      <c r="MW24" s="1527"/>
      <c r="MX24" s="1527"/>
      <c r="MY24" s="1527"/>
    </row>
    <row r="25">
      <c r="A25" s="1465">
        <f>IFERROR(__xludf.DUMMYFUNCTION("""COMPUTED_VALUE"""),23.0)</f>
        <v>23</v>
      </c>
      <c r="B25" s="1518"/>
      <c r="C25" s="1520"/>
      <c r="D25" s="1466">
        <f>IFERROR(__xludf.DUMMYFUNCTION("""COMPUTED_VALUE"""),1.426388888888889)</f>
        <v>1.426388889</v>
      </c>
      <c r="E25" s="1467">
        <f>IFERROR(__xludf.DUMMYFUNCTION("""COMPUTED_VALUE"""),69460.0)</f>
        <v>69460</v>
      </c>
      <c r="F25" s="1466">
        <f>IFERROR(__xludf.DUMMYFUNCTION("""COMPUTED_VALUE"""),1.426388888888889)</f>
        <v>1.426388889</v>
      </c>
      <c r="G25" s="1467">
        <f>IFERROR(__xludf.DUMMYFUNCTION("""COMPUTED_VALUE"""),69460.0)</f>
        <v>69460</v>
      </c>
      <c r="H25" s="1466">
        <f>IFERROR(__xludf.DUMMYFUNCTION("""COMPUTED_VALUE"""),1.426388888888889)</f>
        <v>1.426388889</v>
      </c>
      <c r="I25" s="1467">
        <f>IFERROR(__xludf.DUMMYFUNCTION("""COMPUTED_VALUE"""),69460.0)</f>
        <v>69460</v>
      </c>
      <c r="J25" s="1466">
        <f>IFERROR(__xludf.DUMMYFUNCTION("""COMPUTED_VALUE"""),1.426388888888889)</f>
        <v>1.426388889</v>
      </c>
      <c r="K25" s="1467">
        <f>IFERROR(__xludf.DUMMYFUNCTION("""COMPUTED_VALUE"""),69460.0)</f>
        <v>69460</v>
      </c>
      <c r="L25" s="1466">
        <f>IFERROR(__xludf.DUMMYFUNCTION("""COMPUTED_VALUE"""),2.2736111111111112)</f>
        <v>2.273611111</v>
      </c>
      <c r="M25" s="1469">
        <f>IFERROR(__xludf.DUMMYFUNCTION("""COMPUTED_VALUE"""),176770.0)</f>
        <v>176770</v>
      </c>
      <c r="N25" s="1470">
        <f>IFERROR(__xludf.DUMMYFUNCTION("""COMPUTED_VALUE"""),1.5791666666666666)</f>
        <v>1.579166667</v>
      </c>
      <c r="O25" s="1467">
        <f>IFERROR(__xludf.DUMMYFUNCTION("""COMPUTED_VALUE"""),189260.0)</f>
        <v>189260</v>
      </c>
      <c r="P25" s="1518"/>
      <c r="Q25" s="1519"/>
      <c r="R25" s="1518"/>
      <c r="S25" s="1519"/>
      <c r="T25" s="1518"/>
      <c r="U25" s="1519"/>
      <c r="V25" s="1518"/>
      <c r="W25" s="1519"/>
      <c r="X25" s="1518"/>
      <c r="Y25" s="1519"/>
      <c r="Z25" s="1518"/>
      <c r="AA25" s="1519"/>
      <c r="AB25" s="1518"/>
      <c r="AC25" s="1519"/>
      <c r="AD25" s="1466">
        <f>IFERROR(__xludf.DUMMYFUNCTION("""COMPUTED_VALUE"""),24.83888888888889)</f>
        <v>24.83888889</v>
      </c>
      <c r="AE25" s="1474">
        <f>IFERROR(__xludf.DUMMYFUNCTION("""COMPUTED_VALUE"""),3.211838878E11)</f>
        <v>321183887800</v>
      </c>
      <c r="AF25" s="1466">
        <f>IFERROR(__xludf.DUMMYFUNCTION("""COMPUTED_VALUE"""),24.83888888888889)</f>
        <v>24.83888889</v>
      </c>
      <c r="AG25" s="1474">
        <f>IFERROR(__xludf.DUMMYFUNCTION("""COMPUTED_VALUE"""),3.211838878E11)</f>
        <v>321183887800</v>
      </c>
      <c r="AH25" s="1466">
        <f>IFERROR(__xludf.DUMMYFUNCTION("""COMPUTED_VALUE"""),24.83888888888889)</f>
        <v>24.83888889</v>
      </c>
      <c r="AI25" s="1474">
        <f>IFERROR(__xludf.DUMMYFUNCTION("""COMPUTED_VALUE"""),3.211838878E11)</f>
        <v>321183887800</v>
      </c>
      <c r="AJ25" s="1475">
        <f>IFERROR(__xludf.DUMMYFUNCTION("""COMPUTED_VALUE"""),1.426388888888889)</f>
        <v>1.426388889</v>
      </c>
      <c r="AK25" s="1476">
        <f>IFERROR(__xludf.DUMMYFUNCTION("""COMPUTED_VALUE"""),69460.0)</f>
        <v>69460</v>
      </c>
      <c r="AL25" s="1475">
        <f>IFERROR(__xludf.DUMMYFUNCTION("""COMPUTED_VALUE"""),1.426388888888889)</f>
        <v>1.426388889</v>
      </c>
      <c r="AM25" s="1476">
        <f>IFERROR(__xludf.DUMMYFUNCTION("""COMPUTED_VALUE"""),69460.0)</f>
        <v>69460</v>
      </c>
      <c r="AN25" s="1475">
        <f>IFERROR(__xludf.DUMMYFUNCTION("""COMPUTED_VALUE"""),1.426388888888889)</f>
        <v>1.426388889</v>
      </c>
      <c r="AO25" s="1476">
        <f>IFERROR(__xludf.DUMMYFUNCTION("""COMPUTED_VALUE"""),69460.0)</f>
        <v>69460</v>
      </c>
      <c r="AP25" s="1475">
        <f>IFERROR(__xludf.DUMMYFUNCTION("""COMPUTED_VALUE"""),1.426388888888889)</f>
        <v>1.426388889</v>
      </c>
      <c r="AQ25" s="1476">
        <f>IFERROR(__xludf.DUMMYFUNCTION("""COMPUTED_VALUE"""),69460.0)</f>
        <v>69460</v>
      </c>
      <c r="AR25" s="1475">
        <f>IFERROR(__xludf.DUMMYFUNCTION("""COMPUTED_VALUE"""),1.426388888888889)</f>
        <v>1.426388889</v>
      </c>
      <c r="AS25" s="1476">
        <f>IFERROR(__xludf.DUMMYFUNCTION("""COMPUTED_VALUE"""),69470.0)</f>
        <v>69470</v>
      </c>
      <c r="AT25" s="1475">
        <f>IFERROR(__xludf.DUMMYFUNCTION("""COMPUTED_VALUE"""),366.0638888888889)</f>
        <v>366.0638889</v>
      </c>
      <c r="AU25" s="1476">
        <f>IFERROR(__xludf.DUMMYFUNCTION("""COMPUTED_VALUE"""),2.04E9)</f>
        <v>2040000000</v>
      </c>
      <c r="AV25" s="1475">
        <f>IFERROR(__xludf.DUMMYFUNCTION("""COMPUTED_VALUE"""),203.67916666666665)</f>
        <v>203.6791667</v>
      </c>
      <c r="AW25" s="1476">
        <f>IFERROR(__xludf.DUMMYFUNCTION("""COMPUTED_VALUE"""),2.04E9)</f>
        <v>2040000000</v>
      </c>
      <c r="AX25" s="1475">
        <f>IFERROR(__xludf.DUMMYFUNCTION("""COMPUTED_VALUE"""),16.931250000000002)</f>
        <v>16.93125</v>
      </c>
      <c r="AY25" s="1476">
        <f>IFERROR(__xludf.DUMMYFUNCTION("""COMPUTED_VALUE"""),1.14E12)</f>
        <v>1140000000000</v>
      </c>
      <c r="AZ25" s="1518"/>
      <c r="BA25" s="1518"/>
      <c r="BB25" s="1477">
        <f>IFERROR(__xludf.DUMMYFUNCTION("""COMPUTED_VALUE"""),1.426388888888889)</f>
        <v>1.426388889</v>
      </c>
      <c r="BC25" s="1478">
        <f>IFERROR(__xludf.DUMMYFUNCTION("""COMPUTED_VALUE"""),69460.0)</f>
        <v>69460</v>
      </c>
      <c r="BD25" s="1477">
        <f>IFERROR(__xludf.DUMMYFUNCTION("""COMPUTED_VALUE"""),1.426388888888889)</f>
        <v>1.426388889</v>
      </c>
      <c r="BE25" s="1478">
        <f>IFERROR(__xludf.DUMMYFUNCTION("""COMPUTED_VALUE"""),69460.0)</f>
        <v>69460</v>
      </c>
      <c r="BF25" s="1477">
        <f>IFERROR(__xludf.DUMMYFUNCTION("""COMPUTED_VALUE"""),1.426388888888889)</f>
        <v>1.426388889</v>
      </c>
      <c r="BG25" s="1478">
        <f>IFERROR(__xludf.DUMMYFUNCTION("""COMPUTED_VALUE"""),69460.0)</f>
        <v>69460</v>
      </c>
      <c r="BH25" s="1477">
        <f>IFERROR(__xludf.DUMMYFUNCTION("""COMPUTED_VALUE"""),22.61111111111111)</f>
        <v>22.61111111</v>
      </c>
      <c r="BI25" s="1478">
        <f>IFERROR(__xludf.DUMMYFUNCTION("""COMPUTED_VALUE"""),2.3429E8)</f>
        <v>234290000</v>
      </c>
      <c r="BJ25" s="1518"/>
      <c r="BK25" s="1519"/>
      <c r="BL25" s="1518"/>
      <c r="BM25" s="1519"/>
      <c r="BN25" s="1477">
        <f>IFERROR(__xludf.DUMMYFUNCTION("""COMPUTED_VALUE"""),43.58819444444445)</f>
        <v>43.58819444</v>
      </c>
      <c r="BO25" s="1478">
        <f>IFERROR(__xludf.DUMMYFUNCTION("""COMPUTED_VALUE"""),5.92E9)</f>
        <v>5920000000</v>
      </c>
      <c r="BP25" s="1518"/>
      <c r="BQ25" s="1519"/>
      <c r="BR25" s="1520"/>
      <c r="BS25" s="1519"/>
      <c r="BT25" s="1479">
        <f>IFERROR(__xludf.DUMMYFUNCTION("""COMPUTED_VALUE"""),1.6319444444444444)</f>
        <v>1.631944444</v>
      </c>
      <c r="BU25" s="1480">
        <f>IFERROR(__xludf.DUMMYFUNCTION("""COMPUTED_VALUE"""),8.09E9)</f>
        <v>8090000000</v>
      </c>
      <c r="BV25" s="1520"/>
      <c r="BW25" s="1520"/>
      <c r="BX25" s="1479">
        <f>IFERROR(__xludf.DUMMYFUNCTION("""COMPUTED_VALUE"""),105.0657638888889)</f>
        <v>105.0657639</v>
      </c>
      <c r="BY25" s="1480">
        <f>IFERROR(__xludf.DUMMYFUNCTION("""COMPUTED_VALUE"""),1.6608E11)</f>
        <v>166080000000</v>
      </c>
      <c r="BZ25" s="1520"/>
      <c r="CA25" s="1520"/>
      <c r="CB25" s="1520"/>
      <c r="CC25" s="1519"/>
      <c r="CD25" s="1477">
        <f>IFERROR(__xludf.DUMMYFUNCTION("""COMPUTED_VALUE"""),8.019386574074074)</f>
        <v>8.019386574</v>
      </c>
      <c r="CE25" s="1481">
        <f>IFERROR(__xludf.DUMMYFUNCTION("""COMPUTED_VALUE"""),8.3284E11)</f>
        <v>832840000000</v>
      </c>
      <c r="CF25" s="1527"/>
      <c r="CG25" s="1560"/>
      <c r="CH25" s="1482">
        <f>IFERROR(__xludf.DUMMYFUNCTION("""COMPUTED_VALUE"""),1.426388888888889)</f>
        <v>1.426388889</v>
      </c>
      <c r="CI25" s="1483">
        <f>IFERROR(__xludf.DUMMYFUNCTION("""COMPUTED_VALUE"""),69470.0)</f>
        <v>69470</v>
      </c>
      <c r="CJ25" s="1482">
        <f>IFERROR(__xludf.DUMMYFUNCTION("""COMPUTED_VALUE"""),1.426388888888889)</f>
        <v>1.426388889</v>
      </c>
      <c r="CK25" s="1483">
        <f>IFERROR(__xludf.DUMMYFUNCTION("""COMPUTED_VALUE"""),69470.0)</f>
        <v>69470</v>
      </c>
      <c r="CL25" s="1482">
        <f>IFERROR(__xludf.DUMMYFUNCTION("""COMPUTED_VALUE"""),1.426388888888889)</f>
        <v>1.426388889</v>
      </c>
      <c r="CM25" s="1483">
        <f>IFERROR(__xludf.DUMMYFUNCTION("""COMPUTED_VALUE"""),69470.0)</f>
        <v>69470</v>
      </c>
      <c r="CN25" s="1482">
        <f>IFERROR(__xludf.DUMMYFUNCTION("""COMPUTED_VALUE"""),1.426388888888889)</f>
        <v>1.426388889</v>
      </c>
      <c r="CO25" s="1483">
        <f>IFERROR(__xludf.DUMMYFUNCTION("""COMPUTED_VALUE"""),69470.0)</f>
        <v>69470</v>
      </c>
      <c r="CP25" s="1482">
        <f>IFERROR(__xludf.DUMMYFUNCTION("""COMPUTED_VALUE"""),2.6326388888888888)</f>
        <v>2.632638889</v>
      </c>
      <c r="CQ25" s="1483">
        <f>IFERROR(__xludf.DUMMYFUNCTION("""COMPUTED_VALUE"""),189270.0)</f>
        <v>189270</v>
      </c>
      <c r="CR25" s="1518"/>
      <c r="CS25" s="1519"/>
      <c r="CT25" s="1520"/>
      <c r="CU25" s="1519"/>
      <c r="CV25" s="1520"/>
      <c r="CW25" s="1519"/>
      <c r="CX25" s="1520"/>
      <c r="CY25" s="1519"/>
      <c r="CZ25" s="1520"/>
      <c r="DA25" s="1520"/>
      <c r="DB25" s="1520"/>
      <c r="DC25" s="1520"/>
      <c r="DD25" s="1520"/>
      <c r="DE25" s="1519"/>
      <c r="DF25" s="1520"/>
      <c r="DG25" s="1519"/>
      <c r="DH25" s="1518"/>
      <c r="DI25" s="1519"/>
      <c r="DJ25" s="1518"/>
      <c r="DK25" s="1519"/>
      <c r="DL25" s="1486">
        <f>IFERROR(__xludf.DUMMYFUNCTION("""COMPUTED_VALUE"""),44.35208333333333)</f>
        <v>44.35208333</v>
      </c>
      <c r="DM25" s="1487">
        <f>IFERROR(__xludf.DUMMYFUNCTION("""COMPUTED_VALUE"""),5.92E9)</f>
        <v>5920000000</v>
      </c>
      <c r="DN25" s="1518"/>
      <c r="DO25" s="1519"/>
      <c r="DP25" s="1486">
        <f>IFERROR(__xludf.DUMMYFUNCTION("""COMPUTED_VALUE"""),44.35208333333333)</f>
        <v>44.35208333</v>
      </c>
      <c r="DQ25" s="1487">
        <f>IFERROR(__xludf.DUMMYFUNCTION("""COMPUTED_VALUE"""),5.92E9)</f>
        <v>5920000000</v>
      </c>
      <c r="DR25" s="1486">
        <f>IFERROR(__xludf.DUMMYFUNCTION("""COMPUTED_VALUE"""),44.35208333333333)</f>
        <v>44.35208333</v>
      </c>
      <c r="DS25" s="1487">
        <f>IFERROR(__xludf.DUMMYFUNCTION("""COMPUTED_VALUE"""),5.92E9)</f>
        <v>5920000000</v>
      </c>
      <c r="DT25" s="1518"/>
      <c r="DU25" s="1519"/>
      <c r="DV25" s="1486">
        <f>IFERROR(__xludf.DUMMYFUNCTION("""COMPUTED_VALUE"""),44.35208333333333)</f>
        <v>44.35208333</v>
      </c>
      <c r="DW25" s="1487">
        <f>IFERROR(__xludf.DUMMYFUNCTION("""COMPUTED_VALUE"""),5.92E9)</f>
        <v>5920000000</v>
      </c>
      <c r="DX25" s="1486">
        <f>IFERROR(__xludf.DUMMYFUNCTION("""COMPUTED_VALUE"""),44.35208333333333)</f>
        <v>44.35208333</v>
      </c>
      <c r="DY25" s="1487">
        <f>IFERROR(__xludf.DUMMYFUNCTION("""COMPUTED_VALUE"""),5.92E9)</f>
        <v>5920000000</v>
      </c>
      <c r="DZ25" s="1486">
        <f>IFERROR(__xludf.DUMMYFUNCTION("""COMPUTED_VALUE"""),49.76875)</f>
        <v>49.76875</v>
      </c>
      <c r="EA25" s="1487">
        <f>IFERROR(__xludf.DUMMYFUNCTION("""COMPUTED_VALUE"""),1.748E10)</f>
        <v>17480000000</v>
      </c>
      <c r="EB25" s="1518"/>
      <c r="EC25" s="1519"/>
      <c r="ED25" s="1518"/>
      <c r="EE25" s="1519"/>
      <c r="EF25" s="1486">
        <f>IFERROR(__xludf.DUMMYFUNCTION("""COMPUTED_VALUE"""),48.93541666666667)</f>
        <v>48.93541667</v>
      </c>
      <c r="EG25" s="1487">
        <f>IFERROR(__xludf.DUMMYFUNCTION("""COMPUTED_VALUE"""),1.748E10)</f>
        <v>17480000000</v>
      </c>
      <c r="EH25" s="1518"/>
      <c r="EI25" s="1519"/>
      <c r="EJ25" s="1486">
        <f>IFERROR(__xludf.DUMMYFUNCTION("""COMPUTED_VALUE"""),12.950358796296296)</f>
        <v>12.9503588</v>
      </c>
      <c r="EK25" s="1487">
        <f>IFERROR(__xludf.DUMMYFUNCTION("""COMPUTED_VALUE"""),8.0604E8)</f>
        <v>806040000</v>
      </c>
      <c r="EL25" s="1562"/>
      <c r="EM25" s="1560"/>
      <c r="EN25" s="1518"/>
      <c r="EO25" s="1519"/>
      <c r="EP25" s="1518"/>
      <c r="EQ25" s="1519"/>
      <c r="ER25" s="1518"/>
      <c r="ES25" s="1519"/>
      <c r="ET25" s="1486">
        <f>IFERROR(__xludf.DUMMYFUNCTION("""COMPUTED_VALUE"""),48.93541666666667)</f>
        <v>48.93541667</v>
      </c>
      <c r="EU25" s="1487">
        <f>IFERROR(__xludf.DUMMYFUNCTION("""COMPUTED_VALUE"""),1.748E10)</f>
        <v>17480000000</v>
      </c>
      <c r="EV25" s="1518"/>
      <c r="EW25" s="1519"/>
      <c r="EX25" s="1518"/>
      <c r="EY25" s="1519"/>
      <c r="EZ25" s="1518"/>
      <c r="FA25" s="1519"/>
      <c r="FB25" s="1520"/>
      <c r="FC25" s="1519"/>
      <c r="FD25" s="1520"/>
      <c r="FE25" s="1519"/>
      <c r="FF25" s="1520"/>
      <c r="FG25" s="1519"/>
      <c r="FH25" s="1520"/>
      <c r="FI25" s="1520"/>
      <c r="FJ25" s="1520"/>
      <c r="FK25" s="1519"/>
      <c r="FL25" s="1520"/>
      <c r="FM25" s="1519"/>
      <c r="FN25" s="1532"/>
      <c r="FO25" s="1520"/>
      <c r="FP25" s="1486">
        <f>IFERROR(__xludf.DUMMYFUNCTION("""COMPUTED_VALUE"""),100.83591435185186)</f>
        <v>100.8359144</v>
      </c>
      <c r="FQ25" s="1488">
        <f>IFERROR(__xludf.DUMMYFUNCTION("""COMPUTED_VALUE"""),7.4818E14)</f>
        <v>748180000000000</v>
      </c>
      <c r="FR25" s="1532"/>
      <c r="FS25" s="1520"/>
      <c r="FT25" s="1486">
        <f>IFERROR(__xludf.DUMMYFUNCTION("""COMPUTED_VALUE"""),100.83591435185186)</f>
        <v>100.8359144</v>
      </c>
      <c r="FU25" s="1488">
        <f>IFERROR(__xludf.DUMMYFUNCTION("""COMPUTED_VALUE"""),7.4818E14)</f>
        <v>748180000000000</v>
      </c>
      <c r="FV25" s="1486">
        <f>IFERROR(__xludf.DUMMYFUNCTION("""COMPUTED_VALUE"""),100.83591435185186)</f>
        <v>100.8359144</v>
      </c>
      <c r="FW25" s="1488">
        <f>IFERROR(__xludf.DUMMYFUNCTION("""COMPUTED_VALUE"""),7.4818E14)</f>
        <v>748180000000000</v>
      </c>
      <c r="FX25" s="1527"/>
      <c r="FY25" s="1527"/>
      <c r="FZ25" s="1491">
        <f>IFERROR(__xludf.DUMMYFUNCTION("""COMPUTED_VALUE"""),100.83591435185186)</f>
        <v>100.8359144</v>
      </c>
      <c r="GA25" s="1492">
        <f>IFERROR(__xludf.DUMMYFUNCTION("""COMPUTED_VALUE"""),7.4818E14)</f>
        <v>748180000000000</v>
      </c>
      <c r="GB25" s="1527"/>
      <c r="GC25" s="1527"/>
      <c r="GD25" s="1527"/>
      <c r="GE25" s="1560"/>
      <c r="GF25" s="1518"/>
      <c r="GG25" s="1519"/>
      <c r="GH25" s="1494">
        <f>IFERROR(__xludf.DUMMYFUNCTION("""COMPUTED_VALUE"""),48.14375)</f>
        <v>48.14375</v>
      </c>
      <c r="GI25" s="1495">
        <f>IFERROR(__xludf.DUMMYFUNCTION("""COMPUTED_VALUE"""),5.155E10)</f>
        <v>51550000000</v>
      </c>
      <c r="GJ25" s="1518"/>
      <c r="GK25" s="1519"/>
      <c r="GL25" s="1518"/>
      <c r="GM25" s="1519"/>
      <c r="GN25" s="1520"/>
      <c r="GO25" s="1519"/>
      <c r="GP25" s="1496">
        <f>IFERROR(__xludf.DUMMYFUNCTION("""COMPUTED_VALUE"""),48.31041666666666)</f>
        <v>48.31041667</v>
      </c>
      <c r="GQ25" s="1497">
        <f>IFERROR(__xludf.DUMMYFUNCTION("""COMPUTED_VALUE"""),6.5521E11)</f>
        <v>655210000000</v>
      </c>
      <c r="GR25" s="1518"/>
      <c r="GS25" s="1519"/>
      <c r="GT25" s="1518"/>
      <c r="GU25" s="1519"/>
      <c r="GV25" s="1520"/>
      <c r="GW25" s="1519"/>
      <c r="GX25" s="1561"/>
      <c r="GY25" s="1527"/>
      <c r="GZ25" s="1518"/>
      <c r="HA25" s="1519"/>
      <c r="HB25" s="1501">
        <f>IFERROR(__xludf.DUMMYFUNCTION("""COMPUTED_VALUE"""),43.58819444444445)</f>
        <v>43.58819444</v>
      </c>
      <c r="HC25" s="1502">
        <f>IFERROR(__xludf.DUMMYFUNCTION("""COMPUTED_VALUE"""),1.0307E11)</f>
        <v>103070000000</v>
      </c>
      <c r="HD25" s="1518"/>
      <c r="HE25" s="1519"/>
      <c r="HF25" s="1501">
        <f>IFERROR(__xludf.DUMMYFUNCTION("""COMPUTED_VALUE"""),44.09722222222222)</f>
        <v>44.09722222</v>
      </c>
      <c r="HG25" s="1502">
        <f>IFERROR(__xludf.DUMMYFUNCTION("""COMPUTED_VALUE"""),1.5461E11)</f>
        <v>154610000000</v>
      </c>
      <c r="HH25" s="1518"/>
      <c r="HI25" s="1519"/>
      <c r="HJ25" s="1518"/>
      <c r="HK25" s="1519"/>
      <c r="HL25" s="1518"/>
      <c r="HM25" s="1519"/>
      <c r="HN25" s="1520"/>
      <c r="HO25" s="1519"/>
      <c r="HP25" s="1501">
        <f>IFERROR(__xludf.DUMMYFUNCTION("""COMPUTED_VALUE"""),206.12081018518518)</f>
        <v>206.1208102</v>
      </c>
      <c r="HQ25" s="1502">
        <f>IFERROR(__xludf.DUMMYFUNCTION("""COMPUTED_VALUE"""),3.296E10)</f>
        <v>32960000000</v>
      </c>
      <c r="HR25" s="1524">
        <f>IFERROR(__xludf.DUMMYFUNCTION("""COMPUTED_VALUE"""),64.37881944444445)</f>
        <v>64.37881944</v>
      </c>
      <c r="HS25" s="1523">
        <f>IFERROR(__xludf.DUMMYFUNCTION("""COMPUTED_VALUE"""),2.5837E11)</f>
        <v>258370000000</v>
      </c>
      <c r="HT25" s="1524">
        <f>IFERROR(__xludf.DUMMYFUNCTION("""COMPUTED_VALUE"""),64.37881944444445)</f>
        <v>64.37881944</v>
      </c>
      <c r="HU25" s="1523">
        <f>IFERROR(__xludf.DUMMYFUNCTION("""COMPUTED_VALUE"""),2.5837E11)</f>
        <v>258370000000</v>
      </c>
      <c r="HV25" s="1524">
        <f>IFERROR(__xludf.DUMMYFUNCTION("""COMPUTED_VALUE"""),64.37881944444445)</f>
        <v>64.37881944</v>
      </c>
      <c r="HW25" s="1523">
        <f>IFERROR(__xludf.DUMMYFUNCTION("""COMPUTED_VALUE"""),2.5837E11)</f>
        <v>258370000000</v>
      </c>
      <c r="HX25" s="1524">
        <f>IFERROR(__xludf.DUMMYFUNCTION("""COMPUTED_VALUE"""),64.37881944444445)</f>
        <v>64.37881944</v>
      </c>
      <c r="HY25" s="1523">
        <f>IFERROR(__xludf.DUMMYFUNCTION("""COMPUTED_VALUE"""),2.5837E11)</f>
        <v>258370000000</v>
      </c>
      <c r="HZ25" s="1520"/>
      <c r="IA25" s="1519"/>
      <c r="IB25" s="1520"/>
      <c r="IC25" s="1519"/>
      <c r="ID25" s="1520"/>
      <c r="IE25" s="1519"/>
      <c r="IF25" s="1520"/>
      <c r="IG25" s="1519"/>
      <c r="IH25" s="1507">
        <f>IFERROR(__xludf.DUMMYFUNCTION("""COMPUTED_VALUE"""),65.07291666666667)</f>
        <v>65.07291667</v>
      </c>
      <c r="II25" s="1508">
        <f>IFERROR(__xludf.DUMMYFUNCTION("""COMPUTED_VALUE"""),1.09E12)</f>
        <v>1090000000000</v>
      </c>
      <c r="IJ25" s="1507">
        <f>IFERROR(__xludf.DUMMYFUNCTION("""COMPUTED_VALUE"""),65.07291666666667)</f>
        <v>65.07291667</v>
      </c>
      <c r="IK25" s="1508">
        <f>IFERROR(__xludf.DUMMYFUNCTION("""COMPUTED_VALUE"""),1.09E12)</f>
        <v>1090000000000</v>
      </c>
      <c r="IL25" s="1507">
        <f>IFERROR(__xludf.DUMMYFUNCTION("""COMPUTED_VALUE"""),65.07291666666667)</f>
        <v>65.07291667</v>
      </c>
      <c r="IM25" s="1508">
        <f>IFERROR(__xludf.DUMMYFUNCTION("""COMPUTED_VALUE"""),1.32E12)</f>
        <v>1320000000000</v>
      </c>
      <c r="IN25" s="1507">
        <f>IFERROR(__xludf.DUMMYFUNCTION("""COMPUTED_VALUE"""),65.07291666666667)</f>
        <v>65.07291667</v>
      </c>
      <c r="IO25" s="1508">
        <f>IFERROR(__xludf.DUMMYFUNCTION("""COMPUTED_VALUE"""),1.32E12)</f>
        <v>1320000000000</v>
      </c>
      <c r="IP25" s="1507">
        <f>IFERROR(__xludf.DUMMYFUNCTION("""COMPUTED_VALUE"""),65.53611111111111)</f>
        <v>65.53611111</v>
      </c>
      <c r="IQ25" s="1508">
        <f>IFERROR(__xludf.DUMMYFUNCTION("""COMPUTED_VALUE"""),2.01E12)</f>
        <v>2010000000000</v>
      </c>
      <c r="IR25" s="1507">
        <f>IFERROR(__xludf.DUMMYFUNCTION("""COMPUTED_VALUE"""),65.07291666666667)</f>
        <v>65.07291667</v>
      </c>
      <c r="IS25" s="1508">
        <f>IFERROR(__xludf.DUMMYFUNCTION("""COMPUTED_VALUE"""),1.32E12)</f>
        <v>1320000000000</v>
      </c>
      <c r="IT25" s="1507">
        <f>IFERROR(__xludf.DUMMYFUNCTION("""COMPUTED_VALUE"""),65.07291666666667)</f>
        <v>65.07291667</v>
      </c>
      <c r="IU25" s="1508">
        <f>IFERROR(__xludf.DUMMYFUNCTION("""COMPUTED_VALUE"""),1.32E12)</f>
        <v>1320000000000</v>
      </c>
      <c r="IV25" s="1507">
        <f>IFERROR(__xludf.DUMMYFUNCTION("""COMPUTED_VALUE"""),65.07291666666667)</f>
        <v>65.07291667</v>
      </c>
      <c r="IW25" s="1508">
        <f>IFERROR(__xludf.DUMMYFUNCTION("""COMPUTED_VALUE"""),1.32E12)</f>
        <v>1320000000000</v>
      </c>
      <c r="IX25" s="1507">
        <f>IFERROR(__xludf.DUMMYFUNCTION("""COMPUTED_VALUE"""),65.07291666666667)</f>
        <v>65.07291667</v>
      </c>
      <c r="IY25" s="1508">
        <f>IFERROR(__xludf.DUMMYFUNCTION("""COMPUTED_VALUE"""),1.32E12)</f>
        <v>1320000000000</v>
      </c>
      <c r="IZ25" s="1507">
        <f>IFERROR(__xludf.DUMMYFUNCTION("""COMPUTED_VALUE"""),65.07291666666667)</f>
        <v>65.07291667</v>
      </c>
      <c r="JA25" s="1508">
        <f>IFERROR(__xludf.DUMMYFUNCTION("""COMPUTED_VALUE"""),1.55E12)</f>
        <v>1550000000000</v>
      </c>
      <c r="JB25" s="1507">
        <f>IFERROR(__xludf.DUMMYFUNCTION("""COMPUTED_VALUE"""),65.07291666666667)</f>
        <v>65.07291667</v>
      </c>
      <c r="JC25" s="1508">
        <f>IFERROR(__xludf.DUMMYFUNCTION("""COMPUTED_VALUE"""),1.55E12)</f>
        <v>1550000000000</v>
      </c>
      <c r="JD25" s="1507">
        <f>IFERROR(__xludf.DUMMYFUNCTION("""COMPUTED_VALUE"""),65.07291666666667)</f>
        <v>65.07291667</v>
      </c>
      <c r="JE25" s="1508">
        <f>IFERROR(__xludf.DUMMYFUNCTION("""COMPUTED_VALUE"""),1.55E12)</f>
        <v>1550000000000</v>
      </c>
      <c r="JF25" s="1507">
        <f>IFERROR(__xludf.DUMMYFUNCTION("""COMPUTED_VALUE"""),65.07291666666667)</f>
        <v>65.07291667</v>
      </c>
      <c r="JG25" s="1508">
        <f>IFERROR(__xludf.DUMMYFUNCTION("""COMPUTED_VALUE"""),1.55E12)</f>
        <v>1550000000000</v>
      </c>
      <c r="JH25" s="1520"/>
      <c r="JI25" s="1519"/>
      <c r="JJ25" s="1507">
        <f>IFERROR(__xludf.DUMMYFUNCTION("""COMPUTED_VALUE"""),248.38888888888889)</f>
        <v>248.3888889</v>
      </c>
      <c r="JK25" s="1509">
        <f>IFERROR(__xludf.DUMMYFUNCTION("""COMPUTED_VALUE"""),5.75E18)</f>
        <v>5.75E+18</v>
      </c>
      <c r="JL25" s="1507">
        <f>IFERROR(__xludf.DUMMYFUNCTION("""COMPUTED_VALUE"""),248.38888888888889)</f>
        <v>248.3888889</v>
      </c>
      <c r="JM25" s="1509">
        <f>IFERROR(__xludf.DUMMYFUNCTION("""COMPUTED_VALUE"""),5.75E18)</f>
        <v>5.75E+18</v>
      </c>
      <c r="JN25" s="1507">
        <f>IFERROR(__xludf.DUMMYFUNCTION("""COMPUTED_VALUE"""),248.38888888888889)</f>
        <v>248.3888889</v>
      </c>
      <c r="JO25" s="1509">
        <f>IFERROR(__xludf.DUMMYFUNCTION("""COMPUTED_VALUE"""),5.75E18)</f>
        <v>5.75E+18</v>
      </c>
      <c r="JP25" s="1507">
        <f>IFERROR(__xludf.DUMMYFUNCTION("""COMPUTED_VALUE"""),248.38888888888889)</f>
        <v>248.3888889</v>
      </c>
      <c r="JQ25" s="1509">
        <f>IFERROR(__xludf.DUMMYFUNCTION("""COMPUTED_VALUE"""),5.75E18)</f>
        <v>5.75E+18</v>
      </c>
      <c r="JR25" s="1507">
        <f>IFERROR(__xludf.DUMMYFUNCTION("""COMPUTED_VALUE"""),248.38888888888889)</f>
        <v>248.3888889</v>
      </c>
      <c r="JS25" s="1509">
        <f>IFERROR(__xludf.DUMMYFUNCTION("""COMPUTED_VALUE"""),5.75E18)</f>
        <v>5.75E+18</v>
      </c>
      <c r="JT25" s="1507">
        <f>IFERROR(__xludf.DUMMYFUNCTION("""COMPUTED_VALUE"""),248.38888888888889)</f>
        <v>248.3888889</v>
      </c>
      <c r="JU25" s="1509">
        <f>IFERROR(__xludf.DUMMYFUNCTION("""COMPUTED_VALUE"""),5.75E18)</f>
        <v>5.75E+18</v>
      </c>
      <c r="JV25" s="1507">
        <f>IFERROR(__xludf.DUMMYFUNCTION("""COMPUTED_VALUE"""),62.09722222222222)</f>
        <v>62.09722222</v>
      </c>
      <c r="JW25" s="1509">
        <f>IFERROR(__xludf.DUMMYFUNCTION("""COMPUTED_VALUE"""),1.639897806E15)</f>
        <v>1.6399E+15</v>
      </c>
      <c r="JX25" s="1562"/>
      <c r="JY25" s="1527"/>
      <c r="JZ25" s="1566">
        <f>IFERROR(__xludf.DUMMYFUNCTION("""COMPUTED_VALUE"""),2.440636574)</f>
        <v>2.440636574</v>
      </c>
      <c r="KA25" s="1514">
        <f>IFERROR(__xludf.DUMMYFUNCTION("""COMPUTED_VALUE"""),8.43E9)</f>
        <v>8430000000</v>
      </c>
      <c r="KB25" s="1566">
        <f>IFERROR(__xludf.DUMMYFUNCTION("""COMPUTED_VALUE"""),3.502974537)</f>
        <v>3.502974537</v>
      </c>
      <c r="KC25" s="1567">
        <f>IFERROR(__xludf.DUMMYFUNCTION("""COMPUTED_VALUE"""),3.195E10)</f>
        <v>31950000000</v>
      </c>
      <c r="KD25" s="1566">
        <f>IFERROR(__xludf.DUMMYFUNCTION("""COMPUTED_VALUE"""),13.67685185)</f>
        <v>13.67685185</v>
      </c>
      <c r="KE25" s="1514">
        <f>IFERROR(__xludf.DUMMYFUNCTION("""COMPUTED_VALUE"""),1.98E12)</f>
        <v>1980000000000</v>
      </c>
      <c r="KF25" s="1566">
        <f>IFERROR(__xludf.DUMMYFUNCTION("""COMPUTED_VALUE"""),13.67685185)</f>
        <v>13.67685185</v>
      </c>
      <c r="KG25" s="1514">
        <f>IFERROR(__xludf.DUMMYFUNCTION("""COMPUTED_VALUE"""),1.98E12)</f>
        <v>1980000000000</v>
      </c>
      <c r="KH25" s="1527"/>
      <c r="KI25" s="1527"/>
      <c r="KJ25" s="1527"/>
      <c r="KK25" s="1527"/>
      <c r="KL25" s="1527"/>
      <c r="KM25" s="1527"/>
      <c r="KN25" s="1527"/>
      <c r="KO25" s="1527"/>
      <c r="KP25" s="1527"/>
      <c r="KQ25" s="1527"/>
      <c r="KR25" s="1527"/>
      <c r="KS25" s="1527"/>
      <c r="KT25" s="1527"/>
      <c r="KU25" s="1527"/>
      <c r="KV25" s="1525">
        <f>IFERROR(__xludf.DUMMYFUNCTION("""COMPUTED_VALUE"""),248.38888888888889)</f>
        <v>248.3888889</v>
      </c>
      <c r="KW25" s="1526">
        <f>IFERROR(__xludf.DUMMYFUNCTION("""COMPUTED_VALUE"""),5.75E18)</f>
        <v>5.75E+18</v>
      </c>
      <c r="KX25" s="1525">
        <f>IFERROR(__xludf.DUMMYFUNCTION("""COMPUTED_VALUE"""),248.38888888888889)</f>
        <v>248.3888889</v>
      </c>
      <c r="KY25" s="1526">
        <f>IFERROR(__xludf.DUMMYFUNCTION("""COMPUTED_VALUE"""),5.75E18)</f>
        <v>5.75E+18</v>
      </c>
      <c r="KZ25" s="1525">
        <f>IFERROR(__xludf.DUMMYFUNCTION("""COMPUTED_VALUE"""),248.38888888888889)</f>
        <v>248.3888889</v>
      </c>
      <c r="LA25" s="1526">
        <f>IFERROR(__xludf.DUMMYFUNCTION("""COMPUTED_VALUE"""),5.75E18)</f>
        <v>5.75E+18</v>
      </c>
      <c r="LB25" s="1525">
        <f>IFERROR(__xludf.DUMMYFUNCTION("""COMPUTED_VALUE"""),248.38888888888889)</f>
        <v>248.3888889</v>
      </c>
      <c r="LC25" s="1526">
        <f>IFERROR(__xludf.DUMMYFUNCTION("""COMPUTED_VALUE"""),5.75E18)</f>
        <v>5.75E+18</v>
      </c>
      <c r="LD25" s="1525">
        <f>IFERROR(__xludf.DUMMYFUNCTION("""COMPUTED_VALUE"""),248.38888888888889)</f>
        <v>248.3888889</v>
      </c>
      <c r="LE25" s="1526">
        <f>IFERROR(__xludf.DUMMYFUNCTION("""COMPUTED_VALUE"""),5.75E18)</f>
        <v>5.75E+18</v>
      </c>
      <c r="LF25" s="1525">
        <f>IFERROR(__xludf.DUMMYFUNCTION("""COMPUTED_VALUE"""),248.38888888888889)</f>
        <v>248.3888889</v>
      </c>
      <c r="LG25" s="1526">
        <f>IFERROR(__xludf.DUMMYFUNCTION("""COMPUTED_VALUE"""),5.75E18)</f>
        <v>5.75E+18</v>
      </c>
      <c r="LH25" s="1525">
        <f>IFERROR(__xludf.DUMMYFUNCTION("""COMPUTED_VALUE"""),248.38888888888889)</f>
        <v>248.3888889</v>
      </c>
      <c r="LI25" s="1526">
        <f>IFERROR(__xludf.DUMMYFUNCTION("""COMPUTED_VALUE"""),5.75E18)</f>
        <v>5.75E+18</v>
      </c>
      <c r="LJ25" s="1525">
        <f>IFERROR(__xludf.DUMMYFUNCTION("""COMPUTED_VALUE"""),248.38888888888889)</f>
        <v>248.3888889</v>
      </c>
      <c r="LK25" s="1526">
        <f>IFERROR(__xludf.DUMMYFUNCTION("""COMPUTED_VALUE"""),5.75E18)</f>
        <v>5.75E+18</v>
      </c>
      <c r="LL25" s="1527"/>
      <c r="LM25" s="1527"/>
      <c r="LN25" s="1527"/>
      <c r="LO25" s="1527"/>
      <c r="LP25" s="1527"/>
      <c r="LQ25" s="1527"/>
      <c r="LR25" s="1527"/>
      <c r="LS25" s="1527"/>
      <c r="LT25" s="1527"/>
      <c r="LU25" s="1527"/>
      <c r="LV25" s="1527"/>
      <c r="LW25" s="1527"/>
      <c r="LX25" s="1527"/>
      <c r="LY25" s="1527"/>
      <c r="LZ25" s="1527"/>
      <c r="MA25" s="1527"/>
      <c r="MB25" s="1527"/>
      <c r="MC25" s="1527"/>
      <c r="MD25" s="1527"/>
      <c r="ME25" s="1527"/>
      <c r="MF25" s="1527"/>
      <c r="MG25" s="1527"/>
      <c r="MH25" s="1527"/>
      <c r="MI25" s="1527"/>
      <c r="MJ25" s="1527"/>
      <c r="MK25" s="1527"/>
      <c r="ML25" s="1527"/>
      <c r="MM25" s="1527"/>
      <c r="MN25" s="1527"/>
      <c r="MO25" s="1527"/>
      <c r="MP25" s="1527"/>
      <c r="MQ25" s="1527"/>
      <c r="MR25" s="1527"/>
      <c r="MS25" s="1527"/>
      <c r="MT25" s="1527"/>
      <c r="MU25" s="1527"/>
      <c r="MV25" s="1527"/>
      <c r="MW25" s="1527"/>
      <c r="MX25" s="1527"/>
      <c r="MY25" s="1527"/>
    </row>
    <row r="26">
      <c r="A26" s="1465">
        <f>IFERROR(__xludf.DUMMYFUNCTION("""COMPUTED_VALUE"""),24.0)</f>
        <v>24</v>
      </c>
      <c r="B26" s="1518"/>
      <c r="C26" s="1520"/>
      <c r="D26" s="1466">
        <f>IFERROR(__xludf.DUMMYFUNCTION("""COMPUTED_VALUE"""),1.5819444444444444)</f>
        <v>1.581944444</v>
      </c>
      <c r="E26" s="1467">
        <f>IFERROR(__xludf.DUMMYFUNCTION("""COMPUTED_VALUE"""),78430.0)</f>
        <v>78430</v>
      </c>
      <c r="F26" s="1466">
        <f>IFERROR(__xludf.DUMMYFUNCTION("""COMPUTED_VALUE"""),1.5819444444444444)</f>
        <v>1.581944444</v>
      </c>
      <c r="G26" s="1467">
        <f>IFERROR(__xludf.DUMMYFUNCTION("""COMPUTED_VALUE"""),78430.0)</f>
        <v>78430</v>
      </c>
      <c r="H26" s="1466">
        <f>IFERROR(__xludf.DUMMYFUNCTION("""COMPUTED_VALUE"""),1.5819444444444444)</f>
        <v>1.581944444</v>
      </c>
      <c r="I26" s="1467">
        <f>IFERROR(__xludf.DUMMYFUNCTION("""COMPUTED_VALUE"""),78430.0)</f>
        <v>78430</v>
      </c>
      <c r="J26" s="1466">
        <f>IFERROR(__xludf.DUMMYFUNCTION("""COMPUTED_VALUE"""),1.5819444444444444)</f>
        <v>1.581944444</v>
      </c>
      <c r="K26" s="1467">
        <f>IFERROR(__xludf.DUMMYFUNCTION("""COMPUTED_VALUE"""),78430.0)</f>
        <v>78430</v>
      </c>
      <c r="L26" s="1466">
        <f>IFERROR(__xludf.DUMMYFUNCTION("""COMPUTED_VALUE"""),2.5375)</f>
        <v>2.5375</v>
      </c>
      <c r="M26" s="1469">
        <f>IFERROR(__xludf.DUMMYFUNCTION("""COMPUTED_VALUE"""),202170.0)</f>
        <v>202170</v>
      </c>
      <c r="N26" s="1470">
        <f>IFERROR(__xludf.DUMMYFUNCTION("""COMPUTED_VALUE"""),1.7375)</f>
        <v>1.7375</v>
      </c>
      <c r="O26" s="1467">
        <f>IFERROR(__xludf.DUMMYFUNCTION("""COMPUTED_VALUE"""),217150.0)</f>
        <v>217150</v>
      </c>
      <c r="P26" s="1518"/>
      <c r="Q26" s="1519"/>
      <c r="R26" s="1518"/>
      <c r="S26" s="1519"/>
      <c r="T26" s="1518"/>
      <c r="U26" s="1519"/>
      <c r="V26" s="1518"/>
      <c r="W26" s="1519"/>
      <c r="X26" s="1518"/>
      <c r="Y26" s="1519"/>
      <c r="Z26" s="1518"/>
      <c r="AA26" s="1519"/>
      <c r="AB26" s="1518"/>
      <c r="AC26" s="1519"/>
      <c r="AD26" s="1466">
        <f>IFERROR(__xludf.DUMMYFUNCTION("""COMPUTED_VALUE"""),25.91875)</f>
        <v>25.91875</v>
      </c>
      <c r="AE26" s="1474">
        <f>IFERROR(__xludf.DUMMYFUNCTION("""COMPUTED_VALUE"""),4.175390541E11)</f>
        <v>417539054100</v>
      </c>
      <c r="AF26" s="1466">
        <f>IFERROR(__xludf.DUMMYFUNCTION("""COMPUTED_VALUE"""),25.91875)</f>
        <v>25.91875</v>
      </c>
      <c r="AG26" s="1474">
        <f>IFERROR(__xludf.DUMMYFUNCTION("""COMPUTED_VALUE"""),4.175390541E11)</f>
        <v>417539054100</v>
      </c>
      <c r="AH26" s="1466">
        <f>IFERROR(__xludf.DUMMYFUNCTION("""COMPUTED_VALUE"""),25.91875)</f>
        <v>25.91875</v>
      </c>
      <c r="AI26" s="1474">
        <f>IFERROR(__xludf.DUMMYFUNCTION("""COMPUTED_VALUE"""),4.175390541E11)</f>
        <v>417539054100</v>
      </c>
      <c r="AJ26" s="1475">
        <f>IFERROR(__xludf.DUMMYFUNCTION("""COMPUTED_VALUE"""),1.5819444444444444)</f>
        <v>1.581944444</v>
      </c>
      <c r="AK26" s="1476">
        <f>IFERROR(__xludf.DUMMYFUNCTION("""COMPUTED_VALUE"""),78430.0)</f>
        <v>78430</v>
      </c>
      <c r="AL26" s="1475">
        <f>IFERROR(__xludf.DUMMYFUNCTION("""COMPUTED_VALUE"""),1.5819444444444444)</f>
        <v>1.581944444</v>
      </c>
      <c r="AM26" s="1476">
        <f>IFERROR(__xludf.DUMMYFUNCTION("""COMPUTED_VALUE"""),78430.0)</f>
        <v>78430</v>
      </c>
      <c r="AN26" s="1475">
        <f>IFERROR(__xludf.DUMMYFUNCTION("""COMPUTED_VALUE"""),1.5819444444444444)</f>
        <v>1.581944444</v>
      </c>
      <c r="AO26" s="1476">
        <f>IFERROR(__xludf.DUMMYFUNCTION("""COMPUTED_VALUE"""),78430.0)</f>
        <v>78430</v>
      </c>
      <c r="AP26" s="1475">
        <f>IFERROR(__xludf.DUMMYFUNCTION("""COMPUTED_VALUE"""),1.5819444444444444)</f>
        <v>1.581944444</v>
      </c>
      <c r="AQ26" s="1476">
        <f>IFERROR(__xludf.DUMMYFUNCTION("""COMPUTED_VALUE"""),78430.0)</f>
        <v>78430</v>
      </c>
      <c r="AR26" s="1475">
        <f>IFERROR(__xludf.DUMMYFUNCTION("""COMPUTED_VALUE"""),1.5819444444444444)</f>
        <v>1.581944444</v>
      </c>
      <c r="AS26" s="1476">
        <f>IFERROR(__xludf.DUMMYFUNCTION("""COMPUTED_VALUE"""),78440.0)</f>
        <v>78440</v>
      </c>
      <c r="AT26" s="1475">
        <f>IFERROR(__xludf.DUMMYFUNCTION("""COMPUTED_VALUE"""),438.93125000000003)</f>
        <v>438.93125</v>
      </c>
      <c r="AU26" s="1476">
        <f>IFERROR(__xludf.DUMMYFUNCTION("""COMPUTED_VALUE"""),2.52E9)</f>
        <v>2520000000</v>
      </c>
      <c r="AV26" s="1475">
        <f>IFERROR(__xludf.DUMMYFUNCTION("""COMPUTED_VALUE"""),241.19027777777777)</f>
        <v>241.1902778</v>
      </c>
      <c r="AW26" s="1476">
        <f>IFERROR(__xludf.DUMMYFUNCTION("""COMPUTED_VALUE"""),2.52E9)</f>
        <v>2520000000</v>
      </c>
      <c r="AX26" s="1475">
        <f>IFERROR(__xludf.DUMMYFUNCTION("""COMPUTED_VALUE"""),17.584722222222222)</f>
        <v>17.58472222</v>
      </c>
      <c r="AY26" s="1476">
        <f>IFERROR(__xludf.DUMMYFUNCTION("""COMPUTED_VALUE"""),1.19E12)</f>
        <v>1190000000000</v>
      </c>
      <c r="AZ26" s="1518"/>
      <c r="BA26" s="1518"/>
      <c r="BB26" s="1477">
        <f>IFERROR(__xludf.DUMMYFUNCTION("""COMPUTED_VALUE"""),1.5819444444444444)</f>
        <v>1.581944444</v>
      </c>
      <c r="BC26" s="1478">
        <f>IFERROR(__xludf.DUMMYFUNCTION("""COMPUTED_VALUE"""),78430.0)</f>
        <v>78430</v>
      </c>
      <c r="BD26" s="1477">
        <f>IFERROR(__xludf.DUMMYFUNCTION("""COMPUTED_VALUE"""),1.5819444444444444)</f>
        <v>1.581944444</v>
      </c>
      <c r="BE26" s="1478">
        <f>IFERROR(__xludf.DUMMYFUNCTION("""COMPUTED_VALUE"""),78430.0)</f>
        <v>78430</v>
      </c>
      <c r="BF26" s="1477">
        <f>IFERROR(__xludf.DUMMYFUNCTION("""COMPUTED_VALUE"""),1.5819444444444444)</f>
        <v>1.581944444</v>
      </c>
      <c r="BG26" s="1478">
        <f>IFERROR(__xludf.DUMMYFUNCTION("""COMPUTED_VALUE"""),78430.0)</f>
        <v>78430</v>
      </c>
      <c r="BH26" s="1477">
        <f>IFERROR(__xludf.DUMMYFUNCTION("""COMPUTED_VALUE"""),26.091666666666665)</f>
        <v>26.09166667</v>
      </c>
      <c r="BI26" s="1478">
        <f>IFERROR(__xludf.DUMMYFUNCTION("""COMPUTED_VALUE"""),2.7988E8)</f>
        <v>279880000</v>
      </c>
      <c r="BJ26" s="1518"/>
      <c r="BK26" s="1519"/>
      <c r="BL26" s="1518"/>
      <c r="BM26" s="1519"/>
      <c r="BN26" s="1477">
        <f>IFERROR(__xludf.DUMMYFUNCTION("""COMPUTED_VALUE"""),50.53888888888889)</f>
        <v>50.53888889</v>
      </c>
      <c r="BO26" s="1478">
        <f>IFERROR(__xludf.DUMMYFUNCTION("""COMPUTED_VALUE"""),7.17E9)</f>
        <v>7170000000</v>
      </c>
      <c r="BP26" s="1518"/>
      <c r="BQ26" s="1519"/>
      <c r="BR26" s="1520"/>
      <c r="BS26" s="1519"/>
      <c r="BT26" s="1479">
        <f>IFERROR(__xludf.DUMMYFUNCTION("""COMPUTED_VALUE"""),1.7868055555555555)</f>
        <v>1.786805556</v>
      </c>
      <c r="BU26" s="1480">
        <f>IFERROR(__xludf.DUMMYFUNCTION("""COMPUTED_VALUE"""),8.72E9)</f>
        <v>8720000000</v>
      </c>
      <c r="BV26" s="1520"/>
      <c r="BW26" s="1520"/>
      <c r="BX26" s="1479">
        <f>IFERROR(__xludf.DUMMYFUNCTION("""COMPUTED_VALUE"""),120.82563657407407)</f>
        <v>120.8256366</v>
      </c>
      <c r="BY26" s="1480">
        <f>IFERROR(__xludf.DUMMYFUNCTION("""COMPUTED_VALUE"""),1.7326E11)</f>
        <v>173260000000</v>
      </c>
      <c r="BZ26" s="1520"/>
      <c r="CA26" s="1520"/>
      <c r="CB26" s="1520"/>
      <c r="CC26" s="1519"/>
      <c r="CD26" s="1477">
        <f>IFERROR(__xludf.DUMMYFUNCTION("""COMPUTED_VALUE"""),8.558773148148148)</f>
        <v>8.558773148</v>
      </c>
      <c r="CE26" s="1481">
        <f>IFERROR(__xludf.DUMMYFUNCTION("""COMPUTED_VALUE"""),9.0881E11)</f>
        <v>908810000000</v>
      </c>
      <c r="CF26" s="1527"/>
      <c r="CG26" s="1560"/>
      <c r="CH26" s="1482">
        <f>IFERROR(__xludf.DUMMYFUNCTION("""COMPUTED_VALUE"""),1.5819444444444444)</f>
        <v>1.581944444</v>
      </c>
      <c r="CI26" s="1483">
        <f>IFERROR(__xludf.DUMMYFUNCTION("""COMPUTED_VALUE"""),78440.0)</f>
        <v>78440</v>
      </c>
      <c r="CJ26" s="1482">
        <f>IFERROR(__xludf.DUMMYFUNCTION("""COMPUTED_VALUE"""),1.5819444444444444)</f>
        <v>1.581944444</v>
      </c>
      <c r="CK26" s="1483">
        <f>IFERROR(__xludf.DUMMYFUNCTION("""COMPUTED_VALUE"""),78440.0)</f>
        <v>78440</v>
      </c>
      <c r="CL26" s="1482">
        <f>IFERROR(__xludf.DUMMYFUNCTION("""COMPUTED_VALUE"""),1.5819444444444444)</f>
        <v>1.581944444</v>
      </c>
      <c r="CM26" s="1483">
        <f>IFERROR(__xludf.DUMMYFUNCTION("""COMPUTED_VALUE"""),78440.0)</f>
        <v>78440</v>
      </c>
      <c r="CN26" s="1482">
        <f>IFERROR(__xludf.DUMMYFUNCTION("""COMPUTED_VALUE"""),1.5819444444444444)</f>
        <v>1.581944444</v>
      </c>
      <c r="CO26" s="1483">
        <f>IFERROR(__xludf.DUMMYFUNCTION("""COMPUTED_VALUE"""),78440.0)</f>
        <v>78440</v>
      </c>
      <c r="CP26" s="1482">
        <f>IFERROR(__xludf.DUMMYFUNCTION("""COMPUTED_VALUE"""),2.9451388888888888)</f>
        <v>2.945138889</v>
      </c>
      <c r="CQ26" s="1483">
        <f>IFERROR(__xludf.DUMMYFUNCTION("""COMPUTED_VALUE"""),217160.0)</f>
        <v>217160</v>
      </c>
      <c r="CR26" s="1518"/>
      <c r="CS26" s="1519"/>
      <c r="CT26" s="1520"/>
      <c r="CU26" s="1519"/>
      <c r="CV26" s="1520"/>
      <c r="CW26" s="1519"/>
      <c r="CX26" s="1520"/>
      <c r="CY26" s="1519"/>
      <c r="CZ26" s="1520"/>
      <c r="DA26" s="1520"/>
      <c r="DB26" s="1520"/>
      <c r="DC26" s="1520"/>
      <c r="DD26" s="1520"/>
      <c r="DE26" s="1519"/>
      <c r="DF26" s="1520"/>
      <c r="DG26" s="1519"/>
      <c r="DH26" s="1518"/>
      <c r="DI26" s="1519"/>
      <c r="DJ26" s="1518"/>
      <c r="DK26" s="1519"/>
      <c r="DL26" s="1486">
        <f>IFERROR(__xludf.DUMMYFUNCTION("""COMPUTED_VALUE"""),51.30277777777778)</f>
        <v>51.30277778</v>
      </c>
      <c r="DM26" s="1487">
        <f>IFERROR(__xludf.DUMMYFUNCTION("""COMPUTED_VALUE"""),7.17E9)</f>
        <v>7170000000</v>
      </c>
      <c r="DN26" s="1518"/>
      <c r="DO26" s="1519"/>
      <c r="DP26" s="1486">
        <f>IFERROR(__xludf.DUMMYFUNCTION("""COMPUTED_VALUE"""),51.30277777777778)</f>
        <v>51.30277778</v>
      </c>
      <c r="DQ26" s="1487">
        <f>IFERROR(__xludf.DUMMYFUNCTION("""COMPUTED_VALUE"""),7.17E9)</f>
        <v>7170000000</v>
      </c>
      <c r="DR26" s="1486">
        <f>IFERROR(__xludf.DUMMYFUNCTION("""COMPUTED_VALUE"""),51.30277777777778)</f>
        <v>51.30277778</v>
      </c>
      <c r="DS26" s="1487">
        <f>IFERROR(__xludf.DUMMYFUNCTION("""COMPUTED_VALUE"""),7.17E9)</f>
        <v>7170000000</v>
      </c>
      <c r="DT26" s="1518"/>
      <c r="DU26" s="1519"/>
      <c r="DV26" s="1486">
        <f>IFERROR(__xludf.DUMMYFUNCTION("""COMPUTED_VALUE"""),51.30277777777778)</f>
        <v>51.30277778</v>
      </c>
      <c r="DW26" s="1487">
        <f>IFERROR(__xludf.DUMMYFUNCTION("""COMPUTED_VALUE"""),7.17E9)</f>
        <v>7170000000</v>
      </c>
      <c r="DX26" s="1486">
        <f>IFERROR(__xludf.DUMMYFUNCTION("""COMPUTED_VALUE"""),51.30277777777778)</f>
        <v>51.30277778</v>
      </c>
      <c r="DY26" s="1487">
        <f>IFERROR(__xludf.DUMMYFUNCTION("""COMPUTED_VALUE"""),7.17E9)</f>
        <v>7170000000</v>
      </c>
      <c r="DZ26" s="1486">
        <f>IFERROR(__xludf.DUMMYFUNCTION("""COMPUTED_VALUE"""),56.92777777777778)</f>
        <v>56.92777778</v>
      </c>
      <c r="EA26" s="1487">
        <f>IFERROR(__xludf.DUMMYFUNCTION("""COMPUTED_VALUE"""),2.149E10)</f>
        <v>21490000000</v>
      </c>
      <c r="EB26" s="1518"/>
      <c r="EC26" s="1519"/>
      <c r="ED26" s="1518"/>
      <c r="EE26" s="1519"/>
      <c r="EF26" s="1486">
        <f>IFERROR(__xludf.DUMMYFUNCTION("""COMPUTED_VALUE"""),56.09444444444444)</f>
        <v>56.09444444</v>
      </c>
      <c r="EG26" s="1487">
        <f>IFERROR(__xludf.DUMMYFUNCTION("""COMPUTED_VALUE"""),2.149E10)</f>
        <v>21490000000</v>
      </c>
      <c r="EH26" s="1518"/>
      <c r="EI26" s="1519"/>
      <c r="EJ26" s="1486">
        <f>IFERROR(__xludf.DUMMYFUNCTION("""COMPUTED_VALUE"""),13.513761574074074)</f>
        <v>13.51376157</v>
      </c>
      <c r="EK26" s="1487">
        <f>IFERROR(__xludf.DUMMYFUNCTION("""COMPUTED_VALUE"""),8.9041E8)</f>
        <v>890410000</v>
      </c>
      <c r="EL26" s="1562"/>
      <c r="EM26" s="1560"/>
      <c r="EN26" s="1518"/>
      <c r="EO26" s="1519"/>
      <c r="EP26" s="1518"/>
      <c r="EQ26" s="1519"/>
      <c r="ER26" s="1518"/>
      <c r="ES26" s="1519"/>
      <c r="ET26" s="1486">
        <f>IFERROR(__xludf.DUMMYFUNCTION("""COMPUTED_VALUE"""),56.09444444444444)</f>
        <v>56.09444444</v>
      </c>
      <c r="EU26" s="1487">
        <f>IFERROR(__xludf.DUMMYFUNCTION("""COMPUTED_VALUE"""),2.149E10)</f>
        <v>21490000000</v>
      </c>
      <c r="EV26" s="1518"/>
      <c r="EW26" s="1519"/>
      <c r="EX26" s="1518"/>
      <c r="EY26" s="1519"/>
      <c r="EZ26" s="1518"/>
      <c r="FA26" s="1519"/>
      <c r="FB26" s="1520"/>
      <c r="FC26" s="1519"/>
      <c r="FD26" s="1520"/>
      <c r="FE26" s="1519"/>
      <c r="FF26" s="1520"/>
      <c r="FG26" s="1519"/>
      <c r="FH26" s="1520"/>
      <c r="FI26" s="1520"/>
      <c r="FJ26" s="1520"/>
      <c r="FK26" s="1519"/>
      <c r="FL26" s="1518"/>
      <c r="FM26" s="1519"/>
      <c r="FN26" s="1532"/>
      <c r="FO26" s="1520"/>
      <c r="FP26" s="1486">
        <f>IFERROR(__xludf.DUMMYFUNCTION("""COMPUTED_VALUE"""),112.93622685185186)</f>
        <v>112.9362269</v>
      </c>
      <c r="FQ26" s="1488">
        <f>IFERROR(__xludf.DUMMYFUNCTION("""COMPUTED_VALUE"""),1.1200000000000001E15)</f>
        <v>1.12E+15</v>
      </c>
      <c r="FR26" s="1532"/>
      <c r="FS26" s="1520"/>
      <c r="FT26" s="1486">
        <f>IFERROR(__xludf.DUMMYFUNCTION("""COMPUTED_VALUE"""),112.93622685185186)</f>
        <v>112.9362269</v>
      </c>
      <c r="FU26" s="1488">
        <f>IFERROR(__xludf.DUMMYFUNCTION("""COMPUTED_VALUE"""),1.1200000000000001E15)</f>
        <v>1.12E+15</v>
      </c>
      <c r="FV26" s="1486">
        <f>IFERROR(__xludf.DUMMYFUNCTION("""COMPUTED_VALUE"""),112.93622685185186)</f>
        <v>112.9362269</v>
      </c>
      <c r="FW26" s="1488">
        <f>IFERROR(__xludf.DUMMYFUNCTION("""COMPUTED_VALUE"""),1.1200000000000001E15)</f>
        <v>1.12E+15</v>
      </c>
      <c r="FX26" s="1527"/>
      <c r="FY26" s="1527"/>
      <c r="FZ26" s="1491">
        <f>IFERROR(__xludf.DUMMYFUNCTION("""COMPUTED_VALUE"""),112.93622685185186)</f>
        <v>112.9362269</v>
      </c>
      <c r="GA26" s="1492">
        <f>IFERROR(__xludf.DUMMYFUNCTION("""COMPUTED_VALUE"""),1.12E15)</f>
        <v>1.12E+15</v>
      </c>
      <c r="GB26" s="1527"/>
      <c r="GC26" s="1527"/>
      <c r="GD26" s="1527"/>
      <c r="GE26" s="1560"/>
      <c r="GF26" s="1518"/>
      <c r="GG26" s="1519"/>
      <c r="GH26" s="1494">
        <f>IFERROR(__xludf.DUMMYFUNCTION("""COMPUTED_VALUE"""),55.30277777777778)</f>
        <v>55.30277778</v>
      </c>
      <c r="GI26" s="1495">
        <f>IFERROR(__xludf.DUMMYFUNCTION("""COMPUTED_VALUE"""),6.437E10)</f>
        <v>64370000000</v>
      </c>
      <c r="GJ26" s="1518"/>
      <c r="GK26" s="1519"/>
      <c r="GL26" s="1518"/>
      <c r="GM26" s="1519"/>
      <c r="GN26" s="1520"/>
      <c r="GO26" s="1519"/>
      <c r="GP26" s="1496">
        <f>IFERROR(__xludf.DUMMYFUNCTION("""COMPUTED_VALUE"""),55.46944444444445)</f>
        <v>55.46944444</v>
      </c>
      <c r="GQ26" s="1497">
        <f>IFERROR(__xludf.DUMMYFUNCTION("""COMPUTED_VALUE"""),7.509E11)</f>
        <v>750900000000</v>
      </c>
      <c r="GR26" s="1518"/>
      <c r="GS26" s="1519"/>
      <c r="GT26" s="1518"/>
      <c r="GU26" s="1519"/>
      <c r="GV26" s="1520"/>
      <c r="GW26" s="1519"/>
      <c r="GX26" s="1561"/>
      <c r="GY26" s="1527"/>
      <c r="GZ26" s="1518"/>
      <c r="HA26" s="1519"/>
      <c r="HB26" s="1501">
        <f>IFERROR(__xludf.DUMMYFUNCTION("""COMPUTED_VALUE"""),50.53888888888889)</f>
        <v>50.53888889</v>
      </c>
      <c r="HC26" s="1502">
        <f>IFERROR(__xludf.DUMMYFUNCTION("""COMPUTED_VALUE"""),1.2837E11)</f>
        <v>128370000000</v>
      </c>
      <c r="HD26" s="1518"/>
      <c r="HE26" s="1519"/>
      <c r="HF26" s="1501">
        <f>IFERROR(__xludf.DUMMYFUNCTION("""COMPUTED_VALUE"""),51.07083333333333)</f>
        <v>51.07083333</v>
      </c>
      <c r="HG26" s="1502">
        <f>IFERROR(__xludf.DUMMYFUNCTION("""COMPUTED_VALUE"""),1.9309E11)</f>
        <v>193090000000</v>
      </c>
      <c r="HH26" s="1518"/>
      <c r="HI26" s="1519"/>
      <c r="HJ26" s="1518"/>
      <c r="HK26" s="1519"/>
      <c r="HL26" s="1518"/>
      <c r="HM26" s="1519"/>
      <c r="HN26" s="1520"/>
      <c r="HO26" s="1519"/>
      <c r="HP26" s="1501">
        <f>IFERROR(__xludf.DUMMYFUNCTION("""COMPUTED_VALUE"""),244.029375)</f>
        <v>244.029375</v>
      </c>
      <c r="HQ26" s="1502">
        <f>IFERROR(__xludf.DUMMYFUNCTION("""COMPUTED_VALUE"""),4.026E10)</f>
        <v>40260000000</v>
      </c>
      <c r="HR26" s="1524">
        <f>IFERROR(__xludf.DUMMYFUNCTION("""COMPUTED_VALUE"""),74.29159722222222)</f>
        <v>74.29159722</v>
      </c>
      <c r="HS26" s="1523">
        <f>IFERROR(__xludf.DUMMYFUNCTION("""COMPUTED_VALUE"""),3.2254E11)</f>
        <v>322540000000</v>
      </c>
      <c r="HT26" s="1524">
        <f>IFERROR(__xludf.DUMMYFUNCTION("""COMPUTED_VALUE"""),74.29159722222222)</f>
        <v>74.29159722</v>
      </c>
      <c r="HU26" s="1523">
        <f>IFERROR(__xludf.DUMMYFUNCTION("""COMPUTED_VALUE"""),3.2254E11)</f>
        <v>322540000000</v>
      </c>
      <c r="HV26" s="1524">
        <f>IFERROR(__xludf.DUMMYFUNCTION("""COMPUTED_VALUE"""),74.29159722222222)</f>
        <v>74.29159722</v>
      </c>
      <c r="HW26" s="1523">
        <f>IFERROR(__xludf.DUMMYFUNCTION("""COMPUTED_VALUE"""),3.2254E11)</f>
        <v>322540000000</v>
      </c>
      <c r="HX26" s="1524">
        <f>IFERROR(__xludf.DUMMYFUNCTION("""COMPUTED_VALUE"""),74.29159722222222)</f>
        <v>74.29159722</v>
      </c>
      <c r="HY26" s="1523">
        <f>IFERROR(__xludf.DUMMYFUNCTION("""COMPUTED_VALUE"""),3.2254E11)</f>
        <v>322540000000</v>
      </c>
      <c r="HZ26" s="1518"/>
      <c r="IA26" s="1519"/>
      <c r="IB26" s="1518"/>
      <c r="IC26" s="1519"/>
      <c r="ID26" s="1518"/>
      <c r="IE26" s="1519"/>
      <c r="IF26" s="1518"/>
      <c r="IG26" s="1519"/>
      <c r="IH26" s="1507">
        <f>IFERROR(__xludf.DUMMYFUNCTION("""COMPUTED_VALUE"""),74.98541666666667)</f>
        <v>74.98541667</v>
      </c>
      <c r="II26" s="1508">
        <f>IFERROR(__xludf.DUMMYFUNCTION("""COMPUTED_VALUE"""),1.23E12)</f>
        <v>1230000000000</v>
      </c>
      <c r="IJ26" s="1507">
        <f>IFERROR(__xludf.DUMMYFUNCTION("""COMPUTED_VALUE"""),74.98541666666667)</f>
        <v>74.98541667</v>
      </c>
      <c r="IK26" s="1508">
        <f>IFERROR(__xludf.DUMMYFUNCTION("""COMPUTED_VALUE"""),1.23E12)</f>
        <v>1230000000000</v>
      </c>
      <c r="IL26" s="1507">
        <f>IFERROR(__xludf.DUMMYFUNCTION("""COMPUTED_VALUE"""),74.98541666666667)</f>
        <v>74.98541667</v>
      </c>
      <c r="IM26" s="1508">
        <f>IFERROR(__xludf.DUMMYFUNCTION("""COMPUTED_VALUE"""),1.47E12)</f>
        <v>1470000000000</v>
      </c>
      <c r="IN26" s="1507">
        <f>IFERROR(__xludf.DUMMYFUNCTION("""COMPUTED_VALUE"""),74.98541666666667)</f>
        <v>74.98541667</v>
      </c>
      <c r="IO26" s="1508">
        <f>IFERROR(__xludf.DUMMYFUNCTION("""COMPUTED_VALUE"""),1.47E12)</f>
        <v>1470000000000</v>
      </c>
      <c r="IP26" s="1507">
        <f>IFERROR(__xludf.DUMMYFUNCTION("""COMPUTED_VALUE"""),75.44861111111112)</f>
        <v>75.44861111</v>
      </c>
      <c r="IQ26" s="1508">
        <f>IFERROR(__xludf.DUMMYFUNCTION("""COMPUTED_VALUE"""),2.19E12)</f>
        <v>2190000000000</v>
      </c>
      <c r="IR26" s="1507">
        <f>IFERROR(__xludf.DUMMYFUNCTION("""COMPUTED_VALUE"""),74.98541666666667)</f>
        <v>74.98541667</v>
      </c>
      <c r="IS26" s="1508">
        <f>IFERROR(__xludf.DUMMYFUNCTION("""COMPUTED_VALUE"""),1.47E12)</f>
        <v>1470000000000</v>
      </c>
      <c r="IT26" s="1507">
        <f>IFERROR(__xludf.DUMMYFUNCTION("""COMPUTED_VALUE"""),74.98541666666667)</f>
        <v>74.98541667</v>
      </c>
      <c r="IU26" s="1508">
        <f>IFERROR(__xludf.DUMMYFUNCTION("""COMPUTED_VALUE"""),1.47E12)</f>
        <v>1470000000000</v>
      </c>
      <c r="IV26" s="1507">
        <f>IFERROR(__xludf.DUMMYFUNCTION("""COMPUTED_VALUE"""),74.98541666666667)</f>
        <v>74.98541667</v>
      </c>
      <c r="IW26" s="1508">
        <f>IFERROR(__xludf.DUMMYFUNCTION("""COMPUTED_VALUE"""),1.47E12)</f>
        <v>1470000000000</v>
      </c>
      <c r="IX26" s="1507">
        <f>IFERROR(__xludf.DUMMYFUNCTION("""COMPUTED_VALUE"""),74.98541666666667)</f>
        <v>74.98541667</v>
      </c>
      <c r="IY26" s="1508">
        <f>IFERROR(__xludf.DUMMYFUNCTION("""COMPUTED_VALUE"""),1.47E12)</f>
        <v>1470000000000</v>
      </c>
      <c r="IZ26" s="1507">
        <f>IFERROR(__xludf.DUMMYFUNCTION("""COMPUTED_VALUE"""),74.98541666666667)</f>
        <v>74.98541667</v>
      </c>
      <c r="JA26" s="1508">
        <f>IFERROR(__xludf.DUMMYFUNCTION("""COMPUTED_VALUE"""),1.71E12)</f>
        <v>1710000000000</v>
      </c>
      <c r="JB26" s="1507">
        <f>IFERROR(__xludf.DUMMYFUNCTION("""COMPUTED_VALUE"""),74.98541666666667)</f>
        <v>74.98541667</v>
      </c>
      <c r="JC26" s="1508">
        <f>IFERROR(__xludf.DUMMYFUNCTION("""COMPUTED_VALUE"""),1.71E12)</f>
        <v>1710000000000</v>
      </c>
      <c r="JD26" s="1507">
        <f>IFERROR(__xludf.DUMMYFUNCTION("""COMPUTED_VALUE"""),74.98541666666667)</f>
        <v>74.98541667</v>
      </c>
      <c r="JE26" s="1508">
        <f>IFERROR(__xludf.DUMMYFUNCTION("""COMPUTED_VALUE"""),1.71E12)</f>
        <v>1710000000000</v>
      </c>
      <c r="JF26" s="1507">
        <f>IFERROR(__xludf.DUMMYFUNCTION("""COMPUTED_VALUE"""),74.98541666666667)</f>
        <v>74.98541667</v>
      </c>
      <c r="JG26" s="1508">
        <f>IFERROR(__xludf.DUMMYFUNCTION("""COMPUTED_VALUE"""),1.71E12)</f>
        <v>1710000000000</v>
      </c>
      <c r="JH26" s="1518"/>
      <c r="JI26" s="1519"/>
      <c r="JJ26" s="1507">
        <f>IFERROR(__xludf.DUMMYFUNCTION("""COMPUTED_VALUE"""),259.18819444444443)</f>
        <v>259.1881944</v>
      </c>
      <c r="JK26" s="1509">
        <f>IFERROR(__xludf.DUMMYFUNCTION("""COMPUTED_VALUE"""),6.0E18)</f>
        <v>6E+18</v>
      </c>
      <c r="JL26" s="1507">
        <f>IFERROR(__xludf.DUMMYFUNCTION("""COMPUTED_VALUE"""),259.18819444444443)</f>
        <v>259.1881944</v>
      </c>
      <c r="JM26" s="1509">
        <f>IFERROR(__xludf.DUMMYFUNCTION("""COMPUTED_VALUE"""),6.0E18)</f>
        <v>6E+18</v>
      </c>
      <c r="JN26" s="1507">
        <f>IFERROR(__xludf.DUMMYFUNCTION("""COMPUTED_VALUE"""),259.18819444444443)</f>
        <v>259.1881944</v>
      </c>
      <c r="JO26" s="1509">
        <f>IFERROR(__xludf.DUMMYFUNCTION("""COMPUTED_VALUE"""),6.0E18)</f>
        <v>6E+18</v>
      </c>
      <c r="JP26" s="1507">
        <f>IFERROR(__xludf.DUMMYFUNCTION("""COMPUTED_VALUE"""),259.18819444444443)</f>
        <v>259.1881944</v>
      </c>
      <c r="JQ26" s="1509">
        <f>IFERROR(__xludf.DUMMYFUNCTION("""COMPUTED_VALUE"""),6.0E18)</f>
        <v>6E+18</v>
      </c>
      <c r="JR26" s="1507">
        <f>IFERROR(__xludf.DUMMYFUNCTION("""COMPUTED_VALUE"""),259.18819444444443)</f>
        <v>259.1881944</v>
      </c>
      <c r="JS26" s="1509">
        <f>IFERROR(__xludf.DUMMYFUNCTION("""COMPUTED_VALUE"""),6.0E18)</f>
        <v>6E+18</v>
      </c>
      <c r="JT26" s="1507">
        <f>IFERROR(__xludf.DUMMYFUNCTION("""COMPUTED_VALUE"""),259.18819444444443)</f>
        <v>259.1881944</v>
      </c>
      <c r="JU26" s="1509">
        <f>IFERROR(__xludf.DUMMYFUNCTION("""COMPUTED_VALUE"""),6.0E18)</f>
        <v>6E+18</v>
      </c>
      <c r="JV26" s="1507">
        <f>IFERROR(__xludf.DUMMYFUNCTION("""COMPUTED_VALUE"""),64.79652777777778)</f>
        <v>64.79652778</v>
      </c>
      <c r="JW26" s="1509">
        <f>IFERROR(__xludf.DUMMYFUNCTION("""COMPUTED_VALUE"""),2.295856929E15)</f>
        <v>2.29586E+15</v>
      </c>
      <c r="JX26" s="1562"/>
      <c r="JY26" s="1527"/>
      <c r="JZ26" s="1566">
        <f>IFERROR(__xludf.DUMMYFUNCTION("""COMPUTED_VALUE"""),2.500729167)</f>
        <v>2.500729167</v>
      </c>
      <c r="KA26" s="1514">
        <f>IFERROR(__xludf.DUMMYFUNCTION("""COMPUTED_VALUE"""),9.5E9)</f>
        <v>9500000000</v>
      </c>
      <c r="KB26" s="1566">
        <f>IFERROR(__xludf.DUMMYFUNCTION("""COMPUTED_VALUE"""),3.689699074)</f>
        <v>3.689699074</v>
      </c>
      <c r="KC26" s="1567">
        <f>IFERROR(__xludf.DUMMYFUNCTION("""COMPUTED_VALUE"""),3.65E10)</f>
        <v>36500000000</v>
      </c>
      <c r="KD26" s="1566">
        <f>IFERROR(__xludf.DUMMYFUNCTION("""COMPUTED_VALUE"""),14.46666667)</f>
        <v>14.46666667</v>
      </c>
      <c r="KE26" s="1514">
        <f>IFERROR(__xludf.DUMMYFUNCTION("""COMPUTED_VALUE"""),2.28E12)</f>
        <v>2280000000000</v>
      </c>
      <c r="KF26" s="1566">
        <f>IFERROR(__xludf.DUMMYFUNCTION("""COMPUTED_VALUE"""),14.46666667)</f>
        <v>14.46666667</v>
      </c>
      <c r="KG26" s="1514">
        <f>IFERROR(__xludf.DUMMYFUNCTION("""COMPUTED_VALUE"""),2.28E12)</f>
        <v>2280000000000</v>
      </c>
      <c r="KH26" s="1527"/>
      <c r="KI26" s="1527"/>
      <c r="KJ26" s="1527"/>
      <c r="KK26" s="1527"/>
      <c r="KL26" s="1527"/>
      <c r="KM26" s="1527"/>
      <c r="KN26" s="1527"/>
      <c r="KO26" s="1527"/>
      <c r="KP26" s="1527"/>
      <c r="KQ26" s="1527"/>
      <c r="KR26" s="1527"/>
      <c r="KS26" s="1527"/>
      <c r="KT26" s="1527"/>
      <c r="KU26" s="1527"/>
      <c r="KV26" s="1525">
        <f>IFERROR(__xludf.DUMMYFUNCTION("""COMPUTED_VALUE"""),259.18819444444443)</f>
        <v>259.1881944</v>
      </c>
      <c r="KW26" s="1526">
        <f>IFERROR(__xludf.DUMMYFUNCTION("""COMPUTED_VALUE"""),6.0E18)</f>
        <v>6E+18</v>
      </c>
      <c r="KX26" s="1525">
        <f>IFERROR(__xludf.DUMMYFUNCTION("""COMPUTED_VALUE"""),259.18819444444443)</f>
        <v>259.1881944</v>
      </c>
      <c r="KY26" s="1526">
        <f>IFERROR(__xludf.DUMMYFUNCTION("""COMPUTED_VALUE"""),6.0E18)</f>
        <v>6E+18</v>
      </c>
      <c r="KZ26" s="1525">
        <f>IFERROR(__xludf.DUMMYFUNCTION("""COMPUTED_VALUE"""),259.18819444444443)</f>
        <v>259.1881944</v>
      </c>
      <c r="LA26" s="1526">
        <f>IFERROR(__xludf.DUMMYFUNCTION("""COMPUTED_VALUE"""),6.0E18)</f>
        <v>6E+18</v>
      </c>
      <c r="LB26" s="1525">
        <f>IFERROR(__xludf.DUMMYFUNCTION("""COMPUTED_VALUE"""),259.18819444444443)</f>
        <v>259.1881944</v>
      </c>
      <c r="LC26" s="1526">
        <f>IFERROR(__xludf.DUMMYFUNCTION("""COMPUTED_VALUE"""),6.0E18)</f>
        <v>6E+18</v>
      </c>
      <c r="LD26" s="1525">
        <f>IFERROR(__xludf.DUMMYFUNCTION("""COMPUTED_VALUE"""),259.18819444444443)</f>
        <v>259.1881944</v>
      </c>
      <c r="LE26" s="1526">
        <f>IFERROR(__xludf.DUMMYFUNCTION("""COMPUTED_VALUE"""),6.0E18)</f>
        <v>6E+18</v>
      </c>
      <c r="LF26" s="1525">
        <f>IFERROR(__xludf.DUMMYFUNCTION("""COMPUTED_VALUE"""),259.18819444444443)</f>
        <v>259.1881944</v>
      </c>
      <c r="LG26" s="1526">
        <f>IFERROR(__xludf.DUMMYFUNCTION("""COMPUTED_VALUE"""),6.0E18)</f>
        <v>6E+18</v>
      </c>
      <c r="LH26" s="1525">
        <f>IFERROR(__xludf.DUMMYFUNCTION("""COMPUTED_VALUE"""),259.18819444444443)</f>
        <v>259.1881944</v>
      </c>
      <c r="LI26" s="1526">
        <f>IFERROR(__xludf.DUMMYFUNCTION("""COMPUTED_VALUE"""),6.0E18)</f>
        <v>6E+18</v>
      </c>
      <c r="LJ26" s="1525">
        <f>IFERROR(__xludf.DUMMYFUNCTION("""COMPUTED_VALUE"""),259.18819444444443)</f>
        <v>259.1881944</v>
      </c>
      <c r="LK26" s="1526">
        <f>IFERROR(__xludf.DUMMYFUNCTION("""COMPUTED_VALUE"""),6.0E18)</f>
        <v>6E+18</v>
      </c>
      <c r="LL26" s="1527"/>
      <c r="LM26" s="1527"/>
      <c r="LN26" s="1527"/>
      <c r="LO26" s="1527"/>
      <c r="LP26" s="1527"/>
      <c r="LQ26" s="1527"/>
      <c r="LR26" s="1527"/>
      <c r="LS26" s="1527"/>
      <c r="LT26" s="1527"/>
      <c r="LU26" s="1527"/>
      <c r="LV26" s="1527"/>
      <c r="LW26" s="1527"/>
      <c r="LX26" s="1527"/>
      <c r="LY26" s="1527"/>
      <c r="LZ26" s="1527"/>
      <c r="MA26" s="1527"/>
      <c r="MB26" s="1527"/>
      <c r="MC26" s="1527"/>
      <c r="MD26" s="1527"/>
      <c r="ME26" s="1527"/>
      <c r="MF26" s="1527"/>
      <c r="MG26" s="1527"/>
      <c r="MH26" s="1527"/>
      <c r="MI26" s="1527"/>
      <c r="MJ26" s="1527"/>
      <c r="MK26" s="1527"/>
      <c r="ML26" s="1527"/>
      <c r="MM26" s="1527"/>
      <c r="MN26" s="1527"/>
      <c r="MO26" s="1527"/>
      <c r="MP26" s="1527"/>
      <c r="MQ26" s="1527"/>
      <c r="MR26" s="1527"/>
      <c r="MS26" s="1527"/>
      <c r="MT26" s="1527"/>
      <c r="MU26" s="1527"/>
      <c r="MV26" s="1527"/>
      <c r="MW26" s="1527"/>
      <c r="MX26" s="1527"/>
      <c r="MY26" s="1527"/>
    </row>
    <row r="27">
      <c r="A27" s="1465">
        <f>IFERROR(__xludf.DUMMYFUNCTION("""COMPUTED_VALUE"""),25.0)</f>
        <v>25</v>
      </c>
      <c r="B27" s="1518"/>
      <c r="C27" s="1520"/>
      <c r="D27" s="1466">
        <f>IFERROR(__xludf.DUMMYFUNCTION("""COMPUTED_VALUE"""),1.7472222222222222)</f>
        <v>1.747222222</v>
      </c>
      <c r="E27" s="1467">
        <f>IFERROR(__xludf.DUMMYFUNCTION("""COMPUTED_VALUE"""),88120.0)</f>
        <v>88120</v>
      </c>
      <c r="F27" s="1466">
        <f>IFERROR(__xludf.DUMMYFUNCTION("""COMPUTED_VALUE"""),1.7472222222222222)</f>
        <v>1.747222222</v>
      </c>
      <c r="G27" s="1467">
        <f>IFERROR(__xludf.DUMMYFUNCTION("""COMPUTED_VALUE"""),88120.0)</f>
        <v>88120</v>
      </c>
      <c r="H27" s="1466">
        <f>IFERROR(__xludf.DUMMYFUNCTION("""COMPUTED_VALUE"""),1.7472222222222222)</f>
        <v>1.747222222</v>
      </c>
      <c r="I27" s="1467">
        <f>IFERROR(__xludf.DUMMYFUNCTION("""COMPUTED_VALUE"""),88120.0)</f>
        <v>88120</v>
      </c>
      <c r="J27" s="1466">
        <f>IFERROR(__xludf.DUMMYFUNCTION("""COMPUTED_VALUE"""),1.7472222222222222)</f>
        <v>1.747222222</v>
      </c>
      <c r="K27" s="1467">
        <f>IFERROR(__xludf.DUMMYFUNCTION("""COMPUTED_VALUE"""),88120.0)</f>
        <v>88120</v>
      </c>
      <c r="L27" s="1466">
        <f>IFERROR(__xludf.DUMMYFUNCTION("""COMPUTED_VALUE"""),2.81875)</f>
        <v>2.81875</v>
      </c>
      <c r="M27" s="1469">
        <f>IFERROR(__xludf.DUMMYFUNCTION("""COMPUTED_VALUE"""),229870.0)</f>
        <v>229870</v>
      </c>
      <c r="N27" s="1470">
        <f>IFERROR(__xludf.DUMMYFUNCTION("""COMPUTED_VALUE"""),1.9041666666666666)</f>
        <v>1.904166667</v>
      </c>
      <c r="O27" s="1467">
        <f>IFERROR(__xludf.DUMMYFUNCTION("""COMPUTED_VALUE"""),247700.0)</f>
        <v>247700</v>
      </c>
      <c r="P27" s="1518"/>
      <c r="Q27" s="1519"/>
      <c r="R27" s="1518"/>
      <c r="S27" s="1519"/>
      <c r="T27" s="1518"/>
      <c r="U27" s="1519"/>
      <c r="V27" s="1518"/>
      <c r="W27" s="1519"/>
      <c r="X27" s="1518"/>
      <c r="Y27" s="1519"/>
      <c r="Z27" s="1518"/>
      <c r="AA27" s="1519"/>
      <c r="AB27" s="1518"/>
      <c r="AC27" s="1519"/>
      <c r="AD27" s="1466">
        <f>IFERROR(__xludf.DUMMYFUNCTION("""COMPUTED_VALUE"""),26.99861111111111)</f>
        <v>26.99861111</v>
      </c>
      <c r="AE27" s="1474">
        <f>IFERROR(__xludf.DUMMYFUNCTION("""COMPUTED_VALUE"""),5.4280077040000006E11)</f>
        <v>542800770400</v>
      </c>
      <c r="AF27" s="1466">
        <f>IFERROR(__xludf.DUMMYFUNCTION("""COMPUTED_VALUE"""),26.99861111111111)</f>
        <v>26.99861111</v>
      </c>
      <c r="AG27" s="1474">
        <f>IFERROR(__xludf.DUMMYFUNCTION("""COMPUTED_VALUE"""),5.4280077040000006E11)</f>
        <v>542800770400</v>
      </c>
      <c r="AH27" s="1466">
        <f>IFERROR(__xludf.DUMMYFUNCTION("""COMPUTED_VALUE"""),26.99861111111111)</f>
        <v>26.99861111</v>
      </c>
      <c r="AI27" s="1474">
        <f>IFERROR(__xludf.DUMMYFUNCTION("""COMPUTED_VALUE"""),5.4280077040000006E11)</f>
        <v>542800770400</v>
      </c>
      <c r="AJ27" s="1475">
        <f>IFERROR(__xludf.DUMMYFUNCTION("""COMPUTED_VALUE"""),1.7472222222222222)</f>
        <v>1.747222222</v>
      </c>
      <c r="AK27" s="1476">
        <f>IFERROR(__xludf.DUMMYFUNCTION("""COMPUTED_VALUE"""),88120.0)</f>
        <v>88120</v>
      </c>
      <c r="AL27" s="1475">
        <f>IFERROR(__xludf.DUMMYFUNCTION("""COMPUTED_VALUE"""),1.7472222222222222)</f>
        <v>1.747222222</v>
      </c>
      <c r="AM27" s="1476">
        <f>IFERROR(__xludf.DUMMYFUNCTION("""COMPUTED_VALUE"""),88120.0)</f>
        <v>88120</v>
      </c>
      <c r="AN27" s="1475">
        <f>IFERROR(__xludf.DUMMYFUNCTION("""COMPUTED_VALUE"""),1.7472222222222222)</f>
        <v>1.747222222</v>
      </c>
      <c r="AO27" s="1476">
        <f>IFERROR(__xludf.DUMMYFUNCTION("""COMPUTED_VALUE"""),88120.0)</f>
        <v>88120</v>
      </c>
      <c r="AP27" s="1475">
        <f>IFERROR(__xludf.DUMMYFUNCTION("""COMPUTED_VALUE"""),1.7472222222222222)</f>
        <v>1.747222222</v>
      </c>
      <c r="AQ27" s="1476">
        <f>IFERROR(__xludf.DUMMYFUNCTION("""COMPUTED_VALUE"""),88120.0)</f>
        <v>88120</v>
      </c>
      <c r="AR27" s="1475">
        <f>IFERROR(__xludf.DUMMYFUNCTION("""COMPUTED_VALUE"""),1.7472222222222222)</f>
        <v>1.747222222</v>
      </c>
      <c r="AS27" s="1476">
        <f>IFERROR(__xludf.DUMMYFUNCTION("""COMPUTED_VALUE"""),88130.0)</f>
        <v>88130</v>
      </c>
      <c r="AT27" s="1475">
        <f>IFERROR(__xludf.DUMMYFUNCTION("""COMPUTED_VALUE"""),522.5868055555555)</f>
        <v>522.5868056</v>
      </c>
      <c r="AU27" s="1476">
        <f>IFERROR(__xludf.DUMMYFUNCTION("""COMPUTED_VALUE"""),3.07E9)</f>
        <v>3070000000</v>
      </c>
      <c r="AV27" s="1475">
        <f>IFERROR(__xludf.DUMMYFUNCTION("""COMPUTED_VALUE"""),283.8458333333333)</f>
        <v>283.8458333</v>
      </c>
      <c r="AW27" s="1476">
        <f>IFERROR(__xludf.DUMMYFUNCTION("""COMPUTED_VALUE"""),3.07E9)</f>
        <v>3070000000</v>
      </c>
      <c r="AX27" s="1475">
        <f>IFERROR(__xludf.DUMMYFUNCTION("""COMPUTED_VALUE"""),18.241666666666667)</f>
        <v>18.24166667</v>
      </c>
      <c r="AY27" s="1476">
        <f>IFERROR(__xludf.DUMMYFUNCTION("""COMPUTED_VALUE"""),1.25E12)</f>
        <v>1250000000000</v>
      </c>
      <c r="AZ27" s="1518"/>
      <c r="BA27" s="1518"/>
      <c r="BB27" s="1477">
        <f>IFERROR(__xludf.DUMMYFUNCTION("""COMPUTED_VALUE"""),1.7472222222222222)</f>
        <v>1.747222222</v>
      </c>
      <c r="BC27" s="1478">
        <f>IFERROR(__xludf.DUMMYFUNCTION("""COMPUTED_VALUE"""),88120.0)</f>
        <v>88120</v>
      </c>
      <c r="BD27" s="1477">
        <f>IFERROR(__xludf.DUMMYFUNCTION("""COMPUTED_VALUE"""),1.7472222222222222)</f>
        <v>1.747222222</v>
      </c>
      <c r="BE27" s="1478">
        <f>IFERROR(__xludf.DUMMYFUNCTION("""COMPUTED_VALUE"""),88120.0)</f>
        <v>88120</v>
      </c>
      <c r="BF27" s="1477">
        <f>IFERROR(__xludf.DUMMYFUNCTION("""COMPUTED_VALUE"""),1.7472222222222222)</f>
        <v>1.747222222</v>
      </c>
      <c r="BG27" s="1478">
        <f>IFERROR(__xludf.DUMMYFUNCTION("""COMPUTED_VALUE"""),88120.0)</f>
        <v>88120</v>
      </c>
      <c r="BH27" s="1477">
        <f>IFERROR(__xludf.DUMMYFUNCTION("""COMPUTED_VALUE"""),29.93402777777778)</f>
        <v>29.93402778</v>
      </c>
      <c r="BI27" s="1478">
        <f>IFERROR(__xludf.DUMMYFUNCTION("""COMPUTED_VALUE"""),3.3182E8)</f>
        <v>331820000</v>
      </c>
      <c r="BJ27" s="1518"/>
      <c r="BK27" s="1519"/>
      <c r="BL27" s="1518"/>
      <c r="BM27" s="1519"/>
      <c r="BN27" s="1477">
        <f>IFERROR(__xludf.DUMMYFUNCTION("""COMPUTED_VALUE"""),58.270833333333336)</f>
        <v>58.27083333</v>
      </c>
      <c r="BO27" s="1478">
        <f>IFERROR(__xludf.DUMMYFUNCTION("""COMPUTED_VALUE"""),8.61E9)</f>
        <v>8610000000</v>
      </c>
      <c r="BP27" s="1518"/>
      <c r="BQ27" s="1519"/>
      <c r="BR27" s="1520"/>
      <c r="BS27" s="1519"/>
      <c r="BT27" s="1479">
        <f>IFERROR(__xludf.DUMMYFUNCTION("""COMPUTED_VALUE"""),1.9506944444444443)</f>
        <v>1.950694444</v>
      </c>
      <c r="BU27" s="1480">
        <f>IFERROR(__xludf.DUMMYFUNCTION("""COMPUTED_VALUE"""),9.39E9)</f>
        <v>9390000000</v>
      </c>
      <c r="BV27" s="1520"/>
      <c r="BW27" s="1520"/>
      <c r="BX27" s="1479">
        <f>IFERROR(__xludf.DUMMYFUNCTION("""COMPUTED_VALUE"""),138.94946759259258)</f>
        <v>138.9494676</v>
      </c>
      <c r="BY27" s="1480">
        <f>IFERROR(__xludf.DUMMYFUNCTION("""COMPUTED_VALUE"""),1.8051E11)</f>
        <v>180510000000</v>
      </c>
      <c r="BZ27" s="1520"/>
      <c r="CA27" s="1520"/>
      <c r="CB27" s="1520"/>
      <c r="CC27" s="1519"/>
      <c r="CD27" s="1477">
        <f>IFERROR(__xludf.DUMMYFUNCTION("""COMPUTED_VALUE"""),9.131539351851853)</f>
        <v>9.131539352</v>
      </c>
      <c r="CE27" s="1481">
        <f>IFERROR(__xludf.DUMMYFUNCTION("""COMPUTED_VALUE"""),9.9168E11)</f>
        <v>991680000000</v>
      </c>
      <c r="CF27" s="1527"/>
      <c r="CG27" s="1560"/>
      <c r="CH27" s="1482">
        <f>IFERROR(__xludf.DUMMYFUNCTION("""COMPUTED_VALUE"""),1.7472222222222222)</f>
        <v>1.747222222</v>
      </c>
      <c r="CI27" s="1483">
        <f>IFERROR(__xludf.DUMMYFUNCTION("""COMPUTED_VALUE"""),88130.0)</f>
        <v>88130</v>
      </c>
      <c r="CJ27" s="1482">
        <f>IFERROR(__xludf.DUMMYFUNCTION("""COMPUTED_VALUE"""),1.7472222222222222)</f>
        <v>1.747222222</v>
      </c>
      <c r="CK27" s="1483">
        <f>IFERROR(__xludf.DUMMYFUNCTION("""COMPUTED_VALUE"""),88130.0)</f>
        <v>88130</v>
      </c>
      <c r="CL27" s="1482">
        <f>IFERROR(__xludf.DUMMYFUNCTION("""COMPUTED_VALUE"""),1.7472222222222222)</f>
        <v>1.747222222</v>
      </c>
      <c r="CM27" s="1483">
        <f>IFERROR(__xludf.DUMMYFUNCTION("""COMPUTED_VALUE"""),88130.0)</f>
        <v>88130</v>
      </c>
      <c r="CN27" s="1482">
        <f>IFERROR(__xludf.DUMMYFUNCTION("""COMPUTED_VALUE"""),1.7472222222222222)</f>
        <v>1.747222222</v>
      </c>
      <c r="CO27" s="1483">
        <f>IFERROR(__xludf.DUMMYFUNCTION("""COMPUTED_VALUE"""),88130.0)</f>
        <v>88130</v>
      </c>
      <c r="CP27" s="1482">
        <f>IFERROR(__xludf.DUMMYFUNCTION("""COMPUTED_VALUE"""),3.2805555555555554)</f>
        <v>3.280555556</v>
      </c>
      <c r="CQ27" s="1483">
        <f>IFERROR(__xludf.DUMMYFUNCTION("""COMPUTED_VALUE"""),247710.0)</f>
        <v>247710</v>
      </c>
      <c r="CR27" s="1518"/>
      <c r="CS27" s="1519"/>
      <c r="CT27" s="1520"/>
      <c r="CU27" s="1519"/>
      <c r="CV27" s="1520"/>
      <c r="CW27" s="1519"/>
      <c r="CX27" s="1520"/>
      <c r="CY27" s="1519"/>
      <c r="CZ27" s="1520"/>
      <c r="DA27" s="1520"/>
      <c r="DB27" s="1520"/>
      <c r="DC27" s="1520"/>
      <c r="DD27" s="1520"/>
      <c r="DE27" s="1519"/>
      <c r="DF27" s="1520"/>
      <c r="DG27" s="1519"/>
      <c r="DH27" s="1518"/>
      <c r="DI27" s="1519"/>
      <c r="DJ27" s="1518"/>
      <c r="DK27" s="1519"/>
      <c r="DL27" s="1486">
        <f>IFERROR(__xludf.DUMMYFUNCTION("""COMPUTED_VALUE"""),59.03472222222222)</f>
        <v>59.03472222</v>
      </c>
      <c r="DM27" s="1487">
        <f>IFERROR(__xludf.DUMMYFUNCTION("""COMPUTED_VALUE"""),8.61E9)</f>
        <v>8610000000</v>
      </c>
      <c r="DN27" s="1518"/>
      <c r="DO27" s="1519"/>
      <c r="DP27" s="1486">
        <f>IFERROR(__xludf.DUMMYFUNCTION("""COMPUTED_VALUE"""),59.03472222222222)</f>
        <v>59.03472222</v>
      </c>
      <c r="DQ27" s="1487">
        <f>IFERROR(__xludf.DUMMYFUNCTION("""COMPUTED_VALUE"""),8.61E9)</f>
        <v>8610000000</v>
      </c>
      <c r="DR27" s="1486">
        <f>IFERROR(__xludf.DUMMYFUNCTION("""COMPUTED_VALUE"""),59.03472222222222)</f>
        <v>59.03472222</v>
      </c>
      <c r="DS27" s="1487">
        <f>IFERROR(__xludf.DUMMYFUNCTION("""COMPUTED_VALUE"""),8.61E9)</f>
        <v>8610000000</v>
      </c>
      <c r="DT27" s="1518"/>
      <c r="DU27" s="1519"/>
      <c r="DV27" s="1486">
        <f>IFERROR(__xludf.DUMMYFUNCTION("""COMPUTED_VALUE"""),59.03472222222222)</f>
        <v>59.03472222</v>
      </c>
      <c r="DW27" s="1487">
        <f>IFERROR(__xludf.DUMMYFUNCTION("""COMPUTED_VALUE"""),8.61E9)</f>
        <v>8610000000</v>
      </c>
      <c r="DX27" s="1486">
        <f>IFERROR(__xludf.DUMMYFUNCTION("""COMPUTED_VALUE"""),59.03472222222222)</f>
        <v>59.03472222</v>
      </c>
      <c r="DY27" s="1487">
        <f>IFERROR(__xludf.DUMMYFUNCTION("""COMPUTED_VALUE"""),8.61E9)</f>
        <v>8610000000</v>
      </c>
      <c r="DZ27" s="1486">
        <f>IFERROR(__xludf.DUMMYFUNCTION("""COMPUTED_VALUE"""),64.86805555555556)</f>
        <v>64.86805556</v>
      </c>
      <c r="EA27" s="1487">
        <f>IFERROR(__xludf.DUMMYFUNCTION("""COMPUTED_VALUE"""),2.619E10)</f>
        <v>26190000000</v>
      </c>
      <c r="EB27" s="1518"/>
      <c r="EC27" s="1519"/>
      <c r="ED27" s="1518"/>
      <c r="EE27" s="1519"/>
      <c r="EF27" s="1486">
        <f>IFERROR(__xludf.DUMMYFUNCTION("""COMPUTED_VALUE"""),64.03472222222223)</f>
        <v>64.03472222</v>
      </c>
      <c r="EG27" s="1487">
        <f>IFERROR(__xludf.DUMMYFUNCTION("""COMPUTED_VALUE"""),2.619E10)</f>
        <v>26190000000</v>
      </c>
      <c r="EH27" s="1518"/>
      <c r="EI27" s="1519"/>
      <c r="EJ27" s="1486">
        <f>IFERROR(__xludf.DUMMYFUNCTION("""COMPUTED_VALUE"""),14.09173611111111)</f>
        <v>14.09173611</v>
      </c>
      <c r="EK27" s="1487">
        <f>IFERROR(__xludf.DUMMYFUNCTION("""COMPUTED_VALUE"""),9.8443E8)</f>
        <v>984430000</v>
      </c>
      <c r="EL27" s="1562"/>
      <c r="EM27" s="1560"/>
      <c r="EN27" s="1518"/>
      <c r="EO27" s="1519"/>
      <c r="EP27" s="1518"/>
      <c r="EQ27" s="1519"/>
      <c r="ER27" s="1518"/>
      <c r="ES27" s="1519"/>
      <c r="ET27" s="1486">
        <f>IFERROR(__xludf.DUMMYFUNCTION("""COMPUTED_VALUE"""),64.03472222222223)</f>
        <v>64.03472222</v>
      </c>
      <c r="EU27" s="1487">
        <f>IFERROR(__xludf.DUMMYFUNCTION("""COMPUTED_VALUE"""),2.619E10)</f>
        <v>26190000000</v>
      </c>
      <c r="EV27" s="1518"/>
      <c r="EW27" s="1519"/>
      <c r="EX27" s="1518"/>
      <c r="EY27" s="1519"/>
      <c r="EZ27" s="1518"/>
      <c r="FA27" s="1519"/>
      <c r="FB27" s="1520"/>
      <c r="FC27" s="1519"/>
      <c r="FD27" s="1520"/>
      <c r="FE27" s="1519"/>
      <c r="FF27" s="1520"/>
      <c r="FG27" s="1519"/>
      <c r="FH27" s="1520"/>
      <c r="FI27" s="1520"/>
      <c r="FJ27" s="1520"/>
      <c r="FK27" s="1519"/>
      <c r="FL27" s="1518"/>
      <c r="FM27" s="1519"/>
      <c r="FN27" s="1532"/>
      <c r="FO27" s="1520"/>
      <c r="FP27" s="1486">
        <f>IFERROR(__xludf.DUMMYFUNCTION("""COMPUTED_VALUE"""),126.48857638888889)</f>
        <v>126.4885764</v>
      </c>
      <c r="FQ27" s="1488">
        <f>IFERROR(__xludf.DUMMYFUNCTION("""COMPUTED_VALUE"""),1.68E15)</f>
        <v>1.68E+15</v>
      </c>
      <c r="FR27" s="1532"/>
      <c r="FS27" s="1520"/>
      <c r="FT27" s="1486">
        <f>IFERROR(__xludf.DUMMYFUNCTION("""COMPUTED_VALUE"""),126.48857638888889)</f>
        <v>126.4885764</v>
      </c>
      <c r="FU27" s="1488">
        <f>IFERROR(__xludf.DUMMYFUNCTION("""COMPUTED_VALUE"""),1.68E15)</f>
        <v>1.68E+15</v>
      </c>
      <c r="FV27" s="1486">
        <f>IFERROR(__xludf.DUMMYFUNCTION("""COMPUTED_VALUE"""),126.48857638888889)</f>
        <v>126.4885764</v>
      </c>
      <c r="FW27" s="1488">
        <f>IFERROR(__xludf.DUMMYFUNCTION("""COMPUTED_VALUE"""),1.68E15)</f>
        <v>1.68E+15</v>
      </c>
      <c r="FX27" s="1527"/>
      <c r="FY27" s="1527"/>
      <c r="FZ27" s="1491">
        <f>IFERROR(__xludf.DUMMYFUNCTION("""COMPUTED_VALUE"""),126.48857638888889)</f>
        <v>126.4885764</v>
      </c>
      <c r="GA27" s="1492">
        <f>IFERROR(__xludf.DUMMYFUNCTION("""COMPUTED_VALUE"""),1.68E15)</f>
        <v>1.68E+15</v>
      </c>
      <c r="GB27" s="1527"/>
      <c r="GC27" s="1527"/>
      <c r="GD27" s="1527"/>
      <c r="GE27" s="1560"/>
      <c r="GF27" s="1518"/>
      <c r="GG27" s="1519"/>
      <c r="GH27" s="1494">
        <f>IFERROR(__xludf.DUMMYFUNCTION("""COMPUTED_VALUE"""),63.24305555555556)</f>
        <v>63.24305556</v>
      </c>
      <c r="GI27" s="1495">
        <f>IFERROR(__xludf.DUMMYFUNCTION("""COMPUTED_VALUE"""),7.964E10)</f>
        <v>79640000000</v>
      </c>
      <c r="GJ27" s="1518"/>
      <c r="GK27" s="1519"/>
      <c r="GL27" s="1518"/>
      <c r="GM27" s="1519"/>
      <c r="GN27" s="1520"/>
      <c r="GO27" s="1519"/>
      <c r="GP27" s="1496">
        <f>IFERROR(__xludf.DUMMYFUNCTION("""COMPUTED_VALUE"""),63.40972222222222)</f>
        <v>63.40972222</v>
      </c>
      <c r="GQ27" s="1497">
        <f>IFERROR(__xludf.DUMMYFUNCTION("""COMPUTED_VALUE"""),7.7237E11)</f>
        <v>772370000000</v>
      </c>
      <c r="GR27" s="1518"/>
      <c r="GS27" s="1519"/>
      <c r="GT27" s="1518"/>
      <c r="GU27" s="1519"/>
      <c r="GV27" s="1520"/>
      <c r="GW27" s="1519"/>
      <c r="GX27" s="1561"/>
      <c r="GY27" s="1527"/>
      <c r="GZ27" s="1518"/>
      <c r="HA27" s="1519"/>
      <c r="HB27" s="1501">
        <f>IFERROR(__xludf.DUMMYFUNCTION("""COMPUTED_VALUE"""),58.270833333333336)</f>
        <v>58.27083333</v>
      </c>
      <c r="HC27" s="1502">
        <f>IFERROR(__xludf.DUMMYFUNCTION("""COMPUTED_VALUE"""),1.5925E11)</f>
        <v>159250000000</v>
      </c>
      <c r="HD27" s="1518"/>
      <c r="HE27" s="1519"/>
      <c r="HF27" s="1501">
        <f>IFERROR(__xludf.DUMMYFUNCTION("""COMPUTED_VALUE"""),58.826388888888886)</f>
        <v>58.82638889</v>
      </c>
      <c r="HG27" s="1502">
        <f>IFERROR(__xludf.DUMMYFUNCTION("""COMPUTED_VALUE"""),2.3888E11)</f>
        <v>238880000000</v>
      </c>
      <c r="HH27" s="1518"/>
      <c r="HI27" s="1519"/>
      <c r="HJ27" s="1518"/>
      <c r="HK27" s="1519"/>
      <c r="HL27" s="1518"/>
      <c r="HM27" s="1519"/>
      <c r="HN27" s="1520"/>
      <c r="HO27" s="1519"/>
      <c r="HP27" s="1501">
        <f>IFERROR(__xludf.DUMMYFUNCTION("""COMPUTED_VALUE"""),287.0002199074074)</f>
        <v>287.0002199</v>
      </c>
      <c r="HQ27" s="1502">
        <f>IFERROR(__xludf.DUMMYFUNCTION("""COMPUTED_VALUE"""),4.876E10)</f>
        <v>48760000000</v>
      </c>
      <c r="HR27" s="1524">
        <f>IFERROR(__xludf.DUMMYFUNCTION("""COMPUTED_VALUE"""),85.3490625)</f>
        <v>85.3490625</v>
      </c>
      <c r="HS27" s="1523">
        <f>IFERROR(__xludf.DUMMYFUNCTION("""COMPUTED_VALUE"""),3.9888E11)</f>
        <v>398880000000</v>
      </c>
      <c r="HT27" s="1524">
        <f>IFERROR(__xludf.DUMMYFUNCTION("""COMPUTED_VALUE"""),85.3490625)</f>
        <v>85.3490625</v>
      </c>
      <c r="HU27" s="1523">
        <f>IFERROR(__xludf.DUMMYFUNCTION("""COMPUTED_VALUE"""),3.9888E11)</f>
        <v>398880000000</v>
      </c>
      <c r="HV27" s="1524">
        <f>IFERROR(__xludf.DUMMYFUNCTION("""COMPUTED_VALUE"""),85.3490625)</f>
        <v>85.3490625</v>
      </c>
      <c r="HW27" s="1523">
        <f>IFERROR(__xludf.DUMMYFUNCTION("""COMPUTED_VALUE"""),3.9888E11)</f>
        <v>398880000000</v>
      </c>
      <c r="HX27" s="1524">
        <f>IFERROR(__xludf.DUMMYFUNCTION("""COMPUTED_VALUE"""),85.3490625)</f>
        <v>85.3490625</v>
      </c>
      <c r="HY27" s="1523">
        <f>IFERROR(__xludf.DUMMYFUNCTION("""COMPUTED_VALUE"""),3.9888E11)</f>
        <v>398880000000</v>
      </c>
      <c r="HZ27" s="1518"/>
      <c r="IA27" s="1519"/>
      <c r="IB27" s="1518"/>
      <c r="IC27" s="1519"/>
      <c r="ID27" s="1518"/>
      <c r="IE27" s="1519"/>
      <c r="IF27" s="1518"/>
      <c r="IG27" s="1519"/>
      <c r="IH27" s="1507">
        <f>IFERROR(__xludf.DUMMYFUNCTION("""COMPUTED_VALUE"""),86.04305555555555)</f>
        <v>86.04305556</v>
      </c>
      <c r="II27" s="1508">
        <f>IFERROR(__xludf.DUMMYFUNCTION("""COMPUTED_VALUE"""),1.38E12)</f>
        <v>1380000000000</v>
      </c>
      <c r="IJ27" s="1507">
        <f>IFERROR(__xludf.DUMMYFUNCTION("""COMPUTED_VALUE"""),86.04305555555555)</f>
        <v>86.04305556</v>
      </c>
      <c r="IK27" s="1508">
        <f>IFERROR(__xludf.DUMMYFUNCTION("""COMPUTED_VALUE"""),1.38E12)</f>
        <v>1380000000000</v>
      </c>
      <c r="IL27" s="1507">
        <f>IFERROR(__xludf.DUMMYFUNCTION("""COMPUTED_VALUE"""),86.04305555555555)</f>
        <v>86.04305556</v>
      </c>
      <c r="IM27" s="1508">
        <f>IFERROR(__xludf.DUMMYFUNCTION("""COMPUTED_VALUE"""),1.63E12)</f>
        <v>1630000000000</v>
      </c>
      <c r="IN27" s="1507">
        <f>IFERROR(__xludf.DUMMYFUNCTION("""COMPUTED_VALUE"""),86.04305555555555)</f>
        <v>86.04305556</v>
      </c>
      <c r="IO27" s="1508">
        <f>IFERROR(__xludf.DUMMYFUNCTION("""COMPUTED_VALUE"""),1.63E12)</f>
        <v>1630000000000</v>
      </c>
      <c r="IP27" s="1507">
        <f>IFERROR(__xludf.DUMMYFUNCTION("""COMPUTED_VALUE"""),86.50625)</f>
        <v>86.50625</v>
      </c>
      <c r="IQ27" s="1508">
        <f>IFERROR(__xludf.DUMMYFUNCTION("""COMPUTED_VALUE"""),2.38E12)</f>
        <v>2380000000000</v>
      </c>
      <c r="IR27" s="1507">
        <f>IFERROR(__xludf.DUMMYFUNCTION("""COMPUTED_VALUE"""),86.04305555555555)</f>
        <v>86.04305556</v>
      </c>
      <c r="IS27" s="1508">
        <f>IFERROR(__xludf.DUMMYFUNCTION("""COMPUTED_VALUE"""),1.63E12)</f>
        <v>1630000000000</v>
      </c>
      <c r="IT27" s="1507">
        <f>IFERROR(__xludf.DUMMYFUNCTION("""COMPUTED_VALUE"""),86.04305555555555)</f>
        <v>86.04305556</v>
      </c>
      <c r="IU27" s="1508">
        <f>IFERROR(__xludf.DUMMYFUNCTION("""COMPUTED_VALUE"""),1.63E12)</f>
        <v>1630000000000</v>
      </c>
      <c r="IV27" s="1507">
        <f>IFERROR(__xludf.DUMMYFUNCTION("""COMPUTED_VALUE"""),86.04305555555555)</f>
        <v>86.04305556</v>
      </c>
      <c r="IW27" s="1508">
        <f>IFERROR(__xludf.DUMMYFUNCTION("""COMPUTED_VALUE"""),1.63E12)</f>
        <v>1630000000000</v>
      </c>
      <c r="IX27" s="1507">
        <f>IFERROR(__xludf.DUMMYFUNCTION("""COMPUTED_VALUE"""),86.04305555555555)</f>
        <v>86.04305556</v>
      </c>
      <c r="IY27" s="1508">
        <f>IFERROR(__xludf.DUMMYFUNCTION("""COMPUTED_VALUE"""),1.63E12)</f>
        <v>1630000000000</v>
      </c>
      <c r="IZ27" s="1507">
        <f>IFERROR(__xludf.DUMMYFUNCTION("""COMPUTED_VALUE"""),86.04305555555555)</f>
        <v>86.04305556</v>
      </c>
      <c r="JA27" s="1508">
        <f>IFERROR(__xludf.DUMMYFUNCTION("""COMPUTED_VALUE"""),1.88E12)</f>
        <v>1880000000000</v>
      </c>
      <c r="JB27" s="1507">
        <f>IFERROR(__xludf.DUMMYFUNCTION("""COMPUTED_VALUE"""),86.04305555555555)</f>
        <v>86.04305556</v>
      </c>
      <c r="JC27" s="1508">
        <f>IFERROR(__xludf.DUMMYFUNCTION("""COMPUTED_VALUE"""),1.88E12)</f>
        <v>1880000000000</v>
      </c>
      <c r="JD27" s="1507">
        <f>IFERROR(__xludf.DUMMYFUNCTION("""COMPUTED_VALUE"""),86.04305555555555)</f>
        <v>86.04305556</v>
      </c>
      <c r="JE27" s="1508">
        <f>IFERROR(__xludf.DUMMYFUNCTION("""COMPUTED_VALUE"""),1.88E12)</f>
        <v>1880000000000</v>
      </c>
      <c r="JF27" s="1507">
        <f>IFERROR(__xludf.DUMMYFUNCTION("""COMPUTED_VALUE"""),86.04305555555555)</f>
        <v>86.04305556</v>
      </c>
      <c r="JG27" s="1508">
        <f>IFERROR(__xludf.DUMMYFUNCTION("""COMPUTED_VALUE"""),1.88E12)</f>
        <v>1880000000000</v>
      </c>
      <c r="JH27" s="1518"/>
      <c r="JI27" s="1519"/>
      <c r="JJ27" s="1507">
        <f>IFERROR(__xludf.DUMMYFUNCTION("""COMPUTED_VALUE"""),269.9875)</f>
        <v>269.9875</v>
      </c>
      <c r="JK27" s="1509">
        <f>IFERROR(__xludf.DUMMYFUNCTION("""COMPUTED_VALUE"""),6.25E18)</f>
        <v>6.25E+18</v>
      </c>
      <c r="JL27" s="1507">
        <f>IFERROR(__xludf.DUMMYFUNCTION("""COMPUTED_VALUE"""),269.9875)</f>
        <v>269.9875</v>
      </c>
      <c r="JM27" s="1509">
        <f>IFERROR(__xludf.DUMMYFUNCTION("""COMPUTED_VALUE"""),6.25E18)</f>
        <v>6.25E+18</v>
      </c>
      <c r="JN27" s="1507">
        <f>IFERROR(__xludf.DUMMYFUNCTION("""COMPUTED_VALUE"""),269.9875)</f>
        <v>269.9875</v>
      </c>
      <c r="JO27" s="1509">
        <f>IFERROR(__xludf.DUMMYFUNCTION("""COMPUTED_VALUE"""),6.25E18)</f>
        <v>6.25E+18</v>
      </c>
      <c r="JP27" s="1507">
        <f>IFERROR(__xludf.DUMMYFUNCTION("""COMPUTED_VALUE"""),269.9875)</f>
        <v>269.9875</v>
      </c>
      <c r="JQ27" s="1509">
        <f>IFERROR(__xludf.DUMMYFUNCTION("""COMPUTED_VALUE"""),6.25E18)</f>
        <v>6.25E+18</v>
      </c>
      <c r="JR27" s="1507">
        <f>IFERROR(__xludf.DUMMYFUNCTION("""COMPUTED_VALUE"""),269.9875)</f>
        <v>269.9875</v>
      </c>
      <c r="JS27" s="1509">
        <f>IFERROR(__xludf.DUMMYFUNCTION("""COMPUTED_VALUE"""),6.25E18)</f>
        <v>6.25E+18</v>
      </c>
      <c r="JT27" s="1507">
        <f>IFERROR(__xludf.DUMMYFUNCTION("""COMPUTED_VALUE"""),269.9875)</f>
        <v>269.9875</v>
      </c>
      <c r="JU27" s="1509">
        <f>IFERROR(__xludf.DUMMYFUNCTION("""COMPUTED_VALUE"""),6.25E18)</f>
        <v>6.25E+18</v>
      </c>
      <c r="JV27" s="1507">
        <f>IFERROR(__xludf.DUMMYFUNCTION("""COMPUTED_VALUE"""),67.49652777777777)</f>
        <v>67.49652778</v>
      </c>
      <c r="JW27" s="1509">
        <f>IFERROR(__xludf.DUMMYFUNCTION("""COMPUTED_VALUE"""),3.2141997E15)</f>
        <v>3.2142E+15</v>
      </c>
      <c r="JX27" s="1562"/>
      <c r="JY27" s="1527"/>
      <c r="JZ27" s="1566">
        <f>IFERROR(__xludf.DUMMYFUNCTION("""COMPUTED_VALUE"""),2.561828704)</f>
        <v>2.561828704</v>
      </c>
      <c r="KA27" s="1514">
        <f>IFERROR(__xludf.DUMMYFUNCTION("""COMPUTED_VALUE"""),1.066E10)</f>
        <v>10660000000</v>
      </c>
      <c r="KB27" s="1566">
        <f>IFERROR(__xludf.DUMMYFUNCTION("""COMPUTED_VALUE"""),3.885972222)</f>
        <v>3.885972222</v>
      </c>
      <c r="KC27" s="1567">
        <f>IFERROR(__xludf.DUMMYFUNCTION("""COMPUTED_VALUE"""),4.147E10)</f>
        <v>41470000000</v>
      </c>
      <c r="KD27" s="1566">
        <f>IFERROR(__xludf.DUMMYFUNCTION("""COMPUTED_VALUE"""),15.30664352)</f>
        <v>15.30664352</v>
      </c>
      <c r="KE27" s="1514">
        <f>IFERROR(__xludf.DUMMYFUNCTION("""COMPUTED_VALUE"""),2.62E12)</f>
        <v>2620000000000</v>
      </c>
      <c r="KF27" s="1566">
        <f>IFERROR(__xludf.DUMMYFUNCTION("""COMPUTED_VALUE"""),15.30664352)</f>
        <v>15.30664352</v>
      </c>
      <c r="KG27" s="1514">
        <f>IFERROR(__xludf.DUMMYFUNCTION("""COMPUTED_VALUE"""),2.62E12)</f>
        <v>2620000000000</v>
      </c>
      <c r="KH27" s="1527"/>
      <c r="KI27" s="1527"/>
      <c r="KJ27" s="1527"/>
      <c r="KK27" s="1527"/>
      <c r="KL27" s="1527"/>
      <c r="KM27" s="1527"/>
      <c r="KN27" s="1527"/>
      <c r="KO27" s="1527"/>
      <c r="KP27" s="1527"/>
      <c r="KQ27" s="1527"/>
      <c r="KR27" s="1527"/>
      <c r="KS27" s="1527"/>
      <c r="KT27" s="1527"/>
      <c r="KU27" s="1527"/>
      <c r="KV27" s="1525">
        <f>IFERROR(__xludf.DUMMYFUNCTION("""COMPUTED_VALUE"""),269.9875)</f>
        <v>269.9875</v>
      </c>
      <c r="KW27" s="1526">
        <f>IFERROR(__xludf.DUMMYFUNCTION("""COMPUTED_VALUE"""),6.25E18)</f>
        <v>6.25E+18</v>
      </c>
      <c r="KX27" s="1525">
        <f>IFERROR(__xludf.DUMMYFUNCTION("""COMPUTED_VALUE"""),269.9875)</f>
        <v>269.9875</v>
      </c>
      <c r="KY27" s="1526">
        <f>IFERROR(__xludf.DUMMYFUNCTION("""COMPUTED_VALUE"""),6.25E18)</f>
        <v>6.25E+18</v>
      </c>
      <c r="KZ27" s="1525">
        <f>IFERROR(__xludf.DUMMYFUNCTION("""COMPUTED_VALUE"""),269.9875)</f>
        <v>269.9875</v>
      </c>
      <c r="LA27" s="1526">
        <f>IFERROR(__xludf.DUMMYFUNCTION("""COMPUTED_VALUE"""),6.25E18)</f>
        <v>6.25E+18</v>
      </c>
      <c r="LB27" s="1525">
        <f>IFERROR(__xludf.DUMMYFUNCTION("""COMPUTED_VALUE"""),269.9875)</f>
        <v>269.9875</v>
      </c>
      <c r="LC27" s="1526">
        <f>IFERROR(__xludf.DUMMYFUNCTION("""COMPUTED_VALUE"""),6.25E18)</f>
        <v>6.25E+18</v>
      </c>
      <c r="LD27" s="1525">
        <f>IFERROR(__xludf.DUMMYFUNCTION("""COMPUTED_VALUE"""),269.9875)</f>
        <v>269.9875</v>
      </c>
      <c r="LE27" s="1526">
        <f>IFERROR(__xludf.DUMMYFUNCTION("""COMPUTED_VALUE"""),6.25E18)</f>
        <v>6.25E+18</v>
      </c>
      <c r="LF27" s="1525">
        <f>IFERROR(__xludf.DUMMYFUNCTION("""COMPUTED_VALUE"""),269.9875)</f>
        <v>269.9875</v>
      </c>
      <c r="LG27" s="1526">
        <f>IFERROR(__xludf.DUMMYFUNCTION("""COMPUTED_VALUE"""),6.25E18)</f>
        <v>6.25E+18</v>
      </c>
      <c r="LH27" s="1525">
        <f>IFERROR(__xludf.DUMMYFUNCTION("""COMPUTED_VALUE"""),269.9875)</f>
        <v>269.9875</v>
      </c>
      <c r="LI27" s="1526">
        <f>IFERROR(__xludf.DUMMYFUNCTION("""COMPUTED_VALUE"""),6.25E18)</f>
        <v>6.25E+18</v>
      </c>
      <c r="LJ27" s="1525">
        <f>IFERROR(__xludf.DUMMYFUNCTION("""COMPUTED_VALUE"""),269.9875)</f>
        <v>269.9875</v>
      </c>
      <c r="LK27" s="1526">
        <f>IFERROR(__xludf.DUMMYFUNCTION("""COMPUTED_VALUE"""),6.25E18)</f>
        <v>6.25E+18</v>
      </c>
      <c r="LL27" s="1527"/>
      <c r="LM27" s="1527"/>
      <c r="LN27" s="1527"/>
      <c r="LO27" s="1527"/>
      <c r="LP27" s="1527"/>
      <c r="LQ27" s="1527"/>
      <c r="LR27" s="1527"/>
      <c r="LS27" s="1527"/>
      <c r="LT27" s="1527"/>
      <c r="LU27" s="1527"/>
      <c r="LV27" s="1527"/>
      <c r="LW27" s="1527"/>
      <c r="LX27" s="1527"/>
      <c r="LY27" s="1527"/>
      <c r="LZ27" s="1527"/>
      <c r="MA27" s="1527"/>
      <c r="MB27" s="1527"/>
      <c r="MC27" s="1527"/>
      <c r="MD27" s="1527"/>
      <c r="ME27" s="1527"/>
      <c r="MF27" s="1527"/>
      <c r="MG27" s="1527"/>
      <c r="MH27" s="1527"/>
      <c r="MI27" s="1527"/>
      <c r="MJ27" s="1527"/>
      <c r="MK27" s="1527"/>
      <c r="ML27" s="1527"/>
      <c r="MM27" s="1527"/>
      <c r="MN27" s="1527"/>
      <c r="MO27" s="1527"/>
      <c r="MP27" s="1527"/>
      <c r="MQ27" s="1527"/>
      <c r="MR27" s="1527"/>
      <c r="MS27" s="1527"/>
      <c r="MT27" s="1527"/>
      <c r="MU27" s="1527"/>
      <c r="MV27" s="1527"/>
      <c r="MW27" s="1527"/>
      <c r="MX27" s="1527"/>
      <c r="MY27" s="1527"/>
    </row>
    <row r="28">
      <c r="A28" s="1465">
        <f>IFERROR(__xludf.DUMMYFUNCTION("""COMPUTED_VALUE"""),26.0)</f>
        <v>26</v>
      </c>
      <c r="B28" s="1518"/>
      <c r="C28" s="1520"/>
      <c r="D28" s="1466">
        <f>IFERROR(__xludf.DUMMYFUNCTION("""COMPUTED_VALUE"""),1.9215277777777777)</f>
        <v>1.921527778</v>
      </c>
      <c r="E28" s="1467">
        <f>IFERROR(__xludf.DUMMYFUNCTION("""COMPUTED_VALUE"""),98530.0)</f>
        <v>98530</v>
      </c>
      <c r="F28" s="1466">
        <f>IFERROR(__xludf.DUMMYFUNCTION("""COMPUTED_VALUE"""),1.9215277777777777)</f>
        <v>1.921527778</v>
      </c>
      <c r="G28" s="1467">
        <f>IFERROR(__xludf.DUMMYFUNCTION("""COMPUTED_VALUE"""),98530.0)</f>
        <v>98530</v>
      </c>
      <c r="H28" s="1466">
        <f>IFERROR(__xludf.DUMMYFUNCTION("""COMPUTED_VALUE"""),1.9215277777777777)</f>
        <v>1.921527778</v>
      </c>
      <c r="I28" s="1467">
        <f>IFERROR(__xludf.DUMMYFUNCTION("""COMPUTED_VALUE"""),98530.0)</f>
        <v>98530</v>
      </c>
      <c r="J28" s="1466">
        <f>IFERROR(__xludf.DUMMYFUNCTION("""COMPUTED_VALUE"""),1.9215277777777777)</f>
        <v>1.921527778</v>
      </c>
      <c r="K28" s="1467">
        <f>IFERROR(__xludf.DUMMYFUNCTION("""COMPUTED_VALUE"""),98530.0)</f>
        <v>98530</v>
      </c>
      <c r="L28" s="1466">
        <f>IFERROR(__xludf.DUMMYFUNCTION("""COMPUTED_VALUE"""),3.11875)</f>
        <v>3.11875</v>
      </c>
      <c r="M28" s="1469">
        <f>IFERROR(__xludf.DUMMYFUNCTION("""COMPUTED_VALUE"""),259970.0)</f>
        <v>259970</v>
      </c>
      <c r="N28" s="1470">
        <f>IFERROR(__xludf.DUMMYFUNCTION("""COMPUTED_VALUE"""),2.0791666666666666)</f>
        <v>2.079166667</v>
      </c>
      <c r="O28" s="1467">
        <f>IFERROR(__xludf.DUMMYFUNCTION("""COMPUTED_VALUE"""),281050.0)</f>
        <v>281050</v>
      </c>
      <c r="P28" s="1518"/>
      <c r="Q28" s="1519"/>
      <c r="R28" s="1518"/>
      <c r="S28" s="1519"/>
      <c r="T28" s="1518"/>
      <c r="U28" s="1519"/>
      <c r="V28" s="1518"/>
      <c r="W28" s="1519"/>
      <c r="X28" s="1518"/>
      <c r="Y28" s="1519"/>
      <c r="Z28" s="1518"/>
      <c r="AA28" s="1519"/>
      <c r="AB28" s="1518"/>
      <c r="AC28" s="1519"/>
      <c r="AD28" s="1466">
        <f>IFERROR(__xludf.DUMMYFUNCTION("""COMPUTED_VALUE"""),28.07847222222222)</f>
        <v>28.07847222</v>
      </c>
      <c r="AE28" s="1474">
        <f>IFERROR(__xludf.DUMMYFUNCTION("""COMPUTED_VALUE"""),7.056410015E11)</f>
        <v>705641001500</v>
      </c>
      <c r="AF28" s="1466">
        <f>IFERROR(__xludf.DUMMYFUNCTION("""COMPUTED_VALUE"""),28.07847222222222)</f>
        <v>28.07847222</v>
      </c>
      <c r="AG28" s="1474">
        <f>IFERROR(__xludf.DUMMYFUNCTION("""COMPUTED_VALUE"""),7.056410015E11)</f>
        <v>705641001500</v>
      </c>
      <c r="AH28" s="1466">
        <f>IFERROR(__xludf.DUMMYFUNCTION("""COMPUTED_VALUE"""),28.07847222222222)</f>
        <v>28.07847222</v>
      </c>
      <c r="AI28" s="1474">
        <f>IFERROR(__xludf.DUMMYFUNCTION("""COMPUTED_VALUE"""),7.056410015E11)</f>
        <v>705641001500</v>
      </c>
      <c r="AJ28" s="1475">
        <f>IFERROR(__xludf.DUMMYFUNCTION("""COMPUTED_VALUE"""),1.9215277777777777)</f>
        <v>1.921527778</v>
      </c>
      <c r="AK28" s="1476">
        <f>IFERROR(__xludf.DUMMYFUNCTION("""COMPUTED_VALUE"""),98530.0)</f>
        <v>98530</v>
      </c>
      <c r="AL28" s="1475">
        <f>IFERROR(__xludf.DUMMYFUNCTION("""COMPUTED_VALUE"""),1.9215277777777777)</f>
        <v>1.921527778</v>
      </c>
      <c r="AM28" s="1476">
        <f>IFERROR(__xludf.DUMMYFUNCTION("""COMPUTED_VALUE"""),98530.0)</f>
        <v>98530</v>
      </c>
      <c r="AN28" s="1475">
        <f>IFERROR(__xludf.DUMMYFUNCTION("""COMPUTED_VALUE"""),1.9215277777777777)</f>
        <v>1.921527778</v>
      </c>
      <c r="AO28" s="1476">
        <f>IFERROR(__xludf.DUMMYFUNCTION("""COMPUTED_VALUE"""),98530.0)</f>
        <v>98530</v>
      </c>
      <c r="AP28" s="1475">
        <f>IFERROR(__xludf.DUMMYFUNCTION("""COMPUTED_VALUE"""),1.9215277777777777)</f>
        <v>1.921527778</v>
      </c>
      <c r="AQ28" s="1476">
        <f>IFERROR(__xludf.DUMMYFUNCTION("""COMPUTED_VALUE"""),98530.0)</f>
        <v>98530</v>
      </c>
      <c r="AR28" s="1475">
        <f>IFERROR(__xludf.DUMMYFUNCTION("""COMPUTED_VALUE"""),1.9215277777777777)</f>
        <v>1.921527778</v>
      </c>
      <c r="AS28" s="1476">
        <f>IFERROR(__xludf.DUMMYFUNCTION("""COMPUTED_VALUE"""),98540.0)</f>
        <v>98540</v>
      </c>
      <c r="AT28" s="1475">
        <f>IFERROR(__xludf.DUMMYFUNCTION("""COMPUTED_VALUE"""),618.0902777777778)</f>
        <v>618.0902778</v>
      </c>
      <c r="AU28" s="1476">
        <f>IFERROR(__xludf.DUMMYFUNCTION("""COMPUTED_VALUE"""),3.72E9)</f>
        <v>3720000000</v>
      </c>
      <c r="AV28" s="1475">
        <f>IFERROR(__xludf.DUMMYFUNCTION("""COMPUTED_VALUE"""),332.1034722222222)</f>
        <v>332.1034722</v>
      </c>
      <c r="AW28" s="1476">
        <f>IFERROR(__xludf.DUMMYFUNCTION("""COMPUTED_VALUE"""),3.72E9)</f>
        <v>3720000000</v>
      </c>
      <c r="AX28" s="1475">
        <f>IFERROR(__xludf.DUMMYFUNCTION("""COMPUTED_VALUE"""),18.903472222222224)</f>
        <v>18.90347222</v>
      </c>
      <c r="AY28" s="1476">
        <f>IFERROR(__xludf.DUMMYFUNCTION("""COMPUTED_VALUE"""),1.3E12)</f>
        <v>1300000000000</v>
      </c>
      <c r="AZ28" s="1518"/>
      <c r="BA28" s="1518"/>
      <c r="BB28" s="1477">
        <f>IFERROR(__xludf.DUMMYFUNCTION("""COMPUTED_VALUE"""),1.9215277777777777)</f>
        <v>1.921527778</v>
      </c>
      <c r="BC28" s="1478">
        <f>IFERROR(__xludf.DUMMYFUNCTION("""COMPUTED_VALUE"""),98530.0)</f>
        <v>98530</v>
      </c>
      <c r="BD28" s="1477">
        <f>IFERROR(__xludf.DUMMYFUNCTION("""COMPUTED_VALUE"""),1.9215277777777777)</f>
        <v>1.921527778</v>
      </c>
      <c r="BE28" s="1478">
        <f>IFERROR(__xludf.DUMMYFUNCTION("""COMPUTED_VALUE"""),98530.0)</f>
        <v>98530</v>
      </c>
      <c r="BF28" s="1477">
        <f>IFERROR(__xludf.DUMMYFUNCTION("""COMPUTED_VALUE"""),1.9215277777777777)</f>
        <v>1.921527778</v>
      </c>
      <c r="BG28" s="1478">
        <f>IFERROR(__xludf.DUMMYFUNCTION("""COMPUTED_VALUE"""),98530.0)</f>
        <v>98530</v>
      </c>
      <c r="BH28" s="1477">
        <f>IFERROR(__xludf.DUMMYFUNCTION("""COMPUTED_VALUE"""),34.15902777777778)</f>
        <v>34.15902778</v>
      </c>
      <c r="BI28" s="1478">
        <f>IFERROR(__xludf.DUMMYFUNCTION("""COMPUTED_VALUE"""),3.9067E8)</f>
        <v>390670000</v>
      </c>
      <c r="BJ28" s="1518"/>
      <c r="BK28" s="1519"/>
      <c r="BL28" s="1518"/>
      <c r="BM28" s="1519"/>
      <c r="BN28" s="1477">
        <f>IFERROR(__xludf.DUMMYFUNCTION("""COMPUTED_VALUE"""),66.83680555555556)</f>
        <v>66.83680556</v>
      </c>
      <c r="BO28" s="1478">
        <f>IFERROR(__xludf.DUMMYFUNCTION("""COMPUTED_VALUE"""),1.026E10)</f>
        <v>10260000000</v>
      </c>
      <c r="BP28" s="1518"/>
      <c r="BQ28" s="1519"/>
      <c r="BR28" s="1520"/>
      <c r="BS28" s="1519"/>
      <c r="BT28" s="1479">
        <f>IFERROR(__xludf.DUMMYFUNCTION("""COMPUTED_VALUE"""),2.124305555555556)</f>
        <v>2.124305556</v>
      </c>
      <c r="BU28" s="1480">
        <f>IFERROR(__xludf.DUMMYFUNCTION("""COMPUTED_VALUE"""),1.01E10)</f>
        <v>10100000000</v>
      </c>
      <c r="BV28" s="1520"/>
      <c r="BW28" s="1520"/>
      <c r="BX28" s="1479">
        <f>IFERROR(__xludf.DUMMYFUNCTION("""COMPUTED_VALUE"""),159.79188657407408)</f>
        <v>159.7918866</v>
      </c>
      <c r="BY28" s="1480">
        <f>IFERROR(__xludf.DUMMYFUNCTION("""COMPUTED_VALUE"""),1.8783E11)</f>
        <v>187830000000</v>
      </c>
      <c r="BZ28" s="1520"/>
      <c r="CA28" s="1520"/>
      <c r="CB28" s="1520"/>
      <c r="CC28" s="1519"/>
      <c r="CD28" s="1477">
        <f>IFERROR(__xludf.DUMMYFUNCTION("""COMPUTED_VALUE"""),9.738703703703704)</f>
        <v>9.738703704</v>
      </c>
      <c r="CE28" s="1481">
        <f>IFERROR(__xludf.DUMMYFUNCTION("""COMPUTED_VALUE"""),1.0800000000000001E12)</f>
        <v>1080000000000</v>
      </c>
      <c r="CF28" s="1527"/>
      <c r="CG28" s="1560"/>
      <c r="CH28" s="1482">
        <f>IFERROR(__xludf.DUMMYFUNCTION("""COMPUTED_VALUE"""),1.9215277777777777)</f>
        <v>1.921527778</v>
      </c>
      <c r="CI28" s="1483">
        <f>IFERROR(__xludf.DUMMYFUNCTION("""COMPUTED_VALUE"""),98540.0)</f>
        <v>98540</v>
      </c>
      <c r="CJ28" s="1482">
        <f>IFERROR(__xludf.DUMMYFUNCTION("""COMPUTED_VALUE"""),1.9215277777777777)</f>
        <v>1.921527778</v>
      </c>
      <c r="CK28" s="1483">
        <f>IFERROR(__xludf.DUMMYFUNCTION("""COMPUTED_VALUE"""),98540.0)</f>
        <v>98540</v>
      </c>
      <c r="CL28" s="1482">
        <f>IFERROR(__xludf.DUMMYFUNCTION("""COMPUTED_VALUE"""),1.9215277777777777)</f>
        <v>1.921527778</v>
      </c>
      <c r="CM28" s="1483">
        <f>IFERROR(__xludf.DUMMYFUNCTION("""COMPUTED_VALUE"""),98540.0)</f>
        <v>98540</v>
      </c>
      <c r="CN28" s="1482">
        <f>IFERROR(__xludf.DUMMYFUNCTION("""COMPUTED_VALUE"""),1.9215277777777777)</f>
        <v>1.921527778</v>
      </c>
      <c r="CO28" s="1483">
        <f>IFERROR(__xludf.DUMMYFUNCTION("""COMPUTED_VALUE"""),98540.0)</f>
        <v>98540</v>
      </c>
      <c r="CP28" s="1482">
        <f>IFERROR(__xludf.DUMMYFUNCTION("""COMPUTED_VALUE"""),3.6381944444444443)</f>
        <v>3.638194444</v>
      </c>
      <c r="CQ28" s="1483">
        <f>IFERROR(__xludf.DUMMYFUNCTION("""COMPUTED_VALUE"""),281060.0)</f>
        <v>281060</v>
      </c>
      <c r="CR28" s="1518"/>
      <c r="CS28" s="1519"/>
      <c r="CT28" s="1520"/>
      <c r="CU28" s="1519"/>
      <c r="CV28" s="1520"/>
      <c r="CW28" s="1519"/>
      <c r="CX28" s="1520"/>
      <c r="CY28" s="1519"/>
      <c r="CZ28" s="1520"/>
      <c r="DA28" s="1520"/>
      <c r="DB28" s="1520"/>
      <c r="DC28" s="1520"/>
      <c r="DD28" s="1520"/>
      <c r="DE28" s="1519"/>
      <c r="DF28" s="1520"/>
      <c r="DG28" s="1519"/>
      <c r="DH28" s="1518"/>
      <c r="DI28" s="1519"/>
      <c r="DJ28" s="1518"/>
      <c r="DK28" s="1519"/>
      <c r="DL28" s="1486">
        <f>IFERROR(__xludf.DUMMYFUNCTION("""COMPUTED_VALUE"""),67.60069444444444)</f>
        <v>67.60069444</v>
      </c>
      <c r="DM28" s="1487">
        <f>IFERROR(__xludf.DUMMYFUNCTION("""COMPUTED_VALUE"""),1.026E10)</f>
        <v>10260000000</v>
      </c>
      <c r="DN28" s="1518"/>
      <c r="DO28" s="1519"/>
      <c r="DP28" s="1486">
        <f>IFERROR(__xludf.DUMMYFUNCTION("""COMPUTED_VALUE"""),67.60069444444444)</f>
        <v>67.60069444</v>
      </c>
      <c r="DQ28" s="1487">
        <f>IFERROR(__xludf.DUMMYFUNCTION("""COMPUTED_VALUE"""),1.026E10)</f>
        <v>10260000000</v>
      </c>
      <c r="DR28" s="1486">
        <f>IFERROR(__xludf.DUMMYFUNCTION("""COMPUTED_VALUE"""),67.60069444444444)</f>
        <v>67.60069444</v>
      </c>
      <c r="DS28" s="1487">
        <f>IFERROR(__xludf.DUMMYFUNCTION("""COMPUTED_VALUE"""),1.026E10)</f>
        <v>10260000000</v>
      </c>
      <c r="DT28" s="1518"/>
      <c r="DU28" s="1519"/>
      <c r="DV28" s="1486">
        <f>IFERROR(__xludf.DUMMYFUNCTION("""COMPUTED_VALUE"""),67.60069444444444)</f>
        <v>67.60069444</v>
      </c>
      <c r="DW28" s="1487">
        <f>IFERROR(__xludf.DUMMYFUNCTION("""COMPUTED_VALUE"""),1.026E10)</f>
        <v>10260000000</v>
      </c>
      <c r="DX28" s="1486">
        <f>IFERROR(__xludf.DUMMYFUNCTION("""COMPUTED_VALUE"""),67.60069444444444)</f>
        <v>67.60069444</v>
      </c>
      <c r="DY28" s="1487">
        <f>IFERROR(__xludf.DUMMYFUNCTION("""COMPUTED_VALUE"""),1.026E10)</f>
        <v>10260000000</v>
      </c>
      <c r="DZ28" s="1520"/>
      <c r="EA28" s="1519"/>
      <c r="EB28" s="1520"/>
      <c r="EC28" s="1519"/>
      <c r="ED28" s="1518"/>
      <c r="EE28" s="1519"/>
      <c r="EF28" s="1486">
        <f>IFERROR(__xludf.DUMMYFUNCTION("""COMPUTED_VALUE"""),72.80902777777777)</f>
        <v>72.80902778</v>
      </c>
      <c r="EG28" s="1487">
        <f>IFERROR(__xludf.DUMMYFUNCTION("""COMPUTED_VALUE"""),3.166E10)</f>
        <v>31660000000</v>
      </c>
      <c r="EH28" s="1518"/>
      <c r="EI28" s="1519"/>
      <c r="EJ28" s="1486">
        <f>IFERROR(__xludf.DUMMYFUNCTION("""COMPUTED_VALUE"""),14.684594907407407)</f>
        <v>14.68459491</v>
      </c>
      <c r="EK28" s="1487">
        <f>IFERROR(__xludf.DUMMYFUNCTION("""COMPUTED_VALUE"""),1.09E9)</f>
        <v>1090000000</v>
      </c>
      <c r="EL28" s="1562"/>
      <c r="EM28" s="1560"/>
      <c r="EN28" s="1518"/>
      <c r="EO28" s="1519"/>
      <c r="EP28" s="1518"/>
      <c r="EQ28" s="1519"/>
      <c r="ER28" s="1518"/>
      <c r="ES28" s="1519"/>
      <c r="ET28" s="1518"/>
      <c r="EU28" s="1519"/>
      <c r="EV28" s="1518"/>
      <c r="EW28" s="1519"/>
      <c r="EX28" s="1518"/>
      <c r="EY28" s="1519"/>
      <c r="EZ28" s="1518"/>
      <c r="FA28" s="1519"/>
      <c r="FB28" s="1520"/>
      <c r="FC28" s="1519"/>
      <c r="FD28" s="1520"/>
      <c r="FE28" s="1519"/>
      <c r="FF28" s="1520"/>
      <c r="FG28" s="1519"/>
      <c r="FH28" s="1520"/>
      <c r="FI28" s="1520"/>
      <c r="FJ28" s="1520"/>
      <c r="FK28" s="1519"/>
      <c r="FL28" s="1518"/>
      <c r="FM28" s="1519"/>
      <c r="FN28" s="1532"/>
      <c r="FO28" s="1520"/>
      <c r="FP28" s="1486">
        <f>IFERROR(__xludf.DUMMYFUNCTION("""COMPUTED_VALUE"""),141.66721064814814)</f>
        <v>141.6672106</v>
      </c>
      <c r="FQ28" s="1488">
        <f>IFERROR(__xludf.DUMMYFUNCTION("""COMPUTED_VALUE"""),2.53E15)</f>
        <v>2.53E+15</v>
      </c>
      <c r="FR28" s="1532"/>
      <c r="FS28" s="1520"/>
      <c r="FT28" s="1486">
        <f>IFERROR(__xludf.DUMMYFUNCTION("""COMPUTED_VALUE"""),141.66721064814814)</f>
        <v>141.6672106</v>
      </c>
      <c r="FU28" s="1488">
        <f>IFERROR(__xludf.DUMMYFUNCTION("""COMPUTED_VALUE"""),2.53E15)</f>
        <v>2.53E+15</v>
      </c>
      <c r="FV28" s="1486">
        <f>IFERROR(__xludf.DUMMYFUNCTION("""COMPUTED_VALUE"""),141.66721064814814)</f>
        <v>141.6672106</v>
      </c>
      <c r="FW28" s="1488">
        <f>IFERROR(__xludf.DUMMYFUNCTION("""COMPUTED_VALUE"""),2.53E15)</f>
        <v>2.53E+15</v>
      </c>
      <c r="FX28" s="1527"/>
      <c r="FY28" s="1527"/>
      <c r="FZ28" s="1491">
        <f>IFERROR(__xludf.DUMMYFUNCTION("""COMPUTED_VALUE"""),141.66721064814814)</f>
        <v>141.6672106</v>
      </c>
      <c r="GA28" s="1492">
        <f>IFERROR(__xludf.DUMMYFUNCTION("""COMPUTED_VALUE"""),2.53E15)</f>
        <v>2.53E+15</v>
      </c>
      <c r="GB28" s="1527"/>
      <c r="GC28" s="1527"/>
      <c r="GD28" s="1527"/>
      <c r="GE28" s="1560"/>
      <c r="GF28" s="1518"/>
      <c r="GG28" s="1519"/>
      <c r="GH28" s="1494">
        <f>IFERROR(__xludf.DUMMYFUNCTION("""COMPUTED_VALUE"""),72.01736111111111)</f>
        <v>72.01736111</v>
      </c>
      <c r="GI28" s="1495">
        <f>IFERROR(__xludf.DUMMYFUNCTION("""COMPUTED_VALUE"""),9.767E10)</f>
        <v>97670000000</v>
      </c>
      <c r="GJ28" s="1518"/>
      <c r="GK28" s="1519"/>
      <c r="GL28" s="1518"/>
      <c r="GM28" s="1519"/>
      <c r="GN28" s="1520"/>
      <c r="GO28" s="1519"/>
      <c r="GP28" s="1496">
        <f>IFERROR(__xludf.DUMMYFUNCTION("""COMPUTED_VALUE"""),72.18402777777779)</f>
        <v>72.18402778</v>
      </c>
      <c r="GQ28" s="1497">
        <f>IFERROR(__xludf.DUMMYFUNCTION("""COMPUTED_VALUE"""),9.0456E11)</f>
        <v>904560000000</v>
      </c>
      <c r="GR28" s="1518"/>
      <c r="GS28" s="1519"/>
      <c r="GT28" s="1518"/>
      <c r="GU28" s="1519"/>
      <c r="GV28" s="1520"/>
      <c r="GW28" s="1519"/>
      <c r="GX28" s="1561"/>
      <c r="GY28" s="1527"/>
      <c r="GZ28" s="1518"/>
      <c r="HA28" s="1519"/>
      <c r="HB28" s="1501">
        <f>IFERROR(__xludf.DUMMYFUNCTION("""COMPUTED_VALUE"""),66.83680555555556)</f>
        <v>66.83680556</v>
      </c>
      <c r="HC28" s="1502">
        <f>IFERROR(__xludf.DUMMYFUNCTION("""COMPUTED_VALUE"""),1.9532E11)</f>
        <v>195320000000</v>
      </c>
      <c r="HD28" s="1518"/>
      <c r="HE28" s="1519"/>
      <c r="HF28" s="1518"/>
      <c r="HG28" s="1568"/>
      <c r="HH28" s="1518"/>
      <c r="HI28" s="1519"/>
      <c r="HJ28" s="1518"/>
      <c r="HK28" s="1519"/>
      <c r="HL28" s="1518"/>
      <c r="HM28" s="1519"/>
      <c r="HN28" s="1520"/>
      <c r="HO28" s="1519"/>
      <c r="HP28" s="1501">
        <f>IFERROR(__xludf.DUMMYFUNCTION("""COMPUTED_VALUE"""),335.45966435185187)</f>
        <v>335.4596644</v>
      </c>
      <c r="HQ28" s="1502">
        <f>IFERROR(__xludf.DUMMYFUNCTION("""COMPUTED_VALUE"""),5.86E10)</f>
        <v>58600000000</v>
      </c>
      <c r="HR28" s="1518"/>
      <c r="HS28" s="1519"/>
      <c r="HT28" s="1518"/>
      <c r="HU28" s="1519"/>
      <c r="HV28" s="1518"/>
      <c r="HW28" s="1519"/>
      <c r="HX28" s="1518"/>
      <c r="HY28" s="1519"/>
      <c r="HZ28" s="1518"/>
      <c r="IA28" s="1519"/>
      <c r="IB28" s="1518"/>
      <c r="IC28" s="1519"/>
      <c r="ID28" s="1518"/>
      <c r="IE28" s="1519"/>
      <c r="IF28" s="1518"/>
      <c r="IG28" s="1519"/>
      <c r="IH28" s="1507">
        <f>IFERROR(__xludf.DUMMYFUNCTION("""COMPUTED_VALUE"""),98.32569444444445)</f>
        <v>98.32569444</v>
      </c>
      <c r="II28" s="1508">
        <f>IFERROR(__xludf.DUMMYFUNCTION("""COMPUTED_VALUE"""),1.55E12)</f>
        <v>1550000000000</v>
      </c>
      <c r="IJ28" s="1507">
        <f>IFERROR(__xludf.DUMMYFUNCTION("""COMPUTED_VALUE"""),98.32569444444445)</f>
        <v>98.32569444</v>
      </c>
      <c r="IK28" s="1508">
        <f>IFERROR(__xludf.DUMMYFUNCTION("""COMPUTED_VALUE"""),1.55E12)</f>
        <v>1550000000000</v>
      </c>
      <c r="IL28" s="1507">
        <f>IFERROR(__xludf.DUMMYFUNCTION("""COMPUTED_VALUE"""),98.32569444444445)</f>
        <v>98.32569444</v>
      </c>
      <c r="IM28" s="1508">
        <f>IFERROR(__xludf.DUMMYFUNCTION("""COMPUTED_VALUE"""),1.81E12)</f>
        <v>1810000000000</v>
      </c>
      <c r="IN28" s="1507">
        <f>IFERROR(__xludf.DUMMYFUNCTION("""COMPUTED_VALUE"""),98.32569444444445)</f>
        <v>98.32569444</v>
      </c>
      <c r="IO28" s="1508">
        <f>IFERROR(__xludf.DUMMYFUNCTION("""COMPUTED_VALUE"""),1.81E12)</f>
        <v>1810000000000</v>
      </c>
      <c r="IP28" s="1507">
        <f>IFERROR(__xludf.DUMMYFUNCTION("""COMPUTED_VALUE"""),98.78888888888889)</f>
        <v>98.78888889</v>
      </c>
      <c r="IQ28" s="1508">
        <f>IFERROR(__xludf.DUMMYFUNCTION("""COMPUTED_VALUE"""),2.59E12)</f>
        <v>2590000000000</v>
      </c>
      <c r="IR28" s="1507">
        <f>IFERROR(__xludf.DUMMYFUNCTION("""COMPUTED_VALUE"""),98.32569444444445)</f>
        <v>98.32569444</v>
      </c>
      <c r="IS28" s="1508">
        <f>IFERROR(__xludf.DUMMYFUNCTION("""COMPUTED_VALUE"""),1.81E12)</f>
        <v>1810000000000</v>
      </c>
      <c r="IT28" s="1507">
        <f>IFERROR(__xludf.DUMMYFUNCTION("""COMPUTED_VALUE"""),98.32569444444445)</f>
        <v>98.32569444</v>
      </c>
      <c r="IU28" s="1508">
        <f>IFERROR(__xludf.DUMMYFUNCTION("""COMPUTED_VALUE"""),1.81E12)</f>
        <v>1810000000000</v>
      </c>
      <c r="IV28" s="1507">
        <f>IFERROR(__xludf.DUMMYFUNCTION("""COMPUTED_VALUE"""),98.32569444444445)</f>
        <v>98.32569444</v>
      </c>
      <c r="IW28" s="1508">
        <f>IFERROR(__xludf.DUMMYFUNCTION("""COMPUTED_VALUE"""),1.81E12)</f>
        <v>1810000000000</v>
      </c>
      <c r="IX28" s="1507">
        <f>IFERROR(__xludf.DUMMYFUNCTION("""COMPUTED_VALUE"""),98.32569444444445)</f>
        <v>98.32569444</v>
      </c>
      <c r="IY28" s="1508">
        <f>IFERROR(__xludf.DUMMYFUNCTION("""COMPUTED_VALUE"""),1.81E12)</f>
        <v>1810000000000</v>
      </c>
      <c r="IZ28" s="1507">
        <f>IFERROR(__xludf.DUMMYFUNCTION("""COMPUTED_VALUE"""),98.32569444444445)</f>
        <v>98.32569444</v>
      </c>
      <c r="JA28" s="1508">
        <f>IFERROR(__xludf.DUMMYFUNCTION("""COMPUTED_VALUE"""),2.07E12)</f>
        <v>2070000000000</v>
      </c>
      <c r="JB28" s="1507">
        <f>IFERROR(__xludf.DUMMYFUNCTION("""COMPUTED_VALUE"""),98.32569444444445)</f>
        <v>98.32569444</v>
      </c>
      <c r="JC28" s="1508">
        <f>IFERROR(__xludf.DUMMYFUNCTION("""COMPUTED_VALUE"""),2.07E12)</f>
        <v>2070000000000</v>
      </c>
      <c r="JD28" s="1507">
        <f>IFERROR(__xludf.DUMMYFUNCTION("""COMPUTED_VALUE"""),98.32569444444445)</f>
        <v>98.32569444</v>
      </c>
      <c r="JE28" s="1508">
        <f>IFERROR(__xludf.DUMMYFUNCTION("""COMPUTED_VALUE"""),2.07E12)</f>
        <v>2070000000000</v>
      </c>
      <c r="JF28" s="1507">
        <f>IFERROR(__xludf.DUMMYFUNCTION("""COMPUTED_VALUE"""),98.32569444444445)</f>
        <v>98.32569444</v>
      </c>
      <c r="JG28" s="1508">
        <f>IFERROR(__xludf.DUMMYFUNCTION("""COMPUTED_VALUE"""),2.07E12)</f>
        <v>2070000000000</v>
      </c>
      <c r="JH28" s="1518"/>
      <c r="JI28" s="1519"/>
      <c r="JJ28" s="1507">
        <f>IFERROR(__xludf.DUMMYFUNCTION("""COMPUTED_VALUE"""),280.7875)</f>
        <v>280.7875</v>
      </c>
      <c r="JK28" s="1509">
        <f>IFERROR(__xludf.DUMMYFUNCTION("""COMPUTED_VALUE"""),6.5E18)</f>
        <v>6.5E+18</v>
      </c>
      <c r="JL28" s="1507">
        <f>IFERROR(__xludf.DUMMYFUNCTION("""COMPUTED_VALUE"""),280.7875)</f>
        <v>280.7875</v>
      </c>
      <c r="JM28" s="1509">
        <f>IFERROR(__xludf.DUMMYFUNCTION("""COMPUTED_VALUE"""),6.5E18)</f>
        <v>6.5E+18</v>
      </c>
      <c r="JN28" s="1507">
        <f>IFERROR(__xludf.DUMMYFUNCTION("""COMPUTED_VALUE"""),280.7875)</f>
        <v>280.7875</v>
      </c>
      <c r="JO28" s="1509">
        <f>IFERROR(__xludf.DUMMYFUNCTION("""COMPUTED_VALUE"""),6.5E18)</f>
        <v>6.5E+18</v>
      </c>
      <c r="JP28" s="1507">
        <f>IFERROR(__xludf.DUMMYFUNCTION("""COMPUTED_VALUE"""),280.7875)</f>
        <v>280.7875</v>
      </c>
      <c r="JQ28" s="1509">
        <f>IFERROR(__xludf.DUMMYFUNCTION("""COMPUTED_VALUE"""),6.5E18)</f>
        <v>6.5E+18</v>
      </c>
      <c r="JR28" s="1507">
        <f>IFERROR(__xludf.DUMMYFUNCTION("""COMPUTED_VALUE"""),280.7875)</f>
        <v>280.7875</v>
      </c>
      <c r="JS28" s="1509">
        <f>IFERROR(__xludf.DUMMYFUNCTION("""COMPUTED_VALUE"""),6.5E18)</f>
        <v>6.5E+18</v>
      </c>
      <c r="JT28" s="1507">
        <f>IFERROR(__xludf.DUMMYFUNCTION("""COMPUTED_VALUE"""),280.7875)</f>
        <v>280.7875</v>
      </c>
      <c r="JU28" s="1509">
        <f>IFERROR(__xludf.DUMMYFUNCTION("""COMPUTED_VALUE"""),6.5E18)</f>
        <v>6.5E+18</v>
      </c>
      <c r="JV28" s="1507">
        <f>IFERROR(__xludf.DUMMYFUNCTION("""COMPUTED_VALUE"""),70.19652777777777)</f>
        <v>70.19652778</v>
      </c>
      <c r="JW28" s="1509">
        <f>IFERROR(__xludf.DUMMYFUNCTION("""COMPUTED_VALUE"""),4.499879581E15)</f>
        <v>4.49988E+15</v>
      </c>
      <c r="JX28" s="1562"/>
      <c r="JY28" s="1527"/>
      <c r="JZ28" s="1566">
        <f>IFERROR(__xludf.DUMMYFUNCTION("""COMPUTED_VALUE"""),2.623935185)</f>
        <v>2.623935185</v>
      </c>
      <c r="KA28" s="1514">
        <f>IFERROR(__xludf.DUMMYFUNCTION("""COMPUTED_VALUE"""),1.19E10)</f>
        <v>11900000000</v>
      </c>
      <c r="KB28" s="1566">
        <f>IFERROR(__xludf.DUMMYFUNCTION("""COMPUTED_VALUE"""),4.091956019)</f>
        <v>4.091956019</v>
      </c>
      <c r="KC28" s="1567">
        <f>IFERROR(__xludf.DUMMYFUNCTION("""COMPUTED_VALUE"""),4.688E10)</f>
        <v>46880000000</v>
      </c>
      <c r="KD28" s="1566">
        <f>IFERROR(__xludf.DUMMYFUNCTION("""COMPUTED_VALUE"""),16.19853009)</f>
        <v>16.19853009</v>
      </c>
      <c r="KE28" s="1514">
        <f>IFERROR(__xludf.DUMMYFUNCTION("""COMPUTED_VALUE"""),2.98E12)</f>
        <v>2980000000000</v>
      </c>
      <c r="KF28" s="1566">
        <f>IFERROR(__xludf.DUMMYFUNCTION("""COMPUTED_VALUE"""),16.19853009)</f>
        <v>16.19853009</v>
      </c>
      <c r="KG28" s="1514">
        <f>IFERROR(__xludf.DUMMYFUNCTION("""COMPUTED_VALUE"""),2.98E12)</f>
        <v>2980000000000</v>
      </c>
      <c r="KH28" s="1527"/>
      <c r="KI28" s="1527"/>
      <c r="KJ28" s="1527"/>
      <c r="KK28" s="1527"/>
      <c r="KL28" s="1527"/>
      <c r="KM28" s="1527"/>
      <c r="KN28" s="1527"/>
      <c r="KO28" s="1527"/>
      <c r="KP28" s="1527"/>
      <c r="KQ28" s="1527"/>
      <c r="KR28" s="1527"/>
      <c r="KS28" s="1527"/>
      <c r="KT28" s="1527"/>
      <c r="KU28" s="1527"/>
      <c r="KV28" s="1525">
        <f>IFERROR(__xludf.DUMMYFUNCTION("""COMPUTED_VALUE"""),280.7875)</f>
        <v>280.7875</v>
      </c>
      <c r="KW28" s="1526">
        <f>IFERROR(__xludf.DUMMYFUNCTION("""COMPUTED_VALUE"""),6.5E18)</f>
        <v>6.5E+18</v>
      </c>
      <c r="KX28" s="1525">
        <f>IFERROR(__xludf.DUMMYFUNCTION("""COMPUTED_VALUE"""),280.7875)</f>
        <v>280.7875</v>
      </c>
      <c r="KY28" s="1526">
        <f>IFERROR(__xludf.DUMMYFUNCTION("""COMPUTED_VALUE"""),6.5E18)</f>
        <v>6.5E+18</v>
      </c>
      <c r="KZ28" s="1525">
        <f>IFERROR(__xludf.DUMMYFUNCTION("""COMPUTED_VALUE"""),280.7875)</f>
        <v>280.7875</v>
      </c>
      <c r="LA28" s="1526">
        <f>IFERROR(__xludf.DUMMYFUNCTION("""COMPUTED_VALUE"""),6.5E18)</f>
        <v>6.5E+18</v>
      </c>
      <c r="LB28" s="1525">
        <f>IFERROR(__xludf.DUMMYFUNCTION("""COMPUTED_VALUE"""),280.7875)</f>
        <v>280.7875</v>
      </c>
      <c r="LC28" s="1526">
        <f>IFERROR(__xludf.DUMMYFUNCTION("""COMPUTED_VALUE"""),6.5E18)</f>
        <v>6.5E+18</v>
      </c>
      <c r="LD28" s="1525">
        <f>IFERROR(__xludf.DUMMYFUNCTION("""COMPUTED_VALUE"""),280.7875)</f>
        <v>280.7875</v>
      </c>
      <c r="LE28" s="1526">
        <f>IFERROR(__xludf.DUMMYFUNCTION("""COMPUTED_VALUE"""),6.5E18)</f>
        <v>6.5E+18</v>
      </c>
      <c r="LF28" s="1525">
        <f>IFERROR(__xludf.DUMMYFUNCTION("""COMPUTED_VALUE"""),280.7875)</f>
        <v>280.7875</v>
      </c>
      <c r="LG28" s="1526">
        <f>IFERROR(__xludf.DUMMYFUNCTION("""COMPUTED_VALUE"""),6.5E18)</f>
        <v>6.5E+18</v>
      </c>
      <c r="LH28" s="1525">
        <f>IFERROR(__xludf.DUMMYFUNCTION("""COMPUTED_VALUE"""),280.7875)</f>
        <v>280.7875</v>
      </c>
      <c r="LI28" s="1526">
        <f>IFERROR(__xludf.DUMMYFUNCTION("""COMPUTED_VALUE"""),6.5E18)</f>
        <v>6.5E+18</v>
      </c>
      <c r="LJ28" s="1525">
        <f>IFERROR(__xludf.DUMMYFUNCTION("""COMPUTED_VALUE"""),280.7875)</f>
        <v>280.7875</v>
      </c>
      <c r="LK28" s="1526">
        <f>IFERROR(__xludf.DUMMYFUNCTION("""COMPUTED_VALUE"""),6.5E18)</f>
        <v>6.5E+18</v>
      </c>
      <c r="LL28" s="1527"/>
      <c r="LM28" s="1527"/>
      <c r="LN28" s="1527"/>
      <c r="LO28" s="1527"/>
      <c r="LP28" s="1527"/>
      <c r="LQ28" s="1527"/>
      <c r="LR28" s="1527"/>
      <c r="LS28" s="1527"/>
      <c r="LT28" s="1527"/>
      <c r="LU28" s="1527"/>
      <c r="LV28" s="1527"/>
      <c r="LW28" s="1527"/>
      <c r="LX28" s="1527"/>
      <c r="LY28" s="1527"/>
      <c r="LZ28" s="1527"/>
      <c r="MA28" s="1527"/>
      <c r="MB28" s="1527"/>
      <c r="MC28" s="1527"/>
      <c r="MD28" s="1527"/>
      <c r="ME28" s="1527"/>
      <c r="MF28" s="1527"/>
      <c r="MG28" s="1527"/>
      <c r="MH28" s="1527"/>
      <c r="MI28" s="1527"/>
      <c r="MJ28" s="1527"/>
      <c r="MK28" s="1527"/>
      <c r="ML28" s="1527"/>
      <c r="MM28" s="1527"/>
      <c r="MN28" s="1527"/>
      <c r="MO28" s="1527"/>
      <c r="MP28" s="1527"/>
      <c r="MQ28" s="1527"/>
      <c r="MR28" s="1527"/>
      <c r="MS28" s="1527"/>
      <c r="MT28" s="1527"/>
      <c r="MU28" s="1527"/>
      <c r="MV28" s="1527"/>
      <c r="MW28" s="1527"/>
      <c r="MX28" s="1527"/>
      <c r="MY28" s="1527"/>
    </row>
    <row r="29">
      <c r="A29" s="1465">
        <f>IFERROR(__xludf.DUMMYFUNCTION("""COMPUTED_VALUE"""),27.0)</f>
        <v>27</v>
      </c>
      <c r="B29" s="1518"/>
      <c r="C29" s="1520"/>
      <c r="D29" s="1466">
        <f>IFERROR(__xludf.DUMMYFUNCTION("""COMPUTED_VALUE"""),2.10625)</f>
        <v>2.10625</v>
      </c>
      <c r="E29" s="1467">
        <f>IFERROR(__xludf.DUMMYFUNCTION("""COMPUTED_VALUE"""),109700.0)</f>
        <v>109700</v>
      </c>
      <c r="F29" s="1466">
        <f>IFERROR(__xludf.DUMMYFUNCTION("""COMPUTED_VALUE"""),2.10625)</f>
        <v>2.10625</v>
      </c>
      <c r="G29" s="1467">
        <f>IFERROR(__xludf.DUMMYFUNCTION("""COMPUTED_VALUE"""),109700.0)</f>
        <v>109700</v>
      </c>
      <c r="H29" s="1466">
        <f>IFERROR(__xludf.DUMMYFUNCTION("""COMPUTED_VALUE"""),2.10625)</f>
        <v>2.10625</v>
      </c>
      <c r="I29" s="1467">
        <f>IFERROR(__xludf.DUMMYFUNCTION("""COMPUTED_VALUE"""),109700.0)</f>
        <v>109700</v>
      </c>
      <c r="J29" s="1466">
        <f>IFERROR(__xludf.DUMMYFUNCTION("""COMPUTED_VALUE"""),2.10625)</f>
        <v>2.10625</v>
      </c>
      <c r="K29" s="1467">
        <f>IFERROR(__xludf.DUMMYFUNCTION("""COMPUTED_VALUE"""),109700.0)</f>
        <v>109700</v>
      </c>
      <c r="L29" s="1466">
        <f>IFERROR(__xludf.DUMMYFUNCTION("""COMPUTED_VALUE"""),3.4368055555555554)</f>
        <v>3.436805556</v>
      </c>
      <c r="M29" s="1469">
        <f>IFERROR(__xludf.DUMMYFUNCTION("""COMPUTED_VALUE"""),292560.0)</f>
        <v>292560</v>
      </c>
      <c r="N29" s="1470">
        <f>IFERROR(__xludf.DUMMYFUNCTION("""COMPUTED_VALUE"""),2.261111111111111)</f>
        <v>2.261111111</v>
      </c>
      <c r="O29" s="1467">
        <f>IFERROR(__xludf.DUMMYFUNCTION("""COMPUTED_VALUE"""),317310.0)</f>
        <v>317310</v>
      </c>
      <c r="P29" s="1518"/>
      <c r="Q29" s="1519"/>
      <c r="R29" s="1518"/>
      <c r="S29" s="1519"/>
      <c r="T29" s="1518"/>
      <c r="U29" s="1519"/>
      <c r="V29" s="1518"/>
      <c r="W29" s="1519"/>
      <c r="X29" s="1518"/>
      <c r="Y29" s="1519"/>
      <c r="Z29" s="1518"/>
      <c r="AA29" s="1519"/>
      <c r="AB29" s="1518"/>
      <c r="AC29" s="1519"/>
      <c r="AD29" s="1466">
        <f>IFERROR(__xludf.DUMMYFUNCTION("""COMPUTED_VALUE"""),29.158333333333335)</f>
        <v>29.15833333</v>
      </c>
      <c r="AE29" s="1474">
        <f>IFERROR(__xludf.DUMMYFUNCTION("""COMPUTED_VALUE"""),9.173333019E11)</f>
        <v>917333301900</v>
      </c>
      <c r="AF29" s="1466">
        <f>IFERROR(__xludf.DUMMYFUNCTION("""COMPUTED_VALUE"""),29.158333333333335)</f>
        <v>29.15833333</v>
      </c>
      <c r="AG29" s="1474">
        <f>IFERROR(__xludf.DUMMYFUNCTION("""COMPUTED_VALUE"""),9.173333019E11)</f>
        <v>917333301900</v>
      </c>
      <c r="AH29" s="1466">
        <f>IFERROR(__xludf.DUMMYFUNCTION("""COMPUTED_VALUE"""),29.158333333333335)</f>
        <v>29.15833333</v>
      </c>
      <c r="AI29" s="1474">
        <f>IFERROR(__xludf.DUMMYFUNCTION("""COMPUTED_VALUE"""),9.173333019E11)</f>
        <v>917333301900</v>
      </c>
      <c r="AJ29" s="1475">
        <f>IFERROR(__xludf.DUMMYFUNCTION("""COMPUTED_VALUE"""),2.10625)</f>
        <v>2.10625</v>
      </c>
      <c r="AK29" s="1476">
        <f>IFERROR(__xludf.DUMMYFUNCTION("""COMPUTED_VALUE"""),109700.0)</f>
        <v>109700</v>
      </c>
      <c r="AL29" s="1475">
        <f>IFERROR(__xludf.DUMMYFUNCTION("""COMPUTED_VALUE"""),2.10625)</f>
        <v>2.10625</v>
      </c>
      <c r="AM29" s="1476">
        <f>IFERROR(__xludf.DUMMYFUNCTION("""COMPUTED_VALUE"""),109700.0)</f>
        <v>109700</v>
      </c>
      <c r="AN29" s="1475">
        <f>IFERROR(__xludf.DUMMYFUNCTION("""COMPUTED_VALUE"""),2.10625)</f>
        <v>2.10625</v>
      </c>
      <c r="AO29" s="1476">
        <f>IFERROR(__xludf.DUMMYFUNCTION("""COMPUTED_VALUE"""),109700.0)</f>
        <v>109700</v>
      </c>
      <c r="AP29" s="1475">
        <f>IFERROR(__xludf.DUMMYFUNCTION("""COMPUTED_VALUE"""),2.10625)</f>
        <v>2.10625</v>
      </c>
      <c r="AQ29" s="1476">
        <f>IFERROR(__xludf.DUMMYFUNCTION("""COMPUTED_VALUE"""),109700.0)</f>
        <v>109700</v>
      </c>
      <c r="AR29" s="1475">
        <f>IFERROR(__xludf.DUMMYFUNCTION("""COMPUTED_VALUE"""),2.10625)</f>
        <v>2.10625</v>
      </c>
      <c r="AS29" s="1476">
        <f>IFERROR(__xludf.DUMMYFUNCTION("""COMPUTED_VALUE"""),109710.0)</f>
        <v>109710</v>
      </c>
      <c r="AT29" s="1475">
        <f>IFERROR(__xludf.DUMMYFUNCTION("""COMPUTED_VALUE"""),726.5527777777777)</f>
        <v>726.5527778</v>
      </c>
      <c r="AU29" s="1476">
        <f>IFERROR(__xludf.DUMMYFUNCTION("""COMPUTED_VALUE"""),4.48E9)</f>
        <v>4480000000</v>
      </c>
      <c r="AV29" s="1475">
        <f>IFERROR(__xludf.DUMMYFUNCTION("""COMPUTED_VALUE"""),386.4381944444445)</f>
        <v>386.4381944</v>
      </c>
      <c r="AW29" s="1476">
        <f>IFERROR(__xludf.DUMMYFUNCTION("""COMPUTED_VALUE"""),4.48E9)</f>
        <v>4480000000</v>
      </c>
      <c r="AX29" s="1475">
        <f>IFERROR(__xludf.DUMMYFUNCTION("""COMPUTED_VALUE"""),19.56875)</f>
        <v>19.56875</v>
      </c>
      <c r="AY29" s="1476">
        <f>IFERROR(__xludf.DUMMYFUNCTION("""COMPUTED_VALUE"""),1.36E12)</f>
        <v>1360000000000</v>
      </c>
      <c r="AZ29" s="1518"/>
      <c r="BA29" s="1518"/>
      <c r="BB29" s="1477">
        <f>IFERROR(__xludf.DUMMYFUNCTION("""COMPUTED_VALUE"""),2.10625)</f>
        <v>2.10625</v>
      </c>
      <c r="BC29" s="1478">
        <f>IFERROR(__xludf.DUMMYFUNCTION("""COMPUTED_VALUE"""),109700.0)</f>
        <v>109700</v>
      </c>
      <c r="BD29" s="1477">
        <f>IFERROR(__xludf.DUMMYFUNCTION("""COMPUTED_VALUE"""),2.10625)</f>
        <v>2.10625</v>
      </c>
      <c r="BE29" s="1478">
        <f>IFERROR(__xludf.DUMMYFUNCTION("""COMPUTED_VALUE"""),109700.0)</f>
        <v>109700</v>
      </c>
      <c r="BF29" s="1477">
        <f>IFERROR(__xludf.DUMMYFUNCTION("""COMPUTED_VALUE"""),2.10625)</f>
        <v>2.10625</v>
      </c>
      <c r="BG29" s="1478">
        <f>IFERROR(__xludf.DUMMYFUNCTION("""COMPUTED_VALUE"""),109700.0)</f>
        <v>109700</v>
      </c>
      <c r="BH29" s="1477">
        <f>IFERROR(__xludf.DUMMYFUNCTION("""COMPUTED_VALUE"""),38.78819444444444)</f>
        <v>38.78819444</v>
      </c>
      <c r="BI29" s="1478">
        <f>IFERROR(__xludf.DUMMYFUNCTION("""COMPUTED_VALUE"""),4.5702E8)</f>
        <v>457020000</v>
      </c>
      <c r="BJ29" s="1518"/>
      <c r="BK29" s="1519"/>
      <c r="BL29" s="1518"/>
      <c r="BM29" s="1519"/>
      <c r="BN29" s="1477">
        <f>IFERROR(__xludf.DUMMYFUNCTION("""COMPUTED_VALUE"""),76.28958333333334)</f>
        <v>76.28958333</v>
      </c>
      <c r="BO29" s="1478">
        <f>IFERROR(__xludf.DUMMYFUNCTION("""COMPUTED_VALUE"""),1.214E10)</f>
        <v>12140000000</v>
      </c>
      <c r="BP29" s="1518"/>
      <c r="BQ29" s="1519"/>
      <c r="BR29" s="1520"/>
      <c r="BS29" s="1519"/>
      <c r="BT29" s="1479">
        <f>IFERROR(__xludf.DUMMYFUNCTION("""COMPUTED_VALUE"""),2.3076388888888886)</f>
        <v>2.307638889</v>
      </c>
      <c r="BU29" s="1480">
        <f>IFERROR(__xludf.DUMMYFUNCTION("""COMPUTED_VALUE"""),1.087E10)</f>
        <v>10870000000</v>
      </c>
      <c r="BV29" s="1520"/>
      <c r="BW29" s="1520"/>
      <c r="BX29" s="1479">
        <f>IFERROR(__xludf.DUMMYFUNCTION("""COMPUTED_VALUE"""),183.76065972222221)</f>
        <v>183.7606597</v>
      </c>
      <c r="BY29" s="1480">
        <f>IFERROR(__xludf.DUMMYFUNCTION("""COMPUTED_VALUE"""),1.9523E11)</f>
        <v>195230000000</v>
      </c>
      <c r="BZ29" s="1520"/>
      <c r="CA29" s="1520"/>
      <c r="CB29" s="1520"/>
      <c r="CC29" s="1519"/>
      <c r="CD29" s="1477">
        <f>IFERROR(__xludf.DUMMYFUNCTION("""COMPUTED_VALUE"""),10.381261574074074)</f>
        <v>10.38126157</v>
      </c>
      <c r="CE29" s="1481">
        <f>IFERROR(__xludf.DUMMYFUNCTION("""COMPUTED_VALUE"""),1.18E12)</f>
        <v>1180000000000</v>
      </c>
      <c r="CF29" s="1527"/>
      <c r="CG29" s="1560"/>
      <c r="CH29" s="1482">
        <f>IFERROR(__xludf.DUMMYFUNCTION("""COMPUTED_VALUE"""),2.10625)</f>
        <v>2.10625</v>
      </c>
      <c r="CI29" s="1483">
        <f>IFERROR(__xludf.DUMMYFUNCTION("""COMPUTED_VALUE"""),109710.0)</f>
        <v>109710</v>
      </c>
      <c r="CJ29" s="1482">
        <f>IFERROR(__xludf.DUMMYFUNCTION("""COMPUTED_VALUE"""),2.10625)</f>
        <v>2.10625</v>
      </c>
      <c r="CK29" s="1483">
        <f>IFERROR(__xludf.DUMMYFUNCTION("""COMPUTED_VALUE"""),109710.0)</f>
        <v>109710</v>
      </c>
      <c r="CL29" s="1482">
        <f>IFERROR(__xludf.DUMMYFUNCTION("""COMPUTED_VALUE"""),2.10625)</f>
        <v>2.10625</v>
      </c>
      <c r="CM29" s="1483">
        <f>IFERROR(__xludf.DUMMYFUNCTION("""COMPUTED_VALUE"""),109710.0)</f>
        <v>109710</v>
      </c>
      <c r="CN29" s="1482">
        <f>IFERROR(__xludf.DUMMYFUNCTION("""COMPUTED_VALUE"""),2.10625)</f>
        <v>2.10625</v>
      </c>
      <c r="CO29" s="1483">
        <f>IFERROR(__xludf.DUMMYFUNCTION("""COMPUTED_VALUE"""),109710.0)</f>
        <v>109710</v>
      </c>
      <c r="CP29" s="1482">
        <f>IFERROR(__xludf.DUMMYFUNCTION("""COMPUTED_VALUE"""),4.01875)</f>
        <v>4.01875</v>
      </c>
      <c r="CQ29" s="1483">
        <f>IFERROR(__xludf.DUMMYFUNCTION("""COMPUTED_VALUE"""),317320.0)</f>
        <v>317320</v>
      </c>
      <c r="CR29" s="1518"/>
      <c r="CS29" s="1519"/>
      <c r="CT29" s="1520"/>
      <c r="CU29" s="1519"/>
      <c r="CV29" s="1520"/>
      <c r="CW29" s="1519"/>
      <c r="CX29" s="1520"/>
      <c r="CY29" s="1519"/>
      <c r="CZ29" s="1520"/>
      <c r="DA29" s="1520"/>
      <c r="DB29" s="1520"/>
      <c r="DC29" s="1520"/>
      <c r="DD29" s="1520"/>
      <c r="DE29" s="1519"/>
      <c r="DF29" s="1520"/>
      <c r="DG29" s="1519"/>
      <c r="DH29" s="1518"/>
      <c r="DI29" s="1519"/>
      <c r="DJ29" s="1518"/>
      <c r="DK29" s="1519"/>
      <c r="DL29" s="1486">
        <f>IFERROR(__xludf.DUMMYFUNCTION("""COMPUTED_VALUE"""),77.05347222222223)</f>
        <v>77.05347222</v>
      </c>
      <c r="DM29" s="1487">
        <f>IFERROR(__xludf.DUMMYFUNCTION("""COMPUTED_VALUE"""),1.215E10)</f>
        <v>12150000000</v>
      </c>
      <c r="DN29" s="1518"/>
      <c r="DO29" s="1519"/>
      <c r="DP29" s="1486">
        <f>IFERROR(__xludf.DUMMYFUNCTION("""COMPUTED_VALUE"""),77.05347222222223)</f>
        <v>77.05347222</v>
      </c>
      <c r="DQ29" s="1487">
        <f>IFERROR(__xludf.DUMMYFUNCTION("""COMPUTED_VALUE"""),1.215E10)</f>
        <v>12150000000</v>
      </c>
      <c r="DR29" s="1486">
        <f>IFERROR(__xludf.DUMMYFUNCTION("""COMPUTED_VALUE"""),77.05347222222223)</f>
        <v>77.05347222</v>
      </c>
      <c r="DS29" s="1487">
        <f>IFERROR(__xludf.DUMMYFUNCTION("""COMPUTED_VALUE"""),1.215E10)</f>
        <v>12150000000</v>
      </c>
      <c r="DT29" s="1518"/>
      <c r="DU29" s="1519"/>
      <c r="DV29" s="1486">
        <f>IFERROR(__xludf.DUMMYFUNCTION("""COMPUTED_VALUE"""),77.05347222222223)</f>
        <v>77.05347222</v>
      </c>
      <c r="DW29" s="1487">
        <f>IFERROR(__xludf.DUMMYFUNCTION("""COMPUTED_VALUE"""),1.215E10)</f>
        <v>12150000000</v>
      </c>
      <c r="DX29" s="1486">
        <f>IFERROR(__xludf.DUMMYFUNCTION("""COMPUTED_VALUE"""),77.05347222222223)</f>
        <v>77.05347222</v>
      </c>
      <c r="DY29" s="1487">
        <f>IFERROR(__xludf.DUMMYFUNCTION("""COMPUTED_VALUE"""),1.215E10)</f>
        <v>12150000000</v>
      </c>
      <c r="DZ29" s="1518"/>
      <c r="EA29" s="1519"/>
      <c r="EB29" s="1518"/>
      <c r="EC29" s="1519"/>
      <c r="ED29" s="1518"/>
      <c r="EE29" s="1519"/>
      <c r="EF29" s="1486">
        <f>IFERROR(__xludf.DUMMYFUNCTION("""COMPUTED_VALUE"""),82.47013888888888)</f>
        <v>82.47013889</v>
      </c>
      <c r="EG29" s="1487">
        <f>IFERROR(__xludf.DUMMYFUNCTION("""COMPUTED_VALUE"""),3.799E10)</f>
        <v>37990000000</v>
      </c>
      <c r="EH29" s="1518"/>
      <c r="EI29" s="1519"/>
      <c r="EJ29" s="1486">
        <f>IFERROR(__xludf.DUMMYFUNCTION("""COMPUTED_VALUE"""),15.292650462962962)</f>
        <v>15.29265046</v>
      </c>
      <c r="EK29" s="1487">
        <f>IFERROR(__xludf.DUMMYFUNCTION("""COMPUTED_VALUE"""),1.2E9)</f>
        <v>1200000000</v>
      </c>
      <c r="EL29" s="1562"/>
      <c r="EM29" s="1560"/>
      <c r="EN29" s="1518"/>
      <c r="EO29" s="1519"/>
      <c r="EP29" s="1518"/>
      <c r="EQ29" s="1519"/>
      <c r="ER29" s="1518"/>
      <c r="ES29" s="1519"/>
      <c r="ET29" s="1518"/>
      <c r="EU29" s="1519"/>
      <c r="EV29" s="1518"/>
      <c r="EW29" s="1519"/>
      <c r="EX29" s="1518"/>
      <c r="EY29" s="1519"/>
      <c r="EZ29" s="1518"/>
      <c r="FA29" s="1519"/>
      <c r="FB29" s="1520"/>
      <c r="FC29" s="1519"/>
      <c r="FD29" s="1520"/>
      <c r="FE29" s="1519"/>
      <c r="FF29" s="1520"/>
      <c r="FG29" s="1519"/>
      <c r="FH29" s="1520"/>
      <c r="FI29" s="1520"/>
      <c r="FJ29" s="1520"/>
      <c r="FK29" s="1519"/>
      <c r="FL29" s="1518"/>
      <c r="FM29" s="1519"/>
      <c r="FN29" s="1532"/>
      <c r="FO29" s="1520"/>
      <c r="FP29" s="1486">
        <f>IFERROR(__xludf.DUMMYFUNCTION("""COMPUTED_VALUE"""),158.6672685185185)</f>
        <v>158.6672685</v>
      </c>
      <c r="FQ29" s="1488">
        <f>IFERROR(__xludf.DUMMYFUNCTION("""COMPUTED_VALUE"""),3.79E15)</f>
        <v>3.79E+15</v>
      </c>
      <c r="FR29" s="1532"/>
      <c r="FS29" s="1520"/>
      <c r="FT29" s="1486">
        <f>IFERROR(__xludf.DUMMYFUNCTION("""COMPUTED_VALUE"""),158.6672685185185)</f>
        <v>158.6672685</v>
      </c>
      <c r="FU29" s="1488">
        <f>IFERROR(__xludf.DUMMYFUNCTION("""COMPUTED_VALUE"""),3.79E15)</f>
        <v>3.79E+15</v>
      </c>
      <c r="FV29" s="1486">
        <f>IFERROR(__xludf.DUMMYFUNCTION("""COMPUTED_VALUE"""),158.6672685185185)</f>
        <v>158.6672685</v>
      </c>
      <c r="FW29" s="1488">
        <f>IFERROR(__xludf.DUMMYFUNCTION("""COMPUTED_VALUE"""),3.79E15)</f>
        <v>3.79E+15</v>
      </c>
      <c r="FX29" s="1527"/>
      <c r="FY29" s="1527"/>
      <c r="FZ29" s="1491">
        <f>IFERROR(__xludf.DUMMYFUNCTION("""COMPUTED_VALUE"""),158.6672685185185)</f>
        <v>158.6672685</v>
      </c>
      <c r="GA29" s="1492">
        <f>IFERROR(__xludf.DUMMYFUNCTION("""COMPUTED_VALUE"""),3.79E15)</f>
        <v>3.79E+15</v>
      </c>
      <c r="GB29" s="1527"/>
      <c r="GC29" s="1527"/>
      <c r="GD29" s="1527"/>
      <c r="GE29" s="1560"/>
      <c r="GF29" s="1518"/>
      <c r="GG29" s="1519"/>
      <c r="GH29" s="1494">
        <f>IFERROR(__xludf.DUMMYFUNCTION("""COMPUTED_VALUE"""),81.67847222222223)</f>
        <v>81.67847222</v>
      </c>
      <c r="GI29" s="1495">
        <f>IFERROR(__xludf.DUMMYFUNCTION("""COMPUTED_VALUE"""),1.1882E11)</f>
        <v>118820000000</v>
      </c>
      <c r="GJ29" s="1518"/>
      <c r="GK29" s="1519"/>
      <c r="GL29" s="1518"/>
      <c r="GM29" s="1519"/>
      <c r="GN29" s="1520"/>
      <c r="GO29" s="1519"/>
      <c r="GP29" s="1496">
        <f>IFERROR(__xludf.DUMMYFUNCTION("""COMPUTED_VALUE"""),81.84513888888888)</f>
        <v>81.84513889</v>
      </c>
      <c r="GQ29" s="1497">
        <f>IFERROR(__xludf.DUMMYFUNCTION("""COMPUTED_VALUE"""),1.22E12)</f>
        <v>1220000000000</v>
      </c>
      <c r="GR29" s="1518"/>
      <c r="GS29" s="1519"/>
      <c r="GT29" s="1518"/>
      <c r="GU29" s="1519"/>
      <c r="GV29" s="1520"/>
      <c r="GW29" s="1519"/>
      <c r="GX29" s="1561"/>
      <c r="GY29" s="1527"/>
      <c r="GZ29" s="1518"/>
      <c r="HA29" s="1519"/>
      <c r="HB29" s="1501">
        <f>IFERROR(__xludf.DUMMYFUNCTION("""COMPUTED_VALUE"""),76.28958333333334)</f>
        <v>76.28958333</v>
      </c>
      <c r="HC29" s="1502">
        <f>IFERROR(__xludf.DUMMYFUNCTION("""COMPUTED_VALUE"""),2.3763E11)</f>
        <v>237630000000</v>
      </c>
      <c r="HD29" s="1518"/>
      <c r="HE29" s="1519"/>
      <c r="HF29" s="1518"/>
      <c r="HG29" s="1568"/>
      <c r="HH29" s="1518"/>
      <c r="HI29" s="1519"/>
      <c r="HJ29" s="1518"/>
      <c r="HK29" s="1519"/>
      <c r="HL29" s="1518"/>
      <c r="HM29" s="1519"/>
      <c r="HN29" s="1520"/>
      <c r="HO29" s="1519"/>
      <c r="HP29" s="1501">
        <f>IFERROR(__xludf.DUMMYFUNCTION("""COMPUTED_VALUE"""),389.85017361111113)</f>
        <v>389.8501736</v>
      </c>
      <c r="HQ29" s="1502">
        <f>IFERROR(__xludf.DUMMYFUNCTION("""COMPUTED_VALUE"""),6.991E10)</f>
        <v>69910000000</v>
      </c>
      <c r="HR29" s="1518"/>
      <c r="HS29" s="1519"/>
      <c r="HT29" s="1518"/>
      <c r="HU29" s="1519"/>
      <c r="HV29" s="1518"/>
      <c r="HW29" s="1519"/>
      <c r="HX29" s="1518"/>
      <c r="HY29" s="1519"/>
      <c r="HZ29" s="1518"/>
      <c r="IA29" s="1519"/>
      <c r="IB29" s="1518"/>
      <c r="IC29" s="1519"/>
      <c r="ID29" s="1518"/>
      <c r="IE29" s="1519"/>
      <c r="IF29" s="1518"/>
      <c r="IG29" s="1519"/>
      <c r="IH29" s="1507">
        <f>IFERROR(__xludf.DUMMYFUNCTION("""COMPUTED_VALUE"""),111.91666666666667)</f>
        <v>111.9166667</v>
      </c>
      <c r="II29" s="1508">
        <f>IFERROR(__xludf.DUMMYFUNCTION("""COMPUTED_VALUE"""),1.73E12)</f>
        <v>1730000000000</v>
      </c>
      <c r="IJ29" s="1507">
        <f>IFERROR(__xludf.DUMMYFUNCTION("""COMPUTED_VALUE"""),111.91666666666667)</f>
        <v>111.9166667</v>
      </c>
      <c r="IK29" s="1508">
        <f>IFERROR(__xludf.DUMMYFUNCTION("""COMPUTED_VALUE"""),1.73E12)</f>
        <v>1730000000000</v>
      </c>
      <c r="IL29" s="1507">
        <f>IFERROR(__xludf.DUMMYFUNCTION("""COMPUTED_VALUE"""),111.91666666666667)</f>
        <v>111.9166667</v>
      </c>
      <c r="IM29" s="1508">
        <f>IFERROR(__xludf.DUMMYFUNCTION("""COMPUTED_VALUE"""),2.0E12)</f>
        <v>2000000000000</v>
      </c>
      <c r="IN29" s="1507">
        <f>IFERROR(__xludf.DUMMYFUNCTION("""COMPUTED_VALUE"""),111.91666666666667)</f>
        <v>111.9166667</v>
      </c>
      <c r="IO29" s="1508">
        <f>IFERROR(__xludf.DUMMYFUNCTION("""COMPUTED_VALUE"""),2.0E12)</f>
        <v>2000000000000</v>
      </c>
      <c r="IP29" s="1507">
        <f>IFERROR(__xludf.DUMMYFUNCTION("""COMPUTED_VALUE"""),112.37986111111111)</f>
        <v>112.3798611</v>
      </c>
      <c r="IQ29" s="1508">
        <f>IFERROR(__xludf.DUMMYFUNCTION("""COMPUTED_VALUE"""),2.81E12)</f>
        <v>2810000000000</v>
      </c>
      <c r="IR29" s="1507">
        <f>IFERROR(__xludf.DUMMYFUNCTION("""COMPUTED_VALUE"""),111.91666666666667)</f>
        <v>111.9166667</v>
      </c>
      <c r="IS29" s="1508">
        <f>IFERROR(__xludf.DUMMYFUNCTION("""COMPUTED_VALUE"""),2.0E12)</f>
        <v>2000000000000</v>
      </c>
      <c r="IT29" s="1507">
        <f>IFERROR(__xludf.DUMMYFUNCTION("""COMPUTED_VALUE"""),111.91666666666667)</f>
        <v>111.9166667</v>
      </c>
      <c r="IU29" s="1508">
        <f>IFERROR(__xludf.DUMMYFUNCTION("""COMPUTED_VALUE"""),2.0E12)</f>
        <v>2000000000000</v>
      </c>
      <c r="IV29" s="1507">
        <f>IFERROR(__xludf.DUMMYFUNCTION("""COMPUTED_VALUE"""),111.91666666666667)</f>
        <v>111.9166667</v>
      </c>
      <c r="IW29" s="1508">
        <f>IFERROR(__xludf.DUMMYFUNCTION("""COMPUTED_VALUE"""),2.0E12)</f>
        <v>2000000000000</v>
      </c>
      <c r="IX29" s="1507">
        <f>IFERROR(__xludf.DUMMYFUNCTION("""COMPUTED_VALUE"""),111.91666666666667)</f>
        <v>111.9166667</v>
      </c>
      <c r="IY29" s="1508">
        <f>IFERROR(__xludf.DUMMYFUNCTION("""COMPUTED_VALUE"""),2.0E12)</f>
        <v>2000000000000</v>
      </c>
      <c r="IZ29" s="1507">
        <f>IFERROR(__xludf.DUMMYFUNCTION("""COMPUTED_VALUE"""),111.91666666666667)</f>
        <v>111.9166667</v>
      </c>
      <c r="JA29" s="1508">
        <f>IFERROR(__xludf.DUMMYFUNCTION("""COMPUTED_VALUE"""),2.27E12)</f>
        <v>2270000000000</v>
      </c>
      <c r="JB29" s="1507">
        <f>IFERROR(__xludf.DUMMYFUNCTION("""COMPUTED_VALUE"""),111.91666666666667)</f>
        <v>111.9166667</v>
      </c>
      <c r="JC29" s="1508">
        <f>IFERROR(__xludf.DUMMYFUNCTION("""COMPUTED_VALUE"""),2.27E12)</f>
        <v>2270000000000</v>
      </c>
      <c r="JD29" s="1507">
        <f>IFERROR(__xludf.DUMMYFUNCTION("""COMPUTED_VALUE"""),111.91666666666667)</f>
        <v>111.9166667</v>
      </c>
      <c r="JE29" s="1508">
        <f>IFERROR(__xludf.DUMMYFUNCTION("""COMPUTED_VALUE"""),2.27E12)</f>
        <v>2270000000000</v>
      </c>
      <c r="JF29" s="1507">
        <f>IFERROR(__xludf.DUMMYFUNCTION("""COMPUTED_VALUE"""),111.91666666666667)</f>
        <v>111.9166667</v>
      </c>
      <c r="JG29" s="1508">
        <f>IFERROR(__xludf.DUMMYFUNCTION("""COMPUTED_VALUE"""),2.27E12)</f>
        <v>2270000000000</v>
      </c>
      <c r="JH29" s="1518"/>
      <c r="JI29" s="1519"/>
      <c r="JJ29" s="1507">
        <f>IFERROR(__xludf.DUMMYFUNCTION("""COMPUTED_VALUE"""),291.58680555555554)</f>
        <v>291.5868056</v>
      </c>
      <c r="JK29" s="1509">
        <f>IFERROR(__xludf.DUMMYFUNCTION("""COMPUTED_VALUE"""),6.75E18)</f>
        <v>6.75E+18</v>
      </c>
      <c r="JL29" s="1507">
        <f>IFERROR(__xludf.DUMMYFUNCTION("""COMPUTED_VALUE"""),291.58680555555554)</f>
        <v>291.5868056</v>
      </c>
      <c r="JM29" s="1509">
        <f>IFERROR(__xludf.DUMMYFUNCTION("""COMPUTED_VALUE"""),6.75E18)</f>
        <v>6.75E+18</v>
      </c>
      <c r="JN29" s="1507">
        <f>IFERROR(__xludf.DUMMYFUNCTION("""COMPUTED_VALUE"""),291.58680555555554)</f>
        <v>291.5868056</v>
      </c>
      <c r="JO29" s="1509">
        <f>IFERROR(__xludf.DUMMYFUNCTION("""COMPUTED_VALUE"""),6.75E18)</f>
        <v>6.75E+18</v>
      </c>
      <c r="JP29" s="1507">
        <f>IFERROR(__xludf.DUMMYFUNCTION("""COMPUTED_VALUE"""),291.58680555555554)</f>
        <v>291.5868056</v>
      </c>
      <c r="JQ29" s="1509">
        <f>IFERROR(__xludf.DUMMYFUNCTION("""COMPUTED_VALUE"""),6.75E18)</f>
        <v>6.75E+18</v>
      </c>
      <c r="JR29" s="1507">
        <f>IFERROR(__xludf.DUMMYFUNCTION("""COMPUTED_VALUE"""),291.58680555555554)</f>
        <v>291.5868056</v>
      </c>
      <c r="JS29" s="1509">
        <f>IFERROR(__xludf.DUMMYFUNCTION("""COMPUTED_VALUE"""),6.75E18)</f>
        <v>6.75E+18</v>
      </c>
      <c r="JT29" s="1507">
        <f>IFERROR(__xludf.DUMMYFUNCTION("""COMPUTED_VALUE"""),291.58680555555554)</f>
        <v>291.5868056</v>
      </c>
      <c r="JU29" s="1509">
        <f>IFERROR(__xludf.DUMMYFUNCTION("""COMPUTED_VALUE"""),6.75E18)</f>
        <v>6.75E+18</v>
      </c>
      <c r="JV29" s="1507">
        <f>IFERROR(__xludf.DUMMYFUNCTION("""COMPUTED_VALUE"""),72.89652777777778)</f>
        <v>72.89652778</v>
      </c>
      <c r="JW29" s="1509">
        <f>IFERROR(__xludf.DUMMYFUNCTION("""COMPUTED_VALUE"""),6.299831413E15)</f>
        <v>6.29983E+15</v>
      </c>
      <c r="JX29" s="1562"/>
      <c r="JY29" s="1527"/>
      <c r="JZ29" s="1566">
        <f>IFERROR(__xludf.DUMMYFUNCTION("""COMPUTED_VALUE"""),2.687060185)</f>
        <v>2.687060185</v>
      </c>
      <c r="KA29" s="1514">
        <f>IFERROR(__xludf.DUMMYFUNCTION("""COMPUTED_VALUE"""),1.323E10)</f>
        <v>13230000000</v>
      </c>
      <c r="KB29" s="1566">
        <f>IFERROR(__xludf.DUMMYFUNCTION("""COMPUTED_VALUE"""),4.307800926)</f>
        <v>4.307800926</v>
      </c>
      <c r="KC29" s="1567">
        <f>IFERROR(__xludf.DUMMYFUNCTION("""COMPUTED_VALUE"""),5.273E10)</f>
        <v>52730000000</v>
      </c>
      <c r="KD29" s="1566">
        <f>IFERROR(__xludf.DUMMYFUNCTION("""COMPUTED_VALUE"""),17.1440162)</f>
        <v>17.1440162</v>
      </c>
      <c r="KE29" s="1514">
        <f>IFERROR(__xludf.DUMMYFUNCTION("""COMPUTED_VALUE"""),3.38E12)</f>
        <v>3380000000000</v>
      </c>
      <c r="KF29" s="1566">
        <f>IFERROR(__xludf.DUMMYFUNCTION("""COMPUTED_VALUE"""),17.1440162)</f>
        <v>17.1440162</v>
      </c>
      <c r="KG29" s="1514">
        <f>IFERROR(__xludf.DUMMYFUNCTION("""COMPUTED_VALUE"""),3.38E12)</f>
        <v>3380000000000</v>
      </c>
      <c r="KH29" s="1527"/>
      <c r="KI29" s="1527"/>
      <c r="KJ29" s="1527"/>
      <c r="KK29" s="1527"/>
      <c r="KL29" s="1527"/>
      <c r="KM29" s="1527"/>
      <c r="KN29" s="1527"/>
      <c r="KO29" s="1527"/>
      <c r="KP29" s="1527"/>
      <c r="KQ29" s="1527"/>
      <c r="KR29" s="1527"/>
      <c r="KS29" s="1527"/>
      <c r="KT29" s="1527"/>
      <c r="KU29" s="1527"/>
      <c r="KV29" s="1525">
        <f>IFERROR(__xludf.DUMMYFUNCTION("""COMPUTED_VALUE"""),291.58680555555554)</f>
        <v>291.5868056</v>
      </c>
      <c r="KW29" s="1526">
        <f>IFERROR(__xludf.DUMMYFUNCTION("""COMPUTED_VALUE"""),6.75E18)</f>
        <v>6.75E+18</v>
      </c>
      <c r="KX29" s="1525">
        <f>IFERROR(__xludf.DUMMYFUNCTION("""COMPUTED_VALUE"""),291.58680555555554)</f>
        <v>291.5868056</v>
      </c>
      <c r="KY29" s="1526">
        <f>IFERROR(__xludf.DUMMYFUNCTION("""COMPUTED_VALUE"""),6.75E18)</f>
        <v>6.75E+18</v>
      </c>
      <c r="KZ29" s="1525">
        <f>IFERROR(__xludf.DUMMYFUNCTION("""COMPUTED_VALUE"""),291.58680555555554)</f>
        <v>291.5868056</v>
      </c>
      <c r="LA29" s="1526">
        <f>IFERROR(__xludf.DUMMYFUNCTION("""COMPUTED_VALUE"""),6.75E18)</f>
        <v>6.75E+18</v>
      </c>
      <c r="LB29" s="1525">
        <f>IFERROR(__xludf.DUMMYFUNCTION("""COMPUTED_VALUE"""),291.58680555555554)</f>
        <v>291.5868056</v>
      </c>
      <c r="LC29" s="1526">
        <f>IFERROR(__xludf.DUMMYFUNCTION("""COMPUTED_VALUE"""),6.75E18)</f>
        <v>6.75E+18</v>
      </c>
      <c r="LD29" s="1525">
        <f>IFERROR(__xludf.DUMMYFUNCTION("""COMPUTED_VALUE"""),291.58680555555554)</f>
        <v>291.5868056</v>
      </c>
      <c r="LE29" s="1526">
        <f>IFERROR(__xludf.DUMMYFUNCTION("""COMPUTED_VALUE"""),6.75E18)</f>
        <v>6.75E+18</v>
      </c>
      <c r="LF29" s="1525">
        <f>IFERROR(__xludf.DUMMYFUNCTION("""COMPUTED_VALUE"""),291.58680555555554)</f>
        <v>291.5868056</v>
      </c>
      <c r="LG29" s="1526">
        <f>IFERROR(__xludf.DUMMYFUNCTION("""COMPUTED_VALUE"""),6.75E18)</f>
        <v>6.75E+18</v>
      </c>
      <c r="LH29" s="1525">
        <f>IFERROR(__xludf.DUMMYFUNCTION("""COMPUTED_VALUE"""),291.58680555555554)</f>
        <v>291.5868056</v>
      </c>
      <c r="LI29" s="1526">
        <f>IFERROR(__xludf.DUMMYFUNCTION("""COMPUTED_VALUE"""),6.75E18)</f>
        <v>6.75E+18</v>
      </c>
      <c r="LJ29" s="1525">
        <f>IFERROR(__xludf.DUMMYFUNCTION("""COMPUTED_VALUE"""),291.58680555555554)</f>
        <v>291.5868056</v>
      </c>
      <c r="LK29" s="1526">
        <f>IFERROR(__xludf.DUMMYFUNCTION("""COMPUTED_VALUE"""),6.75E18)</f>
        <v>6.75E+18</v>
      </c>
      <c r="LL29" s="1527"/>
      <c r="LM29" s="1527"/>
      <c r="LN29" s="1527"/>
      <c r="LO29" s="1527"/>
      <c r="LP29" s="1527"/>
      <c r="LQ29" s="1527"/>
      <c r="LR29" s="1527"/>
      <c r="LS29" s="1527"/>
      <c r="LT29" s="1527"/>
      <c r="LU29" s="1527"/>
      <c r="LV29" s="1527"/>
      <c r="LW29" s="1527"/>
      <c r="LX29" s="1527"/>
      <c r="LY29" s="1527"/>
      <c r="LZ29" s="1527"/>
      <c r="MA29" s="1527"/>
      <c r="MB29" s="1527"/>
      <c r="MC29" s="1527"/>
      <c r="MD29" s="1527"/>
      <c r="ME29" s="1527"/>
      <c r="MF29" s="1527"/>
      <c r="MG29" s="1527"/>
      <c r="MH29" s="1527"/>
      <c r="MI29" s="1527"/>
      <c r="MJ29" s="1527"/>
      <c r="MK29" s="1527"/>
      <c r="ML29" s="1527"/>
      <c r="MM29" s="1527"/>
      <c r="MN29" s="1527"/>
      <c r="MO29" s="1527"/>
      <c r="MP29" s="1527"/>
      <c r="MQ29" s="1527"/>
      <c r="MR29" s="1527"/>
      <c r="MS29" s="1527"/>
      <c r="MT29" s="1527"/>
      <c r="MU29" s="1527"/>
      <c r="MV29" s="1527"/>
      <c r="MW29" s="1527"/>
      <c r="MX29" s="1527"/>
      <c r="MY29" s="1527"/>
    </row>
    <row r="30">
      <c r="A30" s="1465">
        <f>IFERROR(__xludf.DUMMYFUNCTION("""COMPUTED_VALUE"""),28.0)</f>
        <v>28</v>
      </c>
      <c r="B30" s="1518"/>
      <c r="C30" s="1520"/>
      <c r="D30" s="1466">
        <f>IFERROR(__xludf.DUMMYFUNCTION("""COMPUTED_VALUE"""),2.3006944444444444)</f>
        <v>2.300694444</v>
      </c>
      <c r="E30" s="1467">
        <f>IFERROR(__xludf.DUMMYFUNCTION("""COMPUTED_VALUE"""),121650.0)</f>
        <v>121650</v>
      </c>
      <c r="F30" s="1466">
        <f>IFERROR(__xludf.DUMMYFUNCTION("""COMPUTED_VALUE"""),2.3006944444444444)</f>
        <v>2.300694444</v>
      </c>
      <c r="G30" s="1467">
        <f>IFERROR(__xludf.DUMMYFUNCTION("""COMPUTED_VALUE"""),121650.0)</f>
        <v>121650</v>
      </c>
      <c r="H30" s="1466">
        <f>IFERROR(__xludf.DUMMYFUNCTION("""COMPUTED_VALUE"""),2.3006944444444444)</f>
        <v>2.300694444</v>
      </c>
      <c r="I30" s="1467">
        <f>IFERROR(__xludf.DUMMYFUNCTION("""COMPUTED_VALUE"""),121650.0)</f>
        <v>121650</v>
      </c>
      <c r="J30" s="1466">
        <f>IFERROR(__xludf.DUMMYFUNCTION("""COMPUTED_VALUE"""),2.3006944444444444)</f>
        <v>2.300694444</v>
      </c>
      <c r="K30" s="1467">
        <f>IFERROR(__xludf.DUMMYFUNCTION("""COMPUTED_VALUE"""),121650.0)</f>
        <v>121650</v>
      </c>
      <c r="L30" s="1466">
        <f>IFERROR(__xludf.DUMMYFUNCTION("""COMPUTED_VALUE"""),3.775)</f>
        <v>3.775</v>
      </c>
      <c r="M30" s="1469">
        <f>IFERROR(__xludf.DUMMYFUNCTION("""COMPUTED_VALUE"""),327730.0)</f>
        <v>327730</v>
      </c>
      <c r="N30" s="1470">
        <f>IFERROR(__xludf.DUMMYFUNCTION("""COMPUTED_VALUE"""),2.451388888888889)</f>
        <v>2.451388889</v>
      </c>
      <c r="O30" s="1467">
        <f>IFERROR(__xludf.DUMMYFUNCTION("""COMPUTED_VALUE"""),356620.0)</f>
        <v>356620</v>
      </c>
      <c r="P30" s="1518"/>
      <c r="Q30" s="1519"/>
      <c r="R30" s="1518"/>
      <c r="S30" s="1519"/>
      <c r="T30" s="1518"/>
      <c r="U30" s="1519"/>
      <c r="V30" s="1518"/>
      <c r="W30" s="1519"/>
      <c r="X30" s="1518"/>
      <c r="Y30" s="1519"/>
      <c r="Z30" s="1518"/>
      <c r="AA30" s="1519"/>
      <c r="AB30" s="1518"/>
      <c r="AC30" s="1519"/>
      <c r="AD30" s="1466">
        <f>IFERROR(__xludf.DUMMYFUNCTION("""COMPUTED_VALUE"""),30.238194444444446)</f>
        <v>30.23819444</v>
      </c>
      <c r="AE30" s="1474">
        <f>IFERROR(__xludf.DUMMYFUNCTION("""COMPUTED_VALUE"""),1.192533293E12)</f>
        <v>1192533293000</v>
      </c>
      <c r="AF30" s="1466">
        <f>IFERROR(__xludf.DUMMYFUNCTION("""COMPUTED_VALUE"""),30.238194444444446)</f>
        <v>30.23819444</v>
      </c>
      <c r="AG30" s="1474">
        <f>IFERROR(__xludf.DUMMYFUNCTION("""COMPUTED_VALUE"""),1.192533293E12)</f>
        <v>1192533293000</v>
      </c>
      <c r="AH30" s="1466">
        <f>IFERROR(__xludf.DUMMYFUNCTION("""COMPUTED_VALUE"""),30.238194444444446)</f>
        <v>30.23819444</v>
      </c>
      <c r="AI30" s="1474">
        <f>IFERROR(__xludf.DUMMYFUNCTION("""COMPUTED_VALUE"""),1.192533293E12)</f>
        <v>1192533293000</v>
      </c>
      <c r="AJ30" s="1475">
        <f>IFERROR(__xludf.DUMMYFUNCTION("""COMPUTED_VALUE"""),2.3006944444444444)</f>
        <v>2.300694444</v>
      </c>
      <c r="AK30" s="1476">
        <f>IFERROR(__xludf.DUMMYFUNCTION("""COMPUTED_VALUE"""),121650.0)</f>
        <v>121650</v>
      </c>
      <c r="AL30" s="1475">
        <f>IFERROR(__xludf.DUMMYFUNCTION("""COMPUTED_VALUE"""),2.3006944444444444)</f>
        <v>2.300694444</v>
      </c>
      <c r="AM30" s="1476">
        <f>IFERROR(__xludf.DUMMYFUNCTION("""COMPUTED_VALUE"""),121650.0)</f>
        <v>121650</v>
      </c>
      <c r="AN30" s="1475">
        <f>IFERROR(__xludf.DUMMYFUNCTION("""COMPUTED_VALUE"""),2.3006944444444444)</f>
        <v>2.300694444</v>
      </c>
      <c r="AO30" s="1476">
        <f>IFERROR(__xludf.DUMMYFUNCTION("""COMPUTED_VALUE"""),121650.0)</f>
        <v>121650</v>
      </c>
      <c r="AP30" s="1475">
        <f>IFERROR(__xludf.DUMMYFUNCTION("""COMPUTED_VALUE"""),2.3006944444444444)</f>
        <v>2.300694444</v>
      </c>
      <c r="AQ30" s="1476">
        <f>IFERROR(__xludf.DUMMYFUNCTION("""COMPUTED_VALUE"""),121650.0)</f>
        <v>121650</v>
      </c>
      <c r="AR30" s="1475">
        <f>IFERROR(__xludf.DUMMYFUNCTION("""COMPUTED_VALUE"""),2.3006944444444444)</f>
        <v>2.300694444</v>
      </c>
      <c r="AS30" s="1476">
        <f>IFERROR(__xludf.DUMMYFUNCTION("""COMPUTED_VALUE"""),121660.0)</f>
        <v>121660</v>
      </c>
      <c r="AT30" s="1475">
        <f>IFERROR(__xludf.DUMMYFUNCTION("""COMPUTED_VALUE"""),849.1430555555555)</f>
        <v>849.1430556</v>
      </c>
      <c r="AU30" s="1476">
        <f>IFERROR(__xludf.DUMMYFUNCTION("""COMPUTED_VALUE"""),5.34E9)</f>
        <v>5340000000</v>
      </c>
      <c r="AV30" s="1475">
        <f>IFERROR(__xludf.DUMMYFUNCTION("""COMPUTED_VALUE"""),447.34791666666666)</f>
        <v>447.3479167</v>
      </c>
      <c r="AW30" s="1476">
        <f>IFERROR(__xludf.DUMMYFUNCTION("""COMPUTED_VALUE"""),5.34E9)</f>
        <v>5340000000</v>
      </c>
      <c r="AX30" s="1475">
        <f>IFERROR(__xludf.DUMMYFUNCTION("""COMPUTED_VALUE"""),20.238888888888887)</f>
        <v>20.23888889</v>
      </c>
      <c r="AY30" s="1476">
        <f>IFERROR(__xludf.DUMMYFUNCTION("""COMPUTED_VALUE"""),1.42E12)</f>
        <v>1420000000000</v>
      </c>
      <c r="AZ30" s="1518"/>
      <c r="BA30" s="1518"/>
      <c r="BB30" s="1477">
        <f>IFERROR(__xludf.DUMMYFUNCTION("""COMPUTED_VALUE"""),2.3006944444444444)</f>
        <v>2.300694444</v>
      </c>
      <c r="BC30" s="1478">
        <f>IFERROR(__xludf.DUMMYFUNCTION("""COMPUTED_VALUE"""),121650.0)</f>
        <v>121650</v>
      </c>
      <c r="BD30" s="1477">
        <f>IFERROR(__xludf.DUMMYFUNCTION("""COMPUTED_VALUE"""),2.3006944444444444)</f>
        <v>2.300694444</v>
      </c>
      <c r="BE30" s="1478">
        <f>IFERROR(__xludf.DUMMYFUNCTION("""COMPUTED_VALUE"""),121650.0)</f>
        <v>121650</v>
      </c>
      <c r="BF30" s="1477">
        <f>IFERROR(__xludf.DUMMYFUNCTION("""COMPUTED_VALUE"""),2.3006944444444444)</f>
        <v>2.300694444</v>
      </c>
      <c r="BG30" s="1478">
        <f>IFERROR(__xludf.DUMMYFUNCTION("""COMPUTED_VALUE"""),121650.0)</f>
        <v>121650</v>
      </c>
      <c r="BH30" s="1477">
        <f>IFERROR(__xludf.DUMMYFUNCTION("""COMPUTED_VALUE"""),43.84236111111111)</f>
        <v>43.84236111</v>
      </c>
      <c r="BI30" s="1478">
        <f>IFERROR(__xludf.DUMMYFUNCTION("""COMPUTED_VALUE"""),5.3149E8)</f>
        <v>531490000</v>
      </c>
      <c r="BJ30" s="1518"/>
      <c r="BK30" s="1519"/>
      <c r="BL30" s="1518"/>
      <c r="BM30" s="1519"/>
      <c r="BN30" s="1477">
        <f>IFERROR(__xludf.DUMMYFUNCTION("""COMPUTED_VALUE"""),86.68125)</f>
        <v>86.68125</v>
      </c>
      <c r="BO30" s="1478">
        <f>IFERROR(__xludf.DUMMYFUNCTION("""COMPUTED_VALUE"""),1.428E10)</f>
        <v>14280000000</v>
      </c>
      <c r="BP30" s="1518"/>
      <c r="BQ30" s="1519"/>
      <c r="BR30" s="1520"/>
      <c r="BS30" s="1519"/>
      <c r="BT30" s="1479">
        <f>IFERROR(__xludf.DUMMYFUNCTION("""COMPUTED_VALUE"""),2.5006944444444446)</f>
        <v>2.500694444</v>
      </c>
      <c r="BU30" s="1480">
        <f>IFERROR(__xludf.DUMMYFUNCTION("""COMPUTED_VALUE"""),1.169E10)</f>
        <v>11690000000</v>
      </c>
      <c r="BV30" s="1520"/>
      <c r="BW30" s="1520"/>
      <c r="BX30" s="1479">
        <f>IFERROR(__xludf.DUMMYFUNCTION("""COMPUTED_VALUE"""),211.32475694444443)</f>
        <v>211.3247569</v>
      </c>
      <c r="BY30" s="1480">
        <f>IFERROR(__xludf.DUMMYFUNCTION("""COMPUTED_VALUE"""),2.0271E11)</f>
        <v>202710000000</v>
      </c>
      <c r="BZ30" s="1520"/>
      <c r="CA30" s="1520"/>
      <c r="CB30" s="1520"/>
      <c r="CC30" s="1519"/>
      <c r="CD30" s="1477">
        <f>IFERROR(__xludf.DUMMYFUNCTION("""COMPUTED_VALUE"""),11.06019675925926)</f>
        <v>11.06019676</v>
      </c>
      <c r="CE30" s="1481">
        <f>IFERROR(__xludf.DUMMYFUNCTION("""COMPUTED_VALUE"""),1.28E12)</f>
        <v>1280000000000</v>
      </c>
      <c r="CF30" s="1527"/>
      <c r="CG30" s="1560"/>
      <c r="CH30" s="1482">
        <f>IFERROR(__xludf.DUMMYFUNCTION("""COMPUTED_VALUE"""),2.3006944444444444)</f>
        <v>2.300694444</v>
      </c>
      <c r="CI30" s="1483">
        <f>IFERROR(__xludf.DUMMYFUNCTION("""COMPUTED_VALUE"""),121660.0)</f>
        <v>121660</v>
      </c>
      <c r="CJ30" s="1482">
        <f>IFERROR(__xludf.DUMMYFUNCTION("""COMPUTED_VALUE"""),2.3006944444444444)</f>
        <v>2.300694444</v>
      </c>
      <c r="CK30" s="1483">
        <f>IFERROR(__xludf.DUMMYFUNCTION("""COMPUTED_VALUE"""),121660.0)</f>
        <v>121660</v>
      </c>
      <c r="CL30" s="1482">
        <f>IFERROR(__xludf.DUMMYFUNCTION("""COMPUTED_VALUE"""),2.3006944444444444)</f>
        <v>2.300694444</v>
      </c>
      <c r="CM30" s="1483">
        <f>IFERROR(__xludf.DUMMYFUNCTION("""COMPUTED_VALUE"""),121660.0)</f>
        <v>121660</v>
      </c>
      <c r="CN30" s="1482">
        <f>IFERROR(__xludf.DUMMYFUNCTION("""COMPUTED_VALUE"""),2.3006944444444444)</f>
        <v>2.300694444</v>
      </c>
      <c r="CO30" s="1483">
        <f>IFERROR(__xludf.DUMMYFUNCTION("""COMPUTED_VALUE"""),121660.0)</f>
        <v>121660</v>
      </c>
      <c r="CP30" s="1482">
        <f>IFERROR(__xludf.DUMMYFUNCTION("""COMPUTED_VALUE"""),4.422916666666667)</f>
        <v>4.422916667</v>
      </c>
      <c r="CQ30" s="1483">
        <f>IFERROR(__xludf.DUMMYFUNCTION("""COMPUTED_VALUE"""),356630.0)</f>
        <v>356630</v>
      </c>
      <c r="CR30" s="1518"/>
      <c r="CS30" s="1519"/>
      <c r="CT30" s="1520"/>
      <c r="CU30" s="1519"/>
      <c r="CV30" s="1520"/>
      <c r="CW30" s="1519"/>
      <c r="CX30" s="1520"/>
      <c r="CY30" s="1519"/>
      <c r="CZ30" s="1520"/>
      <c r="DA30" s="1520"/>
      <c r="DB30" s="1520"/>
      <c r="DC30" s="1520"/>
      <c r="DD30" s="1520"/>
      <c r="DE30" s="1519"/>
      <c r="DF30" s="1520"/>
      <c r="DG30" s="1519"/>
      <c r="DH30" s="1518"/>
      <c r="DI30" s="1519"/>
      <c r="DJ30" s="1518"/>
      <c r="DK30" s="1519"/>
      <c r="DL30" s="1486">
        <f>IFERROR(__xludf.DUMMYFUNCTION("""COMPUTED_VALUE"""),87.44513888888889)</f>
        <v>87.44513889</v>
      </c>
      <c r="DM30" s="1487">
        <f>IFERROR(__xludf.DUMMYFUNCTION("""COMPUTED_VALUE"""),1.429E10)</f>
        <v>14290000000</v>
      </c>
      <c r="DN30" s="1518"/>
      <c r="DO30" s="1519"/>
      <c r="DP30" s="1486">
        <f>IFERROR(__xludf.DUMMYFUNCTION("""COMPUTED_VALUE"""),87.44513888888889)</f>
        <v>87.44513889</v>
      </c>
      <c r="DQ30" s="1487">
        <f>IFERROR(__xludf.DUMMYFUNCTION("""COMPUTED_VALUE"""),1.429E10)</f>
        <v>14290000000</v>
      </c>
      <c r="DR30" s="1486">
        <f>IFERROR(__xludf.DUMMYFUNCTION("""COMPUTED_VALUE"""),87.44513888888889)</f>
        <v>87.44513889</v>
      </c>
      <c r="DS30" s="1487">
        <f>IFERROR(__xludf.DUMMYFUNCTION("""COMPUTED_VALUE"""),1.429E10)</f>
        <v>14290000000</v>
      </c>
      <c r="DT30" s="1518"/>
      <c r="DU30" s="1519"/>
      <c r="DV30" s="1486">
        <f>IFERROR(__xludf.DUMMYFUNCTION("""COMPUTED_VALUE"""),87.44513888888889)</f>
        <v>87.44513889</v>
      </c>
      <c r="DW30" s="1487">
        <f>IFERROR(__xludf.DUMMYFUNCTION("""COMPUTED_VALUE"""),1.429E10)</f>
        <v>14290000000</v>
      </c>
      <c r="DX30" s="1486">
        <f>IFERROR(__xludf.DUMMYFUNCTION("""COMPUTED_VALUE"""),87.44513888888889)</f>
        <v>87.44513889</v>
      </c>
      <c r="DY30" s="1487">
        <f>IFERROR(__xludf.DUMMYFUNCTION("""COMPUTED_VALUE"""),1.429E10)</f>
        <v>14290000000</v>
      </c>
      <c r="DZ30" s="1518"/>
      <c r="EA30" s="1519"/>
      <c r="EB30" s="1518"/>
      <c r="EC30" s="1519"/>
      <c r="ED30" s="1518"/>
      <c r="EE30" s="1519"/>
      <c r="EF30" s="1486">
        <f>IFERROR(__xludf.DUMMYFUNCTION("""COMPUTED_VALUE"""),93.07013888888889)</f>
        <v>93.07013889</v>
      </c>
      <c r="EG30" s="1487">
        <f>IFERROR(__xludf.DUMMYFUNCTION("""COMPUTED_VALUE"""),4.528E10)</f>
        <v>45280000000</v>
      </c>
      <c r="EH30" s="1518"/>
      <c r="EI30" s="1519"/>
      <c r="EJ30" s="1486">
        <f>IFERROR(__xludf.DUMMYFUNCTION("""COMPUTED_VALUE"""),15.91619212962963)</f>
        <v>15.91619213</v>
      </c>
      <c r="EK30" s="1487">
        <f>IFERROR(__xludf.DUMMYFUNCTION("""COMPUTED_VALUE"""),1.33E9)</f>
        <v>1330000000</v>
      </c>
      <c r="EL30" s="1562"/>
      <c r="EM30" s="1560"/>
      <c r="EN30" s="1518"/>
      <c r="EO30" s="1519"/>
      <c r="EP30" s="1518"/>
      <c r="EQ30" s="1519"/>
      <c r="ER30" s="1518"/>
      <c r="ES30" s="1519"/>
      <c r="ET30" s="1518"/>
      <c r="EU30" s="1519"/>
      <c r="EV30" s="1518"/>
      <c r="EW30" s="1519"/>
      <c r="EX30" s="1518"/>
      <c r="EY30" s="1519"/>
      <c r="EZ30" s="1518"/>
      <c r="FA30" s="1519"/>
      <c r="FB30" s="1520"/>
      <c r="FC30" s="1519"/>
      <c r="FD30" s="1520"/>
      <c r="FE30" s="1519"/>
      <c r="FF30" s="1520"/>
      <c r="FG30" s="1519"/>
      <c r="FH30" s="1520"/>
      <c r="FI30" s="1520"/>
      <c r="FJ30" s="1520"/>
      <c r="FK30" s="1519"/>
      <c r="FL30" s="1518"/>
      <c r="FM30" s="1519"/>
      <c r="FN30" s="1532"/>
      <c r="FO30" s="1520"/>
      <c r="FP30" s="1486">
        <f>IFERROR(__xludf.DUMMYFUNCTION("""COMPUTED_VALUE"""),177.70733796296295)</f>
        <v>177.707338</v>
      </c>
      <c r="FQ30" s="1488">
        <f>IFERROR(__xludf.DUMMYFUNCTION("""COMPUTED_VALUE"""),5.68E15)</f>
        <v>5.68E+15</v>
      </c>
      <c r="FR30" s="1532"/>
      <c r="FS30" s="1520"/>
      <c r="FT30" s="1486">
        <f>IFERROR(__xludf.DUMMYFUNCTION("""COMPUTED_VALUE"""),177.70733796296295)</f>
        <v>177.707338</v>
      </c>
      <c r="FU30" s="1488">
        <f>IFERROR(__xludf.DUMMYFUNCTION("""COMPUTED_VALUE"""),5.68E15)</f>
        <v>5.68E+15</v>
      </c>
      <c r="FV30" s="1486">
        <f>IFERROR(__xludf.DUMMYFUNCTION("""COMPUTED_VALUE"""),177.70733796296295)</f>
        <v>177.707338</v>
      </c>
      <c r="FW30" s="1488">
        <f>IFERROR(__xludf.DUMMYFUNCTION("""COMPUTED_VALUE"""),5.68E15)</f>
        <v>5.68E+15</v>
      </c>
      <c r="FX30" s="1527"/>
      <c r="FY30" s="1527"/>
      <c r="FZ30" s="1491">
        <f>IFERROR(__xludf.DUMMYFUNCTION("""COMPUTED_VALUE"""),178.0406712962963)</f>
        <v>178.0406713</v>
      </c>
      <c r="GA30" s="1492">
        <f>IFERROR(__xludf.DUMMYFUNCTION("""COMPUTED_VALUE"""),5.68E15)</f>
        <v>5.68E+15</v>
      </c>
      <c r="GB30" s="1527"/>
      <c r="GC30" s="1527"/>
      <c r="GD30" s="1527"/>
      <c r="GE30" s="1560"/>
      <c r="GF30" s="1518"/>
      <c r="GG30" s="1519"/>
      <c r="GH30" s="1494">
        <f>IFERROR(__xludf.DUMMYFUNCTION("""COMPUTED_VALUE"""),92.27847222222222)</f>
        <v>92.27847222</v>
      </c>
      <c r="GI30" s="1495">
        <f>IFERROR(__xludf.DUMMYFUNCTION("""COMPUTED_VALUE"""),1.435E11)</f>
        <v>143500000000</v>
      </c>
      <c r="GJ30" s="1518"/>
      <c r="GK30" s="1519"/>
      <c r="GL30" s="1518"/>
      <c r="GM30" s="1519"/>
      <c r="GN30" s="1520"/>
      <c r="GO30" s="1519"/>
      <c r="GP30" s="1496">
        <f>IFERROR(__xludf.DUMMYFUNCTION("""COMPUTED_VALUE"""),92.44513888888889)</f>
        <v>92.44513889</v>
      </c>
      <c r="GQ30" s="1497">
        <f>IFERROR(__xludf.DUMMYFUNCTION("""COMPUTED_VALUE"""),1.4E12)</f>
        <v>1400000000000</v>
      </c>
      <c r="GR30" s="1518"/>
      <c r="GS30" s="1519"/>
      <c r="GT30" s="1518"/>
      <c r="GU30" s="1519"/>
      <c r="GV30" s="1520"/>
      <c r="GW30" s="1519"/>
      <c r="GX30" s="1561"/>
      <c r="GY30" s="1527"/>
      <c r="GZ30" s="1518"/>
      <c r="HA30" s="1519"/>
      <c r="HB30" s="1501">
        <f>IFERROR(__xludf.DUMMYFUNCTION("""COMPUTED_VALUE"""),86.68125)</f>
        <v>86.68125</v>
      </c>
      <c r="HC30" s="1502">
        <f>IFERROR(__xludf.DUMMYFUNCTION("""COMPUTED_VALUE"""),2.8698E11)</f>
        <v>286980000000</v>
      </c>
      <c r="HD30" s="1518"/>
      <c r="HE30" s="1519"/>
      <c r="HF30" s="1518"/>
      <c r="HG30" s="1568"/>
      <c r="HH30" s="1518"/>
      <c r="HI30" s="1519"/>
      <c r="HJ30" s="1518"/>
      <c r="HK30" s="1519"/>
      <c r="HL30" s="1518"/>
      <c r="HM30" s="1519"/>
      <c r="HN30" s="1520"/>
      <c r="HO30" s="1519"/>
      <c r="HP30" s="1501">
        <f>IFERROR(__xludf.DUMMYFUNCTION("""COMPUTED_VALUE"""),450.63050925925927)</f>
        <v>450.6305093</v>
      </c>
      <c r="HQ30" s="1502">
        <f>IFERROR(__xludf.DUMMYFUNCTION("""COMPUTED_VALUE"""),8.284E10)</f>
        <v>82840000000</v>
      </c>
      <c r="HR30" s="1518"/>
      <c r="HS30" s="1519"/>
      <c r="HT30" s="1518"/>
      <c r="HU30" s="1519"/>
      <c r="HV30" s="1518"/>
      <c r="HW30" s="1519"/>
      <c r="HX30" s="1518"/>
      <c r="HY30" s="1519"/>
      <c r="HZ30" s="1518"/>
      <c r="IA30" s="1519"/>
      <c r="IB30" s="1518"/>
      <c r="IC30" s="1519"/>
      <c r="ID30" s="1518"/>
      <c r="IE30" s="1519"/>
      <c r="IF30" s="1518"/>
      <c r="IG30" s="1519"/>
      <c r="IH30" s="1507">
        <f>IFERROR(__xludf.DUMMYFUNCTION("""COMPUTED_VALUE"""),126.90069444444444)</f>
        <v>126.9006944</v>
      </c>
      <c r="II30" s="1508">
        <f>IFERROR(__xludf.DUMMYFUNCTION("""COMPUTED_VALUE"""),1.93E12)</f>
        <v>1930000000000</v>
      </c>
      <c r="IJ30" s="1507">
        <f>IFERROR(__xludf.DUMMYFUNCTION("""COMPUTED_VALUE"""),126.90069444444444)</f>
        <v>126.9006944</v>
      </c>
      <c r="IK30" s="1508">
        <f>IFERROR(__xludf.DUMMYFUNCTION("""COMPUTED_VALUE"""),1.93E12)</f>
        <v>1930000000000</v>
      </c>
      <c r="IL30" s="1507">
        <f>IFERROR(__xludf.DUMMYFUNCTION("""COMPUTED_VALUE"""),126.90069444444444)</f>
        <v>126.9006944</v>
      </c>
      <c r="IM30" s="1508">
        <f>IFERROR(__xludf.DUMMYFUNCTION("""COMPUTED_VALUE"""),2.21E12)</f>
        <v>2210000000000</v>
      </c>
      <c r="IN30" s="1507">
        <f>IFERROR(__xludf.DUMMYFUNCTION("""COMPUTED_VALUE"""),126.90069444444444)</f>
        <v>126.9006944</v>
      </c>
      <c r="IO30" s="1508">
        <f>IFERROR(__xludf.DUMMYFUNCTION("""COMPUTED_VALUE"""),2.21E12)</f>
        <v>2210000000000</v>
      </c>
      <c r="IP30" s="1507">
        <f>IFERROR(__xludf.DUMMYFUNCTION("""COMPUTED_VALUE"""),127.36319444444445)</f>
        <v>127.3631944</v>
      </c>
      <c r="IQ30" s="1508">
        <f>IFERROR(__xludf.DUMMYFUNCTION("""COMPUTED_VALUE"""),3.05E12)</f>
        <v>3050000000000</v>
      </c>
      <c r="IR30" s="1507">
        <f>IFERROR(__xludf.DUMMYFUNCTION("""COMPUTED_VALUE"""),126.90069444444444)</f>
        <v>126.9006944</v>
      </c>
      <c r="IS30" s="1508">
        <f>IFERROR(__xludf.DUMMYFUNCTION("""COMPUTED_VALUE"""),2.21E12)</f>
        <v>2210000000000</v>
      </c>
      <c r="IT30" s="1507">
        <f>IFERROR(__xludf.DUMMYFUNCTION("""COMPUTED_VALUE"""),126.90069444444444)</f>
        <v>126.9006944</v>
      </c>
      <c r="IU30" s="1508">
        <f>IFERROR(__xludf.DUMMYFUNCTION("""COMPUTED_VALUE"""),2.21E12)</f>
        <v>2210000000000</v>
      </c>
      <c r="IV30" s="1507">
        <f>IFERROR(__xludf.DUMMYFUNCTION("""COMPUTED_VALUE"""),126.90069444444444)</f>
        <v>126.9006944</v>
      </c>
      <c r="IW30" s="1508">
        <f>IFERROR(__xludf.DUMMYFUNCTION("""COMPUTED_VALUE"""),2.21E12)</f>
        <v>2210000000000</v>
      </c>
      <c r="IX30" s="1507">
        <f>IFERROR(__xludf.DUMMYFUNCTION("""COMPUTED_VALUE"""),126.90069444444444)</f>
        <v>126.9006944</v>
      </c>
      <c r="IY30" s="1508">
        <f>IFERROR(__xludf.DUMMYFUNCTION("""COMPUTED_VALUE"""),2.21E12)</f>
        <v>2210000000000</v>
      </c>
      <c r="IZ30" s="1507">
        <f>IFERROR(__xludf.DUMMYFUNCTION("""COMPUTED_VALUE"""),126.90069444444444)</f>
        <v>126.9006944</v>
      </c>
      <c r="JA30" s="1508">
        <f>IFERROR(__xludf.DUMMYFUNCTION("""COMPUTED_VALUE"""),2.49E12)</f>
        <v>2490000000000</v>
      </c>
      <c r="JB30" s="1507">
        <f>IFERROR(__xludf.DUMMYFUNCTION("""COMPUTED_VALUE"""),126.90069444444444)</f>
        <v>126.9006944</v>
      </c>
      <c r="JC30" s="1508">
        <f>IFERROR(__xludf.DUMMYFUNCTION("""COMPUTED_VALUE"""),2.49E12)</f>
        <v>2490000000000</v>
      </c>
      <c r="JD30" s="1507">
        <f>IFERROR(__xludf.DUMMYFUNCTION("""COMPUTED_VALUE"""),126.90069444444444)</f>
        <v>126.9006944</v>
      </c>
      <c r="JE30" s="1508">
        <f>IFERROR(__xludf.DUMMYFUNCTION("""COMPUTED_VALUE"""),2.49E12)</f>
        <v>2490000000000</v>
      </c>
      <c r="JF30" s="1507">
        <f>IFERROR(__xludf.DUMMYFUNCTION("""COMPUTED_VALUE"""),126.90069444444444)</f>
        <v>126.9006944</v>
      </c>
      <c r="JG30" s="1508">
        <f>IFERROR(__xludf.DUMMYFUNCTION("""COMPUTED_VALUE"""),2.49E12)</f>
        <v>2490000000000</v>
      </c>
      <c r="JH30" s="1518"/>
      <c r="JI30" s="1519"/>
      <c r="JJ30" s="1507">
        <f>IFERROR(__xludf.DUMMYFUNCTION("""COMPUTED_VALUE"""),302.3861111111111)</f>
        <v>302.3861111</v>
      </c>
      <c r="JK30" s="1509">
        <f>IFERROR(__xludf.DUMMYFUNCTION("""COMPUTED_VALUE"""),7.0E18)</f>
        <v>7E+18</v>
      </c>
      <c r="JL30" s="1507">
        <f>IFERROR(__xludf.DUMMYFUNCTION("""COMPUTED_VALUE"""),302.3861111111111)</f>
        <v>302.3861111</v>
      </c>
      <c r="JM30" s="1509">
        <f>IFERROR(__xludf.DUMMYFUNCTION("""COMPUTED_VALUE"""),7.0E18)</f>
        <v>7E+18</v>
      </c>
      <c r="JN30" s="1507">
        <f>IFERROR(__xludf.DUMMYFUNCTION("""COMPUTED_VALUE"""),302.3861111111111)</f>
        <v>302.3861111</v>
      </c>
      <c r="JO30" s="1509">
        <f>IFERROR(__xludf.DUMMYFUNCTION("""COMPUTED_VALUE"""),7.0E18)</f>
        <v>7E+18</v>
      </c>
      <c r="JP30" s="1507">
        <f>IFERROR(__xludf.DUMMYFUNCTION("""COMPUTED_VALUE"""),302.3861111111111)</f>
        <v>302.3861111</v>
      </c>
      <c r="JQ30" s="1509">
        <f>IFERROR(__xludf.DUMMYFUNCTION("""COMPUTED_VALUE"""),7.0E18)</f>
        <v>7E+18</v>
      </c>
      <c r="JR30" s="1507">
        <f>IFERROR(__xludf.DUMMYFUNCTION("""COMPUTED_VALUE"""),302.3861111111111)</f>
        <v>302.3861111</v>
      </c>
      <c r="JS30" s="1509">
        <f>IFERROR(__xludf.DUMMYFUNCTION("""COMPUTED_VALUE"""),7.0E18)</f>
        <v>7E+18</v>
      </c>
      <c r="JT30" s="1507">
        <f>IFERROR(__xludf.DUMMYFUNCTION("""COMPUTED_VALUE"""),302.3861111111111)</f>
        <v>302.3861111</v>
      </c>
      <c r="JU30" s="1509">
        <f>IFERROR(__xludf.DUMMYFUNCTION("""COMPUTED_VALUE"""),7.0E18)</f>
        <v>7E+18</v>
      </c>
      <c r="JV30" s="1507">
        <f>IFERROR(__xludf.DUMMYFUNCTION("""COMPUTED_VALUE"""),75.59652777777778)</f>
        <v>75.59652778</v>
      </c>
      <c r="JW30" s="1509">
        <f>IFERROR(__xludf.DUMMYFUNCTION("""COMPUTED_VALUE"""),8.819763978000001E15)</f>
        <v>8.81976E+15</v>
      </c>
      <c r="JX30" s="1562"/>
      <c r="JY30" s="1527"/>
      <c r="JZ30" s="1566">
        <f>IFERROR(__xludf.DUMMYFUNCTION("""COMPUTED_VALUE"""),2.751168981)</f>
        <v>2.751168981</v>
      </c>
      <c r="KA30" s="1514">
        <f>IFERROR(__xludf.DUMMYFUNCTION("""COMPUTED_VALUE"""),1.465E10)</f>
        <v>14650000000</v>
      </c>
      <c r="KB30" s="1566">
        <f>IFERROR(__xludf.DUMMYFUNCTION("""COMPUTED_VALUE"""),4.533657407)</f>
        <v>4.533657407</v>
      </c>
      <c r="KC30" s="1567">
        <f>IFERROR(__xludf.DUMMYFUNCTION("""COMPUTED_VALUE"""),5.905E10)</f>
        <v>59050000000</v>
      </c>
      <c r="KD30" s="1566">
        <f>IFERROR(__xludf.DUMMYFUNCTION("""COMPUTED_VALUE"""),18.14486111)</f>
        <v>18.14486111</v>
      </c>
      <c r="KE30" s="1514">
        <f>IFERROR(__xludf.DUMMYFUNCTION("""COMPUTED_VALUE"""),3.81E12)</f>
        <v>3810000000000</v>
      </c>
      <c r="KF30" s="1566">
        <f>IFERROR(__xludf.DUMMYFUNCTION("""COMPUTED_VALUE"""),18.14486111)</f>
        <v>18.14486111</v>
      </c>
      <c r="KG30" s="1514">
        <f>IFERROR(__xludf.DUMMYFUNCTION("""COMPUTED_VALUE"""),3.81E12)</f>
        <v>3810000000000</v>
      </c>
      <c r="KH30" s="1527"/>
      <c r="KI30" s="1527"/>
      <c r="KJ30" s="1527"/>
      <c r="KK30" s="1527"/>
      <c r="KL30" s="1527"/>
      <c r="KM30" s="1527"/>
      <c r="KN30" s="1527"/>
      <c r="KO30" s="1527"/>
      <c r="KP30" s="1527"/>
      <c r="KQ30" s="1527"/>
      <c r="KR30" s="1527"/>
      <c r="KS30" s="1527"/>
      <c r="KT30" s="1527"/>
      <c r="KU30" s="1527"/>
      <c r="KV30" s="1525">
        <f>IFERROR(__xludf.DUMMYFUNCTION("""COMPUTED_VALUE"""),302.3861111111111)</f>
        <v>302.3861111</v>
      </c>
      <c r="KW30" s="1526">
        <f>IFERROR(__xludf.DUMMYFUNCTION("""COMPUTED_VALUE"""),7.0E18)</f>
        <v>7E+18</v>
      </c>
      <c r="KX30" s="1525">
        <f>IFERROR(__xludf.DUMMYFUNCTION("""COMPUTED_VALUE"""),302.3861111111111)</f>
        <v>302.3861111</v>
      </c>
      <c r="KY30" s="1526">
        <f>IFERROR(__xludf.DUMMYFUNCTION("""COMPUTED_VALUE"""),7.0E18)</f>
        <v>7E+18</v>
      </c>
      <c r="KZ30" s="1525">
        <f>IFERROR(__xludf.DUMMYFUNCTION("""COMPUTED_VALUE"""),302.3861111111111)</f>
        <v>302.3861111</v>
      </c>
      <c r="LA30" s="1526">
        <f>IFERROR(__xludf.DUMMYFUNCTION("""COMPUTED_VALUE"""),7.0E18)</f>
        <v>7E+18</v>
      </c>
      <c r="LB30" s="1525">
        <f>IFERROR(__xludf.DUMMYFUNCTION("""COMPUTED_VALUE"""),302.3861111111111)</f>
        <v>302.3861111</v>
      </c>
      <c r="LC30" s="1526">
        <f>IFERROR(__xludf.DUMMYFUNCTION("""COMPUTED_VALUE"""),7.0E18)</f>
        <v>7E+18</v>
      </c>
      <c r="LD30" s="1525">
        <f>IFERROR(__xludf.DUMMYFUNCTION("""COMPUTED_VALUE"""),302.3861111111111)</f>
        <v>302.3861111</v>
      </c>
      <c r="LE30" s="1526">
        <f>IFERROR(__xludf.DUMMYFUNCTION("""COMPUTED_VALUE"""),7.0E18)</f>
        <v>7E+18</v>
      </c>
      <c r="LF30" s="1525">
        <f>IFERROR(__xludf.DUMMYFUNCTION("""COMPUTED_VALUE"""),302.3861111111111)</f>
        <v>302.3861111</v>
      </c>
      <c r="LG30" s="1526">
        <f>IFERROR(__xludf.DUMMYFUNCTION("""COMPUTED_VALUE"""),7.0E18)</f>
        <v>7E+18</v>
      </c>
      <c r="LH30" s="1525">
        <f>IFERROR(__xludf.DUMMYFUNCTION("""COMPUTED_VALUE"""),302.3861111111111)</f>
        <v>302.3861111</v>
      </c>
      <c r="LI30" s="1526">
        <f>IFERROR(__xludf.DUMMYFUNCTION("""COMPUTED_VALUE"""),7.0E18)</f>
        <v>7E+18</v>
      </c>
      <c r="LJ30" s="1525">
        <f>IFERROR(__xludf.DUMMYFUNCTION("""COMPUTED_VALUE"""),302.3861111111111)</f>
        <v>302.3861111</v>
      </c>
      <c r="LK30" s="1526">
        <f>IFERROR(__xludf.DUMMYFUNCTION("""COMPUTED_VALUE"""),7.0E18)</f>
        <v>7E+18</v>
      </c>
      <c r="LL30" s="1527"/>
      <c r="LM30" s="1527"/>
      <c r="LN30" s="1527"/>
      <c r="LO30" s="1527"/>
      <c r="LP30" s="1527"/>
      <c r="LQ30" s="1527"/>
      <c r="LR30" s="1527"/>
      <c r="LS30" s="1527"/>
      <c r="LT30" s="1527"/>
      <c r="LU30" s="1527"/>
      <c r="LV30" s="1527"/>
      <c r="LW30" s="1527"/>
      <c r="LX30" s="1527"/>
      <c r="LY30" s="1527"/>
      <c r="LZ30" s="1527"/>
      <c r="MA30" s="1527"/>
      <c r="MB30" s="1527"/>
      <c r="MC30" s="1527"/>
      <c r="MD30" s="1527"/>
      <c r="ME30" s="1527"/>
      <c r="MF30" s="1527"/>
      <c r="MG30" s="1527"/>
      <c r="MH30" s="1527"/>
      <c r="MI30" s="1527"/>
      <c r="MJ30" s="1527"/>
      <c r="MK30" s="1527"/>
      <c r="ML30" s="1527"/>
      <c r="MM30" s="1527"/>
      <c r="MN30" s="1527"/>
      <c r="MO30" s="1527"/>
      <c r="MP30" s="1527"/>
      <c r="MQ30" s="1527"/>
      <c r="MR30" s="1527"/>
      <c r="MS30" s="1527"/>
      <c r="MT30" s="1527"/>
      <c r="MU30" s="1527"/>
      <c r="MV30" s="1527"/>
      <c r="MW30" s="1527"/>
      <c r="MX30" s="1527"/>
      <c r="MY30" s="1527"/>
    </row>
    <row r="31">
      <c r="A31" s="1465">
        <f>IFERROR(__xludf.DUMMYFUNCTION("""COMPUTED_VALUE"""),29.0)</f>
        <v>29</v>
      </c>
      <c r="B31" s="1518"/>
      <c r="C31" s="1520"/>
      <c r="D31" s="1466">
        <f>IFERROR(__xludf.DUMMYFUNCTION("""COMPUTED_VALUE"""),2.5055555555555555)</f>
        <v>2.505555556</v>
      </c>
      <c r="E31" s="1467">
        <f>IFERROR(__xludf.DUMMYFUNCTION("""COMPUTED_VALUE"""),134390.0)</f>
        <v>134390</v>
      </c>
      <c r="F31" s="1466">
        <f>IFERROR(__xludf.DUMMYFUNCTION("""COMPUTED_VALUE"""),2.5055555555555555)</f>
        <v>2.505555556</v>
      </c>
      <c r="G31" s="1467">
        <f>IFERROR(__xludf.DUMMYFUNCTION("""COMPUTED_VALUE"""),134390.0)</f>
        <v>134390</v>
      </c>
      <c r="H31" s="1466">
        <f>IFERROR(__xludf.DUMMYFUNCTION("""COMPUTED_VALUE"""),2.5055555555555555)</f>
        <v>2.505555556</v>
      </c>
      <c r="I31" s="1467">
        <f>IFERROR(__xludf.DUMMYFUNCTION("""COMPUTED_VALUE"""),134390.0)</f>
        <v>134390</v>
      </c>
      <c r="J31" s="1466">
        <f>IFERROR(__xludf.DUMMYFUNCTION("""COMPUTED_VALUE"""),2.5055555555555555)</f>
        <v>2.505555556</v>
      </c>
      <c r="K31" s="1467">
        <f>IFERROR(__xludf.DUMMYFUNCTION("""COMPUTED_VALUE"""),134390.0)</f>
        <v>134390</v>
      </c>
      <c r="L31" s="1466">
        <f>IFERROR(__xludf.DUMMYFUNCTION("""COMPUTED_VALUE"""),4.132638888888889)</f>
        <v>4.132638889</v>
      </c>
      <c r="M31" s="1469">
        <f>IFERROR(__xludf.DUMMYFUNCTION("""COMPUTED_VALUE"""),365580.0)</f>
        <v>365580</v>
      </c>
      <c r="N31" s="1470">
        <f>IFERROR(__xludf.DUMMYFUNCTION("""COMPUTED_VALUE"""),2.6486111111111112)</f>
        <v>2.648611111</v>
      </c>
      <c r="O31" s="1467">
        <f>IFERROR(__xludf.DUMMYFUNCTION("""COMPUTED_VALUE"""),399110.0)</f>
        <v>399110</v>
      </c>
      <c r="P31" s="1518"/>
      <c r="Q31" s="1519"/>
      <c r="R31" s="1518"/>
      <c r="S31" s="1519"/>
      <c r="T31" s="1518"/>
      <c r="U31" s="1519"/>
      <c r="V31" s="1518"/>
      <c r="W31" s="1519"/>
      <c r="X31" s="1518"/>
      <c r="Y31" s="1519"/>
      <c r="Z31" s="1518"/>
      <c r="AA31" s="1519"/>
      <c r="AB31" s="1518"/>
      <c r="AC31" s="1519"/>
      <c r="AD31" s="1466">
        <f>IFERROR(__xludf.DUMMYFUNCTION("""COMPUTED_VALUE"""),31.318055555555556)</f>
        <v>31.31805556</v>
      </c>
      <c r="AE31" s="1474">
        <f>IFERROR(__xludf.DUMMYFUNCTION("""COMPUTED_VALUE"""),1.55029328E12)</f>
        <v>1550293280000</v>
      </c>
      <c r="AF31" s="1466">
        <f>IFERROR(__xludf.DUMMYFUNCTION("""COMPUTED_VALUE"""),31.318055555555556)</f>
        <v>31.31805556</v>
      </c>
      <c r="AG31" s="1474">
        <f>IFERROR(__xludf.DUMMYFUNCTION("""COMPUTED_VALUE"""),1.55029328E12)</f>
        <v>1550293280000</v>
      </c>
      <c r="AH31" s="1466">
        <f>IFERROR(__xludf.DUMMYFUNCTION("""COMPUTED_VALUE"""),31.318055555555556)</f>
        <v>31.31805556</v>
      </c>
      <c r="AI31" s="1474">
        <f>IFERROR(__xludf.DUMMYFUNCTION("""COMPUTED_VALUE"""),1.55029328E12)</f>
        <v>1550293280000</v>
      </c>
      <c r="AJ31" s="1475">
        <f>IFERROR(__xludf.DUMMYFUNCTION("""COMPUTED_VALUE"""),2.5055555555555555)</f>
        <v>2.505555556</v>
      </c>
      <c r="AK31" s="1476">
        <f>IFERROR(__xludf.DUMMYFUNCTION("""COMPUTED_VALUE"""),134390.0)</f>
        <v>134390</v>
      </c>
      <c r="AL31" s="1475">
        <f>IFERROR(__xludf.DUMMYFUNCTION("""COMPUTED_VALUE"""),2.5055555555555555)</f>
        <v>2.505555556</v>
      </c>
      <c r="AM31" s="1476">
        <f>IFERROR(__xludf.DUMMYFUNCTION("""COMPUTED_VALUE"""),134390.0)</f>
        <v>134390</v>
      </c>
      <c r="AN31" s="1475">
        <f>IFERROR(__xludf.DUMMYFUNCTION("""COMPUTED_VALUE"""),2.5055555555555555)</f>
        <v>2.505555556</v>
      </c>
      <c r="AO31" s="1476">
        <f>IFERROR(__xludf.DUMMYFUNCTION("""COMPUTED_VALUE"""),134390.0)</f>
        <v>134390</v>
      </c>
      <c r="AP31" s="1475">
        <f>IFERROR(__xludf.DUMMYFUNCTION("""COMPUTED_VALUE"""),2.5055555555555555)</f>
        <v>2.505555556</v>
      </c>
      <c r="AQ31" s="1476">
        <f>IFERROR(__xludf.DUMMYFUNCTION("""COMPUTED_VALUE"""),134390.0)</f>
        <v>134390</v>
      </c>
      <c r="AR31" s="1475">
        <f>IFERROR(__xludf.DUMMYFUNCTION("""COMPUTED_VALUE"""),2.5055555555555555)</f>
        <v>2.505555556</v>
      </c>
      <c r="AS31" s="1476">
        <f>IFERROR(__xludf.DUMMYFUNCTION("""COMPUTED_VALUE"""),134400.0)</f>
        <v>134400</v>
      </c>
      <c r="AT31" s="1475">
        <f>IFERROR(__xludf.DUMMYFUNCTION("""COMPUTED_VALUE"""),987.0840277777778)</f>
        <v>987.0840278</v>
      </c>
      <c r="AU31" s="1476">
        <f>IFERROR(__xludf.DUMMYFUNCTION("""COMPUTED_VALUE"""),6.34E9)</f>
        <v>6340000000</v>
      </c>
      <c r="AV31" s="1475">
        <f>IFERROR(__xludf.DUMMYFUNCTION("""COMPUTED_VALUE"""),515.3458333333334)</f>
        <v>515.3458333</v>
      </c>
      <c r="AW31" s="1476">
        <f>IFERROR(__xludf.DUMMYFUNCTION("""COMPUTED_VALUE"""),6.34E9)</f>
        <v>6340000000</v>
      </c>
      <c r="AX31" s="1475">
        <f>IFERROR(__xludf.DUMMYFUNCTION("""COMPUTED_VALUE"""),20.9125)</f>
        <v>20.9125</v>
      </c>
      <c r="AY31" s="1476">
        <f>IFERROR(__xludf.DUMMYFUNCTION("""COMPUTED_VALUE"""),1.48E12)</f>
        <v>1480000000000</v>
      </c>
      <c r="AZ31" s="1518"/>
      <c r="BA31" s="1518"/>
      <c r="BB31" s="1477">
        <f>IFERROR(__xludf.DUMMYFUNCTION("""COMPUTED_VALUE"""),2.5055555555555555)</f>
        <v>2.505555556</v>
      </c>
      <c r="BC31" s="1478">
        <f>IFERROR(__xludf.DUMMYFUNCTION("""COMPUTED_VALUE"""),134390.0)</f>
        <v>134390</v>
      </c>
      <c r="BD31" s="1477">
        <f>IFERROR(__xludf.DUMMYFUNCTION("""COMPUTED_VALUE"""),2.5055555555555555)</f>
        <v>2.505555556</v>
      </c>
      <c r="BE31" s="1478">
        <f>IFERROR(__xludf.DUMMYFUNCTION("""COMPUTED_VALUE"""),134390.0)</f>
        <v>134390</v>
      </c>
      <c r="BF31" s="1477">
        <f>IFERROR(__xludf.DUMMYFUNCTION("""COMPUTED_VALUE"""),2.5055555555555555)</f>
        <v>2.505555556</v>
      </c>
      <c r="BG31" s="1478">
        <f>IFERROR(__xludf.DUMMYFUNCTION("""COMPUTED_VALUE"""),134390.0)</f>
        <v>134390</v>
      </c>
      <c r="BH31" s="1477">
        <f>IFERROR(__xludf.DUMMYFUNCTION("""COMPUTED_VALUE"""),49.34236111111111)</f>
        <v>49.34236111</v>
      </c>
      <c r="BI31" s="1478">
        <f>IFERROR(__xludf.DUMMYFUNCTION("""COMPUTED_VALUE"""),6.147E8)</f>
        <v>614700000</v>
      </c>
      <c r="BJ31" s="1518"/>
      <c r="BK31" s="1519"/>
      <c r="BL31" s="1518"/>
      <c r="BM31" s="1519"/>
      <c r="BN31" s="1477">
        <f>IFERROR(__xludf.DUMMYFUNCTION("""COMPUTED_VALUE"""),98.06805555555556)</f>
        <v>98.06805556</v>
      </c>
      <c r="BO31" s="1478">
        <f>IFERROR(__xludf.DUMMYFUNCTION("""COMPUTED_VALUE"""),1.67E10)</f>
        <v>16700000000</v>
      </c>
      <c r="BP31" s="1518"/>
      <c r="BQ31" s="1519"/>
      <c r="BR31" s="1520"/>
      <c r="BS31" s="1519"/>
      <c r="BT31" s="1479">
        <f>IFERROR(__xludf.DUMMYFUNCTION("""COMPUTED_VALUE"""),2.704861111111111)</f>
        <v>2.704861111</v>
      </c>
      <c r="BU31" s="1480">
        <f>IFERROR(__xludf.DUMMYFUNCTION("""COMPUTED_VALUE"""),1.257E10)</f>
        <v>12570000000</v>
      </c>
      <c r="BV31" s="1520"/>
      <c r="BW31" s="1520"/>
      <c r="BX31" s="1479">
        <f>IFERROR(__xludf.DUMMYFUNCTION("""COMPUTED_VALUE"""),243.0234837962963)</f>
        <v>243.0234838</v>
      </c>
      <c r="BY31" s="1480">
        <f>IFERROR(__xludf.DUMMYFUNCTION("""COMPUTED_VALUE"""),2.1026E11)</f>
        <v>210260000000</v>
      </c>
      <c r="BZ31" s="1520"/>
      <c r="CA31" s="1520"/>
      <c r="CB31" s="1520"/>
      <c r="CC31" s="1519"/>
      <c r="CD31" s="1477">
        <f>IFERROR(__xludf.DUMMYFUNCTION("""COMPUTED_VALUE"""),11.776493055555555)</f>
        <v>11.77649306</v>
      </c>
      <c r="CE31" s="1481">
        <f>IFERROR(__xludf.DUMMYFUNCTION("""COMPUTED_VALUE"""),1.4E12)</f>
        <v>1400000000000</v>
      </c>
      <c r="CF31" s="1527"/>
      <c r="CG31" s="1560"/>
      <c r="CH31" s="1482">
        <f>IFERROR(__xludf.DUMMYFUNCTION("""COMPUTED_VALUE"""),2.5055555555555555)</f>
        <v>2.505555556</v>
      </c>
      <c r="CI31" s="1483">
        <f>IFERROR(__xludf.DUMMYFUNCTION("""COMPUTED_VALUE"""),134400.0)</f>
        <v>134400</v>
      </c>
      <c r="CJ31" s="1482">
        <f>IFERROR(__xludf.DUMMYFUNCTION("""COMPUTED_VALUE"""),2.5055555555555555)</f>
        <v>2.505555556</v>
      </c>
      <c r="CK31" s="1483">
        <f>IFERROR(__xludf.DUMMYFUNCTION("""COMPUTED_VALUE"""),134400.0)</f>
        <v>134400</v>
      </c>
      <c r="CL31" s="1482">
        <f>IFERROR(__xludf.DUMMYFUNCTION("""COMPUTED_VALUE"""),2.5055555555555555)</f>
        <v>2.505555556</v>
      </c>
      <c r="CM31" s="1483">
        <f>IFERROR(__xludf.DUMMYFUNCTION("""COMPUTED_VALUE"""),134400.0)</f>
        <v>134400</v>
      </c>
      <c r="CN31" s="1482">
        <f>IFERROR(__xludf.DUMMYFUNCTION("""COMPUTED_VALUE"""),2.5055555555555555)</f>
        <v>2.505555556</v>
      </c>
      <c r="CO31" s="1483">
        <f>IFERROR(__xludf.DUMMYFUNCTION("""COMPUTED_VALUE"""),134400.0)</f>
        <v>134400</v>
      </c>
      <c r="CP31" s="1482">
        <f>IFERROR(__xludf.DUMMYFUNCTION("""COMPUTED_VALUE"""),4.852083333333333)</f>
        <v>4.852083333</v>
      </c>
      <c r="CQ31" s="1483">
        <f>IFERROR(__xludf.DUMMYFUNCTION("""COMPUTED_VALUE"""),399120.0)</f>
        <v>399120</v>
      </c>
      <c r="CR31" s="1518"/>
      <c r="CS31" s="1519"/>
      <c r="CT31" s="1520"/>
      <c r="CU31" s="1519"/>
      <c r="CV31" s="1520"/>
      <c r="CW31" s="1519"/>
      <c r="CX31" s="1520"/>
      <c r="CY31" s="1519"/>
      <c r="CZ31" s="1520"/>
      <c r="DA31" s="1520"/>
      <c r="DB31" s="1520"/>
      <c r="DC31" s="1520"/>
      <c r="DD31" s="1520"/>
      <c r="DE31" s="1519"/>
      <c r="DF31" s="1520"/>
      <c r="DG31" s="1519"/>
      <c r="DH31" s="1518"/>
      <c r="DI31" s="1519"/>
      <c r="DJ31" s="1518"/>
      <c r="DK31" s="1519"/>
      <c r="DL31" s="1486">
        <f>IFERROR(__xludf.DUMMYFUNCTION("""COMPUTED_VALUE"""),98.83194444444445)</f>
        <v>98.83194444</v>
      </c>
      <c r="DM31" s="1487">
        <f>IFERROR(__xludf.DUMMYFUNCTION("""COMPUTED_VALUE"""),1.67E10)</f>
        <v>16700000000</v>
      </c>
      <c r="DN31" s="1518"/>
      <c r="DO31" s="1519"/>
      <c r="DP31" s="1486">
        <f>IFERROR(__xludf.DUMMYFUNCTION("""COMPUTED_VALUE"""),98.83194444444445)</f>
        <v>98.83194444</v>
      </c>
      <c r="DQ31" s="1487">
        <f>IFERROR(__xludf.DUMMYFUNCTION("""COMPUTED_VALUE"""),1.67E10)</f>
        <v>16700000000</v>
      </c>
      <c r="DR31" s="1486">
        <f>IFERROR(__xludf.DUMMYFUNCTION("""COMPUTED_VALUE"""),98.83194444444445)</f>
        <v>98.83194444</v>
      </c>
      <c r="DS31" s="1487">
        <f>IFERROR(__xludf.DUMMYFUNCTION("""COMPUTED_VALUE"""),1.67E10)</f>
        <v>16700000000</v>
      </c>
      <c r="DT31" s="1518"/>
      <c r="DU31" s="1519"/>
      <c r="DV31" s="1486">
        <f>IFERROR(__xludf.DUMMYFUNCTION("""COMPUTED_VALUE"""),98.83194444444445)</f>
        <v>98.83194444</v>
      </c>
      <c r="DW31" s="1487">
        <f>IFERROR(__xludf.DUMMYFUNCTION("""COMPUTED_VALUE"""),1.67E10)</f>
        <v>16700000000</v>
      </c>
      <c r="DX31" s="1486">
        <f>IFERROR(__xludf.DUMMYFUNCTION("""COMPUTED_VALUE"""),98.83194444444445)</f>
        <v>98.83194444</v>
      </c>
      <c r="DY31" s="1487">
        <f>IFERROR(__xludf.DUMMYFUNCTION("""COMPUTED_VALUE"""),1.67E10)</f>
        <v>16700000000</v>
      </c>
      <c r="DZ31" s="1518"/>
      <c r="EA31" s="1519"/>
      <c r="EB31" s="1518"/>
      <c r="EC31" s="1519"/>
      <c r="ED31" s="1518"/>
      <c r="EE31" s="1519"/>
      <c r="EF31" s="1486">
        <f>IFERROR(__xludf.DUMMYFUNCTION("""COMPUTED_VALUE"""),104.66527777777777)</f>
        <v>104.6652778</v>
      </c>
      <c r="EG31" s="1487">
        <f>IFERROR(__xludf.DUMMYFUNCTION("""COMPUTED_VALUE"""),5.362E10)</f>
        <v>53620000000</v>
      </c>
      <c r="EH31" s="1518"/>
      <c r="EI31" s="1519"/>
      <c r="EJ31" s="1486">
        <f>IFERROR(__xludf.DUMMYFUNCTION("""COMPUTED_VALUE"""),16.555520833333333)</f>
        <v>16.55552083</v>
      </c>
      <c r="EK31" s="1487">
        <f>IFERROR(__xludf.DUMMYFUNCTION("""COMPUTED_VALUE"""),1.47E9)</f>
        <v>1470000000</v>
      </c>
      <c r="EL31" s="1562"/>
      <c r="EM31" s="1560"/>
      <c r="EN31" s="1518"/>
      <c r="EO31" s="1519"/>
      <c r="EP31" s="1518"/>
      <c r="EQ31" s="1519"/>
      <c r="ER31" s="1518"/>
      <c r="ES31" s="1519"/>
      <c r="ET31" s="1518"/>
      <c r="EU31" s="1519"/>
      <c r="EV31" s="1518"/>
      <c r="EW31" s="1519"/>
      <c r="EX31" s="1518"/>
      <c r="EY31" s="1519"/>
      <c r="EZ31" s="1518"/>
      <c r="FA31" s="1519"/>
      <c r="FB31" s="1520"/>
      <c r="FC31" s="1519"/>
      <c r="FD31" s="1520"/>
      <c r="FE31" s="1519"/>
      <c r="FF31" s="1520"/>
      <c r="FG31" s="1519"/>
      <c r="FH31" s="1520"/>
      <c r="FI31" s="1520"/>
      <c r="FJ31" s="1520"/>
      <c r="FK31" s="1519"/>
      <c r="FL31" s="1518"/>
      <c r="FM31" s="1519"/>
      <c r="FN31" s="1532"/>
      <c r="FO31" s="1520"/>
      <c r="FP31" s="1486">
        <f>IFERROR(__xludf.DUMMYFUNCTION("""COMPUTED_VALUE"""),199.0322337962963)</f>
        <v>199.0322338</v>
      </c>
      <c r="FQ31" s="1488">
        <f>IFERROR(__xludf.DUMMYFUNCTION("""COMPUTED_VALUE"""),8.52E15)</f>
        <v>8.52E+15</v>
      </c>
      <c r="FR31" s="1532"/>
      <c r="FS31" s="1520"/>
      <c r="FT31" s="1486">
        <f>IFERROR(__xludf.DUMMYFUNCTION("""COMPUTED_VALUE"""),199.0322337962963)</f>
        <v>199.0322338</v>
      </c>
      <c r="FU31" s="1488">
        <f>IFERROR(__xludf.DUMMYFUNCTION("""COMPUTED_VALUE"""),8.52E15)</f>
        <v>8.52E+15</v>
      </c>
      <c r="FV31" s="1486">
        <f>IFERROR(__xludf.DUMMYFUNCTION("""COMPUTED_VALUE"""),199.0322337962963)</f>
        <v>199.0322338</v>
      </c>
      <c r="FW31" s="1488">
        <f>IFERROR(__xludf.DUMMYFUNCTION("""COMPUTED_VALUE"""),8.52E15)</f>
        <v>8.52E+15</v>
      </c>
      <c r="FX31" s="1527"/>
      <c r="FY31" s="1527"/>
      <c r="FZ31" s="1491">
        <f>IFERROR(__xludf.DUMMYFUNCTION("""COMPUTED_VALUE"""),199.0322337962963)</f>
        <v>199.0322338</v>
      </c>
      <c r="GA31" s="1492">
        <f>IFERROR(__xludf.DUMMYFUNCTION("""COMPUTED_VALUE"""),8.52E15)</f>
        <v>8.52E+15</v>
      </c>
      <c r="GB31" s="1527"/>
      <c r="GC31" s="1527"/>
      <c r="GD31" s="1527"/>
      <c r="GE31" s="1560"/>
      <c r="GF31" s="1518"/>
      <c r="GG31" s="1519"/>
      <c r="GH31" s="1494">
        <f>IFERROR(__xludf.DUMMYFUNCTION("""COMPUTED_VALUE"""),103.87361111111112)</f>
        <v>103.8736111</v>
      </c>
      <c r="GI31" s="1495">
        <f>IFERROR(__xludf.DUMMYFUNCTION("""COMPUTED_VALUE"""),1.7211E11)</f>
        <v>172110000000</v>
      </c>
      <c r="GJ31" s="1518"/>
      <c r="GK31" s="1519"/>
      <c r="GL31" s="1518"/>
      <c r="GM31" s="1519"/>
      <c r="GN31" s="1520"/>
      <c r="GO31" s="1519"/>
      <c r="GP31" s="1496">
        <f>IFERROR(__xludf.DUMMYFUNCTION("""COMPUTED_VALUE"""),104.04027777777777)</f>
        <v>104.0402778</v>
      </c>
      <c r="GQ31" s="1497">
        <f>IFERROR(__xludf.DUMMYFUNCTION("""COMPUTED_VALUE"""),1.61E12)</f>
        <v>1610000000000</v>
      </c>
      <c r="GR31" s="1518"/>
      <c r="GS31" s="1519"/>
      <c r="GT31" s="1518"/>
      <c r="GU31" s="1519"/>
      <c r="GV31" s="1520"/>
      <c r="GW31" s="1519"/>
      <c r="GX31" s="1561"/>
      <c r="GY31" s="1527"/>
      <c r="GZ31" s="1518"/>
      <c r="HA31" s="1519"/>
      <c r="HB31" s="1501">
        <f>IFERROR(__xludf.DUMMYFUNCTION("""COMPUTED_VALUE"""),98.06805555555556)</f>
        <v>98.06805556</v>
      </c>
      <c r="HC31" s="1502">
        <f>IFERROR(__xludf.DUMMYFUNCTION("""COMPUTED_VALUE"""),3.4421E11)</f>
        <v>344210000000</v>
      </c>
      <c r="HD31" s="1518"/>
      <c r="HE31" s="1519"/>
      <c r="HF31" s="1518"/>
      <c r="HG31" s="1568"/>
      <c r="HH31" s="1518"/>
      <c r="HI31" s="1519"/>
      <c r="HJ31" s="1518"/>
      <c r="HK31" s="1519"/>
      <c r="HL31" s="1518"/>
      <c r="HM31" s="1519"/>
      <c r="HN31" s="1520"/>
      <c r="HO31" s="1519"/>
      <c r="HP31" s="1501">
        <f>IFERROR(__xludf.DUMMYFUNCTION("""COMPUTED_VALUE"""),518.2756018518519)</f>
        <v>518.2756019</v>
      </c>
      <c r="HQ31" s="1502">
        <f>IFERROR(__xludf.DUMMYFUNCTION("""COMPUTED_VALUE"""),9.758E10)</f>
        <v>97580000000</v>
      </c>
      <c r="HR31" s="1518"/>
      <c r="HS31" s="1519"/>
      <c r="HT31" s="1518"/>
      <c r="HU31" s="1519"/>
      <c r="HV31" s="1518"/>
      <c r="HW31" s="1519"/>
      <c r="HX31" s="1518"/>
      <c r="HY31" s="1519"/>
      <c r="HZ31" s="1518"/>
      <c r="IA31" s="1519"/>
      <c r="IB31" s="1518"/>
      <c r="IC31" s="1519"/>
      <c r="ID31" s="1518"/>
      <c r="IE31" s="1519"/>
      <c r="IF31" s="1518"/>
      <c r="IG31" s="1519"/>
      <c r="IH31" s="1507">
        <f>IFERROR(__xludf.DUMMYFUNCTION("""COMPUTED_VALUE"""),143.36319444444445)</f>
        <v>143.3631944</v>
      </c>
      <c r="II31" s="1508">
        <f>IFERROR(__xludf.DUMMYFUNCTION("""COMPUTED_VALUE"""),2.16E12)</f>
        <v>2160000000000</v>
      </c>
      <c r="IJ31" s="1507">
        <f>IFERROR(__xludf.DUMMYFUNCTION("""COMPUTED_VALUE"""),143.36319444444445)</f>
        <v>143.3631944</v>
      </c>
      <c r="IK31" s="1508">
        <f>IFERROR(__xludf.DUMMYFUNCTION("""COMPUTED_VALUE"""),2.16E12)</f>
        <v>2160000000000</v>
      </c>
      <c r="IL31" s="1507">
        <f>IFERROR(__xludf.DUMMYFUNCTION("""COMPUTED_VALUE"""),143.36319444444445)</f>
        <v>143.3631944</v>
      </c>
      <c r="IM31" s="1508">
        <f>IFERROR(__xludf.DUMMYFUNCTION("""COMPUTED_VALUE"""),2.45E12)</f>
        <v>2450000000000</v>
      </c>
      <c r="IN31" s="1507">
        <f>IFERROR(__xludf.DUMMYFUNCTION("""COMPUTED_VALUE"""),143.36319444444445)</f>
        <v>143.3631944</v>
      </c>
      <c r="IO31" s="1508">
        <f>IFERROR(__xludf.DUMMYFUNCTION("""COMPUTED_VALUE"""),2.45E12)</f>
        <v>2450000000000</v>
      </c>
      <c r="IP31" s="1507">
        <f>IFERROR(__xludf.DUMMYFUNCTION("""COMPUTED_VALUE"""),143.82638888888889)</f>
        <v>143.8263889</v>
      </c>
      <c r="IQ31" s="1508">
        <f>IFERROR(__xludf.DUMMYFUNCTION("""COMPUTED_VALUE"""),3.32E12)</f>
        <v>3320000000000</v>
      </c>
      <c r="IR31" s="1507">
        <f>IFERROR(__xludf.DUMMYFUNCTION("""COMPUTED_VALUE"""),143.36319444444445)</f>
        <v>143.3631944</v>
      </c>
      <c r="IS31" s="1508">
        <f>IFERROR(__xludf.DUMMYFUNCTION("""COMPUTED_VALUE"""),2.45E12)</f>
        <v>2450000000000</v>
      </c>
      <c r="IT31" s="1507">
        <f>IFERROR(__xludf.DUMMYFUNCTION("""COMPUTED_VALUE"""),143.36319444444445)</f>
        <v>143.3631944</v>
      </c>
      <c r="IU31" s="1508">
        <f>IFERROR(__xludf.DUMMYFUNCTION("""COMPUTED_VALUE"""),2.45E12)</f>
        <v>2450000000000</v>
      </c>
      <c r="IV31" s="1507">
        <f>IFERROR(__xludf.DUMMYFUNCTION("""COMPUTED_VALUE"""),143.36319444444445)</f>
        <v>143.3631944</v>
      </c>
      <c r="IW31" s="1508">
        <f>IFERROR(__xludf.DUMMYFUNCTION("""COMPUTED_VALUE"""),2.45E12)</f>
        <v>2450000000000</v>
      </c>
      <c r="IX31" s="1507">
        <f>IFERROR(__xludf.DUMMYFUNCTION("""COMPUTED_VALUE"""),143.36319444444445)</f>
        <v>143.3631944</v>
      </c>
      <c r="IY31" s="1508">
        <f>IFERROR(__xludf.DUMMYFUNCTION("""COMPUTED_VALUE"""),2.45E12)</f>
        <v>2450000000000</v>
      </c>
      <c r="IZ31" s="1507">
        <f>IFERROR(__xludf.DUMMYFUNCTION("""COMPUTED_VALUE"""),143.36319444444445)</f>
        <v>143.3631944</v>
      </c>
      <c r="JA31" s="1508">
        <f>IFERROR(__xludf.DUMMYFUNCTION("""COMPUTED_VALUE"""),2.74E12)</f>
        <v>2740000000000</v>
      </c>
      <c r="JB31" s="1507">
        <f>IFERROR(__xludf.DUMMYFUNCTION("""COMPUTED_VALUE"""),143.36319444444445)</f>
        <v>143.3631944</v>
      </c>
      <c r="JC31" s="1508">
        <f>IFERROR(__xludf.DUMMYFUNCTION("""COMPUTED_VALUE"""),2.74E12)</f>
        <v>2740000000000</v>
      </c>
      <c r="JD31" s="1507">
        <f>IFERROR(__xludf.DUMMYFUNCTION("""COMPUTED_VALUE"""),143.36319444444445)</f>
        <v>143.3631944</v>
      </c>
      <c r="JE31" s="1508">
        <f>IFERROR(__xludf.DUMMYFUNCTION("""COMPUTED_VALUE"""),2.74E12)</f>
        <v>2740000000000</v>
      </c>
      <c r="JF31" s="1507">
        <f>IFERROR(__xludf.DUMMYFUNCTION("""COMPUTED_VALUE"""),143.36319444444445)</f>
        <v>143.3631944</v>
      </c>
      <c r="JG31" s="1508">
        <f>IFERROR(__xludf.DUMMYFUNCTION("""COMPUTED_VALUE"""),2.74E12)</f>
        <v>2740000000000</v>
      </c>
      <c r="JH31" s="1518"/>
      <c r="JI31" s="1519"/>
      <c r="JJ31" s="1507">
        <f>IFERROR(__xludf.DUMMYFUNCTION("""COMPUTED_VALUE"""),313.18541666666664)</f>
        <v>313.1854167</v>
      </c>
      <c r="JK31" s="1509">
        <f>IFERROR(__xludf.DUMMYFUNCTION("""COMPUTED_VALUE"""),7.25E18)</f>
        <v>7.25E+18</v>
      </c>
      <c r="JL31" s="1507">
        <f>IFERROR(__xludf.DUMMYFUNCTION("""COMPUTED_VALUE"""),313.18541666666664)</f>
        <v>313.1854167</v>
      </c>
      <c r="JM31" s="1509">
        <f>IFERROR(__xludf.DUMMYFUNCTION("""COMPUTED_VALUE"""),7.25E18)</f>
        <v>7.25E+18</v>
      </c>
      <c r="JN31" s="1507">
        <f>IFERROR(__xludf.DUMMYFUNCTION("""COMPUTED_VALUE"""),313.18541666666664)</f>
        <v>313.1854167</v>
      </c>
      <c r="JO31" s="1509">
        <f>IFERROR(__xludf.DUMMYFUNCTION("""COMPUTED_VALUE"""),7.25E18)</f>
        <v>7.25E+18</v>
      </c>
      <c r="JP31" s="1507">
        <f>IFERROR(__xludf.DUMMYFUNCTION("""COMPUTED_VALUE"""),313.18541666666664)</f>
        <v>313.1854167</v>
      </c>
      <c r="JQ31" s="1509">
        <f>IFERROR(__xludf.DUMMYFUNCTION("""COMPUTED_VALUE"""),7.25E18)</f>
        <v>7.25E+18</v>
      </c>
      <c r="JR31" s="1507">
        <f>IFERROR(__xludf.DUMMYFUNCTION("""COMPUTED_VALUE"""),313.18541666666664)</f>
        <v>313.1854167</v>
      </c>
      <c r="JS31" s="1509">
        <f>IFERROR(__xludf.DUMMYFUNCTION("""COMPUTED_VALUE"""),7.25E18)</f>
        <v>7.25E+18</v>
      </c>
      <c r="JT31" s="1507">
        <f>IFERROR(__xludf.DUMMYFUNCTION("""COMPUTED_VALUE"""),313.18541666666664)</f>
        <v>313.1854167</v>
      </c>
      <c r="JU31" s="1509">
        <f>IFERROR(__xludf.DUMMYFUNCTION("""COMPUTED_VALUE"""),7.25E18)</f>
        <v>7.25E+18</v>
      </c>
      <c r="JV31" s="1507">
        <f>IFERROR(__xludf.DUMMYFUNCTION("""COMPUTED_VALUE"""),78.29583333333333)</f>
        <v>78.29583333</v>
      </c>
      <c r="JW31" s="1509">
        <f>IFERROR(__xludf.DUMMYFUNCTION("""COMPUTED_VALUE"""),1.234766957E16)</f>
        <v>1.23477E+16</v>
      </c>
      <c r="JX31" s="1562"/>
      <c r="JY31" s="1527"/>
      <c r="JZ31" s="1566">
        <f>IFERROR(__xludf.DUMMYFUNCTION("""COMPUTED_VALUE"""),2.816284722)</f>
        <v>2.816284722</v>
      </c>
      <c r="KA31" s="1514">
        <f>IFERROR(__xludf.DUMMYFUNCTION("""COMPUTED_VALUE"""),1.616E10)</f>
        <v>16160000000</v>
      </c>
      <c r="KB31" s="1566">
        <f>IFERROR(__xludf.DUMMYFUNCTION("""COMPUTED_VALUE"""),4.769583333)</f>
        <v>4.769583333</v>
      </c>
      <c r="KC31" s="1567">
        <f>IFERROR(__xludf.DUMMYFUNCTION("""COMPUTED_VALUE"""),6.586E10)</f>
        <v>65860000000</v>
      </c>
      <c r="KD31" s="1566">
        <f>IFERROR(__xludf.DUMMYFUNCTION("""COMPUTED_VALUE"""),19.20271991)</f>
        <v>19.20271991</v>
      </c>
      <c r="KE31" s="1514">
        <f>IFERROR(__xludf.DUMMYFUNCTION("""COMPUTED_VALUE"""),4.28E12)</f>
        <v>4280000000000</v>
      </c>
      <c r="KF31" s="1566">
        <f>IFERROR(__xludf.DUMMYFUNCTION("""COMPUTED_VALUE"""),19.20271991)</f>
        <v>19.20271991</v>
      </c>
      <c r="KG31" s="1514">
        <f>IFERROR(__xludf.DUMMYFUNCTION("""COMPUTED_VALUE"""),4.28E12)</f>
        <v>4280000000000</v>
      </c>
      <c r="KH31" s="1527"/>
      <c r="KI31" s="1527"/>
      <c r="KJ31" s="1527"/>
      <c r="KK31" s="1527"/>
      <c r="KL31" s="1527"/>
      <c r="KM31" s="1527"/>
      <c r="KN31" s="1527"/>
      <c r="KO31" s="1527"/>
      <c r="KP31" s="1527"/>
      <c r="KQ31" s="1527"/>
      <c r="KR31" s="1527"/>
      <c r="KS31" s="1527"/>
      <c r="KT31" s="1527"/>
      <c r="KU31" s="1527"/>
      <c r="KV31" s="1525">
        <f>IFERROR(__xludf.DUMMYFUNCTION("""COMPUTED_VALUE"""),313.18541666666664)</f>
        <v>313.1854167</v>
      </c>
      <c r="KW31" s="1526">
        <f>IFERROR(__xludf.DUMMYFUNCTION("""COMPUTED_VALUE"""),7.25E18)</f>
        <v>7.25E+18</v>
      </c>
      <c r="KX31" s="1525">
        <f>IFERROR(__xludf.DUMMYFUNCTION("""COMPUTED_VALUE"""),313.18541666666664)</f>
        <v>313.1854167</v>
      </c>
      <c r="KY31" s="1526">
        <f>IFERROR(__xludf.DUMMYFUNCTION("""COMPUTED_VALUE"""),7.25E18)</f>
        <v>7.25E+18</v>
      </c>
      <c r="KZ31" s="1525">
        <f>IFERROR(__xludf.DUMMYFUNCTION("""COMPUTED_VALUE"""),313.18541666666664)</f>
        <v>313.1854167</v>
      </c>
      <c r="LA31" s="1526">
        <f>IFERROR(__xludf.DUMMYFUNCTION("""COMPUTED_VALUE"""),7.25E18)</f>
        <v>7.25E+18</v>
      </c>
      <c r="LB31" s="1525">
        <f>IFERROR(__xludf.DUMMYFUNCTION("""COMPUTED_VALUE"""),313.18541666666664)</f>
        <v>313.1854167</v>
      </c>
      <c r="LC31" s="1526">
        <f>IFERROR(__xludf.DUMMYFUNCTION("""COMPUTED_VALUE"""),7.25E18)</f>
        <v>7.25E+18</v>
      </c>
      <c r="LD31" s="1525">
        <f>IFERROR(__xludf.DUMMYFUNCTION("""COMPUTED_VALUE"""),313.18541666666664)</f>
        <v>313.1854167</v>
      </c>
      <c r="LE31" s="1526">
        <f>IFERROR(__xludf.DUMMYFUNCTION("""COMPUTED_VALUE"""),7.25E18)</f>
        <v>7.25E+18</v>
      </c>
      <c r="LF31" s="1525">
        <f>IFERROR(__xludf.DUMMYFUNCTION("""COMPUTED_VALUE"""),313.18541666666664)</f>
        <v>313.1854167</v>
      </c>
      <c r="LG31" s="1526">
        <f>IFERROR(__xludf.DUMMYFUNCTION("""COMPUTED_VALUE"""),7.25E18)</f>
        <v>7.25E+18</v>
      </c>
      <c r="LH31" s="1525">
        <f>IFERROR(__xludf.DUMMYFUNCTION("""COMPUTED_VALUE"""),313.18541666666664)</f>
        <v>313.1854167</v>
      </c>
      <c r="LI31" s="1526">
        <f>IFERROR(__xludf.DUMMYFUNCTION("""COMPUTED_VALUE"""),7.25E18)</f>
        <v>7.25E+18</v>
      </c>
      <c r="LJ31" s="1525">
        <f>IFERROR(__xludf.DUMMYFUNCTION("""COMPUTED_VALUE"""),313.18541666666664)</f>
        <v>313.1854167</v>
      </c>
      <c r="LK31" s="1526">
        <f>IFERROR(__xludf.DUMMYFUNCTION("""COMPUTED_VALUE"""),7.25E18)</f>
        <v>7.25E+18</v>
      </c>
      <c r="LL31" s="1527"/>
      <c r="LM31" s="1527"/>
      <c r="LN31" s="1527"/>
      <c r="LO31" s="1527"/>
      <c r="LP31" s="1527"/>
      <c r="LQ31" s="1527"/>
      <c r="LR31" s="1527"/>
      <c r="LS31" s="1527"/>
      <c r="LT31" s="1527"/>
      <c r="LU31" s="1527"/>
      <c r="LV31" s="1527"/>
      <c r="LW31" s="1527"/>
      <c r="LX31" s="1527"/>
      <c r="LY31" s="1527"/>
      <c r="LZ31" s="1527"/>
      <c r="MA31" s="1527"/>
      <c r="MB31" s="1527"/>
      <c r="MC31" s="1527"/>
      <c r="MD31" s="1527"/>
      <c r="ME31" s="1527"/>
      <c r="MF31" s="1527"/>
      <c r="MG31" s="1527"/>
      <c r="MH31" s="1527"/>
      <c r="MI31" s="1527"/>
      <c r="MJ31" s="1527"/>
      <c r="MK31" s="1527"/>
      <c r="ML31" s="1527"/>
      <c r="MM31" s="1527"/>
      <c r="MN31" s="1527"/>
      <c r="MO31" s="1527"/>
      <c r="MP31" s="1527"/>
      <c r="MQ31" s="1527"/>
      <c r="MR31" s="1527"/>
      <c r="MS31" s="1527"/>
      <c r="MT31" s="1527"/>
      <c r="MU31" s="1527"/>
      <c r="MV31" s="1527"/>
      <c r="MW31" s="1527"/>
      <c r="MX31" s="1527"/>
      <c r="MY31" s="1527"/>
    </row>
    <row r="32">
      <c r="A32" s="1465">
        <f>IFERROR(__xludf.DUMMYFUNCTION("""COMPUTED_VALUE"""),30.0)</f>
        <v>30</v>
      </c>
      <c r="B32" s="1533"/>
      <c r="C32" s="1541"/>
      <c r="D32" s="1471">
        <f>IFERROR(__xludf.DUMMYFUNCTION("""COMPUTED_VALUE"""),2.720833333333333)</f>
        <v>2.720833333</v>
      </c>
      <c r="E32" s="1472">
        <f>IFERROR(__xludf.DUMMYFUNCTION("""COMPUTED_VALUE"""),147950.0)</f>
        <v>147950</v>
      </c>
      <c r="F32" s="1471">
        <f>IFERROR(__xludf.DUMMYFUNCTION("""COMPUTED_VALUE"""),2.720833333333333)</f>
        <v>2.720833333</v>
      </c>
      <c r="G32" s="1472">
        <f>IFERROR(__xludf.DUMMYFUNCTION("""COMPUTED_VALUE"""),147950.0)</f>
        <v>147950</v>
      </c>
      <c r="H32" s="1471">
        <f>IFERROR(__xludf.DUMMYFUNCTION("""COMPUTED_VALUE"""),2.720833333333333)</f>
        <v>2.720833333</v>
      </c>
      <c r="I32" s="1472">
        <f>IFERROR(__xludf.DUMMYFUNCTION("""COMPUTED_VALUE"""),147950.0)</f>
        <v>147950</v>
      </c>
      <c r="J32" s="1471">
        <f>IFERROR(__xludf.DUMMYFUNCTION("""COMPUTED_VALUE"""),2.720833333333333)</f>
        <v>2.720833333</v>
      </c>
      <c r="K32" s="1472">
        <f>IFERROR(__xludf.DUMMYFUNCTION("""COMPUTED_VALUE"""),147950.0)</f>
        <v>147950</v>
      </c>
      <c r="L32" s="1471">
        <f>IFERROR(__xludf.DUMMYFUNCTION("""COMPUTED_VALUE"""),4.509722222222222)</f>
        <v>4.509722222</v>
      </c>
      <c r="M32" s="1536">
        <f>IFERROR(__xludf.DUMMYFUNCTION("""COMPUTED_VALUE"""),406200.0)</f>
        <v>406200</v>
      </c>
      <c r="N32" s="1537">
        <f>IFERROR(__xludf.DUMMYFUNCTION("""COMPUTED_VALUE"""),2.8541666666666665)</f>
        <v>2.854166667</v>
      </c>
      <c r="O32" s="1472">
        <f>IFERROR(__xludf.DUMMYFUNCTION("""COMPUTED_VALUE"""),444900.0)</f>
        <v>444900</v>
      </c>
      <c r="P32" s="1533"/>
      <c r="Q32" s="1534"/>
      <c r="R32" s="1533"/>
      <c r="S32" s="1534"/>
      <c r="T32" s="1533"/>
      <c r="U32" s="1534"/>
      <c r="V32" s="1533"/>
      <c r="W32" s="1534"/>
      <c r="X32" s="1533"/>
      <c r="Y32" s="1534"/>
      <c r="Z32" s="1533"/>
      <c r="AA32" s="1534"/>
      <c r="AB32" s="1533"/>
      <c r="AC32" s="1534"/>
      <c r="AD32" s="1471">
        <f>IFERROR(__xludf.DUMMYFUNCTION("""COMPUTED_VALUE"""),32.39791666666667)</f>
        <v>32.39791667</v>
      </c>
      <c r="AE32" s="1538">
        <f>IFERROR(__xludf.DUMMYFUNCTION("""COMPUTED_VALUE"""),2.015381264E12)</f>
        <v>2015381264000</v>
      </c>
      <c r="AF32" s="1471">
        <f>IFERROR(__xludf.DUMMYFUNCTION("""COMPUTED_VALUE"""),32.39791666666667)</f>
        <v>32.39791667</v>
      </c>
      <c r="AG32" s="1538">
        <f>IFERROR(__xludf.DUMMYFUNCTION("""COMPUTED_VALUE"""),2.015381264E12)</f>
        <v>2015381264000</v>
      </c>
      <c r="AH32" s="1471">
        <f>IFERROR(__xludf.DUMMYFUNCTION("""COMPUTED_VALUE"""),32.39791666666667)</f>
        <v>32.39791667</v>
      </c>
      <c r="AI32" s="1538">
        <f>IFERROR(__xludf.DUMMYFUNCTION("""COMPUTED_VALUE"""),2.015381264E12)</f>
        <v>2015381264000</v>
      </c>
      <c r="AJ32" s="1539">
        <f>IFERROR(__xludf.DUMMYFUNCTION("""COMPUTED_VALUE"""),2.720833333333333)</f>
        <v>2.720833333</v>
      </c>
      <c r="AK32" s="1540">
        <f>IFERROR(__xludf.DUMMYFUNCTION("""COMPUTED_VALUE"""),147950.0)</f>
        <v>147950</v>
      </c>
      <c r="AL32" s="1539">
        <f>IFERROR(__xludf.DUMMYFUNCTION("""COMPUTED_VALUE"""),2.720833333333333)</f>
        <v>2.720833333</v>
      </c>
      <c r="AM32" s="1540">
        <f>IFERROR(__xludf.DUMMYFUNCTION("""COMPUTED_VALUE"""),147950.0)</f>
        <v>147950</v>
      </c>
      <c r="AN32" s="1539">
        <f>IFERROR(__xludf.DUMMYFUNCTION("""COMPUTED_VALUE"""),2.720833333333333)</f>
        <v>2.720833333</v>
      </c>
      <c r="AO32" s="1540">
        <f>IFERROR(__xludf.DUMMYFUNCTION("""COMPUTED_VALUE"""),147950.0)</f>
        <v>147950</v>
      </c>
      <c r="AP32" s="1539">
        <f>IFERROR(__xludf.DUMMYFUNCTION("""COMPUTED_VALUE"""),2.720833333333333)</f>
        <v>2.720833333</v>
      </c>
      <c r="AQ32" s="1540">
        <f>IFERROR(__xludf.DUMMYFUNCTION("""COMPUTED_VALUE"""),147950.0)</f>
        <v>147950</v>
      </c>
      <c r="AR32" s="1539">
        <f>IFERROR(__xludf.DUMMYFUNCTION("""COMPUTED_VALUE"""),2.720833333333333)</f>
        <v>2.720833333</v>
      </c>
      <c r="AS32" s="1540">
        <f>IFERROR(__xludf.DUMMYFUNCTION("""COMPUTED_VALUE"""),147960.0)</f>
        <v>147960</v>
      </c>
      <c r="AT32" s="1475">
        <f>IFERROR(__xludf.DUMMYFUNCTION("""COMPUTED_VALUE"""),1141.6527777777778)</f>
        <v>1141.652778</v>
      </c>
      <c r="AU32" s="1476">
        <f>IFERROR(__xludf.DUMMYFUNCTION("""COMPUTED_VALUE"""),7.48E9)</f>
        <v>7480000000</v>
      </c>
      <c r="AV32" s="1475">
        <f>IFERROR(__xludf.DUMMYFUNCTION("""COMPUTED_VALUE"""),590.9680555555556)</f>
        <v>590.9680556</v>
      </c>
      <c r="AW32" s="1476">
        <f>IFERROR(__xludf.DUMMYFUNCTION("""COMPUTED_VALUE"""),7.48E9)</f>
        <v>7480000000</v>
      </c>
      <c r="AX32" s="1539">
        <f>IFERROR(__xludf.DUMMYFUNCTION("""COMPUTED_VALUE"""),21.590277777777775)</f>
        <v>21.59027778</v>
      </c>
      <c r="AY32" s="1540">
        <f>IFERROR(__xludf.DUMMYFUNCTION("""COMPUTED_VALUE"""),1.54E12)</f>
        <v>1540000000000</v>
      </c>
      <c r="AZ32" s="1533"/>
      <c r="BA32" s="1533"/>
      <c r="BB32" s="1479">
        <f>IFERROR(__xludf.DUMMYFUNCTION("""COMPUTED_VALUE"""),2.720833333333333)</f>
        <v>2.720833333</v>
      </c>
      <c r="BC32" s="1480">
        <f>IFERROR(__xludf.DUMMYFUNCTION("""COMPUTED_VALUE"""),147950.0)</f>
        <v>147950</v>
      </c>
      <c r="BD32" s="1479">
        <f>IFERROR(__xludf.DUMMYFUNCTION("""COMPUTED_VALUE"""),2.720833333333333)</f>
        <v>2.720833333</v>
      </c>
      <c r="BE32" s="1480">
        <f>IFERROR(__xludf.DUMMYFUNCTION("""COMPUTED_VALUE"""),147950.0)</f>
        <v>147950</v>
      </c>
      <c r="BF32" s="1479">
        <f>IFERROR(__xludf.DUMMYFUNCTION("""COMPUTED_VALUE"""),2.720833333333333)</f>
        <v>2.720833333</v>
      </c>
      <c r="BG32" s="1480">
        <f>IFERROR(__xludf.DUMMYFUNCTION("""COMPUTED_VALUE"""),147950.0)</f>
        <v>147950</v>
      </c>
      <c r="BH32" s="1479">
        <f>IFERROR(__xludf.DUMMYFUNCTION("""COMPUTED_VALUE"""),55.31041666666667)</f>
        <v>55.31041667</v>
      </c>
      <c r="BI32" s="1480">
        <f>IFERROR(__xludf.DUMMYFUNCTION("""COMPUTED_VALUE"""),7.0733E8)</f>
        <v>707330000</v>
      </c>
      <c r="BJ32" s="1533"/>
      <c r="BK32" s="1534"/>
      <c r="BL32" s="1533"/>
      <c r="BM32" s="1534"/>
      <c r="BN32" s="1479">
        <f>IFERROR(__xludf.DUMMYFUNCTION("""COMPUTED_VALUE"""),110.50555555555556)</f>
        <v>110.5055556</v>
      </c>
      <c r="BO32" s="1480">
        <f>IFERROR(__xludf.DUMMYFUNCTION("""COMPUTED_VALUE"""),1.942E10)</f>
        <v>19420000000</v>
      </c>
      <c r="BP32" s="1533"/>
      <c r="BQ32" s="1534"/>
      <c r="BR32" s="1541"/>
      <c r="BS32" s="1534"/>
      <c r="BT32" s="1479">
        <f>IFERROR(__xludf.DUMMYFUNCTION("""COMPUTED_VALUE"""),2.9187499999999997)</f>
        <v>2.91875</v>
      </c>
      <c r="BU32" s="1480">
        <f>IFERROR(__xludf.DUMMYFUNCTION("""COMPUTED_VALUE"""),1.35E10)</f>
        <v>13500000000</v>
      </c>
      <c r="BV32" s="1541"/>
      <c r="BW32" s="1541"/>
      <c r="BX32" s="1479">
        <f>IFERROR(__xludf.DUMMYFUNCTION("""COMPUTED_VALUE"""),279.4769791666667)</f>
        <v>279.4769792</v>
      </c>
      <c r="BY32" s="1480">
        <f>IFERROR(__xludf.DUMMYFUNCTION("""COMPUTED_VALUE"""),2.1789E11)</f>
        <v>217890000000</v>
      </c>
      <c r="BZ32" s="1541"/>
      <c r="CA32" s="1541"/>
      <c r="CB32" s="1541"/>
      <c r="CC32" s="1534"/>
      <c r="CD32" s="1477">
        <f>IFERROR(__xludf.DUMMYFUNCTION("""COMPUTED_VALUE"""),12.531099537037036)</f>
        <v>12.53109954</v>
      </c>
      <c r="CE32" s="1481">
        <f>IFERROR(__xludf.DUMMYFUNCTION("""COMPUTED_VALUE"""),1.52E12)</f>
        <v>1520000000000</v>
      </c>
      <c r="CF32" s="1550"/>
      <c r="CG32" s="1564"/>
      <c r="CH32" s="1484">
        <f>IFERROR(__xludf.DUMMYFUNCTION("""COMPUTED_VALUE"""),2.720833333333333)</f>
        <v>2.720833333</v>
      </c>
      <c r="CI32" s="1485">
        <f>IFERROR(__xludf.DUMMYFUNCTION("""COMPUTED_VALUE"""),147960.0)</f>
        <v>147960</v>
      </c>
      <c r="CJ32" s="1484">
        <f>IFERROR(__xludf.DUMMYFUNCTION("""COMPUTED_VALUE"""),2.720833333333333)</f>
        <v>2.720833333</v>
      </c>
      <c r="CK32" s="1485">
        <f>IFERROR(__xludf.DUMMYFUNCTION("""COMPUTED_VALUE"""),147960.0)</f>
        <v>147960</v>
      </c>
      <c r="CL32" s="1484">
        <f>IFERROR(__xludf.DUMMYFUNCTION("""COMPUTED_VALUE"""),2.720833333333333)</f>
        <v>2.720833333</v>
      </c>
      <c r="CM32" s="1485">
        <f>IFERROR(__xludf.DUMMYFUNCTION("""COMPUTED_VALUE"""),147960.0)</f>
        <v>147960</v>
      </c>
      <c r="CN32" s="1484">
        <f>IFERROR(__xludf.DUMMYFUNCTION("""COMPUTED_VALUE"""),2.720833333333333)</f>
        <v>2.720833333</v>
      </c>
      <c r="CO32" s="1485">
        <f>IFERROR(__xludf.DUMMYFUNCTION("""COMPUTED_VALUE"""),147960.0)</f>
        <v>147960</v>
      </c>
      <c r="CP32" s="1484">
        <f>IFERROR(__xludf.DUMMYFUNCTION("""COMPUTED_VALUE"""),5.30625)</f>
        <v>5.30625</v>
      </c>
      <c r="CQ32" s="1485">
        <f>IFERROR(__xludf.DUMMYFUNCTION("""COMPUTED_VALUE"""),444910.0)</f>
        <v>444910</v>
      </c>
      <c r="CR32" s="1533"/>
      <c r="CS32" s="1534"/>
      <c r="CT32" s="1541"/>
      <c r="CU32" s="1534"/>
      <c r="CV32" s="1541"/>
      <c r="CW32" s="1534"/>
      <c r="CX32" s="1541"/>
      <c r="CY32" s="1534"/>
      <c r="CZ32" s="1541"/>
      <c r="DA32" s="1541"/>
      <c r="DB32" s="1541"/>
      <c r="DC32" s="1541"/>
      <c r="DD32" s="1541"/>
      <c r="DE32" s="1534"/>
      <c r="DF32" s="1541"/>
      <c r="DG32" s="1534"/>
      <c r="DH32" s="1533"/>
      <c r="DI32" s="1534"/>
      <c r="DJ32" s="1533"/>
      <c r="DK32" s="1534"/>
      <c r="DL32" s="1542">
        <f>IFERROR(__xludf.DUMMYFUNCTION("""COMPUTED_VALUE"""),111.26944444444445)</f>
        <v>111.2694444</v>
      </c>
      <c r="DM32" s="1543">
        <f>IFERROR(__xludf.DUMMYFUNCTION("""COMPUTED_VALUE"""),1.942E10)</f>
        <v>19420000000</v>
      </c>
      <c r="DN32" s="1533"/>
      <c r="DO32" s="1534"/>
      <c r="DP32" s="1542">
        <f>IFERROR(__xludf.DUMMYFUNCTION("""COMPUTED_VALUE"""),111.26944444444445)</f>
        <v>111.2694444</v>
      </c>
      <c r="DQ32" s="1543">
        <f>IFERROR(__xludf.DUMMYFUNCTION("""COMPUTED_VALUE"""),1.942E10)</f>
        <v>19420000000</v>
      </c>
      <c r="DR32" s="1542">
        <f>IFERROR(__xludf.DUMMYFUNCTION("""COMPUTED_VALUE"""),111.26944444444445)</f>
        <v>111.2694444</v>
      </c>
      <c r="DS32" s="1543">
        <f>IFERROR(__xludf.DUMMYFUNCTION("""COMPUTED_VALUE"""),1.942E10)</f>
        <v>19420000000</v>
      </c>
      <c r="DT32" s="1533"/>
      <c r="DU32" s="1534"/>
      <c r="DV32" s="1542">
        <f>IFERROR(__xludf.DUMMYFUNCTION("""COMPUTED_VALUE"""),111.26944444444445)</f>
        <v>111.2694444</v>
      </c>
      <c r="DW32" s="1543">
        <f>IFERROR(__xludf.DUMMYFUNCTION("""COMPUTED_VALUE"""),1.942E10)</f>
        <v>19420000000</v>
      </c>
      <c r="DX32" s="1542">
        <f>IFERROR(__xludf.DUMMYFUNCTION("""COMPUTED_VALUE"""),111.26944444444445)</f>
        <v>111.2694444</v>
      </c>
      <c r="DY32" s="1543">
        <f>IFERROR(__xludf.DUMMYFUNCTION("""COMPUTED_VALUE"""),1.942E10)</f>
        <v>19420000000</v>
      </c>
      <c r="DZ32" s="1533"/>
      <c r="EA32" s="1534"/>
      <c r="EB32" s="1533"/>
      <c r="EC32" s="1534"/>
      <c r="ED32" s="1533"/>
      <c r="EE32" s="1534"/>
      <c r="EF32" s="1542">
        <f>IFERROR(__xludf.DUMMYFUNCTION("""COMPUTED_VALUE"""),117.31111111111112)</f>
        <v>117.3111111</v>
      </c>
      <c r="EG32" s="1543">
        <f>IFERROR(__xludf.DUMMYFUNCTION("""COMPUTED_VALUE"""),6.313E10)</f>
        <v>63130000000</v>
      </c>
      <c r="EH32" s="1533"/>
      <c r="EI32" s="1534"/>
      <c r="EJ32" s="1486">
        <f>IFERROR(__xludf.DUMMYFUNCTION("""COMPUTED_VALUE"""),17.210925925925928)</f>
        <v>17.21092593</v>
      </c>
      <c r="EK32" s="1487">
        <f>IFERROR(__xludf.DUMMYFUNCTION("""COMPUTED_VALUE"""),1.62E9)</f>
        <v>1620000000</v>
      </c>
      <c r="EL32" s="1565"/>
      <c r="EM32" s="1564"/>
      <c r="EN32" s="1533"/>
      <c r="EO32" s="1534"/>
      <c r="EP32" s="1533"/>
      <c r="EQ32" s="1534"/>
      <c r="ER32" s="1533"/>
      <c r="ES32" s="1534"/>
      <c r="ET32" s="1533"/>
      <c r="EU32" s="1534"/>
      <c r="EV32" s="1533"/>
      <c r="EW32" s="1534"/>
      <c r="EX32" s="1533"/>
      <c r="EY32" s="1534"/>
      <c r="EZ32" s="1533"/>
      <c r="FA32" s="1534"/>
      <c r="FB32" s="1541"/>
      <c r="FC32" s="1534"/>
      <c r="FD32" s="1541"/>
      <c r="FE32" s="1534"/>
      <c r="FF32" s="1541"/>
      <c r="FG32" s="1534"/>
      <c r="FH32" s="1541"/>
      <c r="FI32" s="1541"/>
      <c r="FJ32" s="1541"/>
      <c r="FK32" s="1534"/>
      <c r="FL32" s="1533"/>
      <c r="FM32" s="1534"/>
      <c r="FN32" s="1545"/>
      <c r="FO32" s="1541"/>
      <c r="FP32" s="1542">
        <f>IFERROR(__xludf.DUMMYFUNCTION("""COMPUTED_VALUE"""),222.91609953703704)</f>
        <v>222.9160995</v>
      </c>
      <c r="FQ32" s="1546">
        <f>IFERROR(__xludf.DUMMYFUNCTION("""COMPUTED_VALUE"""),1.278E16)</f>
        <v>1.278E+16</v>
      </c>
      <c r="FR32" s="1545"/>
      <c r="FS32" s="1541"/>
      <c r="FT32" s="1542">
        <f>IFERROR(__xludf.DUMMYFUNCTION("""COMPUTED_VALUE"""),222.91609953703704)</f>
        <v>222.9160995</v>
      </c>
      <c r="FU32" s="1546">
        <f>IFERROR(__xludf.DUMMYFUNCTION("""COMPUTED_VALUE"""),1.278E16)</f>
        <v>1.278E+16</v>
      </c>
      <c r="FV32" s="1542">
        <f>IFERROR(__xludf.DUMMYFUNCTION("""COMPUTED_VALUE"""),222.91609953703704)</f>
        <v>222.9160995</v>
      </c>
      <c r="FW32" s="1546">
        <f>IFERROR(__xludf.DUMMYFUNCTION("""COMPUTED_VALUE"""),1.278E16)</f>
        <v>1.278E+16</v>
      </c>
      <c r="FX32" s="1550"/>
      <c r="FY32" s="1550"/>
      <c r="FZ32" s="1547">
        <f>IFERROR(__xludf.DUMMYFUNCTION("""COMPUTED_VALUE"""),222.91609953703704)</f>
        <v>222.9160995</v>
      </c>
      <c r="GA32" s="1548">
        <f>IFERROR(__xludf.DUMMYFUNCTION("""COMPUTED_VALUE"""),1.278E16)</f>
        <v>1.278E+16</v>
      </c>
      <c r="GB32" s="1550"/>
      <c r="GC32" s="1550"/>
      <c r="GD32" s="1550"/>
      <c r="GE32" s="1564"/>
      <c r="GF32" s="1533"/>
      <c r="GG32" s="1534"/>
      <c r="GH32" s="1496">
        <f>IFERROR(__xludf.DUMMYFUNCTION("""COMPUTED_VALUE"""),116.51944444444445)</f>
        <v>116.5194444</v>
      </c>
      <c r="GI32" s="1497">
        <f>IFERROR(__xludf.DUMMYFUNCTION("""COMPUTED_VALUE"""),2.0512E11)</f>
        <v>205120000000</v>
      </c>
      <c r="GJ32" s="1533"/>
      <c r="GK32" s="1534"/>
      <c r="GL32" s="1533"/>
      <c r="GM32" s="1534"/>
      <c r="GN32" s="1541"/>
      <c r="GO32" s="1534"/>
      <c r="GP32" s="1496">
        <f>IFERROR(__xludf.DUMMYFUNCTION("""COMPUTED_VALUE"""),116.68611111111112)</f>
        <v>116.6861111</v>
      </c>
      <c r="GQ32" s="1497">
        <f>IFERROR(__xludf.DUMMYFUNCTION("""COMPUTED_VALUE"""),1.83E12)</f>
        <v>1830000000000</v>
      </c>
      <c r="GR32" s="1533"/>
      <c r="GS32" s="1534"/>
      <c r="GT32" s="1533"/>
      <c r="GU32" s="1534"/>
      <c r="GV32" s="1541"/>
      <c r="GW32" s="1534"/>
      <c r="GX32" s="1549"/>
      <c r="GY32" s="1550"/>
      <c r="GZ32" s="1533"/>
      <c r="HA32" s="1534"/>
      <c r="HB32" s="1551">
        <f>IFERROR(__xludf.DUMMYFUNCTION("""COMPUTED_VALUE"""),110.50555555555556)</f>
        <v>110.5055556</v>
      </c>
      <c r="HC32" s="1552">
        <f>IFERROR(__xludf.DUMMYFUNCTION("""COMPUTED_VALUE"""),4.1023E11)</f>
        <v>410230000000</v>
      </c>
      <c r="HD32" s="1533"/>
      <c r="HE32" s="1534"/>
      <c r="HF32" s="1533"/>
      <c r="HG32" s="1569"/>
      <c r="HH32" s="1533"/>
      <c r="HI32" s="1534"/>
      <c r="HJ32" s="1533"/>
      <c r="HK32" s="1534"/>
      <c r="HL32" s="1533"/>
      <c r="HM32" s="1534"/>
      <c r="HN32" s="1541"/>
      <c r="HO32" s="1534"/>
      <c r="HP32" s="1551">
        <f>IFERROR(__xludf.DUMMYFUNCTION("""COMPUTED_VALUE"""),593.2764699074074)</f>
        <v>593.2764699</v>
      </c>
      <c r="HQ32" s="1552">
        <f>IFERROR(__xludf.DUMMYFUNCTION("""COMPUTED_VALUE"""),1.1427E11)</f>
        <v>114270000000</v>
      </c>
      <c r="HR32" s="1533"/>
      <c r="HS32" s="1534"/>
      <c r="HT32" s="1533"/>
      <c r="HU32" s="1534"/>
      <c r="HV32" s="1533"/>
      <c r="HW32" s="1534"/>
      <c r="HX32" s="1533"/>
      <c r="HY32" s="1534"/>
      <c r="HZ32" s="1533"/>
      <c r="IA32" s="1534"/>
      <c r="IB32" s="1533"/>
      <c r="IC32" s="1534"/>
      <c r="ID32" s="1533"/>
      <c r="IE32" s="1534"/>
      <c r="IF32" s="1533"/>
      <c r="IG32" s="1534"/>
      <c r="IH32" s="1507">
        <f>IFERROR(__xludf.DUMMYFUNCTION("""COMPUTED_VALUE"""),161.39444444444445)</f>
        <v>161.3944444</v>
      </c>
      <c r="II32" s="1508">
        <f>IFERROR(__xludf.DUMMYFUNCTION("""COMPUTED_VALUE"""),2.4E12)</f>
        <v>2400000000000</v>
      </c>
      <c r="IJ32" s="1507">
        <f>IFERROR(__xludf.DUMMYFUNCTION("""COMPUTED_VALUE"""),161.39444444444445)</f>
        <v>161.3944444</v>
      </c>
      <c r="IK32" s="1508">
        <f>IFERROR(__xludf.DUMMYFUNCTION("""COMPUTED_VALUE"""),2.4E12)</f>
        <v>2400000000000</v>
      </c>
      <c r="IL32" s="1507">
        <f>IFERROR(__xludf.DUMMYFUNCTION("""COMPUTED_VALUE"""),161.39444444444445)</f>
        <v>161.3944444</v>
      </c>
      <c r="IM32" s="1508">
        <f>IFERROR(__xludf.DUMMYFUNCTION("""COMPUTED_VALUE"""),2.7E12)</f>
        <v>2700000000000</v>
      </c>
      <c r="IN32" s="1507">
        <f>IFERROR(__xludf.DUMMYFUNCTION("""COMPUTED_VALUE"""),161.39444444444445)</f>
        <v>161.3944444</v>
      </c>
      <c r="IO32" s="1508">
        <f>IFERROR(__xludf.DUMMYFUNCTION("""COMPUTED_VALUE"""),2.7E12)</f>
        <v>2700000000000</v>
      </c>
      <c r="IP32" s="1507">
        <f>IFERROR(__xludf.DUMMYFUNCTION("""COMPUTED_VALUE"""),161.85763888888889)</f>
        <v>161.8576389</v>
      </c>
      <c r="IQ32" s="1508">
        <f>IFERROR(__xludf.DUMMYFUNCTION("""COMPUTED_VALUE"""),3.6E12)</f>
        <v>3600000000000</v>
      </c>
      <c r="IR32" s="1507">
        <f>IFERROR(__xludf.DUMMYFUNCTION("""COMPUTED_VALUE"""),161.39444444444445)</f>
        <v>161.3944444</v>
      </c>
      <c r="IS32" s="1508">
        <f>IFERROR(__xludf.DUMMYFUNCTION("""COMPUTED_VALUE"""),2.7E12)</f>
        <v>2700000000000</v>
      </c>
      <c r="IT32" s="1507">
        <f>IFERROR(__xludf.DUMMYFUNCTION("""COMPUTED_VALUE"""),161.39444444444445)</f>
        <v>161.3944444</v>
      </c>
      <c r="IU32" s="1508">
        <f>IFERROR(__xludf.DUMMYFUNCTION("""COMPUTED_VALUE"""),2.7E12)</f>
        <v>2700000000000</v>
      </c>
      <c r="IV32" s="1507">
        <f>IFERROR(__xludf.DUMMYFUNCTION("""COMPUTED_VALUE"""),161.39444444444445)</f>
        <v>161.3944444</v>
      </c>
      <c r="IW32" s="1508">
        <f>IFERROR(__xludf.DUMMYFUNCTION("""COMPUTED_VALUE"""),2.7E12)</f>
        <v>2700000000000</v>
      </c>
      <c r="IX32" s="1507">
        <f>IFERROR(__xludf.DUMMYFUNCTION("""COMPUTED_VALUE"""),161.39444444444445)</f>
        <v>161.3944444</v>
      </c>
      <c r="IY32" s="1508">
        <f>IFERROR(__xludf.DUMMYFUNCTION("""COMPUTED_VALUE"""),2.7E12)</f>
        <v>2700000000000</v>
      </c>
      <c r="IZ32" s="1507">
        <f>IFERROR(__xludf.DUMMYFUNCTION("""COMPUTED_VALUE"""),161.39444444444445)</f>
        <v>161.3944444</v>
      </c>
      <c r="JA32" s="1508">
        <f>IFERROR(__xludf.DUMMYFUNCTION("""COMPUTED_VALUE"""),3.0E12)</f>
        <v>3000000000000</v>
      </c>
      <c r="JB32" s="1507">
        <f>IFERROR(__xludf.DUMMYFUNCTION("""COMPUTED_VALUE"""),161.39444444444445)</f>
        <v>161.3944444</v>
      </c>
      <c r="JC32" s="1508">
        <f>IFERROR(__xludf.DUMMYFUNCTION("""COMPUTED_VALUE"""),3.0E12)</f>
        <v>3000000000000</v>
      </c>
      <c r="JD32" s="1507">
        <f>IFERROR(__xludf.DUMMYFUNCTION("""COMPUTED_VALUE"""),161.39444444444445)</f>
        <v>161.3944444</v>
      </c>
      <c r="JE32" s="1508">
        <f>IFERROR(__xludf.DUMMYFUNCTION("""COMPUTED_VALUE"""),3.0E12)</f>
        <v>3000000000000</v>
      </c>
      <c r="JF32" s="1507">
        <f>IFERROR(__xludf.DUMMYFUNCTION("""COMPUTED_VALUE"""),161.39444444444445)</f>
        <v>161.3944444</v>
      </c>
      <c r="JG32" s="1508">
        <f>IFERROR(__xludf.DUMMYFUNCTION("""COMPUTED_VALUE"""),3.0E12)</f>
        <v>3000000000000</v>
      </c>
      <c r="JH32" s="1533"/>
      <c r="JI32" s="1534"/>
      <c r="JJ32" s="1507">
        <f>IFERROR(__xludf.DUMMYFUNCTION("""COMPUTED_VALUE"""),323.98541666666665)</f>
        <v>323.9854167</v>
      </c>
      <c r="JK32" s="1509">
        <f>IFERROR(__xludf.DUMMYFUNCTION("""COMPUTED_VALUE"""),7.5E18)</f>
        <v>7.5E+18</v>
      </c>
      <c r="JL32" s="1507">
        <f>IFERROR(__xludf.DUMMYFUNCTION("""COMPUTED_VALUE"""),323.98541666666665)</f>
        <v>323.9854167</v>
      </c>
      <c r="JM32" s="1509">
        <f>IFERROR(__xludf.DUMMYFUNCTION("""COMPUTED_VALUE"""),7.5E18)</f>
        <v>7.5E+18</v>
      </c>
      <c r="JN32" s="1507">
        <f>IFERROR(__xludf.DUMMYFUNCTION("""COMPUTED_VALUE"""),323.98541666666665)</f>
        <v>323.9854167</v>
      </c>
      <c r="JO32" s="1509">
        <f>IFERROR(__xludf.DUMMYFUNCTION("""COMPUTED_VALUE"""),7.5E18)</f>
        <v>7.5E+18</v>
      </c>
      <c r="JP32" s="1507">
        <f>IFERROR(__xludf.DUMMYFUNCTION("""COMPUTED_VALUE"""),323.98541666666665)</f>
        <v>323.9854167</v>
      </c>
      <c r="JQ32" s="1509">
        <f>IFERROR(__xludf.DUMMYFUNCTION("""COMPUTED_VALUE"""),7.5E18)</f>
        <v>7.5E+18</v>
      </c>
      <c r="JR32" s="1507">
        <f>IFERROR(__xludf.DUMMYFUNCTION("""COMPUTED_VALUE"""),323.98541666666665)</f>
        <v>323.9854167</v>
      </c>
      <c r="JS32" s="1509">
        <f>IFERROR(__xludf.DUMMYFUNCTION("""COMPUTED_VALUE"""),7.5E18)</f>
        <v>7.5E+18</v>
      </c>
      <c r="JT32" s="1507">
        <f>IFERROR(__xludf.DUMMYFUNCTION("""COMPUTED_VALUE"""),323.98541666666665)</f>
        <v>323.9854167</v>
      </c>
      <c r="JU32" s="1509">
        <f>IFERROR(__xludf.DUMMYFUNCTION("""COMPUTED_VALUE"""),7.5E18)</f>
        <v>7.5E+18</v>
      </c>
      <c r="JV32" s="1507">
        <f>IFERROR(__xludf.DUMMYFUNCTION("""COMPUTED_VALUE"""),80.99583333333334)</f>
        <v>80.99583333</v>
      </c>
      <c r="JW32" s="1509">
        <f>IFERROR(__xludf.DUMMYFUNCTION("""COMPUTED_VALUE"""),1.7286737400000002E16)</f>
        <v>1.72867E+16</v>
      </c>
      <c r="JX32" s="1562"/>
      <c r="JY32" s="1527"/>
      <c r="JZ32" s="1566">
        <f>IFERROR(__xludf.DUMMYFUNCTION("""COMPUTED_VALUE"""),2.882395833)</f>
        <v>2.882395833</v>
      </c>
      <c r="KA32" s="1514">
        <f>IFERROR(__xludf.DUMMYFUNCTION("""COMPUTED_VALUE"""),1.776E10)</f>
        <v>17760000000</v>
      </c>
      <c r="KB32" s="1566">
        <f>IFERROR(__xludf.DUMMYFUNCTION("""COMPUTED_VALUE"""),5.016053241)</f>
        <v>5.016053241</v>
      </c>
      <c r="KC32" s="1567">
        <f>IFERROR(__xludf.DUMMYFUNCTION("""COMPUTED_VALUE"""),7.317E10)</f>
        <v>73170000000</v>
      </c>
      <c r="KD32" s="1566">
        <f>IFERROR(__xludf.DUMMYFUNCTION("""COMPUTED_VALUE"""),20.31929398)</f>
        <v>20.31929398</v>
      </c>
      <c r="KE32" s="1514">
        <f>IFERROR(__xludf.DUMMYFUNCTION("""COMPUTED_VALUE"""),4.79E12)</f>
        <v>4790000000000</v>
      </c>
      <c r="KF32" s="1566">
        <f>IFERROR(__xludf.DUMMYFUNCTION("""COMPUTED_VALUE"""),20.31929398)</f>
        <v>20.31929398</v>
      </c>
      <c r="KG32" s="1514">
        <f>IFERROR(__xludf.DUMMYFUNCTION("""COMPUTED_VALUE"""),4.79E12)</f>
        <v>4790000000000</v>
      </c>
      <c r="KH32" s="1527"/>
      <c r="KI32" s="1527"/>
      <c r="KJ32" s="1527"/>
      <c r="KK32" s="1527"/>
      <c r="KL32" s="1527"/>
      <c r="KM32" s="1527"/>
      <c r="KN32" s="1527"/>
      <c r="KO32" s="1527"/>
      <c r="KP32" s="1527"/>
      <c r="KQ32" s="1527"/>
      <c r="KR32" s="1527"/>
      <c r="KS32" s="1527"/>
      <c r="KT32" s="1527"/>
      <c r="KU32" s="1527"/>
      <c r="KV32" s="1557">
        <f>IFERROR(__xludf.DUMMYFUNCTION("""COMPUTED_VALUE"""),323.98541666666665)</f>
        <v>323.9854167</v>
      </c>
      <c r="KW32" s="1558">
        <f>IFERROR(__xludf.DUMMYFUNCTION("""COMPUTED_VALUE"""),7.5E18)</f>
        <v>7.5E+18</v>
      </c>
      <c r="KX32" s="1557">
        <f>IFERROR(__xludf.DUMMYFUNCTION("""COMPUTED_VALUE"""),323.98541666666665)</f>
        <v>323.9854167</v>
      </c>
      <c r="KY32" s="1558">
        <f>IFERROR(__xludf.DUMMYFUNCTION("""COMPUTED_VALUE"""),7.5E18)</f>
        <v>7.5E+18</v>
      </c>
      <c r="KZ32" s="1557">
        <f>IFERROR(__xludf.DUMMYFUNCTION("""COMPUTED_VALUE"""),323.98541666666665)</f>
        <v>323.9854167</v>
      </c>
      <c r="LA32" s="1558">
        <f>IFERROR(__xludf.DUMMYFUNCTION("""COMPUTED_VALUE"""),7.5E18)</f>
        <v>7.5E+18</v>
      </c>
      <c r="LB32" s="1557">
        <f>IFERROR(__xludf.DUMMYFUNCTION("""COMPUTED_VALUE"""),323.98541666666665)</f>
        <v>323.9854167</v>
      </c>
      <c r="LC32" s="1558">
        <f>IFERROR(__xludf.DUMMYFUNCTION("""COMPUTED_VALUE"""),7.5E18)</f>
        <v>7.5E+18</v>
      </c>
      <c r="LD32" s="1557">
        <f>IFERROR(__xludf.DUMMYFUNCTION("""COMPUTED_VALUE"""),323.98541666666665)</f>
        <v>323.9854167</v>
      </c>
      <c r="LE32" s="1558">
        <f>IFERROR(__xludf.DUMMYFUNCTION("""COMPUTED_VALUE"""),7.5E18)</f>
        <v>7.5E+18</v>
      </c>
      <c r="LF32" s="1557">
        <f>IFERROR(__xludf.DUMMYFUNCTION("""COMPUTED_VALUE"""),323.98541666666665)</f>
        <v>323.9854167</v>
      </c>
      <c r="LG32" s="1558">
        <f>IFERROR(__xludf.DUMMYFUNCTION("""COMPUTED_VALUE"""),7.5E18)</f>
        <v>7.5E+18</v>
      </c>
      <c r="LH32" s="1557">
        <f>IFERROR(__xludf.DUMMYFUNCTION("""COMPUTED_VALUE"""),323.98541666666665)</f>
        <v>323.9854167</v>
      </c>
      <c r="LI32" s="1558">
        <f>IFERROR(__xludf.DUMMYFUNCTION("""COMPUTED_VALUE"""),7.5E18)</f>
        <v>7.5E+18</v>
      </c>
      <c r="LJ32" s="1557">
        <f>IFERROR(__xludf.DUMMYFUNCTION("""COMPUTED_VALUE"""),323.98541666666665)</f>
        <v>323.9854167</v>
      </c>
      <c r="LK32" s="1558">
        <f>IFERROR(__xludf.DUMMYFUNCTION("""COMPUTED_VALUE"""),7.5E18)</f>
        <v>7.5E+18</v>
      </c>
      <c r="LL32" s="1550"/>
      <c r="LM32" s="1550"/>
      <c r="LN32" s="1527"/>
      <c r="LO32" s="1527"/>
      <c r="LP32" s="1527"/>
      <c r="LQ32" s="1527"/>
      <c r="LR32" s="1527"/>
      <c r="LS32" s="1527"/>
      <c r="LT32" s="1527"/>
      <c r="LU32" s="1527"/>
      <c r="LV32" s="1527"/>
      <c r="LW32" s="1527"/>
      <c r="LX32" s="1527"/>
      <c r="LY32" s="1527"/>
      <c r="LZ32" s="1527"/>
      <c r="MA32" s="1527"/>
      <c r="MB32" s="1527"/>
      <c r="MC32" s="1527"/>
      <c r="MD32" s="1527"/>
      <c r="ME32" s="1527"/>
      <c r="MF32" s="1527"/>
      <c r="MG32" s="1527"/>
      <c r="MH32" s="1527"/>
      <c r="MI32" s="1527"/>
      <c r="MJ32" s="1527"/>
      <c r="MK32" s="1527"/>
      <c r="ML32" s="1527"/>
      <c r="MM32" s="1527"/>
      <c r="MN32" s="1527"/>
      <c r="MO32" s="1527"/>
      <c r="MP32" s="1527"/>
      <c r="MQ32" s="1527"/>
      <c r="MR32" s="1527"/>
      <c r="MS32" s="1527"/>
      <c r="MT32" s="1527"/>
      <c r="MU32" s="1527"/>
      <c r="MV32" s="1527"/>
      <c r="MW32" s="1527"/>
      <c r="MX32" s="1527"/>
      <c r="MY32" s="1527"/>
    </row>
    <row r="33">
      <c r="A33" s="1465">
        <f>IFERROR(__xludf.DUMMYFUNCTION("""COMPUTED_VALUE"""),31.0)</f>
        <v>31</v>
      </c>
      <c r="B33" s="1518"/>
      <c r="C33" s="1520"/>
      <c r="D33" s="1466">
        <f>IFERROR(__xludf.DUMMYFUNCTION("""COMPUTED_VALUE"""),2.946527777777778)</f>
        <v>2.946527778</v>
      </c>
      <c r="E33" s="1467">
        <f>IFERROR(__xludf.DUMMYFUNCTION("""COMPUTED_VALUE"""),162350.0)</f>
        <v>162350</v>
      </c>
      <c r="F33" s="1466">
        <f>IFERROR(__xludf.DUMMYFUNCTION("""COMPUTED_VALUE"""),2.946527777777778)</f>
        <v>2.946527778</v>
      </c>
      <c r="G33" s="1467">
        <f>IFERROR(__xludf.DUMMYFUNCTION("""COMPUTED_VALUE"""),162350.0)</f>
        <v>162350</v>
      </c>
      <c r="H33" s="1466">
        <f>IFERROR(__xludf.DUMMYFUNCTION("""COMPUTED_VALUE"""),2.946527777777778)</f>
        <v>2.946527778</v>
      </c>
      <c r="I33" s="1467">
        <f>IFERROR(__xludf.DUMMYFUNCTION("""COMPUTED_VALUE"""),162350.0)</f>
        <v>162350</v>
      </c>
      <c r="J33" s="1466">
        <f>IFERROR(__xludf.DUMMYFUNCTION("""COMPUTED_VALUE"""),2.946527777777778)</f>
        <v>2.946527778</v>
      </c>
      <c r="K33" s="1467">
        <f>IFERROR(__xludf.DUMMYFUNCTION("""COMPUTED_VALUE"""),162350.0)</f>
        <v>162350</v>
      </c>
      <c r="L33" s="1466">
        <f>IFERROR(__xludf.DUMMYFUNCTION("""COMPUTED_VALUE"""),4.907638888888889)</f>
        <v>4.907638889</v>
      </c>
      <c r="M33" s="1469">
        <f>IFERROR(__xludf.DUMMYFUNCTION("""COMPUTED_VALUE"""),449660.0)</f>
        <v>449660</v>
      </c>
      <c r="N33" s="1470">
        <f>IFERROR(__xludf.DUMMYFUNCTION("""COMPUTED_VALUE"""),3.067361111111111)</f>
        <v>3.067361111</v>
      </c>
      <c r="O33" s="1467">
        <f>IFERROR(__xludf.DUMMYFUNCTION("""COMPUTED_VALUE"""),494140.0)</f>
        <v>494140</v>
      </c>
      <c r="P33" s="1518"/>
      <c r="Q33" s="1519"/>
      <c r="R33" s="1518"/>
      <c r="S33" s="1519"/>
      <c r="T33" s="1518"/>
      <c r="U33" s="1519"/>
      <c r="V33" s="1518"/>
      <c r="W33" s="1519"/>
      <c r="X33" s="1518"/>
      <c r="Y33" s="1519"/>
      <c r="Z33" s="1518"/>
      <c r="AA33" s="1519"/>
      <c r="AB33" s="1518"/>
      <c r="AC33" s="1519"/>
      <c r="AD33" s="1466">
        <f>IFERROR(__xludf.DUMMYFUNCTION("""COMPUTED_VALUE"""),33.47847222222222)</f>
        <v>33.47847222</v>
      </c>
      <c r="AE33" s="1474">
        <f>IFERROR(__xludf.DUMMYFUNCTION("""COMPUTED_VALUE"""),2.619995644E12)</f>
        <v>2619995644000</v>
      </c>
      <c r="AF33" s="1466">
        <f>IFERROR(__xludf.DUMMYFUNCTION("""COMPUTED_VALUE"""),33.47847222222222)</f>
        <v>33.47847222</v>
      </c>
      <c r="AG33" s="1474">
        <f>IFERROR(__xludf.DUMMYFUNCTION("""COMPUTED_VALUE"""),2.619995644E12)</f>
        <v>2619995644000</v>
      </c>
      <c r="AH33" s="1466">
        <f>IFERROR(__xludf.DUMMYFUNCTION("""COMPUTED_VALUE"""),33.47847222222222)</f>
        <v>33.47847222</v>
      </c>
      <c r="AI33" s="1474">
        <f>IFERROR(__xludf.DUMMYFUNCTION("""COMPUTED_VALUE"""),2.619995644E12)</f>
        <v>2619995644000</v>
      </c>
      <c r="AJ33" s="1475">
        <f>IFERROR(__xludf.DUMMYFUNCTION("""COMPUTED_VALUE"""),2.946527777777778)</f>
        <v>2.946527778</v>
      </c>
      <c r="AK33" s="1476">
        <f>IFERROR(__xludf.DUMMYFUNCTION("""COMPUTED_VALUE"""),162350.0)</f>
        <v>162350</v>
      </c>
      <c r="AL33" s="1475">
        <f>IFERROR(__xludf.DUMMYFUNCTION("""COMPUTED_VALUE"""),2.946527777777778)</f>
        <v>2.946527778</v>
      </c>
      <c r="AM33" s="1476">
        <f>IFERROR(__xludf.DUMMYFUNCTION("""COMPUTED_VALUE"""),162350.0)</f>
        <v>162350</v>
      </c>
      <c r="AN33" s="1475">
        <f>IFERROR(__xludf.DUMMYFUNCTION("""COMPUTED_VALUE"""),2.946527777777778)</f>
        <v>2.946527778</v>
      </c>
      <c r="AO33" s="1476">
        <f>IFERROR(__xludf.DUMMYFUNCTION("""COMPUTED_VALUE"""),162350.0)</f>
        <v>162350</v>
      </c>
      <c r="AP33" s="1475">
        <f>IFERROR(__xludf.DUMMYFUNCTION("""COMPUTED_VALUE"""),2.946527777777778)</f>
        <v>2.946527778</v>
      </c>
      <c r="AQ33" s="1476">
        <f>IFERROR(__xludf.DUMMYFUNCTION("""COMPUTED_VALUE"""),162350.0)</f>
        <v>162350</v>
      </c>
      <c r="AR33" s="1475">
        <f>IFERROR(__xludf.DUMMYFUNCTION("""COMPUTED_VALUE"""),2.946527777777778)</f>
        <v>2.946527778</v>
      </c>
      <c r="AS33" s="1476">
        <f>IFERROR(__xludf.DUMMYFUNCTION("""COMPUTED_VALUE"""),162360.0)</f>
        <v>162360</v>
      </c>
      <c r="AT33" s="1475">
        <f>IFERROR(__xludf.DUMMYFUNCTION("""COMPUTED_VALUE"""),1314.1847222222223)</f>
        <v>1314.184722</v>
      </c>
      <c r="AU33" s="1476">
        <f>IFERROR(__xludf.DUMMYFUNCTION("""COMPUTED_VALUE"""),8.7E9)</f>
        <v>8700000000</v>
      </c>
      <c r="AV33" s="1475">
        <f>IFERROR(__xludf.DUMMYFUNCTION("""COMPUTED_VALUE"""),674.7680555555555)</f>
        <v>674.7680556</v>
      </c>
      <c r="AW33" s="1476">
        <f>IFERROR(__xludf.DUMMYFUNCTION("""COMPUTED_VALUE"""),8.77E9)</f>
        <v>8770000000</v>
      </c>
      <c r="AX33" s="1518"/>
      <c r="AY33" s="1568"/>
      <c r="AZ33" s="1518"/>
      <c r="BA33" s="1518"/>
      <c r="BB33" s="1477">
        <f>IFERROR(__xludf.DUMMYFUNCTION("""COMPUTED_VALUE"""),2.946527777777778)</f>
        <v>2.946527778</v>
      </c>
      <c r="BC33" s="1478">
        <f>IFERROR(__xludf.DUMMYFUNCTION("""COMPUTED_VALUE"""),162350.0)</f>
        <v>162350</v>
      </c>
      <c r="BD33" s="1477">
        <f>IFERROR(__xludf.DUMMYFUNCTION("""COMPUTED_VALUE"""),2.946527777777778)</f>
        <v>2.946527778</v>
      </c>
      <c r="BE33" s="1478">
        <f>IFERROR(__xludf.DUMMYFUNCTION("""COMPUTED_VALUE"""),162350.0)</f>
        <v>162350</v>
      </c>
      <c r="BF33" s="1477">
        <f>IFERROR(__xludf.DUMMYFUNCTION("""COMPUTED_VALUE"""),2.946527777777778)</f>
        <v>2.946527778</v>
      </c>
      <c r="BG33" s="1478">
        <f>IFERROR(__xludf.DUMMYFUNCTION("""COMPUTED_VALUE"""),162350.0)</f>
        <v>162350</v>
      </c>
      <c r="BH33" s="1477">
        <f>IFERROR(__xludf.DUMMYFUNCTION("""COMPUTED_VALUE"""),61.76875)</f>
        <v>61.76875</v>
      </c>
      <c r="BI33" s="1478">
        <f>IFERROR(__xludf.DUMMYFUNCTION("""COMPUTED_VALUE"""),8.1005E8)</f>
        <v>810050000</v>
      </c>
      <c r="BJ33" s="1518"/>
      <c r="BK33" s="1519"/>
      <c r="BL33" s="1518"/>
      <c r="BM33" s="1519"/>
      <c r="BN33" s="1477">
        <f>IFERROR(__xludf.DUMMYFUNCTION("""COMPUTED_VALUE"""),124.05)</f>
        <v>124.05</v>
      </c>
      <c r="BO33" s="1478">
        <f>IFERROR(__xludf.DUMMYFUNCTION("""COMPUTED_VALUE"""),2.247E10)</f>
        <v>22470000000</v>
      </c>
      <c r="BP33" s="1518"/>
      <c r="BQ33" s="1519"/>
      <c r="BR33" s="1520"/>
      <c r="BS33" s="1519"/>
      <c r="BT33" s="1479">
        <f>IFERROR(__xludf.DUMMYFUNCTION("""COMPUTED_VALUE"""),3.1430555555555557)</f>
        <v>3.143055556</v>
      </c>
      <c r="BU33" s="1480">
        <f>IFERROR(__xludf.DUMMYFUNCTION("""COMPUTED_VALUE"""),1.449E10)</f>
        <v>14490000000</v>
      </c>
      <c r="BV33" s="1520"/>
      <c r="BW33" s="1520"/>
      <c r="BX33" s="1520"/>
      <c r="BY33" s="1520"/>
      <c r="BZ33" s="1520"/>
      <c r="CA33" s="1520"/>
      <c r="CB33" s="1520"/>
      <c r="CC33" s="1519"/>
      <c r="CD33" s="1477">
        <f>IFERROR(__xludf.DUMMYFUNCTION("""COMPUTED_VALUE"""),13.324988425925927)</f>
        <v>13.32498843</v>
      </c>
      <c r="CE33" s="1481">
        <f>IFERROR(__xludf.DUMMYFUNCTION("""COMPUTED_VALUE"""),1.65E12)</f>
        <v>1650000000000</v>
      </c>
      <c r="CF33" s="1527"/>
      <c r="CG33" s="1560"/>
      <c r="CH33" s="1482">
        <f>IFERROR(__xludf.DUMMYFUNCTION("""COMPUTED_VALUE"""),2.946527777777778)</f>
        <v>2.946527778</v>
      </c>
      <c r="CI33" s="1483">
        <f>IFERROR(__xludf.DUMMYFUNCTION("""COMPUTED_VALUE"""),162360.0)</f>
        <v>162360</v>
      </c>
      <c r="CJ33" s="1482">
        <f>IFERROR(__xludf.DUMMYFUNCTION("""COMPUTED_VALUE"""),2.946527777777778)</f>
        <v>2.946527778</v>
      </c>
      <c r="CK33" s="1483">
        <f>IFERROR(__xludf.DUMMYFUNCTION("""COMPUTED_VALUE"""),162360.0)</f>
        <v>162360</v>
      </c>
      <c r="CL33" s="1482">
        <f>IFERROR(__xludf.DUMMYFUNCTION("""COMPUTED_VALUE"""),2.946527777777778)</f>
        <v>2.946527778</v>
      </c>
      <c r="CM33" s="1483">
        <f>IFERROR(__xludf.DUMMYFUNCTION("""COMPUTED_VALUE"""),162360.0)</f>
        <v>162360</v>
      </c>
      <c r="CN33" s="1482">
        <f>IFERROR(__xludf.DUMMYFUNCTION("""COMPUTED_VALUE"""),2.946527777777778)</f>
        <v>2.946527778</v>
      </c>
      <c r="CO33" s="1483">
        <f>IFERROR(__xludf.DUMMYFUNCTION("""COMPUTED_VALUE"""),162360.0)</f>
        <v>162360</v>
      </c>
      <c r="CP33" s="1482">
        <f>IFERROR(__xludf.DUMMYFUNCTION("""COMPUTED_VALUE"""),5.785416666666666)</f>
        <v>5.785416667</v>
      </c>
      <c r="CQ33" s="1483">
        <f>IFERROR(__xludf.DUMMYFUNCTION("""COMPUTED_VALUE"""),494150.0)</f>
        <v>494150</v>
      </c>
      <c r="CR33" s="1518"/>
      <c r="CS33" s="1519"/>
      <c r="CT33" s="1520"/>
      <c r="CU33" s="1519"/>
      <c r="CV33" s="1520"/>
      <c r="CW33" s="1519"/>
      <c r="CX33" s="1520"/>
      <c r="CY33" s="1519"/>
      <c r="CZ33" s="1520"/>
      <c r="DA33" s="1520"/>
      <c r="DB33" s="1520"/>
      <c r="DC33" s="1520"/>
      <c r="DD33" s="1520"/>
      <c r="DE33" s="1519"/>
      <c r="DF33" s="1518"/>
      <c r="DG33" s="1519"/>
      <c r="DH33" s="1518"/>
      <c r="DI33" s="1519"/>
      <c r="DJ33" s="1518"/>
      <c r="DK33" s="1519"/>
      <c r="DL33" s="1570"/>
      <c r="DM33" s="1519"/>
      <c r="DN33" s="1518"/>
      <c r="DO33" s="1519"/>
      <c r="DP33" s="1518"/>
      <c r="DQ33" s="1519"/>
      <c r="DR33" s="1518"/>
      <c r="DS33" s="1519"/>
      <c r="DT33" s="1518"/>
      <c r="DU33" s="1519"/>
      <c r="DV33" s="1520"/>
      <c r="DW33" s="1519"/>
      <c r="DX33" s="1518"/>
      <c r="DY33" s="1519"/>
      <c r="DZ33" s="1518"/>
      <c r="EA33" s="1519"/>
      <c r="EB33" s="1518"/>
      <c r="EC33" s="1519"/>
      <c r="ED33" s="1518"/>
      <c r="EE33" s="1519"/>
      <c r="EF33" s="1518"/>
      <c r="EG33" s="1519"/>
      <c r="EH33" s="1518"/>
      <c r="EI33" s="1519"/>
      <c r="EJ33" s="1562"/>
      <c r="EK33" s="1560"/>
      <c r="EL33" s="1562"/>
      <c r="EM33" s="1560"/>
      <c r="EN33" s="1518"/>
      <c r="EO33" s="1519"/>
      <c r="EP33" s="1518"/>
      <c r="EQ33" s="1519"/>
      <c r="ER33" s="1518"/>
      <c r="ES33" s="1519"/>
      <c r="ET33" s="1518"/>
      <c r="EU33" s="1519"/>
      <c r="EV33" s="1518"/>
      <c r="EW33" s="1519"/>
      <c r="EX33" s="1518"/>
      <c r="EY33" s="1519"/>
      <c r="EZ33" s="1518"/>
      <c r="FA33" s="1519"/>
      <c r="FB33" s="1520"/>
      <c r="FC33" s="1519"/>
      <c r="FD33" s="1520"/>
      <c r="FE33" s="1519"/>
      <c r="FF33" s="1520"/>
      <c r="FG33" s="1519"/>
      <c r="FH33" s="1520"/>
      <c r="FI33" s="1520"/>
      <c r="FJ33" s="1520"/>
      <c r="FK33" s="1519"/>
      <c r="FL33" s="1518"/>
      <c r="FM33" s="1519"/>
      <c r="FN33" s="1571"/>
      <c r="FO33" s="1519"/>
      <c r="FP33" s="1571"/>
      <c r="FQ33" s="1519"/>
      <c r="FR33" s="1571"/>
      <c r="FS33" s="1519"/>
      <c r="FT33" s="1532"/>
      <c r="FU33" s="1519"/>
      <c r="FV33" s="1532"/>
      <c r="FW33" s="1519"/>
      <c r="FX33" s="1572"/>
      <c r="FY33" s="1560"/>
      <c r="FZ33" s="1572"/>
      <c r="GA33" s="1560"/>
      <c r="GB33" s="1572"/>
      <c r="GC33" s="1560"/>
      <c r="GD33" s="1527"/>
      <c r="GE33" s="1560"/>
      <c r="GF33" s="1518"/>
      <c r="GG33" s="1519"/>
      <c r="GH33" s="1518"/>
      <c r="GI33" s="1519"/>
      <c r="GJ33" s="1520"/>
      <c r="GK33" s="1519"/>
      <c r="GL33" s="1518"/>
      <c r="GM33" s="1519"/>
      <c r="GN33" s="1520"/>
      <c r="GO33" s="1519"/>
      <c r="GP33" s="1520"/>
      <c r="GQ33" s="1519"/>
      <c r="GR33" s="1518"/>
      <c r="GS33" s="1519"/>
      <c r="GT33" s="1518"/>
      <c r="GU33" s="1519"/>
      <c r="GV33" s="1520"/>
      <c r="GW33" s="1519"/>
      <c r="GX33" s="1561"/>
      <c r="GY33" s="1527"/>
      <c r="GZ33" s="1518"/>
      <c r="HA33" s="1519"/>
      <c r="HB33" s="1501">
        <f>IFERROR(__xludf.DUMMYFUNCTION("""COMPUTED_VALUE"""),124.05)</f>
        <v>124.05</v>
      </c>
      <c r="HC33" s="1502">
        <f>IFERROR(__xludf.DUMMYFUNCTION("""COMPUTED_VALUE"""),4.86E11)</f>
        <v>486000000000</v>
      </c>
      <c r="HD33" s="1518"/>
      <c r="HE33" s="1519"/>
      <c r="HF33" s="1518"/>
      <c r="HG33" s="1519"/>
      <c r="HH33" s="1518"/>
      <c r="HI33" s="1519"/>
      <c r="HJ33" s="1518"/>
      <c r="HK33" s="1519"/>
      <c r="HL33" s="1518"/>
      <c r="HM33" s="1519"/>
      <c r="HN33" s="1520"/>
      <c r="HO33" s="1519"/>
      <c r="HP33" s="1501">
        <f>IFERROR(__xludf.DUMMYFUNCTION("""COMPUTED_VALUE"""),676.1401851851851)</f>
        <v>676.1401852</v>
      </c>
      <c r="HQ33" s="1502">
        <f>IFERROR(__xludf.DUMMYFUNCTION("""COMPUTED_VALUE"""),1.331E11)</f>
        <v>133100000000</v>
      </c>
      <c r="HR33" s="1518"/>
      <c r="HS33" s="1519"/>
      <c r="HT33" s="1518"/>
      <c r="HU33" s="1519"/>
      <c r="HV33" s="1518"/>
      <c r="HW33" s="1519"/>
      <c r="HX33" s="1518"/>
      <c r="HY33" s="1519"/>
      <c r="HZ33" s="1518"/>
      <c r="IA33" s="1519"/>
      <c r="IB33" s="1518"/>
      <c r="IC33" s="1519"/>
      <c r="ID33" s="1518"/>
      <c r="IE33" s="1519"/>
      <c r="IF33" s="1518"/>
      <c r="IG33" s="1519"/>
      <c r="IH33" s="1518"/>
      <c r="II33" s="1519"/>
      <c r="IJ33" s="1518"/>
      <c r="IK33" s="1519"/>
      <c r="IL33" s="1518"/>
      <c r="IM33" s="1519"/>
      <c r="IN33" s="1518"/>
      <c r="IO33" s="1519"/>
      <c r="IP33" s="1518"/>
      <c r="IQ33" s="1519"/>
      <c r="IR33" s="1518"/>
      <c r="IS33" s="1519"/>
      <c r="IT33" s="1518"/>
      <c r="IU33" s="1519"/>
      <c r="IV33" s="1518"/>
      <c r="IW33" s="1519"/>
      <c r="IX33" s="1518"/>
      <c r="IY33" s="1519"/>
      <c r="IZ33" s="1518"/>
      <c r="JA33" s="1519"/>
      <c r="JB33" s="1518"/>
      <c r="JC33" s="1519"/>
      <c r="JD33" s="1518"/>
      <c r="JE33" s="1519"/>
      <c r="JF33" s="1518"/>
      <c r="JG33" s="1519"/>
      <c r="JH33" s="1518"/>
      <c r="JI33" s="1519"/>
      <c r="JJ33" s="1562"/>
      <c r="JK33" s="1560"/>
      <c r="JL33" s="1562"/>
      <c r="JM33" s="1560"/>
      <c r="JN33" s="1562"/>
      <c r="JO33" s="1560"/>
      <c r="JP33" s="1562"/>
      <c r="JQ33" s="1560"/>
      <c r="JR33" s="1562"/>
      <c r="JS33" s="1560"/>
      <c r="JT33" s="1562"/>
      <c r="JU33" s="1560"/>
      <c r="JV33" s="1562"/>
      <c r="JW33" s="1560"/>
      <c r="JX33" s="1562"/>
      <c r="JY33" s="1527"/>
      <c r="JZ33" s="1566">
        <f>IFERROR(__xludf.DUMMYFUNCTION("""COMPUTED_VALUE"""),2.949490741)</f>
        <v>2.949490741</v>
      </c>
      <c r="KA33" s="1514">
        <f>IFERROR(__xludf.DUMMYFUNCTION("""COMPUTED_VALUE"""),1.947E10)</f>
        <v>19470000000</v>
      </c>
      <c r="KB33" s="1566">
        <f>IFERROR(__xludf.DUMMYFUNCTION("""COMPUTED_VALUE"""),5.272893519)</f>
        <v>5.272893519</v>
      </c>
      <c r="KC33" s="1567">
        <f>IFERROR(__xludf.DUMMYFUNCTION("""COMPUTED_VALUE"""),8.1E10)</f>
        <v>81000000000</v>
      </c>
      <c r="KD33" s="1562"/>
      <c r="KE33" s="1527"/>
      <c r="KF33" s="1527"/>
      <c r="KG33" s="1527"/>
      <c r="KH33" s="1527"/>
      <c r="KI33" s="1527"/>
      <c r="KJ33" s="1527"/>
      <c r="KK33" s="1527"/>
      <c r="KL33" s="1527"/>
      <c r="KM33" s="1527"/>
      <c r="KN33" s="1527"/>
      <c r="KO33" s="1527"/>
      <c r="KP33" s="1527"/>
      <c r="KQ33" s="1527"/>
      <c r="KR33" s="1527"/>
      <c r="KS33" s="1527"/>
      <c r="KT33" s="1527"/>
      <c r="KU33" s="1527"/>
      <c r="KV33" s="1527"/>
      <c r="KW33" s="1527"/>
      <c r="KX33" s="1527"/>
      <c r="KY33" s="1527"/>
      <c r="KZ33" s="1527"/>
      <c r="LA33" s="1527"/>
      <c r="LB33" s="1527"/>
      <c r="LC33" s="1527"/>
      <c r="LD33" s="1527"/>
      <c r="LE33" s="1527"/>
      <c r="LF33" s="1527"/>
      <c r="LG33" s="1527"/>
      <c r="LH33" s="1527"/>
      <c r="LI33" s="1527"/>
      <c r="LJ33" s="1527"/>
      <c r="LK33" s="1527"/>
      <c r="LL33" s="1527"/>
      <c r="LM33" s="1527"/>
      <c r="LN33" s="1527"/>
      <c r="LO33" s="1527"/>
      <c r="LP33" s="1527"/>
      <c r="LQ33" s="1527"/>
      <c r="LR33" s="1527"/>
      <c r="LS33" s="1527"/>
      <c r="LT33" s="1527"/>
      <c r="LU33" s="1527"/>
      <c r="LV33" s="1527"/>
      <c r="LW33" s="1527"/>
      <c r="LX33" s="1527"/>
      <c r="LY33" s="1527"/>
      <c r="LZ33" s="1527"/>
      <c r="MA33" s="1527"/>
      <c r="MB33" s="1527"/>
      <c r="MC33" s="1527"/>
      <c r="MD33" s="1527"/>
      <c r="ME33" s="1527"/>
      <c r="MF33" s="1527"/>
      <c r="MG33" s="1527"/>
      <c r="MH33" s="1527"/>
      <c r="MI33" s="1527"/>
      <c r="MJ33" s="1527"/>
      <c r="MK33" s="1527"/>
      <c r="ML33" s="1527"/>
      <c r="MM33" s="1527"/>
      <c r="MN33" s="1527"/>
      <c r="MO33" s="1527"/>
      <c r="MP33" s="1527"/>
      <c r="MQ33" s="1527"/>
      <c r="MR33" s="1527"/>
      <c r="MS33" s="1527"/>
      <c r="MT33" s="1527"/>
      <c r="MU33" s="1527"/>
      <c r="MV33" s="1527"/>
      <c r="MW33" s="1527"/>
      <c r="MX33" s="1527"/>
      <c r="MY33" s="1527"/>
    </row>
    <row r="34">
      <c r="A34" s="1465">
        <f>IFERROR(__xludf.DUMMYFUNCTION("""COMPUTED_VALUE"""),32.0)</f>
        <v>32</v>
      </c>
      <c r="B34" s="1518"/>
      <c r="C34" s="1520"/>
      <c r="D34" s="1466">
        <f>IFERROR(__xludf.DUMMYFUNCTION("""COMPUTED_VALUE"""),3.182638888888889)</f>
        <v>3.182638889</v>
      </c>
      <c r="E34" s="1467">
        <f>IFERROR(__xludf.DUMMYFUNCTION("""COMPUTED_VALUE"""),177620.0)</f>
        <v>177620</v>
      </c>
      <c r="F34" s="1466">
        <f>IFERROR(__xludf.DUMMYFUNCTION("""COMPUTED_VALUE"""),3.182638888888889)</f>
        <v>3.182638889</v>
      </c>
      <c r="G34" s="1467">
        <f>IFERROR(__xludf.DUMMYFUNCTION("""COMPUTED_VALUE"""),177620.0)</f>
        <v>177620</v>
      </c>
      <c r="H34" s="1466">
        <f>IFERROR(__xludf.DUMMYFUNCTION("""COMPUTED_VALUE"""),3.182638888888889)</f>
        <v>3.182638889</v>
      </c>
      <c r="I34" s="1467">
        <f>IFERROR(__xludf.DUMMYFUNCTION("""COMPUTED_VALUE"""),177620.0)</f>
        <v>177620</v>
      </c>
      <c r="J34" s="1466">
        <f>IFERROR(__xludf.DUMMYFUNCTION("""COMPUTED_VALUE"""),3.182638888888889)</f>
        <v>3.182638889</v>
      </c>
      <c r="K34" s="1467">
        <f>IFERROR(__xludf.DUMMYFUNCTION("""COMPUTED_VALUE"""),177620.0)</f>
        <v>177620</v>
      </c>
      <c r="L34" s="1466">
        <f>IFERROR(__xludf.DUMMYFUNCTION("""COMPUTED_VALUE"""),5.326388888888889)</f>
        <v>5.326388889</v>
      </c>
      <c r="M34" s="1469">
        <f>IFERROR(__xludf.DUMMYFUNCTION("""COMPUTED_VALUE"""),496070.0)</f>
        <v>496070</v>
      </c>
      <c r="N34" s="1470">
        <f>IFERROR(__xludf.DUMMYFUNCTION("""COMPUTED_VALUE"""),3.2875)</f>
        <v>3.2875</v>
      </c>
      <c r="O34" s="1467">
        <f>IFERROR(__xludf.DUMMYFUNCTION("""COMPUTED_VALUE"""),546930.0)</f>
        <v>546930</v>
      </c>
      <c r="P34" s="1518"/>
      <c r="Q34" s="1519"/>
      <c r="R34" s="1518"/>
      <c r="S34" s="1519"/>
      <c r="T34" s="1518"/>
      <c r="U34" s="1519"/>
      <c r="V34" s="1518"/>
      <c r="W34" s="1519"/>
      <c r="X34" s="1518"/>
      <c r="Y34" s="1519"/>
      <c r="Z34" s="1518"/>
      <c r="AA34" s="1519"/>
      <c r="AB34" s="1518"/>
      <c r="AC34" s="1519"/>
      <c r="AD34" s="1466">
        <f>IFERROR(__xludf.DUMMYFUNCTION("""COMPUTED_VALUE"""),34.55833333333333)</f>
        <v>34.55833333</v>
      </c>
      <c r="AE34" s="1474">
        <f>IFERROR(__xludf.DUMMYFUNCTION("""COMPUTED_VALUE"""),3.405994337E12)</f>
        <v>3405994337000</v>
      </c>
      <c r="AF34" s="1466">
        <f>IFERROR(__xludf.DUMMYFUNCTION("""COMPUTED_VALUE"""),34.55833333333333)</f>
        <v>34.55833333</v>
      </c>
      <c r="AG34" s="1474">
        <f>IFERROR(__xludf.DUMMYFUNCTION("""COMPUTED_VALUE"""),3.405994337E12)</f>
        <v>3405994337000</v>
      </c>
      <c r="AH34" s="1466">
        <f>IFERROR(__xludf.DUMMYFUNCTION("""COMPUTED_VALUE"""),34.55833333333333)</f>
        <v>34.55833333</v>
      </c>
      <c r="AI34" s="1474">
        <f>IFERROR(__xludf.DUMMYFUNCTION("""COMPUTED_VALUE"""),3.405994337E12)</f>
        <v>3405994337000</v>
      </c>
      <c r="AJ34" s="1475">
        <f>IFERROR(__xludf.DUMMYFUNCTION("""COMPUTED_VALUE"""),3.182638888888889)</f>
        <v>3.182638889</v>
      </c>
      <c r="AK34" s="1476">
        <f>IFERROR(__xludf.DUMMYFUNCTION("""COMPUTED_VALUE"""),177620.0)</f>
        <v>177620</v>
      </c>
      <c r="AL34" s="1475">
        <f>IFERROR(__xludf.DUMMYFUNCTION("""COMPUTED_VALUE"""),3.182638888888889)</f>
        <v>3.182638889</v>
      </c>
      <c r="AM34" s="1476">
        <f>IFERROR(__xludf.DUMMYFUNCTION("""COMPUTED_VALUE"""),177620.0)</f>
        <v>177620</v>
      </c>
      <c r="AN34" s="1475">
        <f>IFERROR(__xludf.DUMMYFUNCTION("""COMPUTED_VALUE"""),3.182638888888889)</f>
        <v>3.182638889</v>
      </c>
      <c r="AO34" s="1476">
        <f>IFERROR(__xludf.DUMMYFUNCTION("""COMPUTED_VALUE"""),177620.0)</f>
        <v>177620</v>
      </c>
      <c r="AP34" s="1475">
        <f>IFERROR(__xludf.DUMMYFUNCTION("""COMPUTED_VALUE"""),3.182638888888889)</f>
        <v>3.182638889</v>
      </c>
      <c r="AQ34" s="1476">
        <f>IFERROR(__xludf.DUMMYFUNCTION("""COMPUTED_VALUE"""),177620.0)</f>
        <v>177620</v>
      </c>
      <c r="AR34" s="1475">
        <f>IFERROR(__xludf.DUMMYFUNCTION("""COMPUTED_VALUE"""),3.182638888888889)</f>
        <v>3.182638889</v>
      </c>
      <c r="AS34" s="1476">
        <f>IFERROR(__xludf.DUMMYFUNCTION("""COMPUTED_VALUE"""),177630.0)</f>
        <v>177630</v>
      </c>
      <c r="AT34" s="1475">
        <f>IFERROR(__xludf.DUMMYFUNCTION("""COMPUTED_VALUE"""),1506.070138888889)</f>
        <v>1506.070139</v>
      </c>
      <c r="AU34" s="1476">
        <f>IFERROR(__xludf.DUMMYFUNCTION("""COMPUTED_VALUE"""),1.023E10)</f>
        <v>10230000000</v>
      </c>
      <c r="AV34" s="1475">
        <f>IFERROR(__xludf.DUMMYFUNCTION("""COMPUTED_VALUE"""),767.3201388888889)</f>
        <v>767.3201389</v>
      </c>
      <c r="AW34" s="1476">
        <f>IFERROR(__xludf.DUMMYFUNCTION("""COMPUTED_VALUE"""),1.023E10)</f>
        <v>10230000000</v>
      </c>
      <c r="AX34" s="1518"/>
      <c r="AY34" s="1568"/>
      <c r="AZ34" s="1518"/>
      <c r="BA34" s="1518"/>
      <c r="BB34" s="1477">
        <f>IFERROR(__xludf.DUMMYFUNCTION("""COMPUTED_VALUE"""),3.182638888888889)</f>
        <v>3.182638889</v>
      </c>
      <c r="BC34" s="1478">
        <f>IFERROR(__xludf.DUMMYFUNCTION("""COMPUTED_VALUE"""),177620.0)</f>
        <v>177620</v>
      </c>
      <c r="BD34" s="1477">
        <f>IFERROR(__xludf.DUMMYFUNCTION("""COMPUTED_VALUE"""),3.182638888888889)</f>
        <v>3.182638889</v>
      </c>
      <c r="BE34" s="1478">
        <f>IFERROR(__xludf.DUMMYFUNCTION("""COMPUTED_VALUE"""),177620.0)</f>
        <v>177620</v>
      </c>
      <c r="BF34" s="1477">
        <f>IFERROR(__xludf.DUMMYFUNCTION("""COMPUTED_VALUE"""),3.182638888888889)</f>
        <v>3.182638889</v>
      </c>
      <c r="BG34" s="1478">
        <f>IFERROR(__xludf.DUMMYFUNCTION("""COMPUTED_VALUE"""),177620.0)</f>
        <v>177620</v>
      </c>
      <c r="BH34" s="1477">
        <f>IFERROR(__xludf.DUMMYFUNCTION("""COMPUTED_VALUE"""),68.73819444444445)</f>
        <v>68.73819444</v>
      </c>
      <c r="BI34" s="1478">
        <f>IFERROR(__xludf.DUMMYFUNCTION("""COMPUTED_VALUE"""),9.2357E8)</f>
        <v>923570000</v>
      </c>
      <c r="BJ34" s="1518"/>
      <c r="BK34" s="1519"/>
      <c r="BL34" s="1518"/>
      <c r="BM34" s="1519"/>
      <c r="BN34" s="1477">
        <f>IFERROR(__xludf.DUMMYFUNCTION("""COMPUTED_VALUE"""),138.75972222222222)</f>
        <v>138.7597222</v>
      </c>
      <c r="BO34" s="1478">
        <f>IFERROR(__xludf.DUMMYFUNCTION("""COMPUTED_VALUE"""),2.587E10)</f>
        <v>25870000000</v>
      </c>
      <c r="BP34" s="1518"/>
      <c r="BQ34" s="1519"/>
      <c r="BR34" s="1520"/>
      <c r="BS34" s="1519"/>
      <c r="BT34" s="1479">
        <f>IFERROR(__xludf.DUMMYFUNCTION("""COMPUTED_VALUE"""),3.3777777777777778)</f>
        <v>3.377777778</v>
      </c>
      <c r="BU34" s="1480">
        <f>IFERROR(__xludf.DUMMYFUNCTION("""COMPUTED_VALUE"""),1.555E10)</f>
        <v>15550000000</v>
      </c>
      <c r="BV34" s="1520"/>
      <c r="BW34" s="1520"/>
      <c r="BX34" s="1520"/>
      <c r="BY34" s="1520"/>
      <c r="BZ34" s="1520"/>
      <c r="CA34" s="1520"/>
      <c r="CB34" s="1520"/>
      <c r="CC34" s="1519"/>
      <c r="CD34" s="1477">
        <f>IFERROR(__xludf.DUMMYFUNCTION("""COMPUTED_VALUE"""),14.159085648148148)</f>
        <v>14.15908565</v>
      </c>
      <c r="CE34" s="1481">
        <f>IFERROR(__xludf.DUMMYFUNCTION("""COMPUTED_VALUE"""),1.79E12)</f>
        <v>1790000000000</v>
      </c>
      <c r="CF34" s="1527"/>
      <c r="CG34" s="1560"/>
      <c r="CH34" s="1482">
        <f>IFERROR(__xludf.DUMMYFUNCTION("""COMPUTED_VALUE"""),3.182638888888889)</f>
        <v>3.182638889</v>
      </c>
      <c r="CI34" s="1483">
        <f>IFERROR(__xludf.DUMMYFUNCTION("""COMPUTED_VALUE"""),177630.0)</f>
        <v>177630</v>
      </c>
      <c r="CJ34" s="1482">
        <f>IFERROR(__xludf.DUMMYFUNCTION("""COMPUTED_VALUE"""),3.182638888888889)</f>
        <v>3.182638889</v>
      </c>
      <c r="CK34" s="1483">
        <f>IFERROR(__xludf.DUMMYFUNCTION("""COMPUTED_VALUE"""),177630.0)</f>
        <v>177630</v>
      </c>
      <c r="CL34" s="1482">
        <f>IFERROR(__xludf.DUMMYFUNCTION("""COMPUTED_VALUE"""),3.182638888888889)</f>
        <v>3.182638889</v>
      </c>
      <c r="CM34" s="1483">
        <f>IFERROR(__xludf.DUMMYFUNCTION("""COMPUTED_VALUE"""),177630.0)</f>
        <v>177630</v>
      </c>
      <c r="CN34" s="1482">
        <f>IFERROR(__xludf.DUMMYFUNCTION("""COMPUTED_VALUE"""),3.182638888888889)</f>
        <v>3.182638889</v>
      </c>
      <c r="CO34" s="1483">
        <f>IFERROR(__xludf.DUMMYFUNCTION("""COMPUTED_VALUE"""),177630.0)</f>
        <v>177630</v>
      </c>
      <c r="CP34" s="1482">
        <f>IFERROR(__xludf.DUMMYFUNCTION("""COMPUTED_VALUE"""),6.290277777777778)</f>
        <v>6.290277778</v>
      </c>
      <c r="CQ34" s="1483">
        <f>IFERROR(__xludf.DUMMYFUNCTION("""COMPUTED_VALUE"""),546940.0)</f>
        <v>546940</v>
      </c>
      <c r="CR34" s="1518"/>
      <c r="CS34" s="1519"/>
      <c r="CT34" s="1520"/>
      <c r="CU34" s="1519"/>
      <c r="CV34" s="1520"/>
      <c r="CW34" s="1519"/>
      <c r="CX34" s="1520"/>
      <c r="CY34" s="1519"/>
      <c r="CZ34" s="1520"/>
      <c r="DA34" s="1520"/>
      <c r="DB34" s="1520"/>
      <c r="DC34" s="1520"/>
      <c r="DD34" s="1520"/>
      <c r="DE34" s="1519"/>
      <c r="DF34" s="1518"/>
      <c r="DG34" s="1519"/>
      <c r="DH34" s="1518"/>
      <c r="DI34" s="1519"/>
      <c r="DJ34" s="1518"/>
      <c r="DK34" s="1519"/>
      <c r="DL34" s="1518"/>
      <c r="DM34" s="1519"/>
      <c r="DN34" s="1518"/>
      <c r="DO34" s="1519"/>
      <c r="DP34" s="1518"/>
      <c r="DQ34" s="1519"/>
      <c r="DR34" s="1518"/>
      <c r="DS34" s="1519"/>
      <c r="DT34" s="1518"/>
      <c r="DU34" s="1519"/>
      <c r="DV34" s="1520"/>
      <c r="DW34" s="1519"/>
      <c r="DX34" s="1518"/>
      <c r="DY34" s="1519"/>
      <c r="DZ34" s="1518"/>
      <c r="EA34" s="1519"/>
      <c r="EB34" s="1518"/>
      <c r="EC34" s="1519"/>
      <c r="ED34" s="1518"/>
      <c r="EE34" s="1519"/>
      <c r="EF34" s="1518"/>
      <c r="EG34" s="1519"/>
      <c r="EH34" s="1518"/>
      <c r="EI34" s="1519"/>
      <c r="EJ34" s="1562"/>
      <c r="EK34" s="1560"/>
      <c r="EL34" s="1562"/>
      <c r="EM34" s="1560"/>
      <c r="EN34" s="1518"/>
      <c r="EO34" s="1519"/>
      <c r="EP34" s="1518"/>
      <c r="EQ34" s="1519"/>
      <c r="ER34" s="1518"/>
      <c r="ES34" s="1519"/>
      <c r="ET34" s="1518"/>
      <c r="EU34" s="1519"/>
      <c r="EV34" s="1518"/>
      <c r="EW34" s="1519"/>
      <c r="EX34" s="1518"/>
      <c r="EY34" s="1519"/>
      <c r="EZ34" s="1518"/>
      <c r="FA34" s="1519"/>
      <c r="FB34" s="1520"/>
      <c r="FC34" s="1519"/>
      <c r="FD34" s="1520"/>
      <c r="FE34" s="1519"/>
      <c r="FF34" s="1520"/>
      <c r="FG34" s="1519"/>
      <c r="FH34" s="1520"/>
      <c r="FI34" s="1520"/>
      <c r="FJ34" s="1520"/>
      <c r="FK34" s="1519"/>
      <c r="FL34" s="1518"/>
      <c r="FM34" s="1519"/>
      <c r="FN34" s="1571"/>
      <c r="FO34" s="1519"/>
      <c r="FP34" s="1571"/>
      <c r="FQ34" s="1519"/>
      <c r="FR34" s="1571"/>
      <c r="FS34" s="1519"/>
      <c r="FT34" s="1532"/>
      <c r="FU34" s="1519"/>
      <c r="FV34" s="1532"/>
      <c r="FW34" s="1519"/>
      <c r="FX34" s="1572"/>
      <c r="FY34" s="1560"/>
      <c r="FZ34" s="1572"/>
      <c r="GA34" s="1560"/>
      <c r="GB34" s="1572"/>
      <c r="GC34" s="1560"/>
      <c r="GD34" s="1527"/>
      <c r="GE34" s="1560"/>
      <c r="GF34" s="1518"/>
      <c r="GG34" s="1519"/>
      <c r="GH34" s="1518"/>
      <c r="GI34" s="1519"/>
      <c r="GJ34" s="1520"/>
      <c r="GK34" s="1519"/>
      <c r="GL34" s="1518"/>
      <c r="GM34" s="1519"/>
      <c r="GN34" s="1520"/>
      <c r="GO34" s="1519"/>
      <c r="GP34" s="1520"/>
      <c r="GQ34" s="1519"/>
      <c r="GR34" s="1518"/>
      <c r="GS34" s="1519"/>
      <c r="GT34" s="1518"/>
      <c r="GU34" s="1519"/>
      <c r="GV34" s="1520"/>
      <c r="GW34" s="1519"/>
      <c r="GX34" s="1561"/>
      <c r="GY34" s="1527"/>
      <c r="GZ34" s="1518"/>
      <c r="HA34" s="1519"/>
      <c r="HB34" s="1501">
        <f>IFERROR(__xludf.DUMMYFUNCTION("""COMPUTED_VALUE"""),138.75972222222222)</f>
        <v>138.7597222</v>
      </c>
      <c r="HC34" s="1502">
        <f>IFERROR(__xludf.DUMMYFUNCTION("""COMPUTED_VALUE"""),5.7259E11)</f>
        <v>572590000000</v>
      </c>
      <c r="HD34" s="1518"/>
      <c r="HE34" s="1519"/>
      <c r="HF34" s="1518"/>
      <c r="HG34" s="1519"/>
      <c r="HH34" s="1518"/>
      <c r="HI34" s="1519"/>
      <c r="HJ34" s="1518"/>
      <c r="HK34" s="1519"/>
      <c r="HL34" s="1518"/>
      <c r="HM34" s="1519"/>
      <c r="HN34" s="1520"/>
      <c r="HO34" s="1519"/>
      <c r="HP34" s="1501">
        <f>IFERROR(__xludf.DUMMYFUNCTION("""COMPUTED_VALUE"""),767.3897569444445)</f>
        <v>767.3897569</v>
      </c>
      <c r="HQ34" s="1502">
        <f>IFERROR(__xludf.DUMMYFUNCTION("""COMPUTED_VALUE"""),1.5426E11)</f>
        <v>154260000000</v>
      </c>
      <c r="HR34" s="1518"/>
      <c r="HS34" s="1519"/>
      <c r="HT34" s="1518"/>
      <c r="HU34" s="1519"/>
      <c r="HV34" s="1518"/>
      <c r="HW34" s="1519"/>
      <c r="HX34" s="1518"/>
      <c r="HY34" s="1519"/>
      <c r="HZ34" s="1518"/>
      <c r="IA34" s="1519"/>
      <c r="IB34" s="1518"/>
      <c r="IC34" s="1519"/>
      <c r="ID34" s="1518"/>
      <c r="IE34" s="1519"/>
      <c r="IF34" s="1518"/>
      <c r="IG34" s="1519"/>
      <c r="IH34" s="1518"/>
      <c r="II34" s="1519"/>
      <c r="IJ34" s="1518"/>
      <c r="IK34" s="1519"/>
      <c r="IL34" s="1518"/>
      <c r="IM34" s="1519"/>
      <c r="IN34" s="1518"/>
      <c r="IO34" s="1519"/>
      <c r="IP34" s="1518"/>
      <c r="IQ34" s="1519"/>
      <c r="IR34" s="1518"/>
      <c r="IS34" s="1519"/>
      <c r="IT34" s="1518"/>
      <c r="IU34" s="1519"/>
      <c r="IV34" s="1518"/>
      <c r="IW34" s="1519"/>
      <c r="IX34" s="1518"/>
      <c r="IY34" s="1519"/>
      <c r="IZ34" s="1518"/>
      <c r="JA34" s="1519"/>
      <c r="JB34" s="1518"/>
      <c r="JC34" s="1519"/>
      <c r="JD34" s="1518"/>
      <c r="JE34" s="1519"/>
      <c r="JF34" s="1518"/>
      <c r="JG34" s="1519"/>
      <c r="JH34" s="1518"/>
      <c r="JI34" s="1519"/>
      <c r="JJ34" s="1562"/>
      <c r="JK34" s="1560"/>
      <c r="JL34" s="1562"/>
      <c r="JM34" s="1560"/>
      <c r="JN34" s="1562"/>
      <c r="JO34" s="1560"/>
      <c r="JP34" s="1562"/>
      <c r="JQ34" s="1560"/>
      <c r="JR34" s="1562"/>
      <c r="JS34" s="1560"/>
      <c r="JT34" s="1562"/>
      <c r="JU34" s="1560"/>
      <c r="JV34" s="1562"/>
      <c r="JW34" s="1560"/>
      <c r="JX34" s="1562"/>
      <c r="JY34" s="1527"/>
      <c r="JZ34" s="1566">
        <f>IFERROR(__xludf.DUMMYFUNCTION("""COMPUTED_VALUE"""),3.017569444)</f>
        <v>3.017569444</v>
      </c>
      <c r="KA34" s="1514">
        <f>IFERROR(__xludf.DUMMYFUNCTION("""COMPUTED_VALUE"""),2.127E10)</f>
        <v>21270000000</v>
      </c>
      <c r="KB34" s="1566">
        <f>IFERROR(__xludf.DUMMYFUNCTION("""COMPUTED_VALUE"""),5.540324074)</f>
        <v>5.540324074</v>
      </c>
      <c r="KC34" s="1567">
        <f>IFERROR(__xludf.DUMMYFUNCTION("""COMPUTED_VALUE"""),8.933E10)</f>
        <v>89330000000</v>
      </c>
      <c r="KD34" s="1562"/>
      <c r="KE34" s="1527"/>
      <c r="KF34" s="1527"/>
      <c r="KG34" s="1527"/>
      <c r="KH34" s="1527"/>
      <c r="KI34" s="1527"/>
      <c r="KJ34" s="1527"/>
      <c r="KK34" s="1527"/>
      <c r="KL34" s="1527"/>
      <c r="KM34" s="1527"/>
      <c r="KN34" s="1527"/>
      <c r="KO34" s="1527"/>
      <c r="KP34" s="1527"/>
      <c r="KQ34" s="1527"/>
      <c r="KR34" s="1527"/>
      <c r="KS34" s="1527"/>
      <c r="KT34" s="1527"/>
      <c r="KU34" s="1527"/>
      <c r="KV34" s="1527"/>
      <c r="KW34" s="1527"/>
      <c r="KX34" s="1527"/>
      <c r="KY34" s="1527"/>
      <c r="KZ34" s="1527"/>
      <c r="LA34" s="1527"/>
      <c r="LB34" s="1527"/>
      <c r="LC34" s="1527"/>
      <c r="LD34" s="1527"/>
      <c r="LE34" s="1527"/>
      <c r="LF34" s="1527"/>
      <c r="LG34" s="1527"/>
      <c r="LH34" s="1527"/>
      <c r="LI34" s="1527"/>
      <c r="LJ34" s="1527"/>
      <c r="LK34" s="1527"/>
      <c r="LL34" s="1527"/>
      <c r="LM34" s="1527"/>
      <c r="LN34" s="1527"/>
      <c r="LO34" s="1527"/>
      <c r="LP34" s="1527"/>
      <c r="LQ34" s="1527"/>
      <c r="LR34" s="1527"/>
      <c r="LS34" s="1527"/>
      <c r="LT34" s="1527"/>
      <c r="LU34" s="1527"/>
      <c r="LV34" s="1527"/>
      <c r="LW34" s="1527"/>
      <c r="LX34" s="1527"/>
      <c r="LY34" s="1527"/>
      <c r="LZ34" s="1527"/>
      <c r="MA34" s="1527"/>
      <c r="MB34" s="1527"/>
      <c r="MC34" s="1527"/>
      <c r="MD34" s="1527"/>
      <c r="ME34" s="1527"/>
      <c r="MF34" s="1527"/>
      <c r="MG34" s="1527"/>
      <c r="MH34" s="1527"/>
      <c r="MI34" s="1527"/>
      <c r="MJ34" s="1527"/>
      <c r="MK34" s="1527"/>
      <c r="ML34" s="1527"/>
      <c r="MM34" s="1527"/>
      <c r="MN34" s="1527"/>
      <c r="MO34" s="1527"/>
      <c r="MP34" s="1527"/>
      <c r="MQ34" s="1527"/>
      <c r="MR34" s="1527"/>
      <c r="MS34" s="1527"/>
      <c r="MT34" s="1527"/>
      <c r="MU34" s="1527"/>
      <c r="MV34" s="1527"/>
      <c r="MW34" s="1527"/>
      <c r="MX34" s="1527"/>
      <c r="MY34" s="1527"/>
    </row>
    <row r="35">
      <c r="A35" s="1465">
        <f>IFERROR(__xludf.DUMMYFUNCTION("""COMPUTED_VALUE"""),33.0)</f>
        <v>33</v>
      </c>
      <c r="B35" s="1518"/>
      <c r="C35" s="1520"/>
      <c r="D35" s="1466">
        <f>IFERROR(__xludf.DUMMYFUNCTION("""COMPUTED_VALUE"""),3.4291666666666667)</f>
        <v>3.429166667</v>
      </c>
      <c r="E35" s="1467">
        <f>IFERROR(__xludf.DUMMYFUNCTION("""COMPUTED_VALUE"""),193780.0)</f>
        <v>193780</v>
      </c>
      <c r="F35" s="1466">
        <f>IFERROR(__xludf.DUMMYFUNCTION("""COMPUTED_VALUE"""),3.4291666666666667)</f>
        <v>3.429166667</v>
      </c>
      <c r="G35" s="1467">
        <f>IFERROR(__xludf.DUMMYFUNCTION("""COMPUTED_VALUE"""),193780.0)</f>
        <v>193780</v>
      </c>
      <c r="H35" s="1466">
        <f>IFERROR(__xludf.DUMMYFUNCTION("""COMPUTED_VALUE"""),3.4291666666666667)</f>
        <v>3.429166667</v>
      </c>
      <c r="I35" s="1467">
        <f>IFERROR(__xludf.DUMMYFUNCTION("""COMPUTED_VALUE"""),193780.0)</f>
        <v>193780</v>
      </c>
      <c r="J35" s="1466">
        <f>IFERROR(__xludf.DUMMYFUNCTION("""COMPUTED_VALUE"""),3.4291666666666667)</f>
        <v>3.429166667</v>
      </c>
      <c r="K35" s="1467">
        <f>IFERROR(__xludf.DUMMYFUNCTION("""COMPUTED_VALUE"""),193780.0)</f>
        <v>193780</v>
      </c>
      <c r="L35" s="1466">
        <f>IFERROR(__xludf.DUMMYFUNCTION("""COMPUTED_VALUE"""),5.7659722222222225)</f>
        <v>5.765972222</v>
      </c>
      <c r="M35" s="1469">
        <f>IFERROR(__xludf.DUMMYFUNCTION("""COMPUTED_VALUE"""),545500.0)</f>
        <v>545500</v>
      </c>
      <c r="N35" s="1470">
        <f>IFERROR(__xludf.DUMMYFUNCTION("""COMPUTED_VALUE"""),3.515972222222222)</f>
        <v>3.515972222</v>
      </c>
      <c r="O35" s="1467">
        <f>IFERROR(__xludf.DUMMYFUNCTION("""COMPUTED_VALUE"""),603430.0)</f>
        <v>603430</v>
      </c>
      <c r="P35" s="1518"/>
      <c r="Q35" s="1519"/>
      <c r="R35" s="1518"/>
      <c r="S35" s="1519"/>
      <c r="T35" s="1518"/>
      <c r="U35" s="1519"/>
      <c r="V35" s="1518"/>
      <c r="W35" s="1519"/>
      <c r="X35" s="1518"/>
      <c r="Y35" s="1519"/>
      <c r="Z35" s="1518"/>
      <c r="AA35" s="1519"/>
      <c r="AB35" s="1518"/>
      <c r="AC35" s="1519"/>
      <c r="AD35" s="1466">
        <f>IFERROR(__xludf.DUMMYFUNCTION("""COMPUTED_VALUE"""),35.638194444444444)</f>
        <v>35.63819444</v>
      </c>
      <c r="AE35" s="1474">
        <f>IFERROR(__xludf.DUMMYFUNCTION("""COMPUTED_VALUE"""),4.427792638E12)</f>
        <v>4427792638000</v>
      </c>
      <c r="AF35" s="1466">
        <f>IFERROR(__xludf.DUMMYFUNCTION("""COMPUTED_VALUE"""),35.638194444444444)</f>
        <v>35.63819444</v>
      </c>
      <c r="AG35" s="1474">
        <f>IFERROR(__xludf.DUMMYFUNCTION("""COMPUTED_VALUE"""),4.427792638E12)</f>
        <v>4427792638000</v>
      </c>
      <c r="AH35" s="1466">
        <f>IFERROR(__xludf.DUMMYFUNCTION("""COMPUTED_VALUE"""),35.638194444444444)</f>
        <v>35.63819444</v>
      </c>
      <c r="AI35" s="1474">
        <f>IFERROR(__xludf.DUMMYFUNCTION("""COMPUTED_VALUE"""),4.427792638E12)</f>
        <v>4427792638000</v>
      </c>
      <c r="AJ35" s="1475">
        <f>IFERROR(__xludf.DUMMYFUNCTION("""COMPUTED_VALUE"""),3.4291666666666667)</f>
        <v>3.429166667</v>
      </c>
      <c r="AK35" s="1476">
        <f>IFERROR(__xludf.DUMMYFUNCTION("""COMPUTED_VALUE"""),193780.0)</f>
        <v>193780</v>
      </c>
      <c r="AL35" s="1475">
        <f>IFERROR(__xludf.DUMMYFUNCTION("""COMPUTED_VALUE"""),3.4291666666666667)</f>
        <v>3.429166667</v>
      </c>
      <c r="AM35" s="1476">
        <f>IFERROR(__xludf.DUMMYFUNCTION("""COMPUTED_VALUE"""),193780.0)</f>
        <v>193780</v>
      </c>
      <c r="AN35" s="1475">
        <f>IFERROR(__xludf.DUMMYFUNCTION("""COMPUTED_VALUE"""),3.4291666666666667)</f>
        <v>3.429166667</v>
      </c>
      <c r="AO35" s="1476">
        <f>IFERROR(__xludf.DUMMYFUNCTION("""COMPUTED_VALUE"""),193780.0)</f>
        <v>193780</v>
      </c>
      <c r="AP35" s="1475">
        <f>IFERROR(__xludf.DUMMYFUNCTION("""COMPUTED_VALUE"""),3.4291666666666667)</f>
        <v>3.429166667</v>
      </c>
      <c r="AQ35" s="1476">
        <f>IFERROR(__xludf.DUMMYFUNCTION("""COMPUTED_VALUE"""),193780.0)</f>
        <v>193780</v>
      </c>
      <c r="AR35" s="1475">
        <f>IFERROR(__xludf.DUMMYFUNCTION("""COMPUTED_VALUE"""),3.4298611111111112)</f>
        <v>3.429861111</v>
      </c>
      <c r="AS35" s="1476">
        <f>IFERROR(__xludf.DUMMYFUNCTION("""COMPUTED_VALUE"""),193790.0)</f>
        <v>193790</v>
      </c>
      <c r="AT35" s="1475">
        <f>IFERROR(__xludf.DUMMYFUNCTION("""COMPUTED_VALUE"""),1718.75625)</f>
        <v>1718.75625</v>
      </c>
      <c r="AU35" s="1476">
        <f>IFERROR(__xludf.DUMMYFUNCTION("""COMPUTED_VALUE"""),1.187E10)</f>
        <v>11870000000</v>
      </c>
      <c r="AV35" s="1475">
        <f>IFERROR(__xludf.DUMMYFUNCTION("""COMPUTED_VALUE"""),869.2159722222223)</f>
        <v>869.2159722</v>
      </c>
      <c r="AW35" s="1476">
        <f>IFERROR(__xludf.DUMMYFUNCTION("""COMPUTED_VALUE"""),1.187E10)</f>
        <v>11870000000</v>
      </c>
      <c r="AX35" s="1518"/>
      <c r="AY35" s="1568"/>
      <c r="AZ35" s="1518"/>
      <c r="BA35" s="1518"/>
      <c r="BB35" s="1477">
        <f>IFERROR(__xludf.DUMMYFUNCTION("""COMPUTED_VALUE"""),3.4291666666666667)</f>
        <v>3.429166667</v>
      </c>
      <c r="BC35" s="1478">
        <f>IFERROR(__xludf.DUMMYFUNCTION("""COMPUTED_VALUE"""),193780.0)</f>
        <v>193780</v>
      </c>
      <c r="BD35" s="1477">
        <f>IFERROR(__xludf.DUMMYFUNCTION("""COMPUTED_VALUE"""),3.4291666666666667)</f>
        <v>3.429166667</v>
      </c>
      <c r="BE35" s="1478">
        <f>IFERROR(__xludf.DUMMYFUNCTION("""COMPUTED_VALUE"""),193780.0)</f>
        <v>193780</v>
      </c>
      <c r="BF35" s="1477">
        <f>IFERROR(__xludf.DUMMYFUNCTION("""COMPUTED_VALUE"""),3.4291666666666667)</f>
        <v>3.429166667</v>
      </c>
      <c r="BG35" s="1478">
        <f>IFERROR(__xludf.DUMMYFUNCTION("""COMPUTED_VALUE"""),193780.0)</f>
        <v>193780</v>
      </c>
      <c r="BH35" s="1477">
        <f>IFERROR(__xludf.DUMMYFUNCTION("""COMPUTED_VALUE"""),76.24166666666666)</f>
        <v>76.24166667</v>
      </c>
      <c r="BI35" s="1478">
        <f>IFERROR(__xludf.DUMMYFUNCTION("""COMPUTED_VALUE"""),1.05E9)</f>
        <v>1050000000</v>
      </c>
      <c r="BJ35" s="1518"/>
      <c r="BK35" s="1519"/>
      <c r="BL35" s="1518"/>
      <c r="BM35" s="1519"/>
      <c r="BN35" s="1477">
        <f>IFERROR(__xludf.DUMMYFUNCTION("""COMPUTED_VALUE"""),154.6923611111111)</f>
        <v>154.6923611</v>
      </c>
      <c r="BO35" s="1478">
        <f>IFERROR(__xludf.DUMMYFUNCTION("""COMPUTED_VALUE"""),2.966E10)</f>
        <v>29660000000</v>
      </c>
      <c r="BP35" s="1518"/>
      <c r="BQ35" s="1519"/>
      <c r="BR35" s="1520"/>
      <c r="BS35" s="1519"/>
      <c r="BT35" s="1479">
        <f>IFERROR(__xludf.DUMMYFUNCTION("""COMPUTED_VALUE"""),3.6236111111111113)</f>
        <v>3.623611111</v>
      </c>
      <c r="BU35" s="1480">
        <f>IFERROR(__xludf.DUMMYFUNCTION("""COMPUTED_VALUE"""),1.667E10)</f>
        <v>16670000000</v>
      </c>
      <c r="BV35" s="1520"/>
      <c r="BW35" s="1520"/>
      <c r="BX35" s="1520"/>
      <c r="BY35" s="1520"/>
      <c r="BZ35" s="1520"/>
      <c r="CA35" s="1520"/>
      <c r="CB35" s="1520"/>
      <c r="CC35" s="1519"/>
      <c r="CD35" s="1477">
        <f>IFERROR(__xludf.DUMMYFUNCTION("""COMPUTED_VALUE"""),15.034328703703704)</f>
        <v>15.0343287</v>
      </c>
      <c r="CE35" s="1481">
        <f>IFERROR(__xludf.DUMMYFUNCTION("""COMPUTED_VALUE"""),1.94E12)</f>
        <v>1940000000000</v>
      </c>
      <c r="CF35" s="1527"/>
      <c r="CG35" s="1560"/>
      <c r="CH35" s="1482">
        <f>IFERROR(__xludf.DUMMYFUNCTION("""COMPUTED_VALUE"""),3.4298611111111112)</f>
        <v>3.429861111</v>
      </c>
      <c r="CI35" s="1483">
        <f>IFERROR(__xludf.DUMMYFUNCTION("""COMPUTED_VALUE"""),193790.0)</f>
        <v>193790</v>
      </c>
      <c r="CJ35" s="1482">
        <f>IFERROR(__xludf.DUMMYFUNCTION("""COMPUTED_VALUE"""),3.4298611111111112)</f>
        <v>3.429861111</v>
      </c>
      <c r="CK35" s="1483">
        <f>IFERROR(__xludf.DUMMYFUNCTION("""COMPUTED_VALUE"""),193790.0)</f>
        <v>193790</v>
      </c>
      <c r="CL35" s="1482">
        <f>IFERROR(__xludf.DUMMYFUNCTION("""COMPUTED_VALUE"""),3.4298611111111112)</f>
        <v>3.429861111</v>
      </c>
      <c r="CM35" s="1483">
        <f>IFERROR(__xludf.DUMMYFUNCTION("""COMPUTED_VALUE"""),193790.0)</f>
        <v>193790</v>
      </c>
      <c r="CN35" s="1482">
        <f>IFERROR(__xludf.DUMMYFUNCTION("""COMPUTED_VALUE"""),3.4298611111111112)</f>
        <v>3.429861111</v>
      </c>
      <c r="CO35" s="1483">
        <f>IFERROR(__xludf.DUMMYFUNCTION("""COMPUTED_VALUE"""),193790.0)</f>
        <v>193790</v>
      </c>
      <c r="CP35" s="1482">
        <f>IFERROR(__xludf.DUMMYFUNCTION("""COMPUTED_VALUE"""),6.822222222222223)</f>
        <v>6.822222222</v>
      </c>
      <c r="CQ35" s="1483">
        <f>IFERROR(__xludf.DUMMYFUNCTION("""COMPUTED_VALUE"""),603440.0)</f>
        <v>603440</v>
      </c>
      <c r="CR35" s="1518"/>
      <c r="CS35" s="1519"/>
      <c r="CT35" s="1520"/>
      <c r="CU35" s="1519"/>
      <c r="CV35" s="1520"/>
      <c r="CW35" s="1519"/>
      <c r="CX35" s="1520"/>
      <c r="CY35" s="1519"/>
      <c r="CZ35" s="1520"/>
      <c r="DA35" s="1520"/>
      <c r="DB35" s="1520"/>
      <c r="DC35" s="1520"/>
      <c r="DD35" s="1520"/>
      <c r="DE35" s="1519"/>
      <c r="DF35" s="1518"/>
      <c r="DG35" s="1519"/>
      <c r="DH35" s="1518"/>
      <c r="DI35" s="1519"/>
      <c r="DJ35" s="1518"/>
      <c r="DK35" s="1519"/>
      <c r="DL35" s="1518"/>
      <c r="DM35" s="1519"/>
      <c r="DN35" s="1518"/>
      <c r="DO35" s="1519"/>
      <c r="DP35" s="1518"/>
      <c r="DQ35" s="1519"/>
      <c r="DR35" s="1518"/>
      <c r="DS35" s="1519"/>
      <c r="DT35" s="1518"/>
      <c r="DU35" s="1519"/>
      <c r="DV35" s="1520"/>
      <c r="DW35" s="1519"/>
      <c r="DX35" s="1518"/>
      <c r="DY35" s="1519"/>
      <c r="DZ35" s="1518"/>
      <c r="EA35" s="1519"/>
      <c r="EB35" s="1518"/>
      <c r="EC35" s="1519"/>
      <c r="ED35" s="1518"/>
      <c r="EE35" s="1519"/>
      <c r="EF35" s="1518"/>
      <c r="EG35" s="1519"/>
      <c r="EH35" s="1518"/>
      <c r="EI35" s="1519"/>
      <c r="EJ35" s="1562"/>
      <c r="EK35" s="1560"/>
      <c r="EL35" s="1562"/>
      <c r="EM35" s="1560"/>
      <c r="EN35" s="1518"/>
      <c r="EO35" s="1519"/>
      <c r="EP35" s="1518"/>
      <c r="EQ35" s="1519"/>
      <c r="ER35" s="1518"/>
      <c r="ES35" s="1519"/>
      <c r="ET35" s="1518"/>
      <c r="EU35" s="1519"/>
      <c r="EV35" s="1518"/>
      <c r="EW35" s="1519"/>
      <c r="EX35" s="1518"/>
      <c r="EY35" s="1519"/>
      <c r="EZ35" s="1518"/>
      <c r="FA35" s="1519"/>
      <c r="FB35" s="1520"/>
      <c r="FC35" s="1519"/>
      <c r="FD35" s="1520"/>
      <c r="FE35" s="1519"/>
      <c r="FF35" s="1520"/>
      <c r="FG35" s="1519"/>
      <c r="FH35" s="1520"/>
      <c r="FI35" s="1520"/>
      <c r="FJ35" s="1520"/>
      <c r="FK35" s="1519"/>
      <c r="FL35" s="1520"/>
      <c r="FM35" s="1519"/>
      <c r="FN35" s="1571"/>
      <c r="FO35" s="1519"/>
      <c r="FP35" s="1571"/>
      <c r="FQ35" s="1519"/>
      <c r="FR35" s="1571"/>
      <c r="FS35" s="1519"/>
      <c r="FT35" s="1532"/>
      <c r="FU35" s="1519"/>
      <c r="FV35" s="1532"/>
      <c r="FW35" s="1519"/>
      <c r="FX35" s="1572"/>
      <c r="FY35" s="1560"/>
      <c r="FZ35" s="1572"/>
      <c r="GA35" s="1560"/>
      <c r="GB35" s="1572"/>
      <c r="GC35" s="1560"/>
      <c r="GD35" s="1527"/>
      <c r="GE35" s="1560"/>
      <c r="GF35" s="1518"/>
      <c r="GG35" s="1519"/>
      <c r="GH35" s="1518"/>
      <c r="GI35" s="1519"/>
      <c r="GJ35" s="1520"/>
      <c r="GK35" s="1519"/>
      <c r="GL35" s="1518"/>
      <c r="GM35" s="1519"/>
      <c r="GN35" s="1520"/>
      <c r="GO35" s="1519"/>
      <c r="GP35" s="1520"/>
      <c r="GQ35" s="1519"/>
      <c r="GR35" s="1518"/>
      <c r="GS35" s="1519"/>
      <c r="GT35" s="1518"/>
      <c r="GU35" s="1519"/>
      <c r="GV35" s="1520"/>
      <c r="GW35" s="1519"/>
      <c r="GX35" s="1561"/>
      <c r="GY35" s="1527"/>
      <c r="GZ35" s="1520"/>
      <c r="HA35" s="1519"/>
      <c r="HB35" s="1501">
        <f>IFERROR(__xludf.DUMMYFUNCTION("""COMPUTED_VALUE"""),154.6923611111111)</f>
        <v>154.6923611</v>
      </c>
      <c r="HC35" s="1502">
        <f>IFERROR(__xludf.DUMMYFUNCTION("""COMPUTED_VALUE"""),6.7109E11)</f>
        <v>671090000000</v>
      </c>
      <c r="HD35" s="1518"/>
      <c r="HE35" s="1519"/>
      <c r="HF35" s="1518"/>
      <c r="HG35" s="1519"/>
      <c r="HH35" s="1518"/>
      <c r="HI35" s="1519"/>
      <c r="HJ35" s="1518"/>
      <c r="HK35" s="1519"/>
      <c r="HL35" s="1518"/>
      <c r="HM35" s="1519"/>
      <c r="HN35" s="1520"/>
      <c r="HO35" s="1519"/>
      <c r="HP35" s="1518"/>
      <c r="HQ35" s="1519"/>
      <c r="HR35" s="1520"/>
      <c r="HS35" s="1519"/>
      <c r="HT35" s="1520"/>
      <c r="HU35" s="1519"/>
      <c r="HV35" s="1520"/>
      <c r="HW35" s="1519"/>
      <c r="HX35" s="1520"/>
      <c r="HY35" s="1519"/>
      <c r="HZ35" s="1518"/>
      <c r="IA35" s="1519"/>
      <c r="IB35" s="1520"/>
      <c r="IC35" s="1519"/>
      <c r="ID35" s="1520"/>
      <c r="IE35" s="1519"/>
      <c r="IF35" s="1520"/>
      <c r="IG35" s="1519"/>
      <c r="IH35" s="1520"/>
      <c r="II35" s="1519"/>
      <c r="IJ35" s="1520"/>
      <c r="IK35" s="1519"/>
      <c r="IL35" s="1520"/>
      <c r="IM35" s="1519"/>
      <c r="IN35" s="1520"/>
      <c r="IO35" s="1519"/>
      <c r="IP35" s="1520"/>
      <c r="IQ35" s="1519"/>
      <c r="IR35" s="1520"/>
      <c r="IS35" s="1519"/>
      <c r="IT35" s="1520"/>
      <c r="IU35" s="1519"/>
      <c r="IV35" s="1520"/>
      <c r="IW35" s="1519"/>
      <c r="IX35" s="1520"/>
      <c r="IY35" s="1519"/>
      <c r="IZ35" s="1520"/>
      <c r="JA35" s="1519"/>
      <c r="JB35" s="1520"/>
      <c r="JC35" s="1519"/>
      <c r="JD35" s="1520"/>
      <c r="JE35" s="1519"/>
      <c r="JF35" s="1520"/>
      <c r="JG35" s="1519"/>
      <c r="JH35" s="1520"/>
      <c r="JI35" s="1519"/>
      <c r="JJ35" s="1527"/>
      <c r="JK35" s="1560"/>
      <c r="JL35" s="1527"/>
      <c r="JM35" s="1560"/>
      <c r="JN35" s="1527"/>
      <c r="JO35" s="1560"/>
      <c r="JP35" s="1527"/>
      <c r="JQ35" s="1560"/>
      <c r="JR35" s="1527"/>
      <c r="JS35" s="1560"/>
      <c r="JT35" s="1527"/>
      <c r="JU35" s="1560"/>
      <c r="JV35" s="1527"/>
      <c r="JW35" s="1560"/>
      <c r="JX35" s="1562"/>
      <c r="JY35" s="1527"/>
      <c r="JZ35" s="1566">
        <f>IFERROR(__xludf.DUMMYFUNCTION("""COMPUTED_VALUE"""),3.086631944)</f>
        <v>3.086631944</v>
      </c>
      <c r="KA35" s="1514">
        <f>IFERROR(__xludf.DUMMYFUNCTION("""COMPUTED_VALUE"""),2.317E10)</f>
        <v>23170000000</v>
      </c>
      <c r="KB35" s="1566">
        <f>IFERROR(__xludf.DUMMYFUNCTION("""COMPUTED_VALUE"""),5.818506944)</f>
        <v>5.818506944</v>
      </c>
      <c r="KC35" s="1567">
        <f>IFERROR(__xludf.DUMMYFUNCTION("""COMPUTED_VALUE"""),9.831E10)</f>
        <v>98310000000</v>
      </c>
      <c r="KD35" s="1562"/>
      <c r="KE35" s="1527"/>
      <c r="KF35" s="1527"/>
      <c r="KG35" s="1527"/>
      <c r="KH35" s="1527"/>
      <c r="KI35" s="1527"/>
      <c r="KJ35" s="1527"/>
      <c r="KK35" s="1527"/>
      <c r="KL35" s="1527"/>
      <c r="KM35" s="1527"/>
      <c r="KN35" s="1527"/>
      <c r="KO35" s="1527"/>
      <c r="KP35" s="1527"/>
      <c r="KQ35" s="1527"/>
      <c r="KR35" s="1527"/>
      <c r="KS35" s="1527"/>
      <c r="KT35" s="1527"/>
      <c r="KU35" s="1527"/>
      <c r="KV35" s="1527"/>
      <c r="KW35" s="1527"/>
      <c r="KX35" s="1527"/>
      <c r="KY35" s="1527"/>
      <c r="KZ35" s="1527"/>
      <c r="LA35" s="1527"/>
      <c r="LB35" s="1527"/>
      <c r="LC35" s="1527"/>
      <c r="LD35" s="1527"/>
      <c r="LE35" s="1527"/>
      <c r="LF35" s="1527"/>
      <c r="LG35" s="1527"/>
      <c r="LH35" s="1527"/>
      <c r="LI35" s="1527"/>
      <c r="LJ35" s="1527"/>
      <c r="LK35" s="1527"/>
      <c r="LL35" s="1527"/>
      <c r="LM35" s="1527"/>
      <c r="LN35" s="1527"/>
      <c r="LO35" s="1527"/>
      <c r="LP35" s="1527"/>
      <c r="LQ35" s="1527"/>
      <c r="LR35" s="1527"/>
      <c r="LS35" s="1527"/>
      <c r="LT35" s="1527"/>
      <c r="LU35" s="1527"/>
      <c r="LV35" s="1527"/>
      <c r="LW35" s="1527"/>
      <c r="LX35" s="1527"/>
      <c r="LY35" s="1527"/>
      <c r="LZ35" s="1527"/>
      <c r="MA35" s="1527"/>
      <c r="MB35" s="1527"/>
      <c r="MC35" s="1527"/>
      <c r="MD35" s="1527"/>
      <c r="ME35" s="1527"/>
      <c r="MF35" s="1527"/>
      <c r="MG35" s="1527"/>
      <c r="MH35" s="1527"/>
      <c r="MI35" s="1527"/>
      <c r="MJ35" s="1527"/>
      <c r="MK35" s="1527"/>
      <c r="ML35" s="1527"/>
      <c r="MM35" s="1527"/>
      <c r="MN35" s="1527"/>
      <c r="MO35" s="1527"/>
      <c r="MP35" s="1527"/>
      <c r="MQ35" s="1527"/>
      <c r="MR35" s="1527"/>
      <c r="MS35" s="1527"/>
      <c r="MT35" s="1527"/>
      <c r="MU35" s="1527"/>
      <c r="MV35" s="1527"/>
      <c r="MW35" s="1527"/>
      <c r="MX35" s="1527"/>
      <c r="MY35" s="1527"/>
    </row>
    <row r="36">
      <c r="A36" s="1465">
        <f>IFERROR(__xludf.DUMMYFUNCTION("""COMPUTED_VALUE"""),34.0)</f>
        <v>34</v>
      </c>
      <c r="B36" s="1518"/>
      <c r="C36" s="1520"/>
      <c r="D36" s="1466">
        <f>IFERROR(__xludf.DUMMYFUNCTION("""COMPUTED_VALUE"""),3.6875)</f>
        <v>3.6875</v>
      </c>
      <c r="E36" s="1467">
        <f>IFERROR(__xludf.DUMMYFUNCTION("""COMPUTED_VALUE"""),210830.0)</f>
        <v>210830</v>
      </c>
      <c r="F36" s="1466">
        <f>IFERROR(__xludf.DUMMYFUNCTION("""COMPUTED_VALUE"""),3.6875)</f>
        <v>3.6875</v>
      </c>
      <c r="G36" s="1467">
        <f>IFERROR(__xludf.DUMMYFUNCTION("""COMPUTED_VALUE"""),210830.0)</f>
        <v>210830</v>
      </c>
      <c r="H36" s="1466">
        <f>IFERROR(__xludf.DUMMYFUNCTION("""COMPUTED_VALUE"""),3.6875)</f>
        <v>3.6875</v>
      </c>
      <c r="I36" s="1467">
        <f>IFERROR(__xludf.DUMMYFUNCTION("""COMPUTED_VALUE"""),210830.0)</f>
        <v>210830</v>
      </c>
      <c r="J36" s="1466">
        <f>IFERROR(__xludf.DUMMYFUNCTION("""COMPUTED_VALUE"""),3.6875)</f>
        <v>3.6875</v>
      </c>
      <c r="K36" s="1467">
        <f>IFERROR(__xludf.DUMMYFUNCTION("""COMPUTED_VALUE"""),210830.0)</f>
        <v>210830</v>
      </c>
      <c r="L36" s="1466">
        <f>IFERROR(__xludf.DUMMYFUNCTION("""COMPUTED_VALUE"""),6.227777777777778)</f>
        <v>6.227777778</v>
      </c>
      <c r="M36" s="1469">
        <f>IFERROR(__xludf.DUMMYFUNCTION("""COMPUTED_VALUE"""),598050.0)</f>
        <v>598050</v>
      </c>
      <c r="N36" s="1470">
        <f>IFERROR(__xludf.DUMMYFUNCTION("""COMPUTED_VALUE"""),3.751388888888889)</f>
        <v>3.751388889</v>
      </c>
      <c r="O36" s="1467">
        <f>IFERROR(__xludf.DUMMYFUNCTION("""COMPUTED_VALUE"""),663760.0)</f>
        <v>663760</v>
      </c>
      <c r="P36" s="1518"/>
      <c r="Q36" s="1519"/>
      <c r="R36" s="1518"/>
      <c r="S36" s="1519"/>
      <c r="T36" s="1518"/>
      <c r="U36" s="1519"/>
      <c r="V36" s="1518"/>
      <c r="W36" s="1519"/>
      <c r="X36" s="1518"/>
      <c r="Y36" s="1519"/>
      <c r="Z36" s="1518"/>
      <c r="AA36" s="1519"/>
      <c r="AB36" s="1518"/>
      <c r="AC36" s="1519"/>
      <c r="AD36" s="1466">
        <f>IFERROR(__xludf.DUMMYFUNCTION("""COMPUTED_VALUE"""),36.71805555555556)</f>
        <v>36.71805556</v>
      </c>
      <c r="AE36" s="1474">
        <f>IFERROR(__xludf.DUMMYFUNCTION("""COMPUTED_VALUE"""),5.756130429E12)</f>
        <v>5756130429000</v>
      </c>
      <c r="AF36" s="1466">
        <f>IFERROR(__xludf.DUMMYFUNCTION("""COMPUTED_VALUE"""),36.71805555555556)</f>
        <v>36.71805556</v>
      </c>
      <c r="AG36" s="1474">
        <f>IFERROR(__xludf.DUMMYFUNCTION("""COMPUTED_VALUE"""),5.756130429E12)</f>
        <v>5756130429000</v>
      </c>
      <c r="AH36" s="1466">
        <f>IFERROR(__xludf.DUMMYFUNCTION("""COMPUTED_VALUE"""),36.71805555555556)</f>
        <v>36.71805556</v>
      </c>
      <c r="AI36" s="1474">
        <f>IFERROR(__xludf.DUMMYFUNCTION("""COMPUTED_VALUE"""),5.756130429E12)</f>
        <v>5756130429000</v>
      </c>
      <c r="AJ36" s="1475">
        <f>IFERROR(__xludf.DUMMYFUNCTION("""COMPUTED_VALUE"""),3.6875)</f>
        <v>3.6875</v>
      </c>
      <c r="AK36" s="1476">
        <f>IFERROR(__xludf.DUMMYFUNCTION("""COMPUTED_VALUE"""),210830.0)</f>
        <v>210830</v>
      </c>
      <c r="AL36" s="1475">
        <f>IFERROR(__xludf.DUMMYFUNCTION("""COMPUTED_VALUE"""),3.6875)</f>
        <v>3.6875</v>
      </c>
      <c r="AM36" s="1476">
        <f>IFERROR(__xludf.DUMMYFUNCTION("""COMPUTED_VALUE"""),210830.0)</f>
        <v>210830</v>
      </c>
      <c r="AN36" s="1475">
        <f>IFERROR(__xludf.DUMMYFUNCTION("""COMPUTED_VALUE"""),3.6875)</f>
        <v>3.6875</v>
      </c>
      <c r="AO36" s="1476">
        <f>IFERROR(__xludf.DUMMYFUNCTION("""COMPUTED_VALUE"""),210830.0)</f>
        <v>210830</v>
      </c>
      <c r="AP36" s="1475">
        <f>IFERROR(__xludf.DUMMYFUNCTION("""COMPUTED_VALUE"""),3.6875)</f>
        <v>3.6875</v>
      </c>
      <c r="AQ36" s="1476">
        <f>IFERROR(__xludf.DUMMYFUNCTION("""COMPUTED_VALUE"""),210830.0)</f>
        <v>210830</v>
      </c>
      <c r="AR36" s="1475">
        <f>IFERROR(__xludf.DUMMYFUNCTION("""COMPUTED_VALUE"""),3.6875)</f>
        <v>3.6875</v>
      </c>
      <c r="AS36" s="1476">
        <f>IFERROR(__xludf.DUMMYFUNCTION("""COMPUTED_VALUE"""),210840.0)</f>
        <v>210840</v>
      </c>
      <c r="AT36" s="1475">
        <f>IFERROR(__xludf.DUMMYFUNCTION("""COMPUTED_VALUE"""),1953.747222222222)</f>
        <v>1953.747222</v>
      </c>
      <c r="AU36" s="1476">
        <f>IFERROR(__xludf.DUMMYFUNCTION("""COMPUTED_VALUE"""),1.372E10)</f>
        <v>13720000000</v>
      </c>
      <c r="AV36" s="1475">
        <f>IFERROR(__xludf.DUMMYFUNCTION("""COMPUTED_VALUE"""),981.0701388888889)</f>
        <v>981.0701389</v>
      </c>
      <c r="AW36" s="1476">
        <f>IFERROR(__xludf.DUMMYFUNCTION("""COMPUTED_VALUE"""),1.372E10)</f>
        <v>13720000000</v>
      </c>
      <c r="AX36" s="1518"/>
      <c r="AY36" s="1568"/>
      <c r="AZ36" s="1518"/>
      <c r="BA36" s="1518"/>
      <c r="BB36" s="1477">
        <f>IFERROR(__xludf.DUMMYFUNCTION("""COMPUTED_VALUE"""),3.6875)</f>
        <v>3.6875</v>
      </c>
      <c r="BC36" s="1478">
        <f>IFERROR(__xludf.DUMMYFUNCTION("""COMPUTED_VALUE"""),210830.0)</f>
        <v>210830</v>
      </c>
      <c r="BD36" s="1477">
        <f>IFERROR(__xludf.DUMMYFUNCTION("""COMPUTED_VALUE"""),3.6875)</f>
        <v>3.6875</v>
      </c>
      <c r="BE36" s="1478">
        <f>IFERROR(__xludf.DUMMYFUNCTION("""COMPUTED_VALUE"""),210830.0)</f>
        <v>210830</v>
      </c>
      <c r="BF36" s="1477">
        <f>IFERROR(__xludf.DUMMYFUNCTION("""COMPUTED_VALUE"""),3.6875)</f>
        <v>3.6875</v>
      </c>
      <c r="BG36" s="1478">
        <f>IFERROR(__xludf.DUMMYFUNCTION("""COMPUTED_VALUE"""),210830.0)</f>
        <v>210830</v>
      </c>
      <c r="BH36" s="1477">
        <f>IFERROR(__xludf.DUMMYFUNCTION("""COMPUTED_VALUE"""),84.30208333333333)</f>
        <v>84.30208333</v>
      </c>
      <c r="BI36" s="1478">
        <f>IFERROR(__xludf.DUMMYFUNCTION("""COMPUTED_VALUE"""),1.19E9)</f>
        <v>1190000000</v>
      </c>
      <c r="BJ36" s="1518"/>
      <c r="BK36" s="1519"/>
      <c r="BL36" s="1518"/>
      <c r="BM36" s="1519"/>
      <c r="BN36" s="1477">
        <f>IFERROR(__xludf.DUMMYFUNCTION("""COMPUTED_VALUE"""),171.90902777777777)</f>
        <v>171.9090278</v>
      </c>
      <c r="BO36" s="1478">
        <f>IFERROR(__xludf.DUMMYFUNCTION("""COMPUTED_VALUE"""),3.385E10)</f>
        <v>33850000000</v>
      </c>
      <c r="BP36" s="1518"/>
      <c r="BQ36" s="1519"/>
      <c r="BR36" s="1520"/>
      <c r="BS36" s="1519"/>
      <c r="BT36" s="1479">
        <f>IFERROR(__xludf.DUMMYFUNCTION("""COMPUTED_VALUE"""),3.8805555555555555)</f>
        <v>3.880555556</v>
      </c>
      <c r="BU36" s="1480">
        <f>IFERROR(__xludf.DUMMYFUNCTION("""COMPUTED_VALUE"""),1.786E10)</f>
        <v>17860000000</v>
      </c>
      <c r="BV36" s="1520"/>
      <c r="BW36" s="1520"/>
      <c r="BX36" s="1520"/>
      <c r="BY36" s="1520"/>
      <c r="BZ36" s="1520"/>
      <c r="CA36" s="1520"/>
      <c r="CB36" s="1520"/>
      <c r="CC36" s="1519"/>
      <c r="CD36" s="1477">
        <f>IFERROR(__xludf.DUMMYFUNCTION("""COMPUTED_VALUE"""),15.951643518518518)</f>
        <v>15.95164352</v>
      </c>
      <c r="CE36" s="1481">
        <f>IFERROR(__xludf.DUMMYFUNCTION("""COMPUTED_VALUE"""),2.1E12)</f>
        <v>2100000000000</v>
      </c>
      <c r="CF36" s="1527"/>
      <c r="CG36" s="1560"/>
      <c r="CH36" s="1482">
        <f>IFERROR(__xludf.DUMMYFUNCTION("""COMPUTED_VALUE"""),3.6875)</f>
        <v>3.6875</v>
      </c>
      <c r="CI36" s="1483">
        <f>IFERROR(__xludf.DUMMYFUNCTION("""COMPUTED_VALUE"""),210840.0)</f>
        <v>210840</v>
      </c>
      <c r="CJ36" s="1482">
        <f>IFERROR(__xludf.DUMMYFUNCTION("""COMPUTED_VALUE"""),3.6875)</f>
        <v>3.6875</v>
      </c>
      <c r="CK36" s="1483">
        <f>IFERROR(__xludf.DUMMYFUNCTION("""COMPUTED_VALUE"""),210840.0)</f>
        <v>210840</v>
      </c>
      <c r="CL36" s="1482">
        <f>IFERROR(__xludf.DUMMYFUNCTION("""COMPUTED_VALUE"""),3.6875)</f>
        <v>3.6875</v>
      </c>
      <c r="CM36" s="1483">
        <f>IFERROR(__xludf.DUMMYFUNCTION("""COMPUTED_VALUE"""),210840.0)</f>
        <v>210840</v>
      </c>
      <c r="CN36" s="1482">
        <f>IFERROR(__xludf.DUMMYFUNCTION("""COMPUTED_VALUE"""),3.6875)</f>
        <v>3.6875</v>
      </c>
      <c r="CO36" s="1483">
        <f>IFERROR(__xludf.DUMMYFUNCTION("""COMPUTED_VALUE"""),210840.0)</f>
        <v>210840</v>
      </c>
      <c r="CP36" s="1482">
        <f>IFERROR(__xludf.DUMMYFUNCTION("""COMPUTED_VALUE"""),7.3805555555555555)</f>
        <v>7.380555556</v>
      </c>
      <c r="CQ36" s="1483">
        <f>IFERROR(__xludf.DUMMYFUNCTION("""COMPUTED_VALUE"""),663770.0)</f>
        <v>663770</v>
      </c>
      <c r="CR36" s="1518"/>
      <c r="CS36" s="1519"/>
      <c r="CT36" s="1520"/>
      <c r="CU36" s="1519"/>
      <c r="CV36" s="1520"/>
      <c r="CW36" s="1519"/>
      <c r="CX36" s="1520"/>
      <c r="CY36" s="1519"/>
      <c r="CZ36" s="1520"/>
      <c r="DA36" s="1520"/>
      <c r="DB36" s="1520"/>
      <c r="DC36" s="1520"/>
      <c r="DD36" s="1520"/>
      <c r="DE36" s="1519"/>
      <c r="DF36" s="1518"/>
      <c r="DG36" s="1519"/>
      <c r="DH36" s="1518"/>
      <c r="DI36" s="1519"/>
      <c r="DJ36" s="1518"/>
      <c r="DK36" s="1519"/>
      <c r="DL36" s="1518"/>
      <c r="DM36" s="1519"/>
      <c r="DN36" s="1518"/>
      <c r="DO36" s="1519"/>
      <c r="DP36" s="1518"/>
      <c r="DQ36" s="1519"/>
      <c r="DR36" s="1518"/>
      <c r="DS36" s="1519"/>
      <c r="DT36" s="1518"/>
      <c r="DU36" s="1519"/>
      <c r="DV36" s="1520"/>
      <c r="DW36" s="1519"/>
      <c r="DX36" s="1518"/>
      <c r="DY36" s="1519"/>
      <c r="DZ36" s="1518"/>
      <c r="EA36" s="1519"/>
      <c r="EB36" s="1518"/>
      <c r="EC36" s="1519"/>
      <c r="ED36" s="1518"/>
      <c r="EE36" s="1519"/>
      <c r="EF36" s="1518"/>
      <c r="EG36" s="1519"/>
      <c r="EH36" s="1518"/>
      <c r="EI36" s="1519"/>
      <c r="EJ36" s="1562"/>
      <c r="EK36" s="1560"/>
      <c r="EL36" s="1562"/>
      <c r="EM36" s="1560"/>
      <c r="EN36" s="1518"/>
      <c r="EO36" s="1519"/>
      <c r="EP36" s="1518"/>
      <c r="EQ36" s="1519"/>
      <c r="ER36" s="1518"/>
      <c r="ES36" s="1519"/>
      <c r="ET36" s="1518"/>
      <c r="EU36" s="1519"/>
      <c r="EV36" s="1518"/>
      <c r="EW36" s="1519"/>
      <c r="EX36" s="1518"/>
      <c r="EY36" s="1519"/>
      <c r="EZ36" s="1518"/>
      <c r="FA36" s="1519"/>
      <c r="FB36" s="1520"/>
      <c r="FC36" s="1519"/>
      <c r="FD36" s="1520"/>
      <c r="FE36" s="1519"/>
      <c r="FF36" s="1520"/>
      <c r="FG36" s="1519"/>
      <c r="FH36" s="1520"/>
      <c r="FI36" s="1520"/>
      <c r="FJ36" s="1520"/>
      <c r="FK36" s="1519"/>
      <c r="FL36" s="1518"/>
      <c r="FM36" s="1519"/>
      <c r="FN36" s="1571"/>
      <c r="FO36" s="1519"/>
      <c r="FP36" s="1571"/>
      <c r="FQ36" s="1519"/>
      <c r="FR36" s="1571"/>
      <c r="FS36" s="1519"/>
      <c r="FT36" s="1532"/>
      <c r="FU36" s="1519"/>
      <c r="FV36" s="1532"/>
      <c r="FW36" s="1519"/>
      <c r="FX36" s="1572"/>
      <c r="FY36" s="1560"/>
      <c r="FZ36" s="1572"/>
      <c r="GA36" s="1560"/>
      <c r="GB36" s="1572"/>
      <c r="GC36" s="1560"/>
      <c r="GD36" s="1527"/>
      <c r="GE36" s="1560"/>
      <c r="GF36" s="1518"/>
      <c r="GG36" s="1519"/>
      <c r="GH36" s="1518"/>
      <c r="GI36" s="1519"/>
      <c r="GJ36" s="1520"/>
      <c r="GK36" s="1519"/>
      <c r="GL36" s="1518"/>
      <c r="GM36" s="1519"/>
      <c r="GN36" s="1520"/>
      <c r="GO36" s="1519"/>
      <c r="GP36" s="1520"/>
      <c r="GQ36" s="1519"/>
      <c r="GR36" s="1518"/>
      <c r="GS36" s="1519"/>
      <c r="GT36" s="1518"/>
      <c r="GU36" s="1519"/>
      <c r="GV36" s="1520"/>
      <c r="GW36" s="1519"/>
      <c r="GX36" s="1561"/>
      <c r="GY36" s="1527"/>
      <c r="GZ36" s="1518"/>
      <c r="HA36" s="1519"/>
      <c r="HB36" s="1501">
        <f>IFERROR(__xludf.DUMMYFUNCTION("""COMPUTED_VALUE"""),171.90902777777777)</f>
        <v>171.9090278</v>
      </c>
      <c r="HC36" s="1502">
        <f>IFERROR(__xludf.DUMMYFUNCTION("""COMPUTED_VALUE"""),7.8271E11)</f>
        <v>782710000000</v>
      </c>
      <c r="HD36" s="1518"/>
      <c r="HE36" s="1519"/>
      <c r="HF36" s="1518"/>
      <c r="HG36" s="1519"/>
      <c r="HH36" s="1518"/>
      <c r="HI36" s="1519"/>
      <c r="HJ36" s="1518"/>
      <c r="HK36" s="1519"/>
      <c r="HL36" s="1518"/>
      <c r="HM36" s="1519"/>
      <c r="HN36" s="1520"/>
      <c r="HO36" s="1519"/>
      <c r="HP36" s="1518"/>
      <c r="HQ36" s="1519"/>
      <c r="HR36" s="1518"/>
      <c r="HS36" s="1519"/>
      <c r="HT36" s="1518"/>
      <c r="HU36" s="1519"/>
      <c r="HV36" s="1518"/>
      <c r="HW36" s="1519"/>
      <c r="HX36" s="1518"/>
      <c r="HY36" s="1519"/>
      <c r="HZ36" s="1518"/>
      <c r="IA36" s="1519"/>
      <c r="IB36" s="1518"/>
      <c r="IC36" s="1519"/>
      <c r="ID36" s="1518"/>
      <c r="IE36" s="1519"/>
      <c r="IF36" s="1518"/>
      <c r="IG36" s="1519"/>
      <c r="IH36" s="1518"/>
      <c r="II36" s="1519"/>
      <c r="IJ36" s="1518"/>
      <c r="IK36" s="1519"/>
      <c r="IL36" s="1518"/>
      <c r="IM36" s="1519"/>
      <c r="IN36" s="1518"/>
      <c r="IO36" s="1519"/>
      <c r="IP36" s="1518"/>
      <c r="IQ36" s="1519"/>
      <c r="IR36" s="1518"/>
      <c r="IS36" s="1519"/>
      <c r="IT36" s="1518"/>
      <c r="IU36" s="1519"/>
      <c r="IV36" s="1518"/>
      <c r="IW36" s="1519"/>
      <c r="IX36" s="1518"/>
      <c r="IY36" s="1519"/>
      <c r="IZ36" s="1518"/>
      <c r="JA36" s="1519"/>
      <c r="JB36" s="1518"/>
      <c r="JC36" s="1519"/>
      <c r="JD36" s="1518"/>
      <c r="JE36" s="1519"/>
      <c r="JF36" s="1518"/>
      <c r="JG36" s="1519"/>
      <c r="JH36" s="1518"/>
      <c r="JI36" s="1519"/>
      <c r="JJ36" s="1562"/>
      <c r="JK36" s="1560"/>
      <c r="JL36" s="1562"/>
      <c r="JM36" s="1560"/>
      <c r="JN36" s="1562"/>
      <c r="JO36" s="1560"/>
      <c r="JP36" s="1562"/>
      <c r="JQ36" s="1560"/>
      <c r="JR36" s="1562"/>
      <c r="JS36" s="1560"/>
      <c r="JT36" s="1562"/>
      <c r="JU36" s="1560"/>
      <c r="JV36" s="1562"/>
      <c r="JW36" s="1560"/>
      <c r="JX36" s="1562"/>
      <c r="JY36" s="1527"/>
      <c r="JZ36" s="1566">
        <f>IFERROR(__xludf.DUMMYFUNCTION("""COMPUTED_VALUE"""),3.156666667)</f>
        <v>3.156666667</v>
      </c>
      <c r="KA36" s="1514">
        <f>IFERROR(__xludf.DUMMYFUNCTION("""COMPUTED_VALUE"""),2.518E10)</f>
        <v>25180000000</v>
      </c>
      <c r="KB36" s="1566">
        <f>IFERROR(__xludf.DUMMYFUNCTION("""COMPUTED_VALUE"""),6.107592593)</f>
        <v>6.107592593</v>
      </c>
      <c r="KC36" s="1567">
        <f>IFERROR(__xludf.DUMMYFUNCTION("""COMPUTED_VALUE"""),1.0781E11)</f>
        <v>107810000000</v>
      </c>
      <c r="KD36" s="1562"/>
      <c r="KE36" s="1527"/>
      <c r="KF36" s="1527"/>
      <c r="KG36" s="1527"/>
      <c r="KH36" s="1527"/>
      <c r="KI36" s="1527"/>
      <c r="KJ36" s="1527"/>
      <c r="KK36" s="1527"/>
      <c r="KL36" s="1527"/>
      <c r="KM36" s="1527"/>
      <c r="KN36" s="1527"/>
      <c r="KO36" s="1527"/>
      <c r="KP36" s="1527"/>
      <c r="KQ36" s="1527"/>
      <c r="KR36" s="1527"/>
      <c r="KS36" s="1527"/>
      <c r="KT36" s="1527"/>
      <c r="KU36" s="1527"/>
      <c r="KV36" s="1527"/>
      <c r="KW36" s="1527"/>
      <c r="KX36" s="1527"/>
      <c r="KY36" s="1527"/>
      <c r="KZ36" s="1527"/>
      <c r="LA36" s="1527"/>
      <c r="LB36" s="1527"/>
      <c r="LC36" s="1527"/>
      <c r="LD36" s="1527"/>
      <c r="LE36" s="1527"/>
      <c r="LF36" s="1527"/>
      <c r="LG36" s="1527"/>
      <c r="LH36" s="1527"/>
      <c r="LI36" s="1527"/>
      <c r="LJ36" s="1527"/>
      <c r="LK36" s="1527"/>
      <c r="LL36" s="1527"/>
      <c r="LM36" s="1527"/>
      <c r="LN36" s="1527"/>
      <c r="LO36" s="1527"/>
      <c r="LP36" s="1527"/>
      <c r="LQ36" s="1527"/>
      <c r="LR36" s="1527"/>
      <c r="LS36" s="1527"/>
      <c r="LT36" s="1527"/>
      <c r="LU36" s="1527"/>
      <c r="LV36" s="1527"/>
      <c r="LW36" s="1527"/>
      <c r="LX36" s="1527"/>
      <c r="LY36" s="1527"/>
      <c r="LZ36" s="1527"/>
      <c r="MA36" s="1527"/>
      <c r="MB36" s="1527"/>
      <c r="MC36" s="1527"/>
      <c r="MD36" s="1527"/>
      <c r="ME36" s="1527"/>
      <c r="MF36" s="1527"/>
      <c r="MG36" s="1527"/>
      <c r="MH36" s="1527"/>
      <c r="MI36" s="1527"/>
      <c r="MJ36" s="1527"/>
      <c r="MK36" s="1527"/>
      <c r="ML36" s="1527"/>
      <c r="MM36" s="1527"/>
      <c r="MN36" s="1527"/>
      <c r="MO36" s="1527"/>
      <c r="MP36" s="1527"/>
      <c r="MQ36" s="1527"/>
      <c r="MR36" s="1527"/>
      <c r="MS36" s="1527"/>
      <c r="MT36" s="1527"/>
      <c r="MU36" s="1527"/>
      <c r="MV36" s="1527"/>
      <c r="MW36" s="1527"/>
      <c r="MX36" s="1527"/>
      <c r="MY36" s="1527"/>
    </row>
    <row r="37">
      <c r="A37" s="1465">
        <f>IFERROR(__xludf.DUMMYFUNCTION("""COMPUTED_VALUE"""),35.0)</f>
        <v>35</v>
      </c>
      <c r="B37" s="1518"/>
      <c r="C37" s="1520"/>
      <c r="D37" s="1466">
        <f>IFERROR(__xludf.DUMMYFUNCTION("""COMPUTED_VALUE"""),3.95625)</f>
        <v>3.95625</v>
      </c>
      <c r="E37" s="1467">
        <f>IFERROR(__xludf.DUMMYFUNCTION("""COMPUTED_VALUE"""),228820.0)</f>
        <v>228820</v>
      </c>
      <c r="F37" s="1466">
        <f>IFERROR(__xludf.DUMMYFUNCTION("""COMPUTED_VALUE"""),3.95625)</f>
        <v>3.95625</v>
      </c>
      <c r="G37" s="1467">
        <f>IFERROR(__xludf.DUMMYFUNCTION("""COMPUTED_VALUE"""),228820.0)</f>
        <v>228820</v>
      </c>
      <c r="H37" s="1466">
        <f>IFERROR(__xludf.DUMMYFUNCTION("""COMPUTED_VALUE"""),3.95625)</f>
        <v>3.95625</v>
      </c>
      <c r="I37" s="1467">
        <f>IFERROR(__xludf.DUMMYFUNCTION("""COMPUTED_VALUE"""),228820.0)</f>
        <v>228820</v>
      </c>
      <c r="J37" s="1466">
        <f>IFERROR(__xludf.DUMMYFUNCTION("""COMPUTED_VALUE"""),3.95625)</f>
        <v>3.95625</v>
      </c>
      <c r="K37" s="1467">
        <f>IFERROR(__xludf.DUMMYFUNCTION("""COMPUTED_VALUE"""),228820.0)</f>
        <v>228820</v>
      </c>
      <c r="L37" s="1466">
        <f>IFERROR(__xludf.DUMMYFUNCTION("""COMPUTED_VALUE"""),6.710416666666666)</f>
        <v>6.710416667</v>
      </c>
      <c r="M37" s="1469">
        <f>IFERROR(__xludf.DUMMYFUNCTION("""COMPUTED_VALUE"""),653790.0)</f>
        <v>653790</v>
      </c>
      <c r="N37" s="1470">
        <f>IFERROR(__xludf.DUMMYFUNCTION("""COMPUTED_VALUE"""),3.9944444444444445)</f>
        <v>3.994444444</v>
      </c>
      <c r="O37" s="1467">
        <f>IFERROR(__xludf.DUMMYFUNCTION("""COMPUTED_VALUE"""),728050.0)</f>
        <v>728050</v>
      </c>
      <c r="P37" s="1518"/>
      <c r="Q37" s="1519"/>
      <c r="R37" s="1518"/>
      <c r="S37" s="1519"/>
      <c r="T37" s="1518"/>
      <c r="U37" s="1519"/>
      <c r="V37" s="1518"/>
      <c r="W37" s="1519"/>
      <c r="X37" s="1518"/>
      <c r="Y37" s="1519"/>
      <c r="Z37" s="1518"/>
      <c r="AA37" s="1519"/>
      <c r="AB37" s="1518"/>
      <c r="AC37" s="1519"/>
      <c r="AD37" s="1466">
        <f>IFERROR(__xludf.DUMMYFUNCTION("""COMPUTED_VALUE"""),37.797916666666666)</f>
        <v>37.79791667</v>
      </c>
      <c r="AE37" s="1474">
        <f>IFERROR(__xludf.DUMMYFUNCTION("""COMPUTED_VALUE"""),7.482969558E12)</f>
        <v>7482969558000</v>
      </c>
      <c r="AF37" s="1466">
        <f>IFERROR(__xludf.DUMMYFUNCTION("""COMPUTED_VALUE"""),37.797916666666666)</f>
        <v>37.79791667</v>
      </c>
      <c r="AG37" s="1474">
        <f>IFERROR(__xludf.DUMMYFUNCTION("""COMPUTED_VALUE"""),7.482969558E12)</f>
        <v>7482969558000</v>
      </c>
      <c r="AH37" s="1466">
        <f>IFERROR(__xludf.DUMMYFUNCTION("""COMPUTED_VALUE"""),37.797916666666666)</f>
        <v>37.79791667</v>
      </c>
      <c r="AI37" s="1474">
        <f>IFERROR(__xludf.DUMMYFUNCTION("""COMPUTED_VALUE"""),7.482969558E12)</f>
        <v>7482969558000</v>
      </c>
      <c r="AJ37" s="1475">
        <f>IFERROR(__xludf.DUMMYFUNCTION("""COMPUTED_VALUE"""),3.95625)</f>
        <v>3.95625</v>
      </c>
      <c r="AK37" s="1476">
        <f>IFERROR(__xludf.DUMMYFUNCTION("""COMPUTED_VALUE"""),228820.0)</f>
        <v>228820</v>
      </c>
      <c r="AL37" s="1475">
        <f>IFERROR(__xludf.DUMMYFUNCTION("""COMPUTED_VALUE"""),3.95625)</f>
        <v>3.95625</v>
      </c>
      <c r="AM37" s="1476">
        <f>IFERROR(__xludf.DUMMYFUNCTION("""COMPUTED_VALUE"""),228820.0)</f>
        <v>228820</v>
      </c>
      <c r="AN37" s="1475">
        <f>IFERROR(__xludf.DUMMYFUNCTION("""COMPUTED_VALUE"""),3.95625)</f>
        <v>3.95625</v>
      </c>
      <c r="AO37" s="1476">
        <f>IFERROR(__xludf.DUMMYFUNCTION("""COMPUTED_VALUE"""),228820.0)</f>
        <v>228820</v>
      </c>
      <c r="AP37" s="1475">
        <f>IFERROR(__xludf.DUMMYFUNCTION("""COMPUTED_VALUE"""),3.95625)</f>
        <v>3.95625</v>
      </c>
      <c r="AQ37" s="1476">
        <f>IFERROR(__xludf.DUMMYFUNCTION("""COMPUTED_VALUE"""),228820.0)</f>
        <v>228820</v>
      </c>
      <c r="AR37" s="1475">
        <f>IFERROR(__xludf.DUMMYFUNCTION("""COMPUTED_VALUE"""),3.95625)</f>
        <v>3.95625</v>
      </c>
      <c r="AS37" s="1476">
        <f>IFERROR(__xludf.DUMMYFUNCTION("""COMPUTED_VALUE"""),228830.0)</f>
        <v>228830</v>
      </c>
      <c r="AT37" s="1475">
        <f>IFERROR(__xludf.DUMMYFUNCTION("""COMPUTED_VALUE"""),2212.605555555556)</f>
        <v>2212.605556</v>
      </c>
      <c r="AU37" s="1476">
        <f>IFERROR(__xludf.DUMMYFUNCTION("""COMPUTED_VALUE"""),1.578E10)</f>
        <v>15780000000</v>
      </c>
      <c r="AV37" s="1475">
        <f>IFERROR(__xludf.DUMMYFUNCTION("""COMPUTED_VALUE"""),1103.5125)</f>
        <v>1103.5125</v>
      </c>
      <c r="AW37" s="1476">
        <f>IFERROR(__xludf.DUMMYFUNCTION("""COMPUTED_VALUE"""),1.578E10)</f>
        <v>15780000000</v>
      </c>
      <c r="AX37" s="1518"/>
      <c r="AY37" s="1568"/>
      <c r="AZ37" s="1518"/>
      <c r="BA37" s="1518"/>
      <c r="BB37" s="1477">
        <f>IFERROR(__xludf.DUMMYFUNCTION("""COMPUTED_VALUE"""),3.95625)</f>
        <v>3.95625</v>
      </c>
      <c r="BC37" s="1478">
        <f>IFERROR(__xludf.DUMMYFUNCTION("""COMPUTED_VALUE"""),228820.0)</f>
        <v>228820</v>
      </c>
      <c r="BD37" s="1477">
        <f>IFERROR(__xludf.DUMMYFUNCTION("""COMPUTED_VALUE"""),3.95625)</f>
        <v>3.95625</v>
      </c>
      <c r="BE37" s="1478">
        <f>IFERROR(__xludf.DUMMYFUNCTION("""COMPUTED_VALUE"""),228820.0)</f>
        <v>228820</v>
      </c>
      <c r="BF37" s="1477">
        <f>IFERROR(__xludf.DUMMYFUNCTION("""COMPUTED_VALUE"""),3.95625)</f>
        <v>3.95625</v>
      </c>
      <c r="BG37" s="1478">
        <f>IFERROR(__xludf.DUMMYFUNCTION("""COMPUTED_VALUE"""),228820.0)</f>
        <v>228820</v>
      </c>
      <c r="BH37" s="1477">
        <f>IFERROR(__xludf.DUMMYFUNCTION("""COMPUTED_VALUE"""),92.94166666666666)</f>
        <v>92.94166667</v>
      </c>
      <c r="BI37" s="1478">
        <f>IFERROR(__xludf.DUMMYFUNCTION("""COMPUTED_VALUE"""),1.34E9)</f>
        <v>1340000000</v>
      </c>
      <c r="BJ37" s="1518"/>
      <c r="BK37" s="1519"/>
      <c r="BL37" s="1518"/>
      <c r="BM37" s="1519"/>
      <c r="BN37" s="1477">
        <f>IFERROR(__xludf.DUMMYFUNCTION("""COMPUTED_VALUE"""),190.46944444444443)</f>
        <v>190.4694444</v>
      </c>
      <c r="BO37" s="1478">
        <f>IFERROR(__xludf.DUMMYFUNCTION("""COMPUTED_VALUE"""),3.849E10)</f>
        <v>38490000000</v>
      </c>
      <c r="BP37" s="1518"/>
      <c r="BQ37" s="1519"/>
      <c r="BR37" s="1520"/>
      <c r="BS37" s="1519"/>
      <c r="BT37" s="1479">
        <f>IFERROR(__xludf.DUMMYFUNCTION("""COMPUTED_VALUE"""),4.147916666666666)</f>
        <v>4.147916667</v>
      </c>
      <c r="BU37" s="1480">
        <f>IFERROR(__xludf.DUMMYFUNCTION("""COMPUTED_VALUE"""),1.912E10)</f>
        <v>19120000000</v>
      </c>
      <c r="BV37" s="1520"/>
      <c r="BW37" s="1520"/>
      <c r="BX37" s="1520"/>
      <c r="BY37" s="1520"/>
      <c r="BZ37" s="1520"/>
      <c r="CA37" s="1520"/>
      <c r="CB37" s="1520"/>
      <c r="CC37" s="1519"/>
      <c r="CD37" s="1477">
        <f>IFERROR(__xludf.DUMMYFUNCTION("""COMPUTED_VALUE"""),16.911944444444444)</f>
        <v>16.91194444</v>
      </c>
      <c r="CE37" s="1481">
        <f>IFERROR(__xludf.DUMMYFUNCTION("""COMPUTED_VALUE"""),2.27E12)</f>
        <v>2270000000000</v>
      </c>
      <c r="CF37" s="1527"/>
      <c r="CG37" s="1560"/>
      <c r="CH37" s="1482">
        <f>IFERROR(__xludf.DUMMYFUNCTION("""COMPUTED_VALUE"""),3.95625)</f>
        <v>3.95625</v>
      </c>
      <c r="CI37" s="1483">
        <f>IFERROR(__xludf.DUMMYFUNCTION("""COMPUTED_VALUE"""),228830.0)</f>
        <v>228830</v>
      </c>
      <c r="CJ37" s="1482">
        <f>IFERROR(__xludf.DUMMYFUNCTION("""COMPUTED_VALUE"""),3.95625)</f>
        <v>3.95625</v>
      </c>
      <c r="CK37" s="1483">
        <f>IFERROR(__xludf.DUMMYFUNCTION("""COMPUTED_VALUE"""),228830.0)</f>
        <v>228830</v>
      </c>
      <c r="CL37" s="1482">
        <f>IFERROR(__xludf.DUMMYFUNCTION("""COMPUTED_VALUE"""),3.95625)</f>
        <v>3.95625</v>
      </c>
      <c r="CM37" s="1483">
        <f>IFERROR(__xludf.DUMMYFUNCTION("""COMPUTED_VALUE"""),228830.0)</f>
        <v>228830</v>
      </c>
      <c r="CN37" s="1482">
        <f>IFERROR(__xludf.DUMMYFUNCTION("""COMPUTED_VALUE"""),3.95625)</f>
        <v>3.95625</v>
      </c>
      <c r="CO37" s="1483">
        <f>IFERROR(__xludf.DUMMYFUNCTION("""COMPUTED_VALUE"""),228830.0)</f>
        <v>228830</v>
      </c>
      <c r="CP37" s="1482">
        <f>IFERROR(__xludf.DUMMYFUNCTION("""COMPUTED_VALUE"""),7.966666666666667)</f>
        <v>7.966666667</v>
      </c>
      <c r="CQ37" s="1483">
        <f>IFERROR(__xludf.DUMMYFUNCTION("""COMPUTED_VALUE"""),728060.0)</f>
        <v>728060</v>
      </c>
      <c r="CR37" s="1518"/>
      <c r="CS37" s="1519"/>
      <c r="CT37" s="1520"/>
      <c r="CU37" s="1519"/>
      <c r="CV37" s="1520"/>
      <c r="CW37" s="1519"/>
      <c r="CX37" s="1520"/>
      <c r="CY37" s="1519"/>
      <c r="CZ37" s="1520"/>
      <c r="DA37" s="1520"/>
      <c r="DB37" s="1520"/>
      <c r="DC37" s="1520"/>
      <c r="DD37" s="1520"/>
      <c r="DE37" s="1519"/>
      <c r="DF37" s="1518"/>
      <c r="DG37" s="1519"/>
      <c r="DH37" s="1518"/>
      <c r="DI37" s="1519"/>
      <c r="DJ37" s="1518"/>
      <c r="DK37" s="1519"/>
      <c r="DL37" s="1518"/>
      <c r="DM37" s="1519"/>
      <c r="DN37" s="1518"/>
      <c r="DO37" s="1519"/>
      <c r="DP37" s="1518"/>
      <c r="DQ37" s="1519"/>
      <c r="DR37" s="1518"/>
      <c r="DS37" s="1519"/>
      <c r="DT37" s="1518"/>
      <c r="DU37" s="1519"/>
      <c r="DV37" s="1520"/>
      <c r="DW37" s="1519"/>
      <c r="DX37" s="1518"/>
      <c r="DY37" s="1519"/>
      <c r="DZ37" s="1518"/>
      <c r="EA37" s="1519"/>
      <c r="EB37" s="1518"/>
      <c r="EC37" s="1519"/>
      <c r="ED37" s="1518"/>
      <c r="EE37" s="1519"/>
      <c r="EF37" s="1518"/>
      <c r="EG37" s="1519"/>
      <c r="EH37" s="1518"/>
      <c r="EI37" s="1519"/>
      <c r="EJ37" s="1562"/>
      <c r="EK37" s="1560"/>
      <c r="EL37" s="1562"/>
      <c r="EM37" s="1560"/>
      <c r="EN37" s="1518"/>
      <c r="EO37" s="1519"/>
      <c r="EP37" s="1518"/>
      <c r="EQ37" s="1519"/>
      <c r="ER37" s="1518"/>
      <c r="ES37" s="1519"/>
      <c r="ET37" s="1518"/>
      <c r="EU37" s="1519"/>
      <c r="EV37" s="1518"/>
      <c r="EW37" s="1519"/>
      <c r="EX37" s="1518"/>
      <c r="EY37" s="1519"/>
      <c r="EZ37" s="1518"/>
      <c r="FA37" s="1519"/>
      <c r="FB37" s="1520"/>
      <c r="FC37" s="1519"/>
      <c r="FD37" s="1520"/>
      <c r="FE37" s="1519"/>
      <c r="FF37" s="1520"/>
      <c r="FG37" s="1519"/>
      <c r="FH37" s="1520"/>
      <c r="FI37" s="1520"/>
      <c r="FJ37" s="1520"/>
      <c r="FK37" s="1519"/>
      <c r="FL37" s="1518"/>
      <c r="FM37" s="1519"/>
      <c r="FN37" s="1571"/>
      <c r="FO37" s="1519"/>
      <c r="FP37" s="1571"/>
      <c r="FQ37" s="1519"/>
      <c r="FR37" s="1571"/>
      <c r="FS37" s="1519"/>
      <c r="FT37" s="1532"/>
      <c r="FU37" s="1519"/>
      <c r="FV37" s="1532"/>
      <c r="FW37" s="1519"/>
      <c r="FX37" s="1572"/>
      <c r="FY37" s="1560"/>
      <c r="FZ37" s="1572"/>
      <c r="GA37" s="1560"/>
      <c r="GB37" s="1572"/>
      <c r="GC37" s="1560"/>
      <c r="GD37" s="1527"/>
      <c r="GE37" s="1560"/>
      <c r="GF37" s="1518"/>
      <c r="GG37" s="1519"/>
      <c r="GH37" s="1518"/>
      <c r="GI37" s="1519"/>
      <c r="GJ37" s="1520"/>
      <c r="GK37" s="1519"/>
      <c r="GL37" s="1518"/>
      <c r="GM37" s="1519"/>
      <c r="GN37" s="1520"/>
      <c r="GO37" s="1519"/>
      <c r="GP37" s="1520"/>
      <c r="GQ37" s="1519"/>
      <c r="GR37" s="1518"/>
      <c r="GS37" s="1519"/>
      <c r="GT37" s="1518"/>
      <c r="GU37" s="1519"/>
      <c r="GV37" s="1520"/>
      <c r="GW37" s="1519"/>
      <c r="GX37" s="1561"/>
      <c r="GY37" s="1527"/>
      <c r="GZ37" s="1518"/>
      <c r="HA37" s="1519"/>
      <c r="HB37" s="1501">
        <f>IFERROR(__xludf.DUMMYFUNCTION("""COMPUTED_VALUE"""),190.46944444444443)</f>
        <v>190.4694444</v>
      </c>
      <c r="HC37" s="1502">
        <f>IFERROR(__xludf.DUMMYFUNCTION("""COMPUTED_VALUE"""),9.0871E11)</f>
        <v>908710000000</v>
      </c>
      <c r="HD37" s="1518"/>
      <c r="HE37" s="1519"/>
      <c r="HF37" s="1518"/>
      <c r="HG37" s="1519"/>
      <c r="HH37" s="1518"/>
      <c r="HI37" s="1519"/>
      <c r="HJ37" s="1518"/>
      <c r="HK37" s="1519"/>
      <c r="HL37" s="1518"/>
      <c r="HM37" s="1519"/>
      <c r="HN37" s="1520"/>
      <c r="HO37" s="1519"/>
      <c r="HP37" s="1518"/>
      <c r="HQ37" s="1519"/>
      <c r="HR37" s="1518"/>
      <c r="HS37" s="1519"/>
      <c r="HT37" s="1518"/>
      <c r="HU37" s="1519"/>
      <c r="HV37" s="1518"/>
      <c r="HW37" s="1519"/>
      <c r="HX37" s="1518"/>
      <c r="HY37" s="1519"/>
      <c r="HZ37" s="1518"/>
      <c r="IA37" s="1519"/>
      <c r="IB37" s="1518"/>
      <c r="IC37" s="1519"/>
      <c r="ID37" s="1518"/>
      <c r="IE37" s="1519"/>
      <c r="IF37" s="1518"/>
      <c r="IG37" s="1519"/>
      <c r="IH37" s="1518"/>
      <c r="II37" s="1519"/>
      <c r="IJ37" s="1518"/>
      <c r="IK37" s="1519"/>
      <c r="IL37" s="1518"/>
      <c r="IM37" s="1519"/>
      <c r="IN37" s="1518"/>
      <c r="IO37" s="1519"/>
      <c r="IP37" s="1518"/>
      <c r="IQ37" s="1519"/>
      <c r="IR37" s="1518"/>
      <c r="IS37" s="1519"/>
      <c r="IT37" s="1518"/>
      <c r="IU37" s="1519"/>
      <c r="IV37" s="1518"/>
      <c r="IW37" s="1519"/>
      <c r="IX37" s="1518"/>
      <c r="IY37" s="1519"/>
      <c r="IZ37" s="1518"/>
      <c r="JA37" s="1519"/>
      <c r="JB37" s="1518"/>
      <c r="JC37" s="1519"/>
      <c r="JD37" s="1518"/>
      <c r="JE37" s="1519"/>
      <c r="JF37" s="1518"/>
      <c r="JG37" s="1519"/>
      <c r="JH37" s="1518"/>
      <c r="JI37" s="1519"/>
      <c r="JJ37" s="1562"/>
      <c r="JK37" s="1560"/>
      <c r="JL37" s="1562"/>
      <c r="JM37" s="1560"/>
      <c r="JN37" s="1562"/>
      <c r="JO37" s="1560"/>
      <c r="JP37" s="1562"/>
      <c r="JQ37" s="1560"/>
      <c r="JR37" s="1562"/>
      <c r="JS37" s="1560"/>
      <c r="JT37" s="1562"/>
      <c r="JU37" s="1560"/>
      <c r="JV37" s="1562"/>
      <c r="JW37" s="1560"/>
      <c r="JX37" s="1562"/>
      <c r="JY37" s="1527"/>
      <c r="JZ37" s="1566">
        <f>IFERROR(__xludf.DUMMYFUNCTION("""COMPUTED_VALUE"""),3.227685185)</f>
        <v>3.227685185</v>
      </c>
      <c r="KA37" s="1514">
        <f>IFERROR(__xludf.DUMMYFUNCTION("""COMPUTED_VALUE"""),2.729E10)</f>
        <v>27290000000</v>
      </c>
      <c r="KB37" s="1566">
        <f>IFERROR(__xludf.DUMMYFUNCTION("""COMPUTED_VALUE"""),6.407696759)</f>
        <v>6.407696759</v>
      </c>
      <c r="KC37" s="1567">
        <f>IFERROR(__xludf.DUMMYFUNCTION("""COMPUTED_VALUE"""),1.1791E11)</f>
        <v>117910000000</v>
      </c>
      <c r="KD37" s="1562"/>
      <c r="KE37" s="1527"/>
      <c r="KF37" s="1527"/>
      <c r="KG37" s="1527"/>
      <c r="KH37" s="1527"/>
      <c r="KI37" s="1527"/>
      <c r="KJ37" s="1527"/>
      <c r="KK37" s="1527"/>
      <c r="KL37" s="1527"/>
      <c r="KM37" s="1527"/>
      <c r="KN37" s="1527"/>
      <c r="KO37" s="1527"/>
      <c r="KP37" s="1527"/>
      <c r="KQ37" s="1527"/>
      <c r="KR37" s="1527"/>
      <c r="KS37" s="1527"/>
      <c r="KT37" s="1527"/>
      <c r="KU37" s="1527"/>
      <c r="KV37" s="1527"/>
      <c r="KW37" s="1527"/>
      <c r="KX37" s="1527"/>
      <c r="KY37" s="1527"/>
      <c r="KZ37" s="1527"/>
      <c r="LA37" s="1527"/>
      <c r="LB37" s="1527"/>
      <c r="LC37" s="1527"/>
      <c r="LD37" s="1527"/>
      <c r="LE37" s="1527"/>
      <c r="LF37" s="1527"/>
      <c r="LG37" s="1527"/>
      <c r="LH37" s="1527"/>
      <c r="LI37" s="1527"/>
      <c r="LJ37" s="1527"/>
      <c r="LK37" s="1527"/>
      <c r="LL37" s="1527"/>
      <c r="LM37" s="1527"/>
      <c r="LN37" s="1527"/>
      <c r="LO37" s="1527"/>
      <c r="LP37" s="1527"/>
      <c r="LQ37" s="1527"/>
      <c r="LR37" s="1527"/>
      <c r="LS37" s="1527"/>
      <c r="LT37" s="1527"/>
      <c r="LU37" s="1527"/>
      <c r="LV37" s="1527"/>
      <c r="LW37" s="1527"/>
      <c r="LX37" s="1527"/>
      <c r="LY37" s="1527"/>
      <c r="LZ37" s="1527"/>
      <c r="MA37" s="1527"/>
      <c r="MB37" s="1527"/>
      <c r="MC37" s="1527"/>
      <c r="MD37" s="1527"/>
      <c r="ME37" s="1527"/>
      <c r="MF37" s="1527"/>
      <c r="MG37" s="1527"/>
      <c r="MH37" s="1527"/>
      <c r="MI37" s="1527"/>
      <c r="MJ37" s="1527"/>
      <c r="MK37" s="1527"/>
      <c r="ML37" s="1527"/>
      <c r="MM37" s="1527"/>
      <c r="MN37" s="1527"/>
      <c r="MO37" s="1527"/>
      <c r="MP37" s="1527"/>
      <c r="MQ37" s="1527"/>
      <c r="MR37" s="1527"/>
      <c r="MS37" s="1527"/>
      <c r="MT37" s="1527"/>
      <c r="MU37" s="1527"/>
      <c r="MV37" s="1527"/>
      <c r="MW37" s="1527"/>
      <c r="MX37" s="1527"/>
      <c r="MY37" s="1527"/>
    </row>
    <row r="38">
      <c r="A38" s="1465">
        <f>IFERROR(__xludf.DUMMYFUNCTION("""COMPUTED_VALUE"""),36.0)</f>
        <v>36</v>
      </c>
      <c r="B38" s="1518"/>
      <c r="C38" s="1520"/>
      <c r="D38" s="1466">
        <f>IFERROR(__xludf.DUMMYFUNCTION("""COMPUTED_VALUE"""),4.236111111111111)</f>
        <v>4.236111111</v>
      </c>
      <c r="E38" s="1467">
        <f>IFERROR(__xludf.DUMMYFUNCTION("""COMPUTED_VALUE"""),247760.0)</f>
        <v>247760</v>
      </c>
      <c r="F38" s="1466">
        <f>IFERROR(__xludf.DUMMYFUNCTION("""COMPUTED_VALUE"""),4.236111111111111)</f>
        <v>4.236111111</v>
      </c>
      <c r="G38" s="1467">
        <f>IFERROR(__xludf.DUMMYFUNCTION("""COMPUTED_VALUE"""),247760.0)</f>
        <v>247760</v>
      </c>
      <c r="H38" s="1466">
        <f>IFERROR(__xludf.DUMMYFUNCTION("""COMPUTED_VALUE"""),4.236111111111111)</f>
        <v>4.236111111</v>
      </c>
      <c r="I38" s="1467">
        <f>IFERROR(__xludf.DUMMYFUNCTION("""COMPUTED_VALUE"""),247760.0)</f>
        <v>247760</v>
      </c>
      <c r="J38" s="1466">
        <f>IFERROR(__xludf.DUMMYFUNCTION("""COMPUTED_VALUE"""),4.236111111111111)</f>
        <v>4.236111111</v>
      </c>
      <c r="K38" s="1467">
        <f>IFERROR(__xludf.DUMMYFUNCTION("""COMPUTED_VALUE"""),247760.0)</f>
        <v>247760</v>
      </c>
      <c r="L38" s="1466">
        <f>IFERROR(__xludf.DUMMYFUNCTION("""COMPUTED_VALUE"""),7.215972222222222)</f>
        <v>7.215972222</v>
      </c>
      <c r="M38" s="1469">
        <f>IFERROR(__xludf.DUMMYFUNCTION("""COMPUTED_VALUE"""),712810.0)</f>
        <v>712810</v>
      </c>
      <c r="N38" s="1470">
        <f>IFERROR(__xludf.DUMMYFUNCTION("""COMPUTED_VALUE"""),4.2444444444444445)</f>
        <v>4.244444444</v>
      </c>
      <c r="O38" s="1467">
        <f>IFERROR(__xludf.DUMMYFUNCTION("""COMPUTED_VALUE"""),796430.0)</f>
        <v>796430</v>
      </c>
      <c r="P38" s="1518"/>
      <c r="Q38" s="1519"/>
      <c r="R38" s="1518"/>
      <c r="S38" s="1519"/>
      <c r="T38" s="1518"/>
      <c r="U38" s="1519"/>
      <c r="V38" s="1518"/>
      <c r="W38" s="1519"/>
      <c r="X38" s="1518"/>
      <c r="Y38" s="1519"/>
      <c r="Z38" s="1518"/>
      <c r="AA38" s="1519"/>
      <c r="AB38" s="1518"/>
      <c r="AC38" s="1519"/>
      <c r="AD38" s="1466">
        <f>IFERROR(__xludf.DUMMYFUNCTION("""COMPUTED_VALUE"""),38.87777777777778)</f>
        <v>38.87777778</v>
      </c>
      <c r="AE38" s="1474">
        <f>IFERROR(__xludf.DUMMYFUNCTION("""COMPUTED_VALUE"""),9.727860425E12)</f>
        <v>9727860425000</v>
      </c>
      <c r="AF38" s="1466">
        <f>IFERROR(__xludf.DUMMYFUNCTION("""COMPUTED_VALUE"""),38.87777777777778)</f>
        <v>38.87777778</v>
      </c>
      <c r="AG38" s="1474">
        <f>IFERROR(__xludf.DUMMYFUNCTION("""COMPUTED_VALUE"""),9.727860425E12)</f>
        <v>9727860425000</v>
      </c>
      <c r="AH38" s="1466">
        <f>IFERROR(__xludf.DUMMYFUNCTION("""COMPUTED_VALUE"""),38.87777777777778)</f>
        <v>38.87777778</v>
      </c>
      <c r="AI38" s="1474">
        <f>IFERROR(__xludf.DUMMYFUNCTION("""COMPUTED_VALUE"""),9.727860425E12)</f>
        <v>9727860425000</v>
      </c>
      <c r="AJ38" s="1475">
        <f>IFERROR(__xludf.DUMMYFUNCTION("""COMPUTED_VALUE"""),4.236111111111111)</f>
        <v>4.236111111</v>
      </c>
      <c r="AK38" s="1476">
        <f>IFERROR(__xludf.DUMMYFUNCTION("""COMPUTED_VALUE"""),247760.0)</f>
        <v>247760</v>
      </c>
      <c r="AL38" s="1475">
        <f>IFERROR(__xludf.DUMMYFUNCTION("""COMPUTED_VALUE"""),4.236111111111111)</f>
        <v>4.236111111</v>
      </c>
      <c r="AM38" s="1476">
        <f>IFERROR(__xludf.DUMMYFUNCTION("""COMPUTED_VALUE"""),247760.0)</f>
        <v>247760</v>
      </c>
      <c r="AN38" s="1475">
        <f>IFERROR(__xludf.DUMMYFUNCTION("""COMPUTED_VALUE"""),4.236111111111111)</f>
        <v>4.236111111</v>
      </c>
      <c r="AO38" s="1476">
        <f>IFERROR(__xludf.DUMMYFUNCTION("""COMPUTED_VALUE"""),247760.0)</f>
        <v>247760</v>
      </c>
      <c r="AP38" s="1475">
        <f>IFERROR(__xludf.DUMMYFUNCTION("""COMPUTED_VALUE"""),4.236111111111111)</f>
        <v>4.236111111</v>
      </c>
      <c r="AQ38" s="1476">
        <f>IFERROR(__xludf.DUMMYFUNCTION("""COMPUTED_VALUE"""),247760.0)</f>
        <v>247760</v>
      </c>
      <c r="AR38" s="1475">
        <f>IFERROR(__xludf.DUMMYFUNCTION("""COMPUTED_VALUE"""),4.236111111111111)</f>
        <v>4.236111111</v>
      </c>
      <c r="AS38" s="1476">
        <f>IFERROR(__xludf.DUMMYFUNCTION("""COMPUTED_VALUE"""),247770.0)</f>
        <v>247770</v>
      </c>
      <c r="AT38" s="1475">
        <f>IFERROR(__xludf.DUMMYFUNCTION("""COMPUTED_VALUE"""),2496.9506944444443)</f>
        <v>2496.950694</v>
      </c>
      <c r="AU38" s="1476">
        <f>IFERROR(__xludf.DUMMYFUNCTION("""COMPUTED_VALUE"""),1.808E10)</f>
        <v>18080000000</v>
      </c>
      <c r="AV38" s="1475">
        <f>IFERROR(__xludf.DUMMYFUNCTION("""COMPUTED_VALUE"""),1237.1958333333334)</f>
        <v>1237.195833</v>
      </c>
      <c r="AW38" s="1476">
        <f>IFERROR(__xludf.DUMMYFUNCTION("""COMPUTED_VALUE"""),1.808E10)</f>
        <v>18080000000</v>
      </c>
      <c r="AX38" s="1518"/>
      <c r="AY38" s="1568"/>
      <c r="AZ38" s="1518"/>
      <c r="BA38" s="1518"/>
      <c r="BB38" s="1477">
        <f>IFERROR(__xludf.DUMMYFUNCTION("""COMPUTED_VALUE"""),4.236111111111111)</f>
        <v>4.236111111</v>
      </c>
      <c r="BC38" s="1478">
        <f>IFERROR(__xludf.DUMMYFUNCTION("""COMPUTED_VALUE"""),247760.0)</f>
        <v>247760</v>
      </c>
      <c r="BD38" s="1477">
        <f>IFERROR(__xludf.DUMMYFUNCTION("""COMPUTED_VALUE"""),4.236111111111111)</f>
        <v>4.236111111</v>
      </c>
      <c r="BE38" s="1478">
        <f>IFERROR(__xludf.DUMMYFUNCTION("""COMPUTED_VALUE"""),247760.0)</f>
        <v>247760</v>
      </c>
      <c r="BF38" s="1477">
        <f>IFERROR(__xludf.DUMMYFUNCTION("""COMPUTED_VALUE"""),4.236111111111111)</f>
        <v>4.236111111</v>
      </c>
      <c r="BG38" s="1478">
        <f>IFERROR(__xludf.DUMMYFUNCTION("""COMPUTED_VALUE"""),247760.0)</f>
        <v>247760</v>
      </c>
      <c r="BH38" s="1477">
        <f>IFERROR(__xludf.DUMMYFUNCTION("""COMPUTED_VALUE"""),102.18402777777777)</f>
        <v>102.1840278</v>
      </c>
      <c r="BI38" s="1478">
        <f>IFERROR(__xludf.DUMMYFUNCTION("""COMPUTED_VALUE"""),1.5E9)</f>
        <v>1500000000</v>
      </c>
      <c r="BJ38" s="1518"/>
      <c r="BK38" s="1519"/>
      <c r="BL38" s="1518"/>
      <c r="BM38" s="1519"/>
      <c r="BN38" s="1518"/>
      <c r="BO38" s="1519"/>
      <c r="BP38" s="1518"/>
      <c r="BQ38" s="1519"/>
      <c r="BR38" s="1520"/>
      <c r="BS38" s="1519"/>
      <c r="BT38" s="1479">
        <f>IFERROR(__xludf.DUMMYFUNCTION("""COMPUTED_VALUE"""),4.427083333333334)</f>
        <v>4.427083333</v>
      </c>
      <c r="BU38" s="1480">
        <f>IFERROR(__xludf.DUMMYFUNCTION("""COMPUTED_VALUE"""),2.046E10)</f>
        <v>20460000000</v>
      </c>
      <c r="BV38" s="1520"/>
      <c r="BW38" s="1520"/>
      <c r="BX38" s="1520"/>
      <c r="BY38" s="1520"/>
      <c r="BZ38" s="1520"/>
      <c r="CA38" s="1520"/>
      <c r="CB38" s="1520"/>
      <c r="CC38" s="1519"/>
      <c r="CD38" s="1477">
        <f>IFERROR(__xludf.DUMMYFUNCTION("""COMPUTED_VALUE"""),17.916145833333335)</f>
        <v>17.91614583</v>
      </c>
      <c r="CE38" s="1481">
        <f>IFERROR(__xludf.DUMMYFUNCTION("""COMPUTED_VALUE"""),2.44E12)</f>
        <v>2440000000000</v>
      </c>
      <c r="CF38" s="1527"/>
      <c r="CG38" s="1560"/>
      <c r="CH38" s="1482">
        <f>IFERROR(__xludf.DUMMYFUNCTION("""COMPUTED_VALUE"""),4.236111111111111)</f>
        <v>4.236111111</v>
      </c>
      <c r="CI38" s="1483">
        <f>IFERROR(__xludf.DUMMYFUNCTION("""COMPUTED_VALUE"""),247770.0)</f>
        <v>247770</v>
      </c>
      <c r="CJ38" s="1482">
        <f>IFERROR(__xludf.DUMMYFUNCTION("""COMPUTED_VALUE"""),4.236111111111111)</f>
        <v>4.236111111</v>
      </c>
      <c r="CK38" s="1483">
        <f>IFERROR(__xludf.DUMMYFUNCTION("""COMPUTED_VALUE"""),247770.0)</f>
        <v>247770</v>
      </c>
      <c r="CL38" s="1482">
        <f>IFERROR(__xludf.DUMMYFUNCTION("""COMPUTED_VALUE"""),4.236111111111111)</f>
        <v>4.236111111</v>
      </c>
      <c r="CM38" s="1483">
        <f>IFERROR(__xludf.DUMMYFUNCTION("""COMPUTED_VALUE"""),247770.0)</f>
        <v>247770</v>
      </c>
      <c r="CN38" s="1482">
        <f>IFERROR(__xludf.DUMMYFUNCTION("""COMPUTED_VALUE"""),4.236111111111111)</f>
        <v>4.236111111</v>
      </c>
      <c r="CO38" s="1483">
        <f>IFERROR(__xludf.DUMMYFUNCTION("""COMPUTED_VALUE"""),247770.0)</f>
        <v>247770</v>
      </c>
      <c r="CP38" s="1482">
        <f>IFERROR(__xludf.DUMMYFUNCTION("""COMPUTED_VALUE"""),8.580555555555556)</f>
        <v>8.580555556</v>
      </c>
      <c r="CQ38" s="1483">
        <f>IFERROR(__xludf.DUMMYFUNCTION("""COMPUTED_VALUE"""),796440.0)</f>
        <v>796440</v>
      </c>
      <c r="CR38" s="1518"/>
      <c r="CS38" s="1519"/>
      <c r="CT38" s="1520"/>
      <c r="CU38" s="1519"/>
      <c r="CV38" s="1520"/>
      <c r="CW38" s="1519"/>
      <c r="CX38" s="1520"/>
      <c r="CY38" s="1519"/>
      <c r="CZ38" s="1520"/>
      <c r="DA38" s="1520"/>
      <c r="DB38" s="1520"/>
      <c r="DC38" s="1520"/>
      <c r="DD38" s="1520"/>
      <c r="DE38" s="1519"/>
      <c r="DF38" s="1518"/>
      <c r="DG38" s="1519"/>
      <c r="DH38" s="1518"/>
      <c r="DI38" s="1519"/>
      <c r="DJ38" s="1518"/>
      <c r="DK38" s="1519"/>
      <c r="DL38" s="1518"/>
      <c r="DM38" s="1519"/>
      <c r="DN38" s="1518"/>
      <c r="DO38" s="1519"/>
      <c r="DP38" s="1518"/>
      <c r="DQ38" s="1519"/>
      <c r="DR38" s="1518"/>
      <c r="DS38" s="1519"/>
      <c r="DT38" s="1518"/>
      <c r="DU38" s="1519"/>
      <c r="DV38" s="1520"/>
      <c r="DW38" s="1519"/>
      <c r="DX38" s="1518"/>
      <c r="DY38" s="1519"/>
      <c r="DZ38" s="1518"/>
      <c r="EA38" s="1519"/>
      <c r="EB38" s="1518"/>
      <c r="EC38" s="1519"/>
      <c r="ED38" s="1518"/>
      <c r="EE38" s="1519"/>
      <c r="EF38" s="1518"/>
      <c r="EG38" s="1519"/>
      <c r="EH38" s="1518"/>
      <c r="EI38" s="1519"/>
      <c r="EJ38" s="1562"/>
      <c r="EK38" s="1560"/>
      <c r="EL38" s="1562"/>
      <c r="EM38" s="1560"/>
      <c r="EN38" s="1518"/>
      <c r="EO38" s="1519"/>
      <c r="EP38" s="1518"/>
      <c r="EQ38" s="1519"/>
      <c r="ER38" s="1518"/>
      <c r="ES38" s="1519"/>
      <c r="ET38" s="1518"/>
      <c r="EU38" s="1519"/>
      <c r="EV38" s="1518"/>
      <c r="EW38" s="1519"/>
      <c r="EX38" s="1518"/>
      <c r="EY38" s="1519"/>
      <c r="EZ38" s="1518"/>
      <c r="FA38" s="1519"/>
      <c r="FB38" s="1520"/>
      <c r="FC38" s="1519"/>
      <c r="FD38" s="1520"/>
      <c r="FE38" s="1519"/>
      <c r="FF38" s="1520"/>
      <c r="FG38" s="1519"/>
      <c r="FH38" s="1520"/>
      <c r="FI38" s="1520"/>
      <c r="FJ38" s="1520"/>
      <c r="FK38" s="1519"/>
      <c r="FL38" s="1518"/>
      <c r="FM38" s="1519"/>
      <c r="FN38" s="1571"/>
      <c r="FO38" s="1519"/>
      <c r="FP38" s="1571"/>
      <c r="FQ38" s="1519"/>
      <c r="FR38" s="1571"/>
      <c r="FS38" s="1519"/>
      <c r="FT38" s="1532"/>
      <c r="FU38" s="1519"/>
      <c r="FV38" s="1532"/>
      <c r="FW38" s="1519"/>
      <c r="FX38" s="1572"/>
      <c r="FY38" s="1560"/>
      <c r="FZ38" s="1572"/>
      <c r="GA38" s="1560"/>
      <c r="GB38" s="1572"/>
      <c r="GC38" s="1560"/>
      <c r="GD38" s="1527"/>
      <c r="GE38" s="1560"/>
      <c r="GF38" s="1518"/>
      <c r="GG38" s="1519"/>
      <c r="GH38" s="1518"/>
      <c r="GI38" s="1519"/>
      <c r="GJ38" s="1520"/>
      <c r="GK38" s="1519"/>
      <c r="GL38" s="1518"/>
      <c r="GM38" s="1519"/>
      <c r="GN38" s="1520"/>
      <c r="GO38" s="1519"/>
      <c r="GP38" s="1520"/>
      <c r="GQ38" s="1519"/>
      <c r="GR38" s="1518"/>
      <c r="GS38" s="1519"/>
      <c r="GT38" s="1518"/>
      <c r="GU38" s="1519"/>
      <c r="GV38" s="1520"/>
      <c r="GW38" s="1519"/>
      <c r="GX38" s="1561"/>
      <c r="GY38" s="1527"/>
      <c r="GZ38" s="1518"/>
      <c r="HA38" s="1519"/>
      <c r="HB38" s="1501">
        <f>IFERROR(__xludf.DUMMYFUNCTION("""COMPUTED_VALUE"""),210.43541666666667)</f>
        <v>210.4354167</v>
      </c>
      <c r="HC38" s="1502">
        <f>IFERROR(__xludf.DUMMYFUNCTION("""COMPUTED_VALUE"""),1.05E12)</f>
        <v>1050000000000</v>
      </c>
      <c r="HD38" s="1518"/>
      <c r="HE38" s="1519"/>
      <c r="HF38" s="1518"/>
      <c r="HG38" s="1519"/>
      <c r="HH38" s="1518"/>
      <c r="HI38" s="1519"/>
      <c r="HJ38" s="1518"/>
      <c r="HK38" s="1519"/>
      <c r="HL38" s="1518"/>
      <c r="HM38" s="1519"/>
      <c r="HN38" s="1520"/>
      <c r="HO38" s="1519"/>
      <c r="HP38" s="1518"/>
      <c r="HQ38" s="1519"/>
      <c r="HR38" s="1518"/>
      <c r="HS38" s="1519"/>
      <c r="HT38" s="1518"/>
      <c r="HU38" s="1519"/>
      <c r="HV38" s="1518"/>
      <c r="HW38" s="1519"/>
      <c r="HX38" s="1518"/>
      <c r="HY38" s="1519"/>
      <c r="HZ38" s="1518"/>
      <c r="IA38" s="1519"/>
      <c r="IB38" s="1518"/>
      <c r="IC38" s="1519"/>
      <c r="ID38" s="1518"/>
      <c r="IE38" s="1519"/>
      <c r="IF38" s="1518"/>
      <c r="IG38" s="1519"/>
      <c r="IH38" s="1518"/>
      <c r="II38" s="1519"/>
      <c r="IJ38" s="1518"/>
      <c r="IK38" s="1519"/>
      <c r="IL38" s="1518"/>
      <c r="IM38" s="1519"/>
      <c r="IN38" s="1518"/>
      <c r="IO38" s="1519"/>
      <c r="IP38" s="1518"/>
      <c r="IQ38" s="1519"/>
      <c r="IR38" s="1518"/>
      <c r="IS38" s="1519"/>
      <c r="IT38" s="1518"/>
      <c r="IU38" s="1519"/>
      <c r="IV38" s="1518"/>
      <c r="IW38" s="1519"/>
      <c r="IX38" s="1518"/>
      <c r="IY38" s="1519"/>
      <c r="IZ38" s="1518"/>
      <c r="JA38" s="1519"/>
      <c r="JB38" s="1518"/>
      <c r="JC38" s="1519"/>
      <c r="JD38" s="1518"/>
      <c r="JE38" s="1519"/>
      <c r="JF38" s="1518"/>
      <c r="JG38" s="1519"/>
      <c r="JH38" s="1518"/>
      <c r="JI38" s="1519"/>
      <c r="JJ38" s="1562"/>
      <c r="JK38" s="1560"/>
      <c r="JL38" s="1562"/>
      <c r="JM38" s="1560"/>
      <c r="JN38" s="1562"/>
      <c r="JO38" s="1560"/>
      <c r="JP38" s="1562"/>
      <c r="JQ38" s="1560"/>
      <c r="JR38" s="1562"/>
      <c r="JS38" s="1560"/>
      <c r="JT38" s="1562"/>
      <c r="JU38" s="1560"/>
      <c r="JV38" s="1562"/>
      <c r="JW38" s="1560"/>
      <c r="JX38" s="1562"/>
      <c r="JY38" s="1527"/>
      <c r="JZ38" s="1566">
        <f>IFERROR(__xludf.DUMMYFUNCTION("""COMPUTED_VALUE"""),3.2996875)</f>
        <v>3.2996875</v>
      </c>
      <c r="KA38" s="1514">
        <f>IFERROR(__xludf.DUMMYFUNCTION("""COMPUTED_VALUE"""),2.951E10)</f>
        <v>29510000000</v>
      </c>
      <c r="KB38" s="1566">
        <f>IFERROR(__xludf.DUMMYFUNCTION("""COMPUTED_VALUE"""),6.718946759)</f>
        <v>6.718946759</v>
      </c>
      <c r="KC38" s="1567">
        <f>IFERROR(__xludf.DUMMYFUNCTION("""COMPUTED_VALUE"""),1.2863E11)</f>
        <v>128630000000</v>
      </c>
      <c r="KD38" s="1562"/>
      <c r="KE38" s="1527"/>
      <c r="KF38" s="1527"/>
      <c r="KG38" s="1527"/>
      <c r="KH38" s="1527"/>
      <c r="KI38" s="1527"/>
      <c r="KJ38" s="1527"/>
      <c r="KK38" s="1527"/>
      <c r="KL38" s="1527"/>
      <c r="KM38" s="1527"/>
      <c r="KN38" s="1527"/>
      <c r="KO38" s="1527"/>
      <c r="KP38" s="1527"/>
      <c r="KQ38" s="1527"/>
      <c r="KR38" s="1527"/>
      <c r="KS38" s="1527"/>
      <c r="KT38" s="1527"/>
      <c r="KU38" s="1527"/>
      <c r="KV38" s="1527"/>
      <c r="KW38" s="1527"/>
      <c r="KX38" s="1527"/>
      <c r="KY38" s="1527"/>
      <c r="KZ38" s="1527"/>
      <c r="LA38" s="1527"/>
      <c r="LB38" s="1527"/>
      <c r="LC38" s="1527"/>
      <c r="LD38" s="1527"/>
      <c r="LE38" s="1527"/>
      <c r="LF38" s="1527"/>
      <c r="LG38" s="1527"/>
      <c r="LH38" s="1527"/>
      <c r="LI38" s="1527"/>
      <c r="LJ38" s="1527"/>
      <c r="LK38" s="1527"/>
      <c r="LL38" s="1527"/>
      <c r="LM38" s="1527"/>
      <c r="LN38" s="1527"/>
      <c r="LO38" s="1527"/>
      <c r="LP38" s="1527"/>
      <c r="LQ38" s="1527"/>
      <c r="LR38" s="1527"/>
      <c r="LS38" s="1527"/>
      <c r="LT38" s="1527"/>
      <c r="LU38" s="1527"/>
      <c r="LV38" s="1527"/>
      <c r="LW38" s="1527"/>
      <c r="LX38" s="1527"/>
      <c r="LY38" s="1527"/>
      <c r="LZ38" s="1527"/>
      <c r="MA38" s="1527"/>
      <c r="MB38" s="1527"/>
      <c r="MC38" s="1527"/>
      <c r="MD38" s="1527"/>
      <c r="ME38" s="1527"/>
      <c r="MF38" s="1527"/>
      <c r="MG38" s="1527"/>
      <c r="MH38" s="1527"/>
      <c r="MI38" s="1527"/>
      <c r="MJ38" s="1527"/>
      <c r="MK38" s="1527"/>
      <c r="ML38" s="1527"/>
      <c r="MM38" s="1527"/>
      <c r="MN38" s="1527"/>
      <c r="MO38" s="1527"/>
      <c r="MP38" s="1527"/>
      <c r="MQ38" s="1527"/>
      <c r="MR38" s="1527"/>
      <c r="MS38" s="1527"/>
      <c r="MT38" s="1527"/>
      <c r="MU38" s="1527"/>
      <c r="MV38" s="1527"/>
      <c r="MW38" s="1527"/>
      <c r="MX38" s="1527"/>
      <c r="MY38" s="1527"/>
    </row>
    <row r="39">
      <c r="A39" s="1465">
        <f>IFERROR(__xludf.DUMMYFUNCTION("""COMPUTED_VALUE"""),37.0)</f>
        <v>37</v>
      </c>
      <c r="B39" s="1518"/>
      <c r="C39" s="1520"/>
      <c r="D39" s="1466">
        <f>IFERROR(__xludf.DUMMYFUNCTION("""COMPUTED_VALUE"""),4.527777777777778)</f>
        <v>4.527777778</v>
      </c>
      <c r="E39" s="1467">
        <f>IFERROR(__xludf.DUMMYFUNCTION("""COMPUTED_VALUE"""),267660.0)</f>
        <v>267660</v>
      </c>
      <c r="F39" s="1466">
        <f>IFERROR(__xludf.DUMMYFUNCTION("""COMPUTED_VALUE"""),4.527777777777778)</f>
        <v>4.527777778</v>
      </c>
      <c r="G39" s="1467">
        <f>IFERROR(__xludf.DUMMYFUNCTION("""COMPUTED_VALUE"""),267660.0)</f>
        <v>267660</v>
      </c>
      <c r="H39" s="1466">
        <f>IFERROR(__xludf.DUMMYFUNCTION("""COMPUTED_VALUE"""),4.527777777777778)</f>
        <v>4.527777778</v>
      </c>
      <c r="I39" s="1467">
        <f>IFERROR(__xludf.DUMMYFUNCTION("""COMPUTED_VALUE"""),267660.0)</f>
        <v>267660</v>
      </c>
      <c r="J39" s="1466">
        <f>IFERROR(__xludf.DUMMYFUNCTION("""COMPUTED_VALUE"""),4.527777777777778)</f>
        <v>4.527777778</v>
      </c>
      <c r="K39" s="1467">
        <f>IFERROR(__xludf.DUMMYFUNCTION("""COMPUTED_VALUE"""),267660.0)</f>
        <v>267660</v>
      </c>
      <c r="L39" s="1466">
        <f>IFERROR(__xludf.DUMMYFUNCTION("""COMPUTED_VALUE"""),7.7444444444444445)</f>
        <v>7.744444444</v>
      </c>
      <c r="M39" s="1469">
        <f>IFERROR(__xludf.DUMMYFUNCTION("""COMPUTED_VALUE"""),775190.0)</f>
        <v>775190</v>
      </c>
      <c r="N39" s="1470">
        <f>IFERROR(__xludf.DUMMYFUNCTION("""COMPUTED_VALUE"""),4.502777777777778)</f>
        <v>4.502777778</v>
      </c>
      <c r="O39" s="1467">
        <f>IFERROR(__xludf.DUMMYFUNCTION("""COMPUTED_VALUE"""),869040.0)</f>
        <v>869040</v>
      </c>
      <c r="P39" s="1518"/>
      <c r="Q39" s="1519"/>
      <c r="R39" s="1518"/>
      <c r="S39" s="1519"/>
      <c r="T39" s="1518"/>
      <c r="U39" s="1519"/>
      <c r="V39" s="1518"/>
      <c r="W39" s="1519"/>
      <c r="X39" s="1518"/>
      <c r="Y39" s="1519"/>
      <c r="Z39" s="1518"/>
      <c r="AA39" s="1519"/>
      <c r="AB39" s="1518"/>
      <c r="AC39" s="1519"/>
      <c r="AD39" s="1466">
        <f>IFERROR(__xludf.DUMMYFUNCTION("""COMPUTED_VALUE"""),39.95763888888889)</f>
        <v>39.95763889</v>
      </c>
      <c r="AE39" s="1474">
        <f>IFERROR(__xludf.DUMMYFUNCTION("""COMPUTED_VALUE"""),1.264621855E13)</f>
        <v>12646218550000</v>
      </c>
      <c r="AF39" s="1466">
        <f>IFERROR(__xludf.DUMMYFUNCTION("""COMPUTED_VALUE"""),39.95763888888889)</f>
        <v>39.95763889</v>
      </c>
      <c r="AG39" s="1474">
        <f>IFERROR(__xludf.DUMMYFUNCTION("""COMPUTED_VALUE"""),1.264621855E13)</f>
        <v>12646218550000</v>
      </c>
      <c r="AH39" s="1466">
        <f>IFERROR(__xludf.DUMMYFUNCTION("""COMPUTED_VALUE"""),39.95763888888889)</f>
        <v>39.95763889</v>
      </c>
      <c r="AI39" s="1474">
        <f>IFERROR(__xludf.DUMMYFUNCTION("""COMPUTED_VALUE"""),1.264621855E13)</f>
        <v>12646218550000</v>
      </c>
      <c r="AJ39" s="1475">
        <f>IFERROR(__xludf.DUMMYFUNCTION("""COMPUTED_VALUE"""),4.527777777777778)</f>
        <v>4.527777778</v>
      </c>
      <c r="AK39" s="1476">
        <f>IFERROR(__xludf.DUMMYFUNCTION("""COMPUTED_VALUE"""),267660.0)</f>
        <v>267660</v>
      </c>
      <c r="AL39" s="1475">
        <f>IFERROR(__xludf.DUMMYFUNCTION("""COMPUTED_VALUE"""),4.527777777777778)</f>
        <v>4.527777778</v>
      </c>
      <c r="AM39" s="1476">
        <f>IFERROR(__xludf.DUMMYFUNCTION("""COMPUTED_VALUE"""),267660.0)</f>
        <v>267660</v>
      </c>
      <c r="AN39" s="1475">
        <f>IFERROR(__xludf.DUMMYFUNCTION("""COMPUTED_VALUE"""),4.527777777777778)</f>
        <v>4.527777778</v>
      </c>
      <c r="AO39" s="1476">
        <f>IFERROR(__xludf.DUMMYFUNCTION("""COMPUTED_VALUE"""),267660.0)</f>
        <v>267660</v>
      </c>
      <c r="AP39" s="1475">
        <f>IFERROR(__xludf.DUMMYFUNCTION("""COMPUTED_VALUE"""),4.527777777777778)</f>
        <v>4.527777778</v>
      </c>
      <c r="AQ39" s="1476">
        <f>IFERROR(__xludf.DUMMYFUNCTION("""COMPUTED_VALUE"""),267660.0)</f>
        <v>267660</v>
      </c>
      <c r="AR39" s="1475">
        <f>IFERROR(__xludf.DUMMYFUNCTION("""COMPUTED_VALUE"""),4.527777777777778)</f>
        <v>4.527777778</v>
      </c>
      <c r="AS39" s="1476">
        <f>IFERROR(__xludf.DUMMYFUNCTION("""COMPUTED_VALUE"""),267670.0)</f>
        <v>267670</v>
      </c>
      <c r="AT39" s="1475">
        <f>IFERROR(__xludf.DUMMYFUNCTION("""COMPUTED_VALUE"""),2808.461111111111)</f>
        <v>2808.461111</v>
      </c>
      <c r="AU39" s="1476">
        <f>IFERROR(__xludf.DUMMYFUNCTION("""COMPUTED_VALUE"""),2.064E10)</f>
        <v>20640000000</v>
      </c>
      <c r="AV39" s="1475">
        <f>IFERROR(__xludf.DUMMYFUNCTION("""COMPUTED_VALUE"""),1382.7902777777779)</f>
        <v>1382.790278</v>
      </c>
      <c r="AW39" s="1476">
        <f>IFERROR(__xludf.DUMMYFUNCTION("""COMPUTED_VALUE"""),2.064E10)</f>
        <v>20640000000</v>
      </c>
      <c r="AX39" s="1518"/>
      <c r="AY39" s="1568"/>
      <c r="AZ39" s="1518"/>
      <c r="BA39" s="1518"/>
      <c r="BB39" s="1477">
        <f>IFERROR(__xludf.DUMMYFUNCTION("""COMPUTED_VALUE"""),4.527777777777778)</f>
        <v>4.527777778</v>
      </c>
      <c r="BC39" s="1478">
        <f>IFERROR(__xludf.DUMMYFUNCTION("""COMPUTED_VALUE"""),267660.0)</f>
        <v>267660</v>
      </c>
      <c r="BD39" s="1477">
        <f>IFERROR(__xludf.DUMMYFUNCTION("""COMPUTED_VALUE"""),4.527777777777778)</f>
        <v>4.527777778</v>
      </c>
      <c r="BE39" s="1478">
        <f>IFERROR(__xludf.DUMMYFUNCTION("""COMPUTED_VALUE"""),267660.0)</f>
        <v>267660</v>
      </c>
      <c r="BF39" s="1477">
        <f>IFERROR(__xludf.DUMMYFUNCTION("""COMPUTED_VALUE"""),4.527777777777778)</f>
        <v>4.527777778</v>
      </c>
      <c r="BG39" s="1478">
        <f>IFERROR(__xludf.DUMMYFUNCTION("""COMPUTED_VALUE"""),267660.0)</f>
        <v>267660</v>
      </c>
      <c r="BH39" s="1477">
        <f>IFERROR(__xludf.DUMMYFUNCTION("""COMPUTED_VALUE"""),112.0513888888889)</f>
        <v>112.0513889</v>
      </c>
      <c r="BI39" s="1478">
        <f>IFERROR(__xludf.DUMMYFUNCTION("""COMPUTED_VALUE"""),1.68E9)</f>
        <v>1680000000</v>
      </c>
      <c r="BJ39" s="1518"/>
      <c r="BK39" s="1519"/>
      <c r="BL39" s="1518"/>
      <c r="BM39" s="1519"/>
      <c r="BN39" s="1518"/>
      <c r="BO39" s="1519"/>
      <c r="BP39" s="1518"/>
      <c r="BQ39" s="1519"/>
      <c r="BR39" s="1520"/>
      <c r="BS39" s="1519"/>
      <c r="BT39" s="1479">
        <f>IFERROR(__xludf.DUMMYFUNCTION("""COMPUTED_VALUE"""),4.717361111111111)</f>
        <v>4.717361111</v>
      </c>
      <c r="BU39" s="1480">
        <f>IFERROR(__xludf.DUMMYFUNCTION("""COMPUTED_VALUE"""),2.187E10)</f>
        <v>21870000000</v>
      </c>
      <c r="BV39" s="1520"/>
      <c r="BW39" s="1520"/>
      <c r="BX39" s="1520"/>
      <c r="BY39" s="1520"/>
      <c r="BZ39" s="1520"/>
      <c r="CA39" s="1520"/>
      <c r="CB39" s="1520"/>
      <c r="CC39" s="1519"/>
      <c r="CD39" s="1477">
        <f>IFERROR(__xludf.DUMMYFUNCTION("""COMPUTED_VALUE"""),18.965150462962963)</f>
        <v>18.96515046</v>
      </c>
      <c r="CE39" s="1481">
        <f>IFERROR(__xludf.DUMMYFUNCTION("""COMPUTED_VALUE"""),2.63E12)</f>
        <v>2630000000000</v>
      </c>
      <c r="CF39" s="1527"/>
      <c r="CG39" s="1560"/>
      <c r="CH39" s="1482">
        <f>IFERROR(__xludf.DUMMYFUNCTION("""COMPUTED_VALUE"""),4.527777777777778)</f>
        <v>4.527777778</v>
      </c>
      <c r="CI39" s="1483">
        <f>IFERROR(__xludf.DUMMYFUNCTION("""COMPUTED_VALUE"""),267670.0)</f>
        <v>267670</v>
      </c>
      <c r="CJ39" s="1482">
        <f>IFERROR(__xludf.DUMMYFUNCTION("""COMPUTED_VALUE"""),4.527777777777778)</f>
        <v>4.527777778</v>
      </c>
      <c r="CK39" s="1483">
        <f>IFERROR(__xludf.DUMMYFUNCTION("""COMPUTED_VALUE"""),267670.0)</f>
        <v>267670</v>
      </c>
      <c r="CL39" s="1482">
        <f>IFERROR(__xludf.DUMMYFUNCTION("""COMPUTED_VALUE"""),4.527777777777778)</f>
        <v>4.527777778</v>
      </c>
      <c r="CM39" s="1483">
        <f>IFERROR(__xludf.DUMMYFUNCTION("""COMPUTED_VALUE"""),267670.0)</f>
        <v>267670</v>
      </c>
      <c r="CN39" s="1482">
        <f>IFERROR(__xludf.DUMMYFUNCTION("""COMPUTED_VALUE"""),4.527777777777778)</f>
        <v>4.527777778</v>
      </c>
      <c r="CO39" s="1483">
        <f>IFERROR(__xludf.DUMMYFUNCTION("""COMPUTED_VALUE"""),267670.0)</f>
        <v>267670</v>
      </c>
      <c r="CP39" s="1482">
        <f>IFERROR(__xludf.DUMMYFUNCTION("""COMPUTED_VALUE"""),9.223611111111111)</f>
        <v>9.223611111</v>
      </c>
      <c r="CQ39" s="1483">
        <f>IFERROR(__xludf.DUMMYFUNCTION("""COMPUTED_VALUE"""),869050.0)</f>
        <v>869050</v>
      </c>
      <c r="CR39" s="1518"/>
      <c r="CS39" s="1519"/>
      <c r="CT39" s="1520"/>
      <c r="CU39" s="1519"/>
      <c r="CV39" s="1520"/>
      <c r="CW39" s="1519"/>
      <c r="CX39" s="1520"/>
      <c r="CY39" s="1519"/>
      <c r="CZ39" s="1520"/>
      <c r="DA39" s="1520"/>
      <c r="DB39" s="1520"/>
      <c r="DC39" s="1520"/>
      <c r="DD39" s="1520"/>
      <c r="DE39" s="1519"/>
      <c r="DF39" s="1518"/>
      <c r="DG39" s="1519"/>
      <c r="DH39" s="1518"/>
      <c r="DI39" s="1519"/>
      <c r="DJ39" s="1518"/>
      <c r="DK39" s="1519"/>
      <c r="DL39" s="1518"/>
      <c r="DM39" s="1519"/>
      <c r="DN39" s="1518"/>
      <c r="DO39" s="1519"/>
      <c r="DP39" s="1518"/>
      <c r="DQ39" s="1519"/>
      <c r="DR39" s="1518"/>
      <c r="DS39" s="1519"/>
      <c r="DT39" s="1518"/>
      <c r="DU39" s="1519"/>
      <c r="DV39" s="1520"/>
      <c r="DW39" s="1519"/>
      <c r="DX39" s="1518"/>
      <c r="DY39" s="1519"/>
      <c r="DZ39" s="1518"/>
      <c r="EA39" s="1519"/>
      <c r="EB39" s="1518"/>
      <c r="EC39" s="1519"/>
      <c r="ED39" s="1518"/>
      <c r="EE39" s="1519"/>
      <c r="EF39" s="1518"/>
      <c r="EG39" s="1519"/>
      <c r="EH39" s="1518"/>
      <c r="EI39" s="1519"/>
      <c r="EJ39" s="1562"/>
      <c r="EK39" s="1560"/>
      <c r="EL39" s="1562"/>
      <c r="EM39" s="1560"/>
      <c r="EN39" s="1518"/>
      <c r="EO39" s="1519"/>
      <c r="EP39" s="1518"/>
      <c r="EQ39" s="1519"/>
      <c r="ER39" s="1518"/>
      <c r="ES39" s="1519"/>
      <c r="ET39" s="1518"/>
      <c r="EU39" s="1519"/>
      <c r="EV39" s="1518"/>
      <c r="EW39" s="1519"/>
      <c r="EX39" s="1518"/>
      <c r="EY39" s="1519"/>
      <c r="EZ39" s="1518"/>
      <c r="FA39" s="1519"/>
      <c r="FB39" s="1520"/>
      <c r="FC39" s="1519"/>
      <c r="FD39" s="1520"/>
      <c r="FE39" s="1519"/>
      <c r="FF39" s="1520"/>
      <c r="FG39" s="1519"/>
      <c r="FH39" s="1520"/>
      <c r="FI39" s="1520"/>
      <c r="FJ39" s="1520"/>
      <c r="FK39" s="1519"/>
      <c r="FL39" s="1518"/>
      <c r="FM39" s="1519"/>
      <c r="FN39" s="1571"/>
      <c r="FO39" s="1519"/>
      <c r="FP39" s="1571"/>
      <c r="FQ39" s="1519"/>
      <c r="FR39" s="1571"/>
      <c r="FS39" s="1519"/>
      <c r="FT39" s="1532"/>
      <c r="FU39" s="1519"/>
      <c r="FV39" s="1532"/>
      <c r="FW39" s="1519"/>
      <c r="FX39" s="1572"/>
      <c r="FY39" s="1560"/>
      <c r="FZ39" s="1572"/>
      <c r="GA39" s="1560"/>
      <c r="GB39" s="1572"/>
      <c r="GC39" s="1560"/>
      <c r="GD39" s="1527"/>
      <c r="GE39" s="1560"/>
      <c r="GF39" s="1518"/>
      <c r="GG39" s="1519"/>
      <c r="GH39" s="1518"/>
      <c r="GI39" s="1519"/>
      <c r="GJ39" s="1520"/>
      <c r="GK39" s="1519"/>
      <c r="GL39" s="1518"/>
      <c r="GM39" s="1519"/>
      <c r="GN39" s="1520"/>
      <c r="GO39" s="1519"/>
      <c r="GP39" s="1520"/>
      <c r="GQ39" s="1519"/>
      <c r="GR39" s="1518"/>
      <c r="GS39" s="1519"/>
      <c r="GT39" s="1518"/>
      <c r="GU39" s="1519"/>
      <c r="GV39" s="1520"/>
      <c r="GW39" s="1519"/>
      <c r="GX39" s="1561"/>
      <c r="GY39" s="1527"/>
      <c r="GZ39" s="1518"/>
      <c r="HA39" s="1519"/>
      <c r="HB39" s="1501">
        <f>IFERROR(__xludf.DUMMYFUNCTION("""COMPUTED_VALUE"""),231.86875)</f>
        <v>231.86875</v>
      </c>
      <c r="HC39" s="1502">
        <f>IFERROR(__xludf.DUMMYFUNCTION("""COMPUTED_VALUE"""),1.21E12)</f>
        <v>1210000000000</v>
      </c>
      <c r="HD39" s="1518"/>
      <c r="HE39" s="1519"/>
      <c r="HF39" s="1518"/>
      <c r="HG39" s="1519"/>
      <c r="HH39" s="1518"/>
      <c r="HI39" s="1519"/>
      <c r="HJ39" s="1518"/>
      <c r="HK39" s="1519"/>
      <c r="HL39" s="1518"/>
      <c r="HM39" s="1519"/>
      <c r="HN39" s="1520"/>
      <c r="HO39" s="1519"/>
      <c r="HP39" s="1518"/>
      <c r="HQ39" s="1519"/>
      <c r="HR39" s="1518"/>
      <c r="HS39" s="1519"/>
      <c r="HT39" s="1518"/>
      <c r="HU39" s="1519"/>
      <c r="HV39" s="1518"/>
      <c r="HW39" s="1519"/>
      <c r="HX39" s="1518"/>
      <c r="HY39" s="1519"/>
      <c r="HZ39" s="1518"/>
      <c r="IA39" s="1519"/>
      <c r="IB39" s="1518"/>
      <c r="IC39" s="1519"/>
      <c r="ID39" s="1518"/>
      <c r="IE39" s="1519"/>
      <c r="IF39" s="1518"/>
      <c r="IG39" s="1519"/>
      <c r="IH39" s="1518"/>
      <c r="II39" s="1519"/>
      <c r="IJ39" s="1518"/>
      <c r="IK39" s="1519"/>
      <c r="IL39" s="1518"/>
      <c r="IM39" s="1519"/>
      <c r="IN39" s="1518"/>
      <c r="IO39" s="1519"/>
      <c r="IP39" s="1518"/>
      <c r="IQ39" s="1519"/>
      <c r="IR39" s="1518"/>
      <c r="IS39" s="1519"/>
      <c r="IT39" s="1518"/>
      <c r="IU39" s="1519"/>
      <c r="IV39" s="1518"/>
      <c r="IW39" s="1519"/>
      <c r="IX39" s="1518"/>
      <c r="IY39" s="1519"/>
      <c r="IZ39" s="1518"/>
      <c r="JA39" s="1519"/>
      <c r="JB39" s="1518"/>
      <c r="JC39" s="1519"/>
      <c r="JD39" s="1518"/>
      <c r="JE39" s="1519"/>
      <c r="JF39" s="1518"/>
      <c r="JG39" s="1519"/>
      <c r="JH39" s="1518"/>
      <c r="JI39" s="1519"/>
      <c r="JJ39" s="1562"/>
      <c r="JK39" s="1560"/>
      <c r="JL39" s="1562"/>
      <c r="JM39" s="1560"/>
      <c r="JN39" s="1562"/>
      <c r="JO39" s="1560"/>
      <c r="JP39" s="1562"/>
      <c r="JQ39" s="1560"/>
      <c r="JR39" s="1562"/>
      <c r="JS39" s="1560"/>
      <c r="JT39" s="1562"/>
      <c r="JU39" s="1560"/>
      <c r="JV39" s="1562"/>
      <c r="JW39" s="1560"/>
      <c r="JX39" s="1562"/>
      <c r="JY39" s="1527"/>
      <c r="JZ39" s="1566">
        <f>IFERROR(__xludf.DUMMYFUNCTION("""COMPUTED_VALUE"""),3.372650463)</f>
        <v>3.372650463</v>
      </c>
      <c r="KA39" s="1514">
        <f>IFERROR(__xludf.DUMMYFUNCTION("""COMPUTED_VALUE"""),3.185E10)</f>
        <v>31850000000</v>
      </c>
      <c r="KB39" s="1566">
        <f>IFERROR(__xludf.DUMMYFUNCTION("""COMPUTED_VALUE"""),7.04150463)</f>
        <v>7.04150463</v>
      </c>
      <c r="KC39" s="1567">
        <f>IFERROR(__xludf.DUMMYFUNCTION("""COMPUTED_VALUE"""),1.3997E11)</f>
        <v>139970000000</v>
      </c>
      <c r="KD39" s="1562"/>
      <c r="KE39" s="1527"/>
      <c r="KF39" s="1527"/>
      <c r="KG39" s="1527"/>
      <c r="KH39" s="1527"/>
      <c r="KI39" s="1527"/>
      <c r="KJ39" s="1527"/>
      <c r="KK39" s="1527"/>
      <c r="KL39" s="1527"/>
      <c r="KM39" s="1527"/>
      <c r="KN39" s="1527"/>
      <c r="KO39" s="1527"/>
      <c r="KP39" s="1527"/>
      <c r="KQ39" s="1527"/>
      <c r="KR39" s="1527"/>
      <c r="KS39" s="1527"/>
      <c r="KT39" s="1527"/>
      <c r="KU39" s="1527"/>
      <c r="KV39" s="1527"/>
      <c r="KW39" s="1527"/>
      <c r="KX39" s="1527"/>
      <c r="KY39" s="1527"/>
      <c r="KZ39" s="1527"/>
      <c r="LA39" s="1527"/>
      <c r="LB39" s="1527"/>
      <c r="LC39" s="1527"/>
      <c r="LD39" s="1527"/>
      <c r="LE39" s="1527"/>
      <c r="LF39" s="1527"/>
      <c r="LG39" s="1527"/>
      <c r="LH39" s="1527"/>
      <c r="LI39" s="1527"/>
      <c r="LJ39" s="1527"/>
      <c r="LK39" s="1527"/>
      <c r="LL39" s="1527"/>
      <c r="LM39" s="1527"/>
      <c r="LN39" s="1527"/>
      <c r="LO39" s="1527"/>
      <c r="LP39" s="1527"/>
      <c r="LQ39" s="1527"/>
      <c r="LR39" s="1527"/>
      <c r="LS39" s="1527"/>
      <c r="LT39" s="1527"/>
      <c r="LU39" s="1527"/>
      <c r="LV39" s="1527"/>
      <c r="LW39" s="1527"/>
      <c r="LX39" s="1527"/>
      <c r="LY39" s="1527"/>
      <c r="LZ39" s="1527"/>
      <c r="MA39" s="1527"/>
      <c r="MB39" s="1527"/>
      <c r="MC39" s="1527"/>
      <c r="MD39" s="1527"/>
      <c r="ME39" s="1527"/>
      <c r="MF39" s="1527"/>
      <c r="MG39" s="1527"/>
      <c r="MH39" s="1527"/>
      <c r="MI39" s="1527"/>
      <c r="MJ39" s="1527"/>
      <c r="MK39" s="1527"/>
      <c r="ML39" s="1527"/>
      <c r="MM39" s="1527"/>
      <c r="MN39" s="1527"/>
      <c r="MO39" s="1527"/>
      <c r="MP39" s="1527"/>
      <c r="MQ39" s="1527"/>
      <c r="MR39" s="1527"/>
      <c r="MS39" s="1527"/>
      <c r="MT39" s="1527"/>
      <c r="MU39" s="1527"/>
      <c r="MV39" s="1527"/>
      <c r="MW39" s="1527"/>
      <c r="MX39" s="1527"/>
      <c r="MY39" s="1527"/>
    </row>
    <row r="40">
      <c r="A40" s="1465">
        <f>IFERROR(__xludf.DUMMYFUNCTION("""COMPUTED_VALUE"""),38.0)</f>
        <v>38</v>
      </c>
      <c r="B40" s="1518"/>
      <c r="C40" s="1520"/>
      <c r="D40" s="1466">
        <f>IFERROR(__xludf.DUMMYFUNCTION("""COMPUTED_VALUE"""),4.829861111111111)</f>
        <v>4.829861111</v>
      </c>
      <c r="E40" s="1467">
        <f>IFERROR(__xludf.DUMMYFUNCTION("""COMPUTED_VALUE"""),288560.0)</f>
        <v>288560</v>
      </c>
      <c r="F40" s="1466">
        <f>IFERROR(__xludf.DUMMYFUNCTION("""COMPUTED_VALUE"""),4.829861111111111)</f>
        <v>4.829861111</v>
      </c>
      <c r="G40" s="1467">
        <f>IFERROR(__xludf.DUMMYFUNCTION("""COMPUTED_VALUE"""),288560.0)</f>
        <v>288560</v>
      </c>
      <c r="H40" s="1466">
        <f>IFERROR(__xludf.DUMMYFUNCTION("""COMPUTED_VALUE"""),4.829861111111111)</f>
        <v>4.829861111</v>
      </c>
      <c r="I40" s="1467">
        <f>IFERROR(__xludf.DUMMYFUNCTION("""COMPUTED_VALUE"""),288560.0)</f>
        <v>288560</v>
      </c>
      <c r="J40" s="1466">
        <f>IFERROR(__xludf.DUMMYFUNCTION("""COMPUTED_VALUE"""),4.829861111111111)</f>
        <v>4.829861111</v>
      </c>
      <c r="K40" s="1467">
        <f>IFERROR(__xludf.DUMMYFUNCTION("""COMPUTED_VALUE"""),288560.0)</f>
        <v>288560</v>
      </c>
      <c r="L40" s="1466">
        <f>IFERROR(__xludf.DUMMYFUNCTION("""COMPUTED_VALUE"""),8.295833333333333)</f>
        <v>8.295833333</v>
      </c>
      <c r="M40" s="1469">
        <f>IFERROR(__xludf.DUMMYFUNCTION("""COMPUTED_VALUE"""),841010.0)</f>
        <v>841010</v>
      </c>
      <c r="N40" s="1470">
        <f>IFERROR(__xludf.DUMMYFUNCTION("""COMPUTED_VALUE"""),4.767361111111111)</f>
        <v>4.767361111</v>
      </c>
      <c r="O40" s="1467">
        <f>IFERROR(__xludf.DUMMYFUNCTION("""COMPUTED_VALUE"""),946010.0)</f>
        <v>946010</v>
      </c>
      <c r="P40" s="1518"/>
      <c r="Q40" s="1519"/>
      <c r="R40" s="1518"/>
      <c r="S40" s="1519"/>
      <c r="T40" s="1518"/>
      <c r="U40" s="1519"/>
      <c r="V40" s="1518"/>
      <c r="W40" s="1519"/>
      <c r="X40" s="1518"/>
      <c r="Y40" s="1519"/>
      <c r="Z40" s="1518"/>
      <c r="AA40" s="1519"/>
      <c r="AB40" s="1518"/>
      <c r="AC40" s="1519"/>
      <c r="AD40" s="1466">
        <f>IFERROR(__xludf.DUMMYFUNCTION("""COMPUTED_VALUE"""),41.0375)</f>
        <v>41.0375</v>
      </c>
      <c r="AE40" s="1474">
        <f>IFERROR(__xludf.DUMMYFUNCTION("""COMPUTED_VALUE"""),1.644008412E13)</f>
        <v>16440084120000</v>
      </c>
      <c r="AF40" s="1466">
        <f>IFERROR(__xludf.DUMMYFUNCTION("""COMPUTED_VALUE"""),41.0375)</f>
        <v>41.0375</v>
      </c>
      <c r="AG40" s="1474">
        <f>IFERROR(__xludf.DUMMYFUNCTION("""COMPUTED_VALUE"""),1.644008412E13)</f>
        <v>16440084120000</v>
      </c>
      <c r="AH40" s="1466">
        <f>IFERROR(__xludf.DUMMYFUNCTION("""COMPUTED_VALUE"""),41.0375)</f>
        <v>41.0375</v>
      </c>
      <c r="AI40" s="1474">
        <f>IFERROR(__xludf.DUMMYFUNCTION("""COMPUTED_VALUE"""),1.644008412E13)</f>
        <v>16440084120000</v>
      </c>
      <c r="AJ40" s="1475">
        <f>IFERROR(__xludf.DUMMYFUNCTION("""COMPUTED_VALUE"""),4.829861111111111)</f>
        <v>4.829861111</v>
      </c>
      <c r="AK40" s="1476">
        <f>IFERROR(__xludf.DUMMYFUNCTION("""COMPUTED_VALUE"""),288560.0)</f>
        <v>288560</v>
      </c>
      <c r="AL40" s="1475">
        <f>IFERROR(__xludf.DUMMYFUNCTION("""COMPUTED_VALUE"""),4.829861111111111)</f>
        <v>4.829861111</v>
      </c>
      <c r="AM40" s="1476">
        <f>IFERROR(__xludf.DUMMYFUNCTION("""COMPUTED_VALUE"""),288560.0)</f>
        <v>288560</v>
      </c>
      <c r="AN40" s="1475">
        <f>IFERROR(__xludf.DUMMYFUNCTION("""COMPUTED_VALUE"""),4.829861111111111)</f>
        <v>4.829861111</v>
      </c>
      <c r="AO40" s="1476">
        <f>IFERROR(__xludf.DUMMYFUNCTION("""COMPUTED_VALUE"""),288560.0)</f>
        <v>288560</v>
      </c>
      <c r="AP40" s="1475">
        <f>IFERROR(__xludf.DUMMYFUNCTION("""COMPUTED_VALUE"""),4.829861111111111)</f>
        <v>4.829861111</v>
      </c>
      <c r="AQ40" s="1476">
        <f>IFERROR(__xludf.DUMMYFUNCTION("""COMPUTED_VALUE"""),288560.0)</f>
        <v>288560</v>
      </c>
      <c r="AR40" s="1475">
        <f>IFERROR(__xludf.DUMMYFUNCTION("""COMPUTED_VALUE"""),4.829861111111111)</f>
        <v>4.829861111</v>
      </c>
      <c r="AS40" s="1476">
        <f>IFERROR(__xludf.DUMMYFUNCTION("""COMPUTED_VALUE"""),288570.0)</f>
        <v>288570</v>
      </c>
      <c r="AT40" s="1475">
        <f>IFERROR(__xludf.DUMMYFUNCTION("""COMPUTED_VALUE"""),3148.873611111111)</f>
        <v>3148.873611</v>
      </c>
      <c r="AU40" s="1476">
        <f>IFERROR(__xludf.DUMMYFUNCTION("""COMPUTED_VALUE"""),2.348E10)</f>
        <v>23480000000</v>
      </c>
      <c r="AV40" s="1475">
        <f>IFERROR(__xludf.DUMMYFUNCTION("""COMPUTED_VALUE"""),1540.9868055555555)</f>
        <v>1540.986806</v>
      </c>
      <c r="AW40" s="1476">
        <f>IFERROR(__xludf.DUMMYFUNCTION("""COMPUTED_VALUE"""),2.348E10)</f>
        <v>23480000000</v>
      </c>
      <c r="AX40" s="1518"/>
      <c r="AY40" s="1568"/>
      <c r="AZ40" s="1518"/>
      <c r="BA40" s="1518"/>
      <c r="BB40" s="1477">
        <f>IFERROR(__xludf.DUMMYFUNCTION("""COMPUTED_VALUE"""),4.829861111111111)</f>
        <v>4.829861111</v>
      </c>
      <c r="BC40" s="1478">
        <f>IFERROR(__xludf.DUMMYFUNCTION("""COMPUTED_VALUE"""),288560.0)</f>
        <v>288560</v>
      </c>
      <c r="BD40" s="1477">
        <f>IFERROR(__xludf.DUMMYFUNCTION("""COMPUTED_VALUE"""),4.829861111111111)</f>
        <v>4.829861111</v>
      </c>
      <c r="BE40" s="1478">
        <f>IFERROR(__xludf.DUMMYFUNCTION("""COMPUTED_VALUE"""),288560.0)</f>
        <v>288560</v>
      </c>
      <c r="BF40" s="1477">
        <f>IFERROR(__xludf.DUMMYFUNCTION("""COMPUTED_VALUE"""),4.829861111111111)</f>
        <v>4.829861111</v>
      </c>
      <c r="BG40" s="1478">
        <f>IFERROR(__xludf.DUMMYFUNCTION("""COMPUTED_VALUE"""),288560.0)</f>
        <v>288560</v>
      </c>
      <c r="BH40" s="1477">
        <f>IFERROR(__xludf.DUMMYFUNCTION("""COMPUTED_VALUE"""),122.56736111111111)</f>
        <v>122.5673611</v>
      </c>
      <c r="BI40" s="1478">
        <f>IFERROR(__xludf.DUMMYFUNCTION("""COMPUTED_VALUE"""),1.87E9)</f>
        <v>1870000000</v>
      </c>
      <c r="BJ40" s="1518"/>
      <c r="BK40" s="1519"/>
      <c r="BL40" s="1518"/>
      <c r="BM40" s="1519"/>
      <c r="BN40" s="1518"/>
      <c r="BO40" s="1519"/>
      <c r="BP40" s="1518"/>
      <c r="BQ40" s="1519"/>
      <c r="BR40" s="1520"/>
      <c r="BS40" s="1519"/>
      <c r="BT40" s="1479">
        <f>IFERROR(__xludf.DUMMYFUNCTION("""COMPUTED_VALUE"""),5.01875)</f>
        <v>5.01875</v>
      </c>
      <c r="BU40" s="1480">
        <f>IFERROR(__xludf.DUMMYFUNCTION("""COMPUTED_VALUE"""),2.336E10)</f>
        <v>23360000000</v>
      </c>
      <c r="BV40" s="1520"/>
      <c r="BW40" s="1520"/>
      <c r="BX40" s="1520"/>
      <c r="BY40" s="1520"/>
      <c r="BZ40" s="1520"/>
      <c r="CA40" s="1520"/>
      <c r="CB40" s="1520"/>
      <c r="CC40" s="1519"/>
      <c r="CD40" s="1477">
        <f>IFERROR(__xludf.DUMMYFUNCTION("""COMPUTED_VALUE"""),20.05982638888889)</f>
        <v>20.05982639</v>
      </c>
      <c r="CE40" s="1481">
        <f>IFERROR(__xludf.DUMMYFUNCTION("""COMPUTED_VALUE"""),2.83E12)</f>
        <v>2830000000000</v>
      </c>
      <c r="CF40" s="1527"/>
      <c r="CG40" s="1560"/>
      <c r="CH40" s="1482">
        <f>IFERROR(__xludf.DUMMYFUNCTION("""COMPUTED_VALUE"""),4.829861111111111)</f>
        <v>4.829861111</v>
      </c>
      <c r="CI40" s="1483">
        <f>IFERROR(__xludf.DUMMYFUNCTION("""COMPUTED_VALUE"""),288570.0)</f>
        <v>288570</v>
      </c>
      <c r="CJ40" s="1482">
        <f>IFERROR(__xludf.DUMMYFUNCTION("""COMPUTED_VALUE"""),4.829861111111111)</f>
        <v>4.829861111</v>
      </c>
      <c r="CK40" s="1483">
        <f>IFERROR(__xludf.DUMMYFUNCTION("""COMPUTED_VALUE"""),288570.0)</f>
        <v>288570</v>
      </c>
      <c r="CL40" s="1482">
        <f>IFERROR(__xludf.DUMMYFUNCTION("""COMPUTED_VALUE"""),4.829861111111111)</f>
        <v>4.829861111</v>
      </c>
      <c r="CM40" s="1483">
        <f>IFERROR(__xludf.DUMMYFUNCTION("""COMPUTED_VALUE"""),288570.0)</f>
        <v>288570</v>
      </c>
      <c r="CN40" s="1482">
        <f>IFERROR(__xludf.DUMMYFUNCTION("""COMPUTED_VALUE"""),4.829861111111111)</f>
        <v>4.829861111</v>
      </c>
      <c r="CO40" s="1483">
        <f>IFERROR(__xludf.DUMMYFUNCTION("""COMPUTED_VALUE"""),288570.0)</f>
        <v>288570</v>
      </c>
      <c r="CP40" s="1482">
        <f>IFERROR(__xludf.DUMMYFUNCTION("""COMPUTED_VALUE"""),9.895138888888889)</f>
        <v>9.895138889</v>
      </c>
      <c r="CQ40" s="1483">
        <f>IFERROR(__xludf.DUMMYFUNCTION("""COMPUTED_VALUE"""),946020.0)</f>
        <v>946020</v>
      </c>
      <c r="CR40" s="1518"/>
      <c r="CS40" s="1519"/>
      <c r="CT40" s="1520"/>
      <c r="CU40" s="1519"/>
      <c r="CV40" s="1520"/>
      <c r="CW40" s="1519"/>
      <c r="CX40" s="1520"/>
      <c r="CY40" s="1519"/>
      <c r="CZ40" s="1520"/>
      <c r="DA40" s="1520"/>
      <c r="DB40" s="1520"/>
      <c r="DC40" s="1520"/>
      <c r="DD40" s="1520"/>
      <c r="DE40" s="1519"/>
      <c r="DF40" s="1518"/>
      <c r="DG40" s="1519"/>
      <c r="DH40" s="1518"/>
      <c r="DI40" s="1519"/>
      <c r="DJ40" s="1518"/>
      <c r="DK40" s="1519"/>
      <c r="DL40" s="1518"/>
      <c r="DM40" s="1519"/>
      <c r="DN40" s="1518"/>
      <c r="DO40" s="1519"/>
      <c r="DP40" s="1518"/>
      <c r="DQ40" s="1519"/>
      <c r="DR40" s="1518"/>
      <c r="DS40" s="1519"/>
      <c r="DT40" s="1518"/>
      <c r="DU40" s="1519"/>
      <c r="DV40" s="1520"/>
      <c r="DW40" s="1519"/>
      <c r="DX40" s="1518"/>
      <c r="DY40" s="1519"/>
      <c r="DZ40" s="1518"/>
      <c r="EA40" s="1519"/>
      <c r="EB40" s="1518"/>
      <c r="EC40" s="1519"/>
      <c r="ED40" s="1518"/>
      <c r="EE40" s="1519"/>
      <c r="EF40" s="1518"/>
      <c r="EG40" s="1519"/>
      <c r="EH40" s="1518"/>
      <c r="EI40" s="1519"/>
      <c r="EJ40" s="1562"/>
      <c r="EK40" s="1560"/>
      <c r="EL40" s="1562"/>
      <c r="EM40" s="1560"/>
      <c r="EN40" s="1518"/>
      <c r="EO40" s="1519"/>
      <c r="EP40" s="1518"/>
      <c r="EQ40" s="1519"/>
      <c r="ER40" s="1518"/>
      <c r="ES40" s="1519"/>
      <c r="ET40" s="1518"/>
      <c r="EU40" s="1519"/>
      <c r="EV40" s="1518"/>
      <c r="EW40" s="1519"/>
      <c r="EX40" s="1518"/>
      <c r="EY40" s="1519"/>
      <c r="EZ40" s="1518"/>
      <c r="FA40" s="1519"/>
      <c r="FB40" s="1520"/>
      <c r="FC40" s="1519"/>
      <c r="FD40" s="1520"/>
      <c r="FE40" s="1519"/>
      <c r="FF40" s="1520"/>
      <c r="FG40" s="1519"/>
      <c r="FH40" s="1520"/>
      <c r="FI40" s="1520"/>
      <c r="FJ40" s="1520"/>
      <c r="FK40" s="1519"/>
      <c r="FL40" s="1518"/>
      <c r="FM40" s="1519"/>
      <c r="FN40" s="1571"/>
      <c r="FO40" s="1519"/>
      <c r="FP40" s="1571"/>
      <c r="FQ40" s="1519"/>
      <c r="FR40" s="1571"/>
      <c r="FS40" s="1519"/>
      <c r="FT40" s="1532"/>
      <c r="FU40" s="1519"/>
      <c r="FV40" s="1532"/>
      <c r="FW40" s="1519"/>
      <c r="FX40" s="1572"/>
      <c r="FY40" s="1560"/>
      <c r="FZ40" s="1572"/>
      <c r="GA40" s="1560"/>
      <c r="GB40" s="1572"/>
      <c r="GC40" s="1560"/>
      <c r="GD40" s="1527"/>
      <c r="GE40" s="1560"/>
      <c r="GF40" s="1518"/>
      <c r="GG40" s="1519"/>
      <c r="GH40" s="1518"/>
      <c r="GI40" s="1519"/>
      <c r="GJ40" s="1520"/>
      <c r="GK40" s="1519"/>
      <c r="GL40" s="1518"/>
      <c r="GM40" s="1519"/>
      <c r="GN40" s="1520"/>
      <c r="GO40" s="1519"/>
      <c r="GP40" s="1520"/>
      <c r="GQ40" s="1519"/>
      <c r="GR40" s="1518"/>
      <c r="GS40" s="1519"/>
      <c r="GT40" s="1518"/>
      <c r="GU40" s="1519"/>
      <c r="GV40" s="1520"/>
      <c r="GW40" s="1519"/>
      <c r="GX40" s="1561"/>
      <c r="GY40" s="1527"/>
      <c r="GZ40" s="1518"/>
      <c r="HA40" s="1519"/>
      <c r="HB40" s="1501">
        <f>IFERROR(__xludf.DUMMYFUNCTION("""COMPUTED_VALUE"""),254.83402777777778)</f>
        <v>254.8340278</v>
      </c>
      <c r="HC40" s="1502">
        <f>IFERROR(__xludf.DUMMYFUNCTION("""COMPUTED_VALUE"""),1.39E12)</f>
        <v>1390000000000</v>
      </c>
      <c r="HD40" s="1518"/>
      <c r="HE40" s="1519"/>
      <c r="HF40" s="1518"/>
      <c r="HG40" s="1519"/>
      <c r="HH40" s="1518"/>
      <c r="HI40" s="1519"/>
      <c r="HJ40" s="1518"/>
      <c r="HK40" s="1519"/>
      <c r="HL40" s="1518"/>
      <c r="HM40" s="1519"/>
      <c r="HN40" s="1520"/>
      <c r="HO40" s="1519"/>
      <c r="HP40" s="1518"/>
      <c r="HQ40" s="1519"/>
      <c r="HR40" s="1518"/>
      <c r="HS40" s="1519"/>
      <c r="HT40" s="1518"/>
      <c r="HU40" s="1519"/>
      <c r="HV40" s="1518"/>
      <c r="HW40" s="1519"/>
      <c r="HX40" s="1518"/>
      <c r="HY40" s="1519"/>
      <c r="HZ40" s="1518"/>
      <c r="IA40" s="1519"/>
      <c r="IB40" s="1518"/>
      <c r="IC40" s="1519"/>
      <c r="ID40" s="1518"/>
      <c r="IE40" s="1519"/>
      <c r="IF40" s="1518"/>
      <c r="IG40" s="1519"/>
      <c r="IH40" s="1518"/>
      <c r="II40" s="1519"/>
      <c r="IJ40" s="1518"/>
      <c r="IK40" s="1519"/>
      <c r="IL40" s="1518"/>
      <c r="IM40" s="1519"/>
      <c r="IN40" s="1518"/>
      <c r="IO40" s="1519"/>
      <c r="IP40" s="1518"/>
      <c r="IQ40" s="1519"/>
      <c r="IR40" s="1518"/>
      <c r="IS40" s="1519"/>
      <c r="IT40" s="1518"/>
      <c r="IU40" s="1519"/>
      <c r="IV40" s="1518"/>
      <c r="IW40" s="1519"/>
      <c r="IX40" s="1518"/>
      <c r="IY40" s="1519"/>
      <c r="IZ40" s="1518"/>
      <c r="JA40" s="1519"/>
      <c r="JB40" s="1518"/>
      <c r="JC40" s="1519"/>
      <c r="JD40" s="1518"/>
      <c r="JE40" s="1519"/>
      <c r="JF40" s="1518"/>
      <c r="JG40" s="1519"/>
      <c r="JH40" s="1518"/>
      <c r="JI40" s="1519"/>
      <c r="JJ40" s="1562"/>
      <c r="JK40" s="1560"/>
      <c r="JL40" s="1562"/>
      <c r="JM40" s="1560"/>
      <c r="JN40" s="1562"/>
      <c r="JO40" s="1560"/>
      <c r="JP40" s="1562"/>
      <c r="JQ40" s="1560"/>
      <c r="JR40" s="1562"/>
      <c r="JS40" s="1560"/>
      <c r="JT40" s="1562"/>
      <c r="JU40" s="1560"/>
      <c r="JV40" s="1562"/>
      <c r="JW40" s="1560"/>
      <c r="JX40" s="1562"/>
      <c r="JY40" s="1527"/>
      <c r="JZ40" s="1566">
        <f>IFERROR(__xludf.DUMMYFUNCTION("""COMPUTED_VALUE"""),3.446585648)</f>
        <v>3.446585648</v>
      </c>
      <c r="KA40" s="1514">
        <f>IFERROR(__xludf.DUMMYFUNCTION("""COMPUTED_VALUE"""),3.429E10)</f>
        <v>34290000000</v>
      </c>
      <c r="KB40" s="1566">
        <f>IFERROR(__xludf.DUMMYFUNCTION("""COMPUTED_VALUE"""),7.375451389)</f>
        <v>7.375451389</v>
      </c>
      <c r="KC40" s="1567">
        <f>IFERROR(__xludf.DUMMYFUNCTION("""COMPUTED_VALUE"""),1.5196E11)</f>
        <v>151960000000</v>
      </c>
      <c r="KD40" s="1562"/>
      <c r="KE40" s="1527"/>
      <c r="KF40" s="1527"/>
      <c r="KG40" s="1527"/>
      <c r="KH40" s="1527"/>
      <c r="KI40" s="1527"/>
      <c r="KJ40" s="1527"/>
      <c r="KK40" s="1527"/>
      <c r="KL40" s="1527"/>
      <c r="KM40" s="1527"/>
      <c r="KN40" s="1527"/>
      <c r="KO40" s="1527"/>
      <c r="KP40" s="1527"/>
      <c r="KQ40" s="1527"/>
      <c r="KR40" s="1527"/>
      <c r="KS40" s="1527"/>
      <c r="KT40" s="1527"/>
      <c r="KU40" s="1527"/>
      <c r="KV40" s="1527"/>
      <c r="KW40" s="1527"/>
      <c r="KX40" s="1527"/>
      <c r="KY40" s="1527"/>
      <c r="KZ40" s="1527"/>
      <c r="LA40" s="1527"/>
      <c r="LB40" s="1527"/>
      <c r="LC40" s="1527"/>
      <c r="LD40" s="1527"/>
      <c r="LE40" s="1527"/>
      <c r="LF40" s="1527"/>
      <c r="LG40" s="1527"/>
      <c r="LH40" s="1527"/>
      <c r="LI40" s="1527"/>
      <c r="LJ40" s="1527"/>
      <c r="LK40" s="1527"/>
      <c r="LL40" s="1527"/>
      <c r="LM40" s="1527"/>
      <c r="LN40" s="1527"/>
      <c r="LO40" s="1527"/>
      <c r="LP40" s="1527"/>
      <c r="LQ40" s="1527"/>
      <c r="LR40" s="1527"/>
      <c r="LS40" s="1527"/>
      <c r="LT40" s="1527"/>
      <c r="LU40" s="1527"/>
      <c r="LV40" s="1527"/>
      <c r="LW40" s="1527"/>
      <c r="LX40" s="1527"/>
      <c r="LY40" s="1527"/>
      <c r="LZ40" s="1527"/>
      <c r="MA40" s="1527"/>
      <c r="MB40" s="1527"/>
      <c r="MC40" s="1527"/>
      <c r="MD40" s="1527"/>
      <c r="ME40" s="1527"/>
      <c r="MF40" s="1527"/>
      <c r="MG40" s="1527"/>
      <c r="MH40" s="1527"/>
      <c r="MI40" s="1527"/>
      <c r="MJ40" s="1527"/>
      <c r="MK40" s="1527"/>
      <c r="ML40" s="1527"/>
      <c r="MM40" s="1527"/>
      <c r="MN40" s="1527"/>
      <c r="MO40" s="1527"/>
      <c r="MP40" s="1527"/>
      <c r="MQ40" s="1527"/>
      <c r="MR40" s="1527"/>
      <c r="MS40" s="1527"/>
      <c r="MT40" s="1527"/>
      <c r="MU40" s="1527"/>
      <c r="MV40" s="1527"/>
      <c r="MW40" s="1527"/>
      <c r="MX40" s="1527"/>
      <c r="MY40" s="1527"/>
    </row>
    <row r="41">
      <c r="A41" s="1465">
        <f>IFERROR(__xludf.DUMMYFUNCTION("""COMPUTED_VALUE"""),39.0)</f>
        <v>39</v>
      </c>
      <c r="B41" s="1518"/>
      <c r="C41" s="1520"/>
      <c r="D41" s="1466">
        <f>IFERROR(__xludf.DUMMYFUNCTION("""COMPUTED_VALUE"""),5.144444444444445)</f>
        <v>5.144444444</v>
      </c>
      <c r="E41" s="1467">
        <f>IFERROR(__xludf.DUMMYFUNCTION("""COMPUTED_VALUE"""),310470.0)</f>
        <v>310470</v>
      </c>
      <c r="F41" s="1466">
        <f>IFERROR(__xludf.DUMMYFUNCTION("""COMPUTED_VALUE"""),5.144444444444445)</f>
        <v>5.144444444</v>
      </c>
      <c r="G41" s="1467">
        <f>IFERROR(__xludf.DUMMYFUNCTION("""COMPUTED_VALUE"""),310470.0)</f>
        <v>310470</v>
      </c>
      <c r="H41" s="1466">
        <f>IFERROR(__xludf.DUMMYFUNCTION("""COMPUTED_VALUE"""),5.144444444444445)</f>
        <v>5.144444444</v>
      </c>
      <c r="I41" s="1467">
        <f>IFERROR(__xludf.DUMMYFUNCTION("""COMPUTED_VALUE"""),310470.0)</f>
        <v>310470</v>
      </c>
      <c r="J41" s="1466">
        <f>IFERROR(__xludf.DUMMYFUNCTION("""COMPUTED_VALUE"""),5.144444444444445)</f>
        <v>5.144444444</v>
      </c>
      <c r="K41" s="1467">
        <f>IFERROR(__xludf.DUMMYFUNCTION("""COMPUTED_VALUE"""),310470.0)</f>
        <v>310470</v>
      </c>
      <c r="L41" s="1466">
        <f>IFERROR(__xludf.DUMMYFUNCTION("""COMPUTED_VALUE"""),8.870138888888889)</f>
        <v>8.870138889</v>
      </c>
      <c r="M41" s="1469">
        <f>IFERROR(__xludf.DUMMYFUNCTION("""COMPUTED_VALUE"""),910340.0)</f>
        <v>910340</v>
      </c>
      <c r="N41" s="1470">
        <f>IFERROR(__xludf.DUMMYFUNCTION("""COMPUTED_VALUE"""),5.039583333333334)</f>
        <v>5.039583333</v>
      </c>
      <c r="O41" s="1467">
        <f>IFERROR(__xludf.DUMMYFUNCTION("""COMPUTED_VALUE"""),1030000.0)</f>
        <v>1030000</v>
      </c>
      <c r="P41" s="1518"/>
      <c r="Q41" s="1519"/>
      <c r="R41" s="1518"/>
      <c r="S41" s="1519"/>
      <c r="T41" s="1518"/>
      <c r="U41" s="1519"/>
      <c r="V41" s="1518"/>
      <c r="W41" s="1519"/>
      <c r="X41" s="1518"/>
      <c r="Y41" s="1519"/>
      <c r="Z41" s="1518"/>
      <c r="AA41" s="1519"/>
      <c r="AB41" s="1518"/>
      <c r="AC41" s="1519"/>
      <c r="AD41" s="1466">
        <f>IFERROR(__xludf.DUMMYFUNCTION("""COMPUTED_VALUE"""),42.11805555555556)</f>
        <v>42.11805556</v>
      </c>
      <c r="AE41" s="1474">
        <f>IFERROR(__xludf.DUMMYFUNCTION("""COMPUTED_VALUE"""),2.137210935E13)</f>
        <v>21372109350000</v>
      </c>
      <c r="AF41" s="1466">
        <f>IFERROR(__xludf.DUMMYFUNCTION("""COMPUTED_VALUE"""),42.11805555555556)</f>
        <v>42.11805556</v>
      </c>
      <c r="AG41" s="1474">
        <f>IFERROR(__xludf.DUMMYFUNCTION("""COMPUTED_VALUE"""),2.137210935E13)</f>
        <v>21372109350000</v>
      </c>
      <c r="AH41" s="1466">
        <f>IFERROR(__xludf.DUMMYFUNCTION("""COMPUTED_VALUE"""),42.11805555555556)</f>
        <v>42.11805556</v>
      </c>
      <c r="AI41" s="1474">
        <f>IFERROR(__xludf.DUMMYFUNCTION("""COMPUTED_VALUE"""),2.137210935E13)</f>
        <v>21372109350000</v>
      </c>
      <c r="AJ41" s="1475">
        <f>IFERROR(__xludf.DUMMYFUNCTION("""COMPUTED_VALUE"""),5.144444444444445)</f>
        <v>5.144444444</v>
      </c>
      <c r="AK41" s="1476">
        <f>IFERROR(__xludf.DUMMYFUNCTION("""COMPUTED_VALUE"""),310470.0)</f>
        <v>310470</v>
      </c>
      <c r="AL41" s="1475">
        <f>IFERROR(__xludf.DUMMYFUNCTION("""COMPUTED_VALUE"""),5.144444444444445)</f>
        <v>5.144444444</v>
      </c>
      <c r="AM41" s="1476">
        <f>IFERROR(__xludf.DUMMYFUNCTION("""COMPUTED_VALUE"""),310470.0)</f>
        <v>310470</v>
      </c>
      <c r="AN41" s="1475">
        <f>IFERROR(__xludf.DUMMYFUNCTION("""COMPUTED_VALUE"""),5.144444444444445)</f>
        <v>5.144444444</v>
      </c>
      <c r="AO41" s="1476">
        <f>IFERROR(__xludf.DUMMYFUNCTION("""COMPUTED_VALUE"""),310470.0)</f>
        <v>310470</v>
      </c>
      <c r="AP41" s="1475">
        <f>IFERROR(__xludf.DUMMYFUNCTION("""COMPUTED_VALUE"""),5.144444444444445)</f>
        <v>5.144444444</v>
      </c>
      <c r="AQ41" s="1476">
        <f>IFERROR(__xludf.DUMMYFUNCTION("""COMPUTED_VALUE"""),310470.0)</f>
        <v>310470</v>
      </c>
      <c r="AR41" s="1475">
        <f>IFERROR(__xludf.DUMMYFUNCTION("""COMPUTED_VALUE"""),5.144444444444445)</f>
        <v>5.144444444</v>
      </c>
      <c r="AS41" s="1476">
        <f>IFERROR(__xludf.DUMMYFUNCTION("""COMPUTED_VALUE"""),310480.0)</f>
        <v>310480</v>
      </c>
      <c r="AT41" s="1475">
        <f>IFERROR(__xludf.DUMMYFUNCTION("""COMPUTED_VALUE"""),3519.9819444444447)</f>
        <v>3519.981944</v>
      </c>
      <c r="AU41" s="1476">
        <f>IFERROR(__xludf.DUMMYFUNCTION("""COMPUTED_VALUE"""),2.661E10)</f>
        <v>26610000000</v>
      </c>
      <c r="AV41" s="1475">
        <f>IFERROR(__xludf.DUMMYFUNCTION("""COMPUTED_VALUE"""),1712.4937499999999)</f>
        <v>1712.49375</v>
      </c>
      <c r="AW41" s="1476">
        <f>IFERROR(__xludf.DUMMYFUNCTION("""COMPUTED_VALUE"""),2.661E10)</f>
        <v>26610000000</v>
      </c>
      <c r="AX41" s="1518"/>
      <c r="AY41" s="1568"/>
      <c r="AZ41" s="1518"/>
      <c r="BA41" s="1518"/>
      <c r="BB41" s="1477">
        <f>IFERROR(__xludf.DUMMYFUNCTION("""COMPUTED_VALUE"""),5.144444444444445)</f>
        <v>5.144444444</v>
      </c>
      <c r="BC41" s="1478">
        <f>IFERROR(__xludf.DUMMYFUNCTION("""COMPUTED_VALUE"""),310470.0)</f>
        <v>310470</v>
      </c>
      <c r="BD41" s="1477">
        <f>IFERROR(__xludf.DUMMYFUNCTION("""COMPUTED_VALUE"""),5.144444444444445)</f>
        <v>5.144444444</v>
      </c>
      <c r="BE41" s="1478">
        <f>IFERROR(__xludf.DUMMYFUNCTION("""COMPUTED_VALUE"""),310470.0)</f>
        <v>310470</v>
      </c>
      <c r="BF41" s="1477">
        <f>IFERROR(__xludf.DUMMYFUNCTION("""COMPUTED_VALUE"""),5.144444444444445)</f>
        <v>5.144444444</v>
      </c>
      <c r="BG41" s="1478">
        <f>IFERROR(__xludf.DUMMYFUNCTION("""COMPUTED_VALUE"""),310470.0)</f>
        <v>310470</v>
      </c>
      <c r="BH41" s="1477">
        <f>IFERROR(__xludf.DUMMYFUNCTION("""COMPUTED_VALUE"""),133.75555555555556)</f>
        <v>133.7555556</v>
      </c>
      <c r="BI41" s="1478">
        <f>IFERROR(__xludf.DUMMYFUNCTION("""COMPUTED_VALUE"""),2.09E9)</f>
        <v>2090000000</v>
      </c>
      <c r="BJ41" s="1518"/>
      <c r="BK41" s="1519"/>
      <c r="BL41" s="1518"/>
      <c r="BM41" s="1519"/>
      <c r="BN41" s="1518"/>
      <c r="BO41" s="1519"/>
      <c r="BP41" s="1518"/>
      <c r="BQ41" s="1519"/>
      <c r="BR41" s="1520"/>
      <c r="BS41" s="1519"/>
      <c r="BT41" s="1479">
        <f>IFERROR(__xludf.DUMMYFUNCTION("""COMPUTED_VALUE"""),5.331944444444445)</f>
        <v>5.331944444</v>
      </c>
      <c r="BU41" s="1480">
        <f>IFERROR(__xludf.DUMMYFUNCTION("""COMPUTED_VALUE"""),2.494E10)</f>
        <v>24940000000</v>
      </c>
      <c r="BV41" s="1520"/>
      <c r="BW41" s="1520"/>
      <c r="BX41" s="1520"/>
      <c r="BY41" s="1520"/>
      <c r="BZ41" s="1520"/>
      <c r="CA41" s="1520"/>
      <c r="CB41" s="1520"/>
      <c r="CC41" s="1519"/>
      <c r="CD41" s="1477">
        <f>IFERROR(__xludf.DUMMYFUNCTION("""COMPUTED_VALUE"""),21.201087962962962)</f>
        <v>21.20108796</v>
      </c>
      <c r="CE41" s="1481">
        <f>IFERROR(__xludf.DUMMYFUNCTION("""COMPUTED_VALUE"""),3.04E12)</f>
        <v>3040000000000</v>
      </c>
      <c r="CF41" s="1527"/>
      <c r="CG41" s="1560"/>
      <c r="CH41" s="1482">
        <f>IFERROR(__xludf.DUMMYFUNCTION("""COMPUTED_VALUE"""),5.144444444444445)</f>
        <v>5.144444444</v>
      </c>
      <c r="CI41" s="1483">
        <f>IFERROR(__xludf.DUMMYFUNCTION("""COMPUTED_VALUE"""),310480.0)</f>
        <v>310480</v>
      </c>
      <c r="CJ41" s="1482">
        <f>IFERROR(__xludf.DUMMYFUNCTION("""COMPUTED_VALUE"""),5.144444444444445)</f>
        <v>5.144444444</v>
      </c>
      <c r="CK41" s="1483">
        <f>IFERROR(__xludf.DUMMYFUNCTION("""COMPUTED_VALUE"""),310480.0)</f>
        <v>310480</v>
      </c>
      <c r="CL41" s="1482">
        <f>IFERROR(__xludf.DUMMYFUNCTION("""COMPUTED_VALUE"""),5.144444444444445)</f>
        <v>5.144444444</v>
      </c>
      <c r="CM41" s="1483">
        <f>IFERROR(__xludf.DUMMYFUNCTION("""COMPUTED_VALUE"""),310480.0)</f>
        <v>310480</v>
      </c>
      <c r="CN41" s="1482">
        <f>IFERROR(__xludf.DUMMYFUNCTION("""COMPUTED_VALUE"""),5.144444444444445)</f>
        <v>5.144444444</v>
      </c>
      <c r="CO41" s="1483">
        <f>IFERROR(__xludf.DUMMYFUNCTION("""COMPUTED_VALUE"""),310480.0)</f>
        <v>310480</v>
      </c>
      <c r="CP41" s="1482">
        <f>IFERROR(__xludf.DUMMYFUNCTION("""COMPUTED_VALUE"""),10.595833333333333)</f>
        <v>10.59583333</v>
      </c>
      <c r="CQ41" s="1483">
        <f>IFERROR(__xludf.DUMMYFUNCTION("""COMPUTED_VALUE"""),1030000.0)</f>
        <v>1030000</v>
      </c>
      <c r="CR41" s="1518"/>
      <c r="CS41" s="1519"/>
      <c r="CT41" s="1520"/>
      <c r="CU41" s="1519"/>
      <c r="CV41" s="1520"/>
      <c r="CW41" s="1519"/>
      <c r="CX41" s="1520"/>
      <c r="CY41" s="1519"/>
      <c r="CZ41" s="1520"/>
      <c r="DA41" s="1520"/>
      <c r="DB41" s="1520"/>
      <c r="DC41" s="1520"/>
      <c r="DD41" s="1520"/>
      <c r="DE41" s="1519"/>
      <c r="DF41" s="1518"/>
      <c r="DG41" s="1519"/>
      <c r="DH41" s="1518"/>
      <c r="DI41" s="1519"/>
      <c r="DJ41" s="1518"/>
      <c r="DK41" s="1519"/>
      <c r="DL41" s="1518"/>
      <c r="DM41" s="1519"/>
      <c r="DN41" s="1518"/>
      <c r="DO41" s="1519"/>
      <c r="DP41" s="1518"/>
      <c r="DQ41" s="1519"/>
      <c r="DR41" s="1518"/>
      <c r="DS41" s="1519"/>
      <c r="DT41" s="1518"/>
      <c r="DU41" s="1519"/>
      <c r="DV41" s="1520"/>
      <c r="DW41" s="1519"/>
      <c r="DX41" s="1518"/>
      <c r="DY41" s="1519"/>
      <c r="DZ41" s="1518"/>
      <c r="EA41" s="1519"/>
      <c r="EB41" s="1518"/>
      <c r="EC41" s="1519"/>
      <c r="ED41" s="1518"/>
      <c r="EE41" s="1519"/>
      <c r="EF41" s="1518"/>
      <c r="EG41" s="1519"/>
      <c r="EH41" s="1518"/>
      <c r="EI41" s="1519"/>
      <c r="EJ41" s="1562"/>
      <c r="EK41" s="1560"/>
      <c r="EL41" s="1562"/>
      <c r="EM41" s="1560"/>
      <c r="EN41" s="1518"/>
      <c r="EO41" s="1519"/>
      <c r="EP41" s="1518"/>
      <c r="EQ41" s="1519"/>
      <c r="ER41" s="1518"/>
      <c r="ES41" s="1519"/>
      <c r="ET41" s="1518"/>
      <c r="EU41" s="1519"/>
      <c r="EV41" s="1518"/>
      <c r="EW41" s="1519"/>
      <c r="EX41" s="1518"/>
      <c r="EY41" s="1519"/>
      <c r="EZ41" s="1518"/>
      <c r="FA41" s="1519"/>
      <c r="FB41" s="1520"/>
      <c r="FC41" s="1519"/>
      <c r="FD41" s="1520"/>
      <c r="FE41" s="1519"/>
      <c r="FF41" s="1520"/>
      <c r="FG41" s="1519"/>
      <c r="FH41" s="1520"/>
      <c r="FI41" s="1520"/>
      <c r="FJ41" s="1520"/>
      <c r="FK41" s="1519"/>
      <c r="FL41" s="1518"/>
      <c r="FM41" s="1519"/>
      <c r="FN41" s="1571"/>
      <c r="FO41" s="1519"/>
      <c r="FP41" s="1571"/>
      <c r="FQ41" s="1519"/>
      <c r="FR41" s="1571"/>
      <c r="FS41" s="1519"/>
      <c r="FT41" s="1532"/>
      <c r="FU41" s="1519"/>
      <c r="FV41" s="1532"/>
      <c r="FW41" s="1519"/>
      <c r="FX41" s="1572"/>
      <c r="FY41" s="1560"/>
      <c r="FZ41" s="1572"/>
      <c r="GA41" s="1560"/>
      <c r="GB41" s="1572"/>
      <c r="GC41" s="1560"/>
      <c r="GD41" s="1527"/>
      <c r="GE41" s="1560"/>
      <c r="GF41" s="1518"/>
      <c r="GG41" s="1519"/>
      <c r="GH41" s="1518"/>
      <c r="GI41" s="1519"/>
      <c r="GJ41" s="1520"/>
      <c r="GK41" s="1519"/>
      <c r="GL41" s="1518"/>
      <c r="GM41" s="1519"/>
      <c r="GN41" s="1520"/>
      <c r="GO41" s="1519"/>
      <c r="GP41" s="1520"/>
      <c r="GQ41" s="1519"/>
      <c r="GR41" s="1518"/>
      <c r="GS41" s="1519"/>
      <c r="GT41" s="1518"/>
      <c r="GU41" s="1519"/>
      <c r="GV41" s="1520"/>
      <c r="GW41" s="1519"/>
      <c r="GX41" s="1561"/>
      <c r="GY41" s="1527"/>
      <c r="GZ41" s="1518"/>
      <c r="HA41" s="1519"/>
      <c r="HB41" s="1501">
        <f>IFERROR(__xludf.DUMMYFUNCTION("""COMPUTED_VALUE"""),279.3951388888889)</f>
        <v>279.3951389</v>
      </c>
      <c r="HC41" s="1502">
        <f>IFERROR(__xludf.DUMMYFUNCTION("""COMPUTED_VALUE"""),1.58E12)</f>
        <v>1580000000000</v>
      </c>
      <c r="HD41" s="1518"/>
      <c r="HE41" s="1519"/>
      <c r="HF41" s="1518"/>
      <c r="HG41" s="1519"/>
      <c r="HH41" s="1518"/>
      <c r="HI41" s="1519"/>
      <c r="HJ41" s="1518"/>
      <c r="HK41" s="1519"/>
      <c r="HL41" s="1518"/>
      <c r="HM41" s="1519"/>
      <c r="HN41" s="1520"/>
      <c r="HO41" s="1519"/>
      <c r="HP41" s="1518"/>
      <c r="HQ41" s="1519"/>
      <c r="HR41" s="1518"/>
      <c r="HS41" s="1519"/>
      <c r="HT41" s="1518"/>
      <c r="HU41" s="1519"/>
      <c r="HV41" s="1518"/>
      <c r="HW41" s="1519"/>
      <c r="HX41" s="1518"/>
      <c r="HY41" s="1519"/>
      <c r="HZ41" s="1518"/>
      <c r="IA41" s="1519"/>
      <c r="IB41" s="1518"/>
      <c r="IC41" s="1519"/>
      <c r="ID41" s="1518"/>
      <c r="IE41" s="1519"/>
      <c r="IF41" s="1518"/>
      <c r="IG41" s="1519"/>
      <c r="IH41" s="1518"/>
      <c r="II41" s="1519"/>
      <c r="IJ41" s="1518"/>
      <c r="IK41" s="1519"/>
      <c r="IL41" s="1518"/>
      <c r="IM41" s="1519"/>
      <c r="IN41" s="1518"/>
      <c r="IO41" s="1519"/>
      <c r="IP41" s="1518"/>
      <c r="IQ41" s="1519"/>
      <c r="IR41" s="1518"/>
      <c r="IS41" s="1519"/>
      <c r="IT41" s="1518"/>
      <c r="IU41" s="1519"/>
      <c r="IV41" s="1518"/>
      <c r="IW41" s="1519"/>
      <c r="IX41" s="1518"/>
      <c r="IY41" s="1519"/>
      <c r="IZ41" s="1518"/>
      <c r="JA41" s="1519"/>
      <c r="JB41" s="1518"/>
      <c r="JC41" s="1519"/>
      <c r="JD41" s="1518"/>
      <c r="JE41" s="1519"/>
      <c r="JF41" s="1518"/>
      <c r="JG41" s="1519"/>
      <c r="JH41" s="1518"/>
      <c r="JI41" s="1519"/>
      <c r="JJ41" s="1562"/>
      <c r="JK41" s="1560"/>
      <c r="JL41" s="1562"/>
      <c r="JM41" s="1560"/>
      <c r="JN41" s="1562"/>
      <c r="JO41" s="1560"/>
      <c r="JP41" s="1562"/>
      <c r="JQ41" s="1560"/>
      <c r="JR41" s="1562"/>
      <c r="JS41" s="1560"/>
      <c r="JT41" s="1562"/>
      <c r="JU41" s="1560"/>
      <c r="JV41" s="1562"/>
      <c r="JW41" s="1560"/>
      <c r="JX41" s="1562"/>
      <c r="JY41" s="1527"/>
      <c r="JZ41" s="1566">
        <f>IFERROR(__xludf.DUMMYFUNCTION("""COMPUTED_VALUE"""),3.521481481)</f>
        <v>3.521481481</v>
      </c>
      <c r="KA41" s="1514">
        <f>IFERROR(__xludf.DUMMYFUNCTION("""COMPUTED_VALUE"""),3.685E10)</f>
        <v>36850000000</v>
      </c>
      <c r="KB41" s="1566">
        <f>IFERROR(__xludf.DUMMYFUNCTION("""COMPUTED_VALUE"""),7.720949074)</f>
        <v>7.720949074</v>
      </c>
      <c r="KC41" s="1567">
        <f>IFERROR(__xludf.DUMMYFUNCTION("""COMPUTED_VALUE"""),1.6462E11)</f>
        <v>164620000000</v>
      </c>
      <c r="KD41" s="1562"/>
      <c r="KE41" s="1527"/>
      <c r="KF41" s="1527"/>
      <c r="KG41" s="1527"/>
      <c r="KH41" s="1527"/>
      <c r="KI41" s="1527"/>
      <c r="KJ41" s="1527"/>
      <c r="KK41" s="1527"/>
      <c r="KL41" s="1527"/>
      <c r="KM41" s="1527"/>
      <c r="KN41" s="1527"/>
      <c r="KO41" s="1527"/>
      <c r="KP41" s="1527"/>
      <c r="KQ41" s="1527"/>
      <c r="KR41" s="1527"/>
      <c r="KS41" s="1527"/>
      <c r="KT41" s="1527"/>
      <c r="KU41" s="1527"/>
      <c r="KV41" s="1527"/>
      <c r="KW41" s="1527"/>
      <c r="KX41" s="1527"/>
      <c r="KY41" s="1527"/>
      <c r="KZ41" s="1527"/>
      <c r="LA41" s="1527"/>
      <c r="LB41" s="1527"/>
      <c r="LC41" s="1527"/>
      <c r="LD41" s="1527"/>
      <c r="LE41" s="1527"/>
      <c r="LF41" s="1527"/>
      <c r="LG41" s="1527"/>
      <c r="LH41" s="1527"/>
      <c r="LI41" s="1527"/>
      <c r="LJ41" s="1527"/>
      <c r="LK41" s="1527"/>
      <c r="LL41" s="1527"/>
      <c r="LM41" s="1527"/>
      <c r="LN41" s="1527"/>
      <c r="LO41" s="1527"/>
      <c r="LP41" s="1527"/>
      <c r="LQ41" s="1527"/>
      <c r="LR41" s="1527"/>
      <c r="LS41" s="1527"/>
      <c r="LT41" s="1527"/>
      <c r="LU41" s="1527"/>
      <c r="LV41" s="1527"/>
      <c r="LW41" s="1527"/>
      <c r="LX41" s="1527"/>
      <c r="LY41" s="1527"/>
      <c r="LZ41" s="1527"/>
      <c r="MA41" s="1527"/>
      <c r="MB41" s="1527"/>
      <c r="MC41" s="1527"/>
      <c r="MD41" s="1527"/>
      <c r="ME41" s="1527"/>
      <c r="MF41" s="1527"/>
      <c r="MG41" s="1527"/>
      <c r="MH41" s="1527"/>
      <c r="MI41" s="1527"/>
      <c r="MJ41" s="1527"/>
      <c r="MK41" s="1527"/>
      <c r="ML41" s="1527"/>
      <c r="MM41" s="1527"/>
      <c r="MN41" s="1527"/>
      <c r="MO41" s="1527"/>
      <c r="MP41" s="1527"/>
      <c r="MQ41" s="1527"/>
      <c r="MR41" s="1527"/>
      <c r="MS41" s="1527"/>
      <c r="MT41" s="1527"/>
      <c r="MU41" s="1527"/>
      <c r="MV41" s="1527"/>
      <c r="MW41" s="1527"/>
      <c r="MX41" s="1527"/>
      <c r="MY41" s="1527"/>
    </row>
    <row r="42">
      <c r="A42" s="1465">
        <f>IFERROR(__xludf.DUMMYFUNCTION("""COMPUTED_VALUE"""),40.0)</f>
        <v>40</v>
      </c>
      <c r="B42" s="1533"/>
      <c r="C42" s="1541"/>
      <c r="D42" s="1471">
        <f>IFERROR(__xludf.DUMMYFUNCTION("""COMPUTED_VALUE"""),5.470138888888889)</f>
        <v>5.470138889</v>
      </c>
      <c r="E42" s="1472">
        <f>IFERROR(__xludf.DUMMYFUNCTION("""COMPUTED_VALUE"""),333400.0)</f>
        <v>333400</v>
      </c>
      <c r="F42" s="1471">
        <f>IFERROR(__xludf.DUMMYFUNCTION("""COMPUTED_VALUE"""),5.470138888888889)</f>
        <v>5.470138889</v>
      </c>
      <c r="G42" s="1472">
        <f>IFERROR(__xludf.DUMMYFUNCTION("""COMPUTED_VALUE"""),333400.0)</f>
        <v>333400</v>
      </c>
      <c r="H42" s="1471">
        <f>IFERROR(__xludf.DUMMYFUNCTION("""COMPUTED_VALUE"""),5.470138888888889)</f>
        <v>5.470138889</v>
      </c>
      <c r="I42" s="1472">
        <f>IFERROR(__xludf.DUMMYFUNCTION("""COMPUTED_VALUE"""),333400.0)</f>
        <v>333400</v>
      </c>
      <c r="J42" s="1471">
        <f>IFERROR(__xludf.DUMMYFUNCTION("""COMPUTED_VALUE"""),5.470138888888889)</f>
        <v>5.470138889</v>
      </c>
      <c r="K42" s="1472">
        <f>IFERROR(__xludf.DUMMYFUNCTION("""COMPUTED_VALUE"""),333400.0)</f>
        <v>333400</v>
      </c>
      <c r="L42" s="1471">
        <f>IFERROR(__xludf.DUMMYFUNCTION("""COMPUTED_VALUE"""),9.468055555555555)</f>
        <v>9.468055556</v>
      </c>
      <c r="M42" s="1536">
        <f>IFERROR(__xludf.DUMMYFUNCTION("""COMPUTED_VALUE"""),983280.0)</f>
        <v>983280</v>
      </c>
      <c r="N42" s="1537">
        <f>IFERROR(__xludf.DUMMYFUNCTION("""COMPUTED_VALUE"""),5.319444444444445)</f>
        <v>5.319444444</v>
      </c>
      <c r="O42" s="1472">
        <f>IFERROR(__xludf.DUMMYFUNCTION("""COMPUTED_VALUE"""),1110000.0)</f>
        <v>1110000</v>
      </c>
      <c r="P42" s="1533"/>
      <c r="Q42" s="1534"/>
      <c r="R42" s="1533"/>
      <c r="S42" s="1534"/>
      <c r="T42" s="1533"/>
      <c r="U42" s="1534"/>
      <c r="V42" s="1533"/>
      <c r="W42" s="1534"/>
      <c r="X42" s="1533"/>
      <c r="Y42" s="1534"/>
      <c r="Z42" s="1533"/>
      <c r="AA42" s="1534"/>
      <c r="AB42" s="1533"/>
      <c r="AC42" s="1534"/>
      <c r="AD42" s="1471">
        <f>IFERROR(__xludf.DUMMYFUNCTION("""COMPUTED_VALUE"""),43.197916666666664)</f>
        <v>43.19791667</v>
      </c>
      <c r="AE42" s="1538">
        <f>IFERROR(__xludf.DUMMYFUNCTION("""COMPUTED_VALUE"""),2.778374216E13)</f>
        <v>27783742160000</v>
      </c>
      <c r="AF42" s="1471">
        <f>IFERROR(__xludf.DUMMYFUNCTION("""COMPUTED_VALUE"""),43.197916666666664)</f>
        <v>43.19791667</v>
      </c>
      <c r="AG42" s="1538">
        <f>IFERROR(__xludf.DUMMYFUNCTION("""COMPUTED_VALUE"""),2.778374216E13)</f>
        <v>27783742160000</v>
      </c>
      <c r="AH42" s="1471">
        <f>IFERROR(__xludf.DUMMYFUNCTION("""COMPUTED_VALUE"""),43.197916666666664)</f>
        <v>43.19791667</v>
      </c>
      <c r="AI42" s="1538">
        <f>IFERROR(__xludf.DUMMYFUNCTION("""COMPUTED_VALUE"""),2.778374216E13)</f>
        <v>27783742160000</v>
      </c>
      <c r="AJ42" s="1539">
        <f>IFERROR(__xludf.DUMMYFUNCTION("""COMPUTED_VALUE"""),5.470138888888889)</f>
        <v>5.470138889</v>
      </c>
      <c r="AK42" s="1540">
        <f>IFERROR(__xludf.DUMMYFUNCTION("""COMPUTED_VALUE"""),333400.0)</f>
        <v>333400</v>
      </c>
      <c r="AL42" s="1539">
        <f>IFERROR(__xludf.DUMMYFUNCTION("""COMPUTED_VALUE"""),5.470138888888889)</f>
        <v>5.470138889</v>
      </c>
      <c r="AM42" s="1540">
        <f>IFERROR(__xludf.DUMMYFUNCTION("""COMPUTED_VALUE"""),333400.0)</f>
        <v>333400</v>
      </c>
      <c r="AN42" s="1539">
        <f>IFERROR(__xludf.DUMMYFUNCTION("""COMPUTED_VALUE"""),5.470138888888889)</f>
        <v>5.470138889</v>
      </c>
      <c r="AO42" s="1540">
        <f>IFERROR(__xludf.DUMMYFUNCTION("""COMPUTED_VALUE"""),333400.0)</f>
        <v>333400</v>
      </c>
      <c r="AP42" s="1539">
        <f>IFERROR(__xludf.DUMMYFUNCTION("""COMPUTED_VALUE"""),5.470138888888889)</f>
        <v>5.470138889</v>
      </c>
      <c r="AQ42" s="1540">
        <f>IFERROR(__xludf.DUMMYFUNCTION("""COMPUTED_VALUE"""),333400.0)</f>
        <v>333400</v>
      </c>
      <c r="AR42" s="1539">
        <f>IFERROR(__xludf.DUMMYFUNCTION("""COMPUTED_VALUE"""),5.470138888888889)</f>
        <v>5.470138889</v>
      </c>
      <c r="AS42" s="1540">
        <f>IFERROR(__xludf.DUMMYFUNCTION("""COMPUTED_VALUE"""),333410.0)</f>
        <v>333410</v>
      </c>
      <c r="AT42" s="1475">
        <f>IFERROR(__xludf.DUMMYFUNCTION("""COMPUTED_VALUE"""),3923.6430555555557)</f>
        <v>3923.643056</v>
      </c>
      <c r="AU42" s="1476">
        <f>IFERROR(__xludf.DUMMYFUNCTION("""COMPUTED_VALUE"""),3.007E10)</f>
        <v>30070000000</v>
      </c>
      <c r="AV42" s="1539">
        <f>IFERROR(__xludf.DUMMYFUNCTION("""COMPUTED_VALUE"""),1898.0423611111112)</f>
        <v>1898.042361</v>
      </c>
      <c r="AW42" s="1540">
        <f>IFERROR(__xludf.DUMMYFUNCTION("""COMPUTED_VALUE"""),3.007E10)</f>
        <v>30070000000</v>
      </c>
      <c r="AX42" s="1533"/>
      <c r="AY42" s="1569"/>
      <c r="AZ42" s="1533"/>
      <c r="BA42" s="1533"/>
      <c r="BB42" s="1479">
        <f>IFERROR(__xludf.DUMMYFUNCTION("""COMPUTED_VALUE"""),5.470138888888889)</f>
        <v>5.470138889</v>
      </c>
      <c r="BC42" s="1480">
        <f>IFERROR(__xludf.DUMMYFUNCTION("""COMPUTED_VALUE"""),333400.0)</f>
        <v>333400</v>
      </c>
      <c r="BD42" s="1479">
        <f>IFERROR(__xludf.DUMMYFUNCTION("""COMPUTED_VALUE"""),5.470138888888889)</f>
        <v>5.470138889</v>
      </c>
      <c r="BE42" s="1480">
        <f>IFERROR(__xludf.DUMMYFUNCTION("""COMPUTED_VALUE"""),333400.0)</f>
        <v>333400</v>
      </c>
      <c r="BF42" s="1479">
        <f>IFERROR(__xludf.DUMMYFUNCTION("""COMPUTED_VALUE"""),5.470138888888889)</f>
        <v>5.470138889</v>
      </c>
      <c r="BG42" s="1480">
        <f>IFERROR(__xludf.DUMMYFUNCTION("""COMPUTED_VALUE"""),333400.0)</f>
        <v>333400</v>
      </c>
      <c r="BH42" s="1479">
        <f>IFERROR(__xludf.DUMMYFUNCTION("""COMPUTED_VALUE"""),145.01458333333332)</f>
        <v>145.0145833</v>
      </c>
      <c r="BI42" s="1480">
        <f>IFERROR(__xludf.DUMMYFUNCTION("""COMPUTED_VALUE"""),2.31E9)</f>
        <v>2310000000</v>
      </c>
      <c r="BJ42" s="1533"/>
      <c r="BK42" s="1534"/>
      <c r="BL42" s="1533"/>
      <c r="BM42" s="1534"/>
      <c r="BN42" s="1533"/>
      <c r="BO42" s="1534"/>
      <c r="BP42" s="1533"/>
      <c r="BQ42" s="1534"/>
      <c r="BR42" s="1541"/>
      <c r="BS42" s="1534"/>
      <c r="BT42" s="1479">
        <f>IFERROR(__xludf.DUMMYFUNCTION("""COMPUTED_VALUE"""),5.65625)</f>
        <v>5.65625</v>
      </c>
      <c r="BU42" s="1480">
        <f>IFERROR(__xludf.DUMMYFUNCTION("""COMPUTED_VALUE"""),2.66E10)</f>
        <v>26600000000</v>
      </c>
      <c r="BV42" s="1541"/>
      <c r="BW42" s="1541"/>
      <c r="BX42" s="1541"/>
      <c r="BY42" s="1541"/>
      <c r="BZ42" s="1541"/>
      <c r="CA42" s="1541"/>
      <c r="CB42" s="1541"/>
      <c r="CC42" s="1534"/>
      <c r="CD42" s="1477">
        <f>IFERROR(__xludf.DUMMYFUNCTION("""COMPUTED_VALUE"""),22.389791666666667)</f>
        <v>22.38979167</v>
      </c>
      <c r="CE42" s="1481">
        <f>IFERROR(__xludf.DUMMYFUNCTION("""COMPUTED_VALUE"""),3.27E12)</f>
        <v>3270000000000</v>
      </c>
      <c r="CF42" s="1550"/>
      <c r="CG42" s="1564"/>
      <c r="CH42" s="1484">
        <f>IFERROR(__xludf.DUMMYFUNCTION("""COMPUTED_VALUE"""),5.470138888888889)</f>
        <v>5.470138889</v>
      </c>
      <c r="CI42" s="1485">
        <f>IFERROR(__xludf.DUMMYFUNCTION("""COMPUTED_VALUE"""),333410.0)</f>
        <v>333410</v>
      </c>
      <c r="CJ42" s="1484">
        <f>IFERROR(__xludf.DUMMYFUNCTION("""COMPUTED_VALUE"""),5.470138888888889)</f>
        <v>5.470138889</v>
      </c>
      <c r="CK42" s="1485">
        <f>IFERROR(__xludf.DUMMYFUNCTION("""COMPUTED_VALUE"""),333410.0)</f>
        <v>333410</v>
      </c>
      <c r="CL42" s="1484">
        <f>IFERROR(__xludf.DUMMYFUNCTION("""COMPUTED_VALUE"""),5.470138888888889)</f>
        <v>5.470138889</v>
      </c>
      <c r="CM42" s="1485">
        <f>IFERROR(__xludf.DUMMYFUNCTION("""COMPUTED_VALUE"""),333410.0)</f>
        <v>333410</v>
      </c>
      <c r="CN42" s="1484">
        <f>IFERROR(__xludf.DUMMYFUNCTION("""COMPUTED_VALUE"""),5.470138888888889)</f>
        <v>5.470138889</v>
      </c>
      <c r="CO42" s="1485">
        <f>IFERROR(__xludf.DUMMYFUNCTION("""COMPUTED_VALUE"""),333410.0)</f>
        <v>333410</v>
      </c>
      <c r="CP42" s="1484">
        <f>IFERROR(__xludf.DUMMYFUNCTION("""COMPUTED_VALUE"""),11.326388888888888)</f>
        <v>11.32638889</v>
      </c>
      <c r="CQ42" s="1485">
        <f>IFERROR(__xludf.DUMMYFUNCTION("""COMPUTED_VALUE"""),1110000.0)</f>
        <v>1110000</v>
      </c>
      <c r="CR42" s="1533"/>
      <c r="CS42" s="1534"/>
      <c r="CT42" s="1541"/>
      <c r="CU42" s="1534"/>
      <c r="CV42" s="1541"/>
      <c r="CW42" s="1534"/>
      <c r="CX42" s="1541"/>
      <c r="CY42" s="1534"/>
      <c r="CZ42" s="1541"/>
      <c r="DA42" s="1541"/>
      <c r="DB42" s="1541"/>
      <c r="DC42" s="1541"/>
      <c r="DD42" s="1541"/>
      <c r="DE42" s="1534"/>
      <c r="DF42" s="1533"/>
      <c r="DG42" s="1534"/>
      <c r="DH42" s="1533"/>
      <c r="DI42" s="1534"/>
      <c r="DJ42" s="1533"/>
      <c r="DK42" s="1534"/>
      <c r="DL42" s="1533"/>
      <c r="DM42" s="1534"/>
      <c r="DN42" s="1533"/>
      <c r="DO42" s="1534"/>
      <c r="DP42" s="1533"/>
      <c r="DQ42" s="1534"/>
      <c r="DR42" s="1533"/>
      <c r="DS42" s="1534"/>
      <c r="DT42" s="1533"/>
      <c r="DU42" s="1534"/>
      <c r="DV42" s="1541"/>
      <c r="DW42" s="1534"/>
      <c r="DX42" s="1533"/>
      <c r="DY42" s="1534"/>
      <c r="DZ42" s="1533"/>
      <c r="EA42" s="1534"/>
      <c r="EB42" s="1533"/>
      <c r="EC42" s="1534"/>
      <c r="ED42" s="1533"/>
      <c r="EE42" s="1534"/>
      <c r="EF42" s="1533"/>
      <c r="EG42" s="1534"/>
      <c r="EH42" s="1533"/>
      <c r="EI42" s="1534"/>
      <c r="EJ42" s="1565"/>
      <c r="EK42" s="1564"/>
      <c r="EL42" s="1565"/>
      <c r="EM42" s="1564"/>
      <c r="EN42" s="1533"/>
      <c r="EO42" s="1534"/>
      <c r="EP42" s="1533"/>
      <c r="EQ42" s="1534"/>
      <c r="ER42" s="1533"/>
      <c r="ES42" s="1534"/>
      <c r="ET42" s="1533"/>
      <c r="EU42" s="1534"/>
      <c r="EV42" s="1533"/>
      <c r="EW42" s="1534"/>
      <c r="EX42" s="1533"/>
      <c r="EY42" s="1534"/>
      <c r="EZ42" s="1533"/>
      <c r="FA42" s="1534"/>
      <c r="FB42" s="1541"/>
      <c r="FC42" s="1534"/>
      <c r="FD42" s="1541"/>
      <c r="FE42" s="1534"/>
      <c r="FF42" s="1541"/>
      <c r="FG42" s="1534"/>
      <c r="FH42" s="1541"/>
      <c r="FI42" s="1541"/>
      <c r="FJ42" s="1541"/>
      <c r="FK42" s="1534"/>
      <c r="FL42" s="1533"/>
      <c r="FM42" s="1534"/>
      <c r="FN42" s="1573"/>
      <c r="FO42" s="1534"/>
      <c r="FP42" s="1573"/>
      <c r="FQ42" s="1534"/>
      <c r="FR42" s="1573"/>
      <c r="FS42" s="1534"/>
      <c r="FT42" s="1545"/>
      <c r="FU42" s="1534"/>
      <c r="FV42" s="1545"/>
      <c r="FW42" s="1534"/>
      <c r="FX42" s="1574"/>
      <c r="FY42" s="1564"/>
      <c r="FZ42" s="1574"/>
      <c r="GA42" s="1564"/>
      <c r="GB42" s="1574"/>
      <c r="GC42" s="1564"/>
      <c r="GD42" s="1550"/>
      <c r="GE42" s="1564"/>
      <c r="GF42" s="1533"/>
      <c r="GG42" s="1534"/>
      <c r="GH42" s="1533"/>
      <c r="GI42" s="1534"/>
      <c r="GJ42" s="1541"/>
      <c r="GK42" s="1534"/>
      <c r="GL42" s="1533"/>
      <c r="GM42" s="1534"/>
      <c r="GN42" s="1541"/>
      <c r="GO42" s="1534"/>
      <c r="GP42" s="1541"/>
      <c r="GQ42" s="1534"/>
      <c r="GR42" s="1533"/>
      <c r="GS42" s="1534"/>
      <c r="GT42" s="1533"/>
      <c r="GU42" s="1534"/>
      <c r="GV42" s="1541"/>
      <c r="GW42" s="1534"/>
      <c r="GX42" s="1549"/>
      <c r="GY42" s="1550"/>
      <c r="GZ42" s="1533"/>
      <c r="HA42" s="1534"/>
      <c r="HB42" s="1551">
        <f>IFERROR(__xludf.DUMMYFUNCTION("""COMPUTED_VALUE"""),305.6166666666667)</f>
        <v>305.6166667</v>
      </c>
      <c r="HC42" s="1552">
        <f>IFERROR(__xludf.DUMMYFUNCTION("""COMPUTED_VALUE"""),1.8E12)</f>
        <v>1800000000000</v>
      </c>
      <c r="HD42" s="1533"/>
      <c r="HE42" s="1534"/>
      <c r="HF42" s="1533"/>
      <c r="HG42" s="1534"/>
      <c r="HH42" s="1533"/>
      <c r="HI42" s="1534"/>
      <c r="HJ42" s="1533"/>
      <c r="HK42" s="1534"/>
      <c r="HL42" s="1533"/>
      <c r="HM42" s="1534"/>
      <c r="HN42" s="1541"/>
      <c r="HO42" s="1534"/>
      <c r="HP42" s="1533"/>
      <c r="HQ42" s="1534"/>
      <c r="HR42" s="1533"/>
      <c r="HS42" s="1534"/>
      <c r="HT42" s="1533"/>
      <c r="HU42" s="1534"/>
      <c r="HV42" s="1533"/>
      <c r="HW42" s="1534"/>
      <c r="HX42" s="1533"/>
      <c r="HY42" s="1534"/>
      <c r="HZ42" s="1533"/>
      <c r="IA42" s="1534"/>
      <c r="IB42" s="1533"/>
      <c r="IC42" s="1534"/>
      <c r="ID42" s="1533"/>
      <c r="IE42" s="1534"/>
      <c r="IF42" s="1533"/>
      <c r="IG42" s="1534"/>
      <c r="IH42" s="1533"/>
      <c r="II42" s="1534"/>
      <c r="IJ42" s="1533"/>
      <c r="IK42" s="1534"/>
      <c r="IL42" s="1533"/>
      <c r="IM42" s="1534"/>
      <c r="IN42" s="1533"/>
      <c r="IO42" s="1534"/>
      <c r="IP42" s="1533"/>
      <c r="IQ42" s="1534"/>
      <c r="IR42" s="1533"/>
      <c r="IS42" s="1534"/>
      <c r="IT42" s="1533"/>
      <c r="IU42" s="1534"/>
      <c r="IV42" s="1533"/>
      <c r="IW42" s="1534"/>
      <c r="IX42" s="1533"/>
      <c r="IY42" s="1534"/>
      <c r="IZ42" s="1533"/>
      <c r="JA42" s="1534"/>
      <c r="JB42" s="1533"/>
      <c r="JC42" s="1534"/>
      <c r="JD42" s="1533"/>
      <c r="JE42" s="1534"/>
      <c r="JF42" s="1533"/>
      <c r="JG42" s="1534"/>
      <c r="JH42" s="1533"/>
      <c r="JI42" s="1534"/>
      <c r="JJ42" s="1565"/>
      <c r="JK42" s="1564"/>
      <c r="JL42" s="1565"/>
      <c r="JM42" s="1564"/>
      <c r="JN42" s="1565"/>
      <c r="JO42" s="1564"/>
      <c r="JP42" s="1565"/>
      <c r="JQ42" s="1564"/>
      <c r="JR42" s="1565"/>
      <c r="JS42" s="1564"/>
      <c r="JT42" s="1565"/>
      <c r="JU42" s="1564"/>
      <c r="JV42" s="1565"/>
      <c r="JW42" s="1564"/>
      <c r="JX42" s="1562"/>
      <c r="JY42" s="1527"/>
      <c r="JZ42" s="1566">
        <f>IFERROR(__xludf.DUMMYFUNCTION("""COMPUTED_VALUE"""),3.597337963)</f>
        <v>3.597337963</v>
      </c>
      <c r="KA42" s="1514">
        <f>IFERROR(__xludf.DUMMYFUNCTION("""COMPUTED_VALUE"""),3.953E10)</f>
        <v>39530000000</v>
      </c>
      <c r="KB42" s="1566">
        <f>IFERROR(__xludf.DUMMYFUNCTION("""COMPUTED_VALUE"""),8.078113426)</f>
        <v>8.078113426</v>
      </c>
      <c r="KC42" s="1567">
        <f>IFERROR(__xludf.DUMMYFUNCTION("""COMPUTED_VALUE"""),1.7796E11)</f>
        <v>177960000000</v>
      </c>
      <c r="KD42" s="1562"/>
      <c r="KE42" s="1527"/>
      <c r="KF42" s="1527"/>
      <c r="KG42" s="1527"/>
      <c r="KH42" s="1527"/>
      <c r="KI42" s="1527"/>
      <c r="KJ42" s="1527"/>
      <c r="KK42" s="1527"/>
      <c r="KL42" s="1527"/>
      <c r="KM42" s="1527"/>
      <c r="KN42" s="1527"/>
      <c r="KO42" s="1527"/>
      <c r="KP42" s="1527"/>
      <c r="KQ42" s="1527"/>
      <c r="KR42" s="1527"/>
      <c r="KS42" s="1527"/>
      <c r="KT42" s="1527"/>
      <c r="KU42" s="1527"/>
      <c r="KV42" s="1527"/>
      <c r="KW42" s="1527"/>
      <c r="KX42" s="1527"/>
      <c r="KY42" s="1527"/>
      <c r="KZ42" s="1527"/>
      <c r="LA42" s="1527"/>
      <c r="LB42" s="1527"/>
      <c r="LC42" s="1527"/>
      <c r="LD42" s="1527"/>
      <c r="LE42" s="1527"/>
      <c r="LF42" s="1527"/>
      <c r="LG42" s="1527"/>
      <c r="LH42" s="1527"/>
      <c r="LI42" s="1527"/>
      <c r="LJ42" s="1527"/>
      <c r="LK42" s="1527"/>
      <c r="LL42" s="1550"/>
      <c r="LM42" s="1550"/>
      <c r="LN42" s="1527"/>
      <c r="LO42" s="1527"/>
      <c r="LP42" s="1527"/>
      <c r="LQ42" s="1527"/>
      <c r="LR42" s="1527"/>
      <c r="LS42" s="1527"/>
      <c r="LT42" s="1527"/>
      <c r="LU42" s="1527"/>
      <c r="LV42" s="1527"/>
      <c r="LW42" s="1527"/>
      <c r="LX42" s="1527"/>
      <c r="LY42" s="1527"/>
      <c r="LZ42" s="1527"/>
      <c r="MA42" s="1527"/>
      <c r="MB42" s="1527"/>
      <c r="MC42" s="1527"/>
      <c r="MD42" s="1527"/>
      <c r="ME42" s="1527"/>
      <c r="MF42" s="1527"/>
      <c r="MG42" s="1527"/>
      <c r="MH42" s="1527"/>
      <c r="MI42" s="1527"/>
      <c r="MJ42" s="1527"/>
      <c r="MK42" s="1527"/>
      <c r="ML42" s="1527"/>
      <c r="MM42" s="1527"/>
      <c r="MN42" s="1527"/>
      <c r="MO42" s="1527"/>
      <c r="MP42" s="1527"/>
      <c r="MQ42" s="1527"/>
      <c r="MR42" s="1527"/>
      <c r="MS42" s="1527"/>
      <c r="MT42" s="1527"/>
      <c r="MU42" s="1527"/>
      <c r="MV42" s="1527"/>
      <c r="MW42" s="1527"/>
      <c r="MX42" s="1527"/>
      <c r="MY42" s="1527"/>
    </row>
    <row r="43">
      <c r="A43" s="1465">
        <f>IFERROR(__xludf.DUMMYFUNCTION("""COMPUTED_VALUE"""),41.0)</f>
        <v>41</v>
      </c>
      <c r="B43" s="1518"/>
      <c r="C43" s="1520"/>
      <c r="D43" s="1466">
        <f>IFERROR(__xludf.DUMMYFUNCTION("""COMPUTED_VALUE"""),5.808333333333334)</f>
        <v>5.808333333</v>
      </c>
      <c r="E43" s="1467">
        <f>IFERROR(__xludf.DUMMYFUNCTION("""COMPUTED_VALUE"""),357390.0)</f>
        <v>357390</v>
      </c>
      <c r="F43" s="1466">
        <f>IFERROR(__xludf.DUMMYFUNCTION("""COMPUTED_VALUE"""),5.808333333333334)</f>
        <v>5.808333333</v>
      </c>
      <c r="G43" s="1467">
        <f>IFERROR(__xludf.DUMMYFUNCTION("""COMPUTED_VALUE"""),357390.0)</f>
        <v>357390</v>
      </c>
      <c r="H43" s="1466">
        <f>IFERROR(__xludf.DUMMYFUNCTION("""COMPUTED_VALUE"""),5.808333333333334)</f>
        <v>5.808333333</v>
      </c>
      <c r="I43" s="1467">
        <f>IFERROR(__xludf.DUMMYFUNCTION("""COMPUTED_VALUE"""),357390.0)</f>
        <v>357390</v>
      </c>
      <c r="J43" s="1466">
        <f>IFERROR(__xludf.DUMMYFUNCTION("""COMPUTED_VALUE"""),5.808333333333334)</f>
        <v>5.808333333</v>
      </c>
      <c r="K43" s="1467">
        <f>IFERROR(__xludf.DUMMYFUNCTION("""COMPUTED_VALUE"""),357390.0)</f>
        <v>357390</v>
      </c>
      <c r="L43" s="1466">
        <f>IFERROR(__xludf.DUMMYFUNCTION("""COMPUTED_VALUE"""),10.090277777777779)</f>
        <v>10.09027778</v>
      </c>
      <c r="M43" s="1469">
        <f>IFERROR(__xludf.DUMMYFUNCTION("""COMPUTED_VALUE"""),1060000.0)</f>
        <v>1060000</v>
      </c>
      <c r="N43" s="1470">
        <f>IFERROR(__xludf.DUMMYFUNCTION("""COMPUTED_VALUE"""),5.605555555555555)</f>
        <v>5.605555556</v>
      </c>
      <c r="O43" s="1467">
        <f>IFERROR(__xludf.DUMMYFUNCTION("""COMPUTED_VALUE"""),1200000.0)</f>
        <v>1200000</v>
      </c>
      <c r="P43" s="1518"/>
      <c r="Q43" s="1519"/>
      <c r="R43" s="1518"/>
      <c r="S43" s="1519"/>
      <c r="T43" s="1518"/>
      <c r="U43" s="1519"/>
      <c r="V43" s="1518"/>
      <c r="W43" s="1519"/>
      <c r="X43" s="1518"/>
      <c r="Y43" s="1519"/>
      <c r="Z43" s="1518"/>
      <c r="AA43" s="1519"/>
      <c r="AB43" s="1518"/>
      <c r="AC43" s="1519"/>
      <c r="AD43" s="1466">
        <f>IFERROR(__xludf.DUMMYFUNCTION("""COMPUTED_VALUE"""),44.27777777777778)</f>
        <v>44.27777778</v>
      </c>
      <c r="AE43" s="1474">
        <f>IFERROR(__xludf.DUMMYFUNCTION("""COMPUTED_VALUE"""),3.611886481E13)</f>
        <v>36118864810000</v>
      </c>
      <c r="AF43" s="1466">
        <f>IFERROR(__xludf.DUMMYFUNCTION("""COMPUTED_VALUE"""),44.27777777777778)</f>
        <v>44.27777778</v>
      </c>
      <c r="AG43" s="1474">
        <f>IFERROR(__xludf.DUMMYFUNCTION("""COMPUTED_VALUE"""),3.611886481E13)</f>
        <v>36118864810000</v>
      </c>
      <c r="AH43" s="1466">
        <f>IFERROR(__xludf.DUMMYFUNCTION("""COMPUTED_VALUE"""),44.27777777777778)</f>
        <v>44.27777778</v>
      </c>
      <c r="AI43" s="1474">
        <f>IFERROR(__xludf.DUMMYFUNCTION("""COMPUTED_VALUE"""),3.611886481E13)</f>
        <v>36118864810000</v>
      </c>
      <c r="AJ43" s="1475">
        <f>IFERROR(__xludf.DUMMYFUNCTION("""COMPUTED_VALUE"""),5.808333333333334)</f>
        <v>5.808333333</v>
      </c>
      <c r="AK43" s="1476">
        <f>IFERROR(__xludf.DUMMYFUNCTION("""COMPUTED_VALUE"""),357390.0)</f>
        <v>357390</v>
      </c>
      <c r="AL43" s="1475">
        <f>IFERROR(__xludf.DUMMYFUNCTION("""COMPUTED_VALUE"""),5.808333333333334)</f>
        <v>5.808333333</v>
      </c>
      <c r="AM43" s="1476">
        <f>IFERROR(__xludf.DUMMYFUNCTION("""COMPUTED_VALUE"""),357390.0)</f>
        <v>357390</v>
      </c>
      <c r="AN43" s="1475">
        <f>IFERROR(__xludf.DUMMYFUNCTION("""COMPUTED_VALUE"""),5.808333333333334)</f>
        <v>5.808333333</v>
      </c>
      <c r="AO43" s="1476">
        <f>IFERROR(__xludf.DUMMYFUNCTION("""COMPUTED_VALUE"""),357390.0)</f>
        <v>357390</v>
      </c>
      <c r="AP43" s="1475">
        <f>IFERROR(__xludf.DUMMYFUNCTION("""COMPUTED_VALUE"""),5.808333333333334)</f>
        <v>5.808333333</v>
      </c>
      <c r="AQ43" s="1476">
        <f>IFERROR(__xludf.DUMMYFUNCTION("""COMPUTED_VALUE"""),357390.0)</f>
        <v>357390</v>
      </c>
      <c r="AR43" s="1475">
        <f>IFERROR(__xludf.DUMMYFUNCTION("""COMPUTED_VALUE"""),5.808333333333334)</f>
        <v>5.808333333</v>
      </c>
      <c r="AS43" s="1476">
        <f>IFERROR(__xludf.DUMMYFUNCTION("""COMPUTED_VALUE"""),357400.0)</f>
        <v>357400</v>
      </c>
      <c r="AT43" s="1475">
        <f>IFERROR(__xludf.DUMMYFUNCTION("""COMPUTED_VALUE"""),4361.770138888889)</f>
        <v>4361.770139</v>
      </c>
      <c r="AU43" s="1476">
        <f>IFERROR(__xludf.DUMMYFUNCTION("""COMPUTED_VALUE"""),3.387E10)</f>
        <v>33870000000</v>
      </c>
      <c r="AV43" s="1520"/>
      <c r="AW43" s="1519"/>
      <c r="AX43" s="1518"/>
      <c r="AY43" s="1568"/>
      <c r="AZ43" s="1518"/>
      <c r="BA43" s="1518"/>
      <c r="BB43" s="1477">
        <f>IFERROR(__xludf.DUMMYFUNCTION("""COMPUTED_VALUE"""),5.808333333333334)</f>
        <v>5.808333333</v>
      </c>
      <c r="BC43" s="1478">
        <f>IFERROR(__xludf.DUMMYFUNCTION("""COMPUTED_VALUE"""),357390.0)</f>
        <v>357390</v>
      </c>
      <c r="BD43" s="1477">
        <f>IFERROR(__xludf.DUMMYFUNCTION("""COMPUTED_VALUE"""),5.808333333333334)</f>
        <v>5.808333333</v>
      </c>
      <c r="BE43" s="1478">
        <f>IFERROR(__xludf.DUMMYFUNCTION("""COMPUTED_VALUE"""),357390.0)</f>
        <v>357390</v>
      </c>
      <c r="BF43" s="1477">
        <f>IFERROR(__xludf.DUMMYFUNCTION("""COMPUTED_VALUE"""),5.808333333333334)</f>
        <v>5.808333333</v>
      </c>
      <c r="BG43" s="1478">
        <f>IFERROR(__xludf.DUMMYFUNCTION("""COMPUTED_VALUE"""),357390.0)</f>
        <v>357390</v>
      </c>
      <c r="BH43" s="1477">
        <f>IFERROR(__xludf.DUMMYFUNCTION("""COMPUTED_VALUE"""),158.24305555555554)</f>
        <v>158.2430556</v>
      </c>
      <c r="BI43" s="1478">
        <f>IFERROR(__xludf.DUMMYFUNCTION("""COMPUTED_VALUE"""),2.56E9)</f>
        <v>2560000000</v>
      </c>
      <c r="BJ43" s="1518"/>
      <c r="BK43" s="1519"/>
      <c r="BL43" s="1518"/>
      <c r="BM43" s="1519"/>
      <c r="BN43" s="1518"/>
      <c r="BO43" s="1519"/>
      <c r="BP43" s="1518"/>
      <c r="BQ43" s="1519"/>
      <c r="BR43" s="1520"/>
      <c r="BS43" s="1519"/>
      <c r="BT43" s="1479">
        <f>IFERROR(__xludf.DUMMYFUNCTION("""COMPUTED_VALUE"""),5.993055555555555)</f>
        <v>5.993055556</v>
      </c>
      <c r="BU43" s="1480">
        <f>IFERROR(__xludf.DUMMYFUNCTION("""COMPUTED_VALUE"""),2.836E10)</f>
        <v>28360000000</v>
      </c>
      <c r="BV43" s="1520"/>
      <c r="BW43" s="1520"/>
      <c r="BX43" s="1520"/>
      <c r="BY43" s="1520"/>
      <c r="BZ43" s="1520"/>
      <c r="CA43" s="1520"/>
      <c r="CB43" s="1520"/>
      <c r="CC43" s="1519"/>
      <c r="CD43" s="1477">
        <f>IFERROR(__xludf.DUMMYFUNCTION("""COMPUTED_VALUE"""),23.626828703703705)</f>
        <v>23.6268287</v>
      </c>
      <c r="CE43" s="1481">
        <f>IFERROR(__xludf.DUMMYFUNCTION("""COMPUTED_VALUE"""),3.5E12)</f>
        <v>3500000000000</v>
      </c>
      <c r="CF43" s="1527"/>
      <c r="CG43" s="1560"/>
      <c r="CH43" s="1482">
        <f>IFERROR(__xludf.DUMMYFUNCTION("""COMPUTED_VALUE"""),5.808333333333334)</f>
        <v>5.808333333</v>
      </c>
      <c r="CI43" s="1483">
        <f>IFERROR(__xludf.DUMMYFUNCTION("""COMPUTED_VALUE"""),357400.0)</f>
        <v>357400</v>
      </c>
      <c r="CJ43" s="1482">
        <f>IFERROR(__xludf.DUMMYFUNCTION("""COMPUTED_VALUE"""),5.808333333333334)</f>
        <v>5.808333333</v>
      </c>
      <c r="CK43" s="1483">
        <f>IFERROR(__xludf.DUMMYFUNCTION("""COMPUTED_VALUE"""),357400.0)</f>
        <v>357400</v>
      </c>
      <c r="CL43" s="1482">
        <f>IFERROR(__xludf.DUMMYFUNCTION("""COMPUTED_VALUE"""),5.808333333333334)</f>
        <v>5.808333333</v>
      </c>
      <c r="CM43" s="1483">
        <f>IFERROR(__xludf.DUMMYFUNCTION("""COMPUTED_VALUE"""),357400.0)</f>
        <v>357400</v>
      </c>
      <c r="CN43" s="1482">
        <f>IFERROR(__xludf.DUMMYFUNCTION("""COMPUTED_VALUE"""),5.808333333333334)</f>
        <v>5.808333333</v>
      </c>
      <c r="CO43" s="1483">
        <f>IFERROR(__xludf.DUMMYFUNCTION("""COMPUTED_VALUE"""),357400.0)</f>
        <v>357400</v>
      </c>
      <c r="CP43" s="1482">
        <f>IFERROR(__xludf.DUMMYFUNCTION("""COMPUTED_VALUE"""),12.0875)</f>
        <v>12.0875</v>
      </c>
      <c r="CQ43" s="1483">
        <f>IFERROR(__xludf.DUMMYFUNCTION("""COMPUTED_VALUE"""),1200000.0)</f>
        <v>1200000</v>
      </c>
      <c r="CR43" s="1518"/>
      <c r="CS43" s="1519"/>
      <c r="CT43" s="1520"/>
      <c r="CU43" s="1519"/>
      <c r="CV43" s="1520"/>
      <c r="CW43" s="1519"/>
      <c r="CX43" s="1520"/>
      <c r="CY43" s="1519"/>
      <c r="CZ43" s="1520"/>
      <c r="DA43" s="1520"/>
      <c r="DB43" s="1520"/>
      <c r="DC43" s="1520"/>
      <c r="DD43" s="1520"/>
      <c r="DE43" s="1519"/>
      <c r="DF43" s="1518"/>
      <c r="DG43" s="1519"/>
      <c r="DH43" s="1518"/>
      <c r="DI43" s="1519"/>
      <c r="DJ43" s="1518"/>
      <c r="DK43" s="1519"/>
      <c r="DL43" s="1518"/>
      <c r="DM43" s="1519"/>
      <c r="DN43" s="1518"/>
      <c r="DO43" s="1519"/>
      <c r="DP43" s="1518"/>
      <c r="DQ43" s="1519"/>
      <c r="DR43" s="1518"/>
      <c r="DS43" s="1519"/>
      <c r="DT43" s="1518"/>
      <c r="DU43" s="1519"/>
      <c r="DV43" s="1520"/>
      <c r="DW43" s="1519"/>
      <c r="DX43" s="1518"/>
      <c r="DY43" s="1519"/>
      <c r="DZ43" s="1518"/>
      <c r="EA43" s="1519"/>
      <c r="EB43" s="1518"/>
      <c r="EC43" s="1519"/>
      <c r="ED43" s="1518"/>
      <c r="EE43" s="1519"/>
      <c r="EF43" s="1518"/>
      <c r="EG43" s="1519"/>
      <c r="EH43" s="1518"/>
      <c r="EI43" s="1519"/>
      <c r="EJ43" s="1562"/>
      <c r="EK43" s="1560"/>
      <c r="EL43" s="1562"/>
      <c r="EM43" s="1560"/>
      <c r="EN43" s="1518"/>
      <c r="EO43" s="1519"/>
      <c r="EP43" s="1518"/>
      <c r="EQ43" s="1519"/>
      <c r="ER43" s="1518"/>
      <c r="ES43" s="1519"/>
      <c r="ET43" s="1518"/>
      <c r="EU43" s="1519"/>
      <c r="EV43" s="1518"/>
      <c r="EW43" s="1519"/>
      <c r="EX43" s="1518"/>
      <c r="EY43" s="1519"/>
      <c r="EZ43" s="1518"/>
      <c r="FA43" s="1519"/>
      <c r="FB43" s="1520"/>
      <c r="FC43" s="1519"/>
      <c r="FD43" s="1520"/>
      <c r="FE43" s="1519"/>
      <c r="FF43" s="1520"/>
      <c r="FG43" s="1519"/>
      <c r="FH43" s="1520"/>
      <c r="FI43" s="1520"/>
      <c r="FJ43" s="1520"/>
      <c r="FK43" s="1519"/>
      <c r="FL43" s="1518"/>
      <c r="FM43" s="1519"/>
      <c r="FN43" s="1571"/>
      <c r="FO43" s="1519"/>
      <c r="FP43" s="1571"/>
      <c r="FQ43" s="1519"/>
      <c r="FR43" s="1571"/>
      <c r="FS43" s="1519"/>
      <c r="FT43" s="1532"/>
      <c r="FU43" s="1519"/>
      <c r="FV43" s="1532"/>
      <c r="FW43" s="1519"/>
      <c r="FX43" s="1572"/>
      <c r="FY43" s="1560"/>
      <c r="FZ43" s="1572"/>
      <c r="GA43" s="1560"/>
      <c r="GB43" s="1572"/>
      <c r="GC43" s="1560"/>
      <c r="GD43" s="1527"/>
      <c r="GE43" s="1560"/>
      <c r="GF43" s="1518"/>
      <c r="GG43" s="1519"/>
      <c r="GH43" s="1518"/>
      <c r="GI43" s="1519"/>
      <c r="GJ43" s="1520"/>
      <c r="GK43" s="1519"/>
      <c r="GL43" s="1518"/>
      <c r="GM43" s="1519"/>
      <c r="GN43" s="1520"/>
      <c r="GO43" s="1519"/>
      <c r="GP43" s="1520"/>
      <c r="GQ43" s="1519"/>
      <c r="GR43" s="1518"/>
      <c r="GS43" s="1519"/>
      <c r="GT43" s="1518"/>
      <c r="GU43" s="1519"/>
      <c r="GV43" s="1520"/>
      <c r="GW43" s="1519"/>
      <c r="GX43" s="1561"/>
      <c r="GY43" s="1527"/>
      <c r="GZ43" s="1518"/>
      <c r="HA43" s="1519"/>
      <c r="HB43" s="1501">
        <f>IFERROR(__xludf.DUMMYFUNCTION("""COMPUTED_VALUE"""),333.56458333333336)</f>
        <v>333.5645833</v>
      </c>
      <c r="HC43" s="1502">
        <f>IFERROR(__xludf.DUMMYFUNCTION("""COMPUTED_VALUE"""),2.05E12)</f>
        <v>2050000000000</v>
      </c>
      <c r="HD43" s="1518"/>
      <c r="HE43" s="1519"/>
      <c r="HF43" s="1518"/>
      <c r="HG43" s="1519"/>
      <c r="HH43" s="1518"/>
      <c r="HI43" s="1519"/>
      <c r="HJ43" s="1518"/>
      <c r="HK43" s="1519"/>
      <c r="HL43" s="1518"/>
      <c r="HM43" s="1519"/>
      <c r="HN43" s="1520"/>
      <c r="HO43" s="1519"/>
      <c r="HP43" s="1518"/>
      <c r="HQ43" s="1519"/>
      <c r="HR43" s="1518"/>
      <c r="HS43" s="1519"/>
      <c r="HT43" s="1518"/>
      <c r="HU43" s="1519"/>
      <c r="HV43" s="1518"/>
      <c r="HW43" s="1519"/>
      <c r="HX43" s="1518"/>
      <c r="HY43" s="1519"/>
      <c r="HZ43" s="1518"/>
      <c r="IA43" s="1519"/>
      <c r="IB43" s="1518"/>
      <c r="IC43" s="1519"/>
      <c r="ID43" s="1518"/>
      <c r="IE43" s="1519"/>
      <c r="IF43" s="1518"/>
      <c r="IG43" s="1519"/>
      <c r="IH43" s="1518"/>
      <c r="II43" s="1519"/>
      <c r="IJ43" s="1518"/>
      <c r="IK43" s="1519"/>
      <c r="IL43" s="1518"/>
      <c r="IM43" s="1519"/>
      <c r="IN43" s="1518"/>
      <c r="IO43" s="1519"/>
      <c r="IP43" s="1518"/>
      <c r="IQ43" s="1519"/>
      <c r="IR43" s="1518"/>
      <c r="IS43" s="1519"/>
      <c r="IT43" s="1518"/>
      <c r="IU43" s="1519"/>
      <c r="IV43" s="1518"/>
      <c r="IW43" s="1519"/>
      <c r="IX43" s="1518"/>
      <c r="IY43" s="1519"/>
      <c r="IZ43" s="1518"/>
      <c r="JA43" s="1519"/>
      <c r="JB43" s="1518"/>
      <c r="JC43" s="1519"/>
      <c r="JD43" s="1518"/>
      <c r="JE43" s="1519"/>
      <c r="JF43" s="1518"/>
      <c r="JG43" s="1519"/>
      <c r="JH43" s="1518"/>
      <c r="JI43" s="1519"/>
      <c r="JJ43" s="1562"/>
      <c r="JK43" s="1560"/>
      <c r="JL43" s="1562"/>
      <c r="JM43" s="1560"/>
      <c r="JN43" s="1562"/>
      <c r="JO43" s="1560"/>
      <c r="JP43" s="1562"/>
      <c r="JQ43" s="1560"/>
      <c r="JR43" s="1562"/>
      <c r="JS43" s="1560"/>
      <c r="JT43" s="1562"/>
      <c r="JU43" s="1560"/>
      <c r="JV43" s="1562"/>
      <c r="JW43" s="1560"/>
      <c r="JX43" s="1562"/>
      <c r="JY43" s="1527"/>
      <c r="JZ43" s="1566">
        <f>IFERROR(__xludf.DUMMYFUNCTION("""COMPUTED_VALUE"""),3.674166667)</f>
        <v>3.674166667</v>
      </c>
      <c r="KA43" s="1514">
        <f>IFERROR(__xludf.DUMMYFUNCTION("""COMPUTED_VALUE"""),4.233E10)</f>
        <v>42330000000</v>
      </c>
      <c r="KB43" s="1566">
        <f>IFERROR(__xludf.DUMMYFUNCTION("""COMPUTED_VALUE"""),8.447060185)</f>
        <v>8.447060185</v>
      </c>
      <c r="KC43" s="1567">
        <f>IFERROR(__xludf.DUMMYFUNCTION("""COMPUTED_VALUE"""),1.92E11)</f>
        <v>192000000000</v>
      </c>
      <c r="KD43" s="1562"/>
      <c r="KE43" s="1527"/>
      <c r="KF43" s="1527"/>
      <c r="KG43" s="1527"/>
      <c r="KH43" s="1527"/>
      <c r="KI43" s="1527"/>
      <c r="KJ43" s="1527"/>
      <c r="KK43" s="1527"/>
      <c r="KL43" s="1527"/>
      <c r="KM43" s="1527"/>
      <c r="KN43" s="1527"/>
      <c r="KO43" s="1527"/>
      <c r="KP43" s="1527"/>
      <c r="KQ43" s="1527"/>
      <c r="KR43" s="1527"/>
      <c r="KS43" s="1527"/>
      <c r="KT43" s="1527"/>
      <c r="KU43" s="1527"/>
      <c r="KV43" s="1527"/>
      <c r="KW43" s="1527"/>
      <c r="KX43" s="1527"/>
      <c r="KY43" s="1527"/>
      <c r="KZ43" s="1527"/>
      <c r="LA43" s="1527"/>
      <c r="LB43" s="1527"/>
      <c r="LC43" s="1527"/>
      <c r="LD43" s="1527"/>
      <c r="LE43" s="1527"/>
      <c r="LF43" s="1527"/>
      <c r="LG43" s="1527"/>
      <c r="LH43" s="1527"/>
      <c r="LI43" s="1527"/>
      <c r="LJ43" s="1527"/>
      <c r="LK43" s="1527"/>
      <c r="LL43" s="1527"/>
      <c r="LM43" s="1527"/>
      <c r="LN43" s="1527"/>
      <c r="LO43" s="1527"/>
      <c r="LP43" s="1527"/>
      <c r="LQ43" s="1527"/>
      <c r="LR43" s="1527"/>
      <c r="LS43" s="1527"/>
      <c r="LT43" s="1527"/>
      <c r="LU43" s="1527"/>
      <c r="LV43" s="1527"/>
      <c r="LW43" s="1527"/>
      <c r="LX43" s="1527"/>
      <c r="LY43" s="1527"/>
      <c r="LZ43" s="1527"/>
      <c r="MA43" s="1527"/>
      <c r="MB43" s="1527"/>
      <c r="MC43" s="1527"/>
      <c r="MD43" s="1527"/>
      <c r="ME43" s="1527"/>
      <c r="MF43" s="1527"/>
      <c r="MG43" s="1527"/>
      <c r="MH43" s="1527"/>
      <c r="MI43" s="1527"/>
      <c r="MJ43" s="1527"/>
      <c r="MK43" s="1527"/>
      <c r="ML43" s="1527"/>
      <c r="MM43" s="1527"/>
      <c r="MN43" s="1527"/>
      <c r="MO43" s="1527"/>
      <c r="MP43" s="1527"/>
      <c r="MQ43" s="1527"/>
      <c r="MR43" s="1527"/>
      <c r="MS43" s="1527"/>
      <c r="MT43" s="1527"/>
      <c r="MU43" s="1527"/>
      <c r="MV43" s="1527"/>
      <c r="MW43" s="1527"/>
      <c r="MX43" s="1527"/>
      <c r="MY43" s="1527"/>
    </row>
    <row r="44">
      <c r="A44" s="1465">
        <f>IFERROR(__xludf.DUMMYFUNCTION("""COMPUTED_VALUE"""),42.0)</f>
        <v>42</v>
      </c>
      <c r="B44" s="1518"/>
      <c r="C44" s="1520"/>
      <c r="D44" s="1466">
        <f>IFERROR(__xludf.DUMMYFUNCTION("""COMPUTED_VALUE"""),6.157638888888889)</f>
        <v>6.157638889</v>
      </c>
      <c r="E44" s="1467">
        <f>IFERROR(__xludf.DUMMYFUNCTION("""COMPUTED_VALUE"""),382450.0)</f>
        <v>382450</v>
      </c>
      <c r="F44" s="1466">
        <f>IFERROR(__xludf.DUMMYFUNCTION("""COMPUTED_VALUE"""),6.157638888888889)</f>
        <v>6.157638889</v>
      </c>
      <c r="G44" s="1467">
        <f>IFERROR(__xludf.DUMMYFUNCTION("""COMPUTED_VALUE"""),382450.0)</f>
        <v>382450</v>
      </c>
      <c r="H44" s="1466">
        <f>IFERROR(__xludf.DUMMYFUNCTION("""COMPUTED_VALUE"""),6.157638888888889)</f>
        <v>6.157638889</v>
      </c>
      <c r="I44" s="1467">
        <f>IFERROR(__xludf.DUMMYFUNCTION("""COMPUTED_VALUE"""),382450.0)</f>
        <v>382450</v>
      </c>
      <c r="J44" s="1466">
        <f>IFERROR(__xludf.DUMMYFUNCTION("""COMPUTED_VALUE"""),6.157638888888889)</f>
        <v>6.157638889</v>
      </c>
      <c r="K44" s="1467">
        <f>IFERROR(__xludf.DUMMYFUNCTION("""COMPUTED_VALUE"""),382450.0)</f>
        <v>382450</v>
      </c>
      <c r="L44" s="1466">
        <f>IFERROR(__xludf.DUMMYFUNCTION("""COMPUTED_VALUE"""),10.736805555555556)</f>
        <v>10.73680556</v>
      </c>
      <c r="M44" s="1469">
        <f>IFERROR(__xludf.DUMMYFUNCTION("""COMPUTED_VALUE"""),1140000.0)</f>
        <v>1140000</v>
      </c>
      <c r="N44" s="1470">
        <f>IFERROR(__xludf.DUMMYFUNCTION("""COMPUTED_VALUE"""),5.899305555555555)</f>
        <v>5.899305556</v>
      </c>
      <c r="O44" s="1467">
        <f>IFERROR(__xludf.DUMMYFUNCTION("""COMPUTED_VALUE"""),1300000.0)</f>
        <v>1300000</v>
      </c>
      <c r="P44" s="1518"/>
      <c r="Q44" s="1519"/>
      <c r="R44" s="1518"/>
      <c r="S44" s="1519"/>
      <c r="T44" s="1518"/>
      <c r="U44" s="1519"/>
      <c r="V44" s="1518"/>
      <c r="W44" s="1519"/>
      <c r="X44" s="1518"/>
      <c r="Y44" s="1519"/>
      <c r="Z44" s="1518"/>
      <c r="AA44" s="1519"/>
      <c r="AB44" s="1518"/>
      <c r="AC44" s="1519"/>
      <c r="AD44" s="1466">
        <f>IFERROR(__xludf.DUMMYFUNCTION("""COMPUTED_VALUE"""),45.357638888888886)</f>
        <v>45.35763889</v>
      </c>
      <c r="AE44" s="1474">
        <f>IFERROR(__xludf.DUMMYFUNCTION("""COMPUTED_VALUE"""),4.695452425E13)</f>
        <v>46954524250000</v>
      </c>
      <c r="AF44" s="1466">
        <f>IFERROR(__xludf.DUMMYFUNCTION("""COMPUTED_VALUE"""),45.357638888888886)</f>
        <v>45.35763889</v>
      </c>
      <c r="AG44" s="1474">
        <f>IFERROR(__xludf.DUMMYFUNCTION("""COMPUTED_VALUE"""),4.695452425E13)</f>
        <v>46954524250000</v>
      </c>
      <c r="AH44" s="1466">
        <f>IFERROR(__xludf.DUMMYFUNCTION("""COMPUTED_VALUE"""),45.357638888888886)</f>
        <v>45.35763889</v>
      </c>
      <c r="AI44" s="1474">
        <f>IFERROR(__xludf.DUMMYFUNCTION("""COMPUTED_VALUE"""),4.695452425E13)</f>
        <v>46954524250000</v>
      </c>
      <c r="AJ44" s="1475">
        <f>IFERROR(__xludf.DUMMYFUNCTION("""COMPUTED_VALUE"""),6.157638888888889)</f>
        <v>6.157638889</v>
      </c>
      <c r="AK44" s="1476">
        <f>IFERROR(__xludf.DUMMYFUNCTION("""COMPUTED_VALUE"""),382450.0)</f>
        <v>382450</v>
      </c>
      <c r="AL44" s="1475">
        <f>IFERROR(__xludf.DUMMYFUNCTION("""COMPUTED_VALUE"""),6.157638888888889)</f>
        <v>6.157638889</v>
      </c>
      <c r="AM44" s="1476">
        <f>IFERROR(__xludf.DUMMYFUNCTION("""COMPUTED_VALUE"""),382450.0)</f>
        <v>382450</v>
      </c>
      <c r="AN44" s="1475">
        <f>IFERROR(__xludf.DUMMYFUNCTION("""COMPUTED_VALUE"""),6.157638888888889)</f>
        <v>6.157638889</v>
      </c>
      <c r="AO44" s="1476">
        <f>IFERROR(__xludf.DUMMYFUNCTION("""COMPUTED_VALUE"""),382450.0)</f>
        <v>382450</v>
      </c>
      <c r="AP44" s="1475">
        <f>IFERROR(__xludf.DUMMYFUNCTION("""COMPUTED_VALUE"""),6.157638888888889)</f>
        <v>6.157638889</v>
      </c>
      <c r="AQ44" s="1476">
        <f>IFERROR(__xludf.DUMMYFUNCTION("""COMPUTED_VALUE"""),382450.0)</f>
        <v>382450</v>
      </c>
      <c r="AR44" s="1475">
        <f>IFERROR(__xludf.DUMMYFUNCTION("""COMPUTED_VALUE"""),6.157638888888889)</f>
        <v>6.157638889</v>
      </c>
      <c r="AS44" s="1476">
        <f>IFERROR(__xludf.DUMMYFUNCTION("""COMPUTED_VALUE"""),382460.0)</f>
        <v>382460</v>
      </c>
      <c r="AT44" s="1475">
        <f>IFERROR(__xludf.DUMMYFUNCTION("""COMPUTED_VALUE"""),4836.336111111111)</f>
        <v>4836.336111</v>
      </c>
      <c r="AU44" s="1476">
        <f>IFERROR(__xludf.DUMMYFUNCTION("""COMPUTED_VALUE"""),3.803E10)</f>
        <v>38030000000</v>
      </c>
      <c r="AV44" s="1520"/>
      <c r="AW44" s="1519"/>
      <c r="AX44" s="1518"/>
      <c r="AY44" s="1568"/>
      <c r="AZ44" s="1518"/>
      <c r="BA44" s="1518"/>
      <c r="BB44" s="1477">
        <f>IFERROR(__xludf.DUMMYFUNCTION("""COMPUTED_VALUE"""),6.157638888888889)</f>
        <v>6.157638889</v>
      </c>
      <c r="BC44" s="1478">
        <f>IFERROR(__xludf.DUMMYFUNCTION("""COMPUTED_VALUE"""),382450.0)</f>
        <v>382450</v>
      </c>
      <c r="BD44" s="1477">
        <f>IFERROR(__xludf.DUMMYFUNCTION("""COMPUTED_VALUE"""),6.157638888888889)</f>
        <v>6.157638889</v>
      </c>
      <c r="BE44" s="1478">
        <f>IFERROR(__xludf.DUMMYFUNCTION("""COMPUTED_VALUE"""),382450.0)</f>
        <v>382450</v>
      </c>
      <c r="BF44" s="1477">
        <f>IFERROR(__xludf.DUMMYFUNCTION("""COMPUTED_VALUE"""),6.157638888888889)</f>
        <v>6.157638889</v>
      </c>
      <c r="BG44" s="1478">
        <f>IFERROR(__xludf.DUMMYFUNCTION("""COMPUTED_VALUE"""),382450.0)</f>
        <v>382450</v>
      </c>
      <c r="BH44" s="1477">
        <f>IFERROR(__xludf.DUMMYFUNCTION("""COMPUTED_VALUE"""),171.59097222222223)</f>
        <v>171.5909722</v>
      </c>
      <c r="BI44" s="1478">
        <f>IFERROR(__xludf.DUMMYFUNCTION("""COMPUTED_VALUE"""),2.83E9)</f>
        <v>2830000000</v>
      </c>
      <c r="BJ44" s="1518"/>
      <c r="BK44" s="1519"/>
      <c r="BL44" s="1518"/>
      <c r="BM44" s="1519"/>
      <c r="BN44" s="1518"/>
      <c r="BO44" s="1519"/>
      <c r="BP44" s="1518"/>
      <c r="BQ44" s="1519"/>
      <c r="BR44" s="1520"/>
      <c r="BS44" s="1519"/>
      <c r="BT44" s="1479">
        <f>IFERROR(__xludf.DUMMYFUNCTION("""COMPUTED_VALUE"""),6.341666666666667)</f>
        <v>6.341666667</v>
      </c>
      <c r="BU44" s="1480">
        <f>IFERROR(__xludf.DUMMYFUNCTION("""COMPUTED_VALUE"""),3.02E10)</f>
        <v>30200000000</v>
      </c>
      <c r="BV44" s="1520"/>
      <c r="BW44" s="1520"/>
      <c r="BX44" s="1520"/>
      <c r="BY44" s="1520"/>
      <c r="BZ44" s="1520"/>
      <c r="CA44" s="1520"/>
      <c r="CB44" s="1520"/>
      <c r="CC44" s="1519"/>
      <c r="CD44" s="1477">
        <f>IFERROR(__xludf.DUMMYFUNCTION("""COMPUTED_VALUE"""),24.913032407407407)</f>
        <v>24.91303241</v>
      </c>
      <c r="CE44" s="1481">
        <f>IFERROR(__xludf.DUMMYFUNCTION("""COMPUTED_VALUE"""),3.75E12)</f>
        <v>3750000000000</v>
      </c>
      <c r="CF44" s="1527"/>
      <c r="CG44" s="1560"/>
      <c r="CH44" s="1482">
        <f>IFERROR(__xludf.DUMMYFUNCTION("""COMPUTED_VALUE"""),6.157638888888889)</f>
        <v>6.157638889</v>
      </c>
      <c r="CI44" s="1483">
        <f>IFERROR(__xludf.DUMMYFUNCTION("""COMPUTED_VALUE"""),382460.0)</f>
        <v>382460</v>
      </c>
      <c r="CJ44" s="1482">
        <f>IFERROR(__xludf.DUMMYFUNCTION("""COMPUTED_VALUE"""),6.157638888888889)</f>
        <v>6.157638889</v>
      </c>
      <c r="CK44" s="1483">
        <f>IFERROR(__xludf.DUMMYFUNCTION("""COMPUTED_VALUE"""),382460.0)</f>
        <v>382460</v>
      </c>
      <c r="CL44" s="1482">
        <f>IFERROR(__xludf.DUMMYFUNCTION("""COMPUTED_VALUE"""),6.157638888888889)</f>
        <v>6.157638889</v>
      </c>
      <c r="CM44" s="1483">
        <f>IFERROR(__xludf.DUMMYFUNCTION("""COMPUTED_VALUE"""),382460.0)</f>
        <v>382460</v>
      </c>
      <c r="CN44" s="1482">
        <f>IFERROR(__xludf.DUMMYFUNCTION("""COMPUTED_VALUE"""),6.157638888888889)</f>
        <v>6.157638889</v>
      </c>
      <c r="CO44" s="1483">
        <f>IFERROR(__xludf.DUMMYFUNCTION("""COMPUTED_VALUE"""),382460.0)</f>
        <v>382460</v>
      </c>
      <c r="CP44" s="1482">
        <f>IFERROR(__xludf.DUMMYFUNCTION("""COMPUTED_VALUE"""),12.879166666666666)</f>
        <v>12.87916667</v>
      </c>
      <c r="CQ44" s="1483">
        <f>IFERROR(__xludf.DUMMYFUNCTION("""COMPUTED_VALUE"""),1300000.0)</f>
        <v>1300000</v>
      </c>
      <c r="CR44" s="1518"/>
      <c r="CS44" s="1519"/>
      <c r="CT44" s="1520"/>
      <c r="CU44" s="1519"/>
      <c r="CV44" s="1520"/>
      <c r="CW44" s="1519"/>
      <c r="CX44" s="1520"/>
      <c r="CY44" s="1519"/>
      <c r="CZ44" s="1520"/>
      <c r="DA44" s="1520"/>
      <c r="DB44" s="1520"/>
      <c r="DC44" s="1520"/>
      <c r="DD44" s="1520"/>
      <c r="DE44" s="1519"/>
      <c r="DF44" s="1518"/>
      <c r="DG44" s="1519"/>
      <c r="DH44" s="1518"/>
      <c r="DI44" s="1519"/>
      <c r="DJ44" s="1518"/>
      <c r="DK44" s="1519"/>
      <c r="DL44" s="1518"/>
      <c r="DM44" s="1519"/>
      <c r="DN44" s="1518"/>
      <c r="DO44" s="1519"/>
      <c r="DP44" s="1518"/>
      <c r="DQ44" s="1519"/>
      <c r="DR44" s="1518"/>
      <c r="DS44" s="1519"/>
      <c r="DT44" s="1518"/>
      <c r="DU44" s="1519"/>
      <c r="DV44" s="1520"/>
      <c r="DW44" s="1519"/>
      <c r="DX44" s="1518"/>
      <c r="DY44" s="1519"/>
      <c r="DZ44" s="1518"/>
      <c r="EA44" s="1519"/>
      <c r="EB44" s="1518"/>
      <c r="EC44" s="1519"/>
      <c r="ED44" s="1518"/>
      <c r="EE44" s="1519"/>
      <c r="EF44" s="1518"/>
      <c r="EG44" s="1519"/>
      <c r="EH44" s="1518"/>
      <c r="EI44" s="1519"/>
      <c r="EJ44" s="1562"/>
      <c r="EK44" s="1560"/>
      <c r="EL44" s="1562"/>
      <c r="EM44" s="1560"/>
      <c r="EN44" s="1518"/>
      <c r="EO44" s="1519"/>
      <c r="EP44" s="1518"/>
      <c r="EQ44" s="1519"/>
      <c r="ER44" s="1518"/>
      <c r="ES44" s="1519"/>
      <c r="ET44" s="1518"/>
      <c r="EU44" s="1519"/>
      <c r="EV44" s="1518"/>
      <c r="EW44" s="1519"/>
      <c r="EX44" s="1518"/>
      <c r="EY44" s="1519"/>
      <c r="EZ44" s="1518"/>
      <c r="FA44" s="1519"/>
      <c r="FB44" s="1520"/>
      <c r="FC44" s="1519"/>
      <c r="FD44" s="1520"/>
      <c r="FE44" s="1519"/>
      <c r="FF44" s="1520"/>
      <c r="FG44" s="1519"/>
      <c r="FH44" s="1520"/>
      <c r="FI44" s="1520"/>
      <c r="FJ44" s="1520"/>
      <c r="FK44" s="1519"/>
      <c r="FL44" s="1518"/>
      <c r="FM44" s="1519"/>
      <c r="FN44" s="1571"/>
      <c r="FO44" s="1519"/>
      <c r="FP44" s="1571"/>
      <c r="FQ44" s="1519"/>
      <c r="FR44" s="1571"/>
      <c r="FS44" s="1519"/>
      <c r="FT44" s="1532"/>
      <c r="FU44" s="1519"/>
      <c r="FV44" s="1532"/>
      <c r="FW44" s="1519"/>
      <c r="FX44" s="1572"/>
      <c r="FY44" s="1560"/>
      <c r="FZ44" s="1572"/>
      <c r="GA44" s="1560"/>
      <c r="GB44" s="1572"/>
      <c r="GC44" s="1560"/>
      <c r="GD44" s="1527"/>
      <c r="GE44" s="1560"/>
      <c r="GF44" s="1518"/>
      <c r="GG44" s="1519"/>
      <c r="GH44" s="1518"/>
      <c r="GI44" s="1519"/>
      <c r="GJ44" s="1520"/>
      <c r="GK44" s="1519"/>
      <c r="GL44" s="1518"/>
      <c r="GM44" s="1519"/>
      <c r="GN44" s="1520"/>
      <c r="GO44" s="1519"/>
      <c r="GP44" s="1520"/>
      <c r="GQ44" s="1519"/>
      <c r="GR44" s="1518"/>
      <c r="GS44" s="1519"/>
      <c r="GT44" s="1518"/>
      <c r="GU44" s="1519"/>
      <c r="GV44" s="1520"/>
      <c r="GW44" s="1519"/>
      <c r="GX44" s="1561"/>
      <c r="GY44" s="1527"/>
      <c r="GZ44" s="1518"/>
      <c r="HA44" s="1519"/>
      <c r="HB44" s="1501">
        <f>IFERROR(__xludf.DUMMYFUNCTION("""COMPUTED_VALUE"""),363.30625)</f>
        <v>363.30625</v>
      </c>
      <c r="HC44" s="1502">
        <f>IFERROR(__xludf.DUMMYFUNCTION("""COMPUTED_VALUE"""),2.32E12)</f>
        <v>2320000000000</v>
      </c>
      <c r="HD44" s="1518"/>
      <c r="HE44" s="1519"/>
      <c r="HF44" s="1518"/>
      <c r="HG44" s="1519"/>
      <c r="HH44" s="1518"/>
      <c r="HI44" s="1519"/>
      <c r="HJ44" s="1518"/>
      <c r="HK44" s="1519"/>
      <c r="HL44" s="1518"/>
      <c r="HM44" s="1519"/>
      <c r="HN44" s="1520"/>
      <c r="HO44" s="1519"/>
      <c r="HP44" s="1518"/>
      <c r="HQ44" s="1519"/>
      <c r="HR44" s="1518"/>
      <c r="HS44" s="1519"/>
      <c r="HT44" s="1518"/>
      <c r="HU44" s="1519"/>
      <c r="HV44" s="1518"/>
      <c r="HW44" s="1519"/>
      <c r="HX44" s="1518"/>
      <c r="HY44" s="1519"/>
      <c r="HZ44" s="1518"/>
      <c r="IA44" s="1519"/>
      <c r="IB44" s="1518"/>
      <c r="IC44" s="1519"/>
      <c r="ID44" s="1518"/>
      <c r="IE44" s="1519"/>
      <c r="IF44" s="1518"/>
      <c r="IG44" s="1519"/>
      <c r="IH44" s="1518"/>
      <c r="II44" s="1519"/>
      <c r="IJ44" s="1518"/>
      <c r="IK44" s="1519"/>
      <c r="IL44" s="1518"/>
      <c r="IM44" s="1519"/>
      <c r="IN44" s="1518"/>
      <c r="IO44" s="1519"/>
      <c r="IP44" s="1518"/>
      <c r="IQ44" s="1519"/>
      <c r="IR44" s="1518"/>
      <c r="IS44" s="1519"/>
      <c r="IT44" s="1518"/>
      <c r="IU44" s="1519"/>
      <c r="IV44" s="1518"/>
      <c r="IW44" s="1519"/>
      <c r="IX44" s="1518"/>
      <c r="IY44" s="1519"/>
      <c r="IZ44" s="1518"/>
      <c r="JA44" s="1519"/>
      <c r="JB44" s="1518"/>
      <c r="JC44" s="1519"/>
      <c r="JD44" s="1518"/>
      <c r="JE44" s="1519"/>
      <c r="JF44" s="1518"/>
      <c r="JG44" s="1519"/>
      <c r="JH44" s="1518"/>
      <c r="JI44" s="1519"/>
      <c r="JJ44" s="1562"/>
      <c r="JK44" s="1560"/>
      <c r="JL44" s="1562"/>
      <c r="JM44" s="1560"/>
      <c r="JN44" s="1562"/>
      <c r="JO44" s="1560"/>
      <c r="JP44" s="1562"/>
      <c r="JQ44" s="1560"/>
      <c r="JR44" s="1562"/>
      <c r="JS44" s="1560"/>
      <c r="JT44" s="1562"/>
      <c r="JU44" s="1560"/>
      <c r="JV44" s="1562"/>
      <c r="JW44" s="1560"/>
      <c r="JX44" s="1562"/>
      <c r="JY44" s="1527"/>
      <c r="JZ44" s="1566">
        <f>IFERROR(__xludf.DUMMYFUNCTION("""COMPUTED_VALUE"""),3.751944444)</f>
        <v>3.751944444</v>
      </c>
      <c r="KA44" s="1514">
        <f>IFERROR(__xludf.DUMMYFUNCTION("""COMPUTED_VALUE"""),4.524E10)</f>
        <v>45240000000</v>
      </c>
      <c r="KB44" s="1566">
        <f>IFERROR(__xludf.DUMMYFUNCTION("""COMPUTED_VALUE"""),8.827916667)</f>
        <v>8.827916667</v>
      </c>
      <c r="KC44" s="1567">
        <f>IFERROR(__xludf.DUMMYFUNCTION("""COMPUTED_VALUE"""),2.0677E11)</f>
        <v>206770000000</v>
      </c>
      <c r="KD44" s="1562"/>
      <c r="KE44" s="1527"/>
      <c r="KF44" s="1527"/>
      <c r="KG44" s="1527"/>
      <c r="KH44" s="1527"/>
      <c r="KI44" s="1527"/>
      <c r="KJ44" s="1527"/>
      <c r="KK44" s="1527"/>
      <c r="KL44" s="1527"/>
      <c r="KM44" s="1527"/>
      <c r="KN44" s="1527"/>
      <c r="KO44" s="1527"/>
      <c r="KP44" s="1527"/>
      <c r="KQ44" s="1527"/>
      <c r="KR44" s="1527"/>
      <c r="KS44" s="1527"/>
      <c r="KT44" s="1527"/>
      <c r="KU44" s="1527"/>
      <c r="KV44" s="1527"/>
      <c r="KW44" s="1527"/>
      <c r="KX44" s="1527"/>
      <c r="KY44" s="1527"/>
      <c r="KZ44" s="1527"/>
      <c r="LA44" s="1527"/>
      <c r="LB44" s="1527"/>
      <c r="LC44" s="1527"/>
      <c r="LD44" s="1527"/>
      <c r="LE44" s="1527"/>
      <c r="LF44" s="1527"/>
      <c r="LG44" s="1527"/>
      <c r="LH44" s="1527"/>
      <c r="LI44" s="1527"/>
      <c r="LJ44" s="1527"/>
      <c r="LK44" s="1527"/>
      <c r="LL44" s="1527"/>
      <c r="LM44" s="1527"/>
      <c r="LN44" s="1527"/>
      <c r="LO44" s="1527"/>
      <c r="LP44" s="1527"/>
      <c r="LQ44" s="1527"/>
      <c r="LR44" s="1527"/>
      <c r="LS44" s="1527"/>
      <c r="LT44" s="1527"/>
      <c r="LU44" s="1527"/>
      <c r="LV44" s="1527"/>
      <c r="LW44" s="1527"/>
      <c r="LX44" s="1527"/>
      <c r="LY44" s="1527"/>
      <c r="LZ44" s="1527"/>
      <c r="MA44" s="1527"/>
      <c r="MB44" s="1527"/>
      <c r="MC44" s="1527"/>
      <c r="MD44" s="1527"/>
      <c r="ME44" s="1527"/>
      <c r="MF44" s="1527"/>
      <c r="MG44" s="1527"/>
      <c r="MH44" s="1527"/>
      <c r="MI44" s="1527"/>
      <c r="MJ44" s="1527"/>
      <c r="MK44" s="1527"/>
      <c r="ML44" s="1527"/>
      <c r="MM44" s="1527"/>
      <c r="MN44" s="1527"/>
      <c r="MO44" s="1527"/>
      <c r="MP44" s="1527"/>
      <c r="MQ44" s="1527"/>
      <c r="MR44" s="1527"/>
      <c r="MS44" s="1527"/>
      <c r="MT44" s="1527"/>
      <c r="MU44" s="1527"/>
      <c r="MV44" s="1527"/>
      <c r="MW44" s="1527"/>
      <c r="MX44" s="1527"/>
      <c r="MY44" s="1527"/>
    </row>
    <row r="45">
      <c r="A45" s="1465">
        <f>IFERROR(__xludf.DUMMYFUNCTION("""COMPUTED_VALUE"""),43.0)</f>
        <v>43</v>
      </c>
      <c r="B45" s="1518"/>
      <c r="C45" s="1520"/>
      <c r="D45" s="1466">
        <f>IFERROR(__xludf.DUMMYFUNCTION("""COMPUTED_VALUE"""),6.519444444444445)</f>
        <v>6.519444444</v>
      </c>
      <c r="E45" s="1467">
        <f>IFERROR(__xludf.DUMMYFUNCTION("""COMPUTED_VALUE"""),408600.0)</f>
        <v>408600</v>
      </c>
      <c r="F45" s="1466">
        <f>IFERROR(__xludf.DUMMYFUNCTION("""COMPUTED_VALUE"""),6.519444444444445)</f>
        <v>6.519444444</v>
      </c>
      <c r="G45" s="1467">
        <f>IFERROR(__xludf.DUMMYFUNCTION("""COMPUTED_VALUE"""),408600.0)</f>
        <v>408600</v>
      </c>
      <c r="H45" s="1466">
        <f>IFERROR(__xludf.DUMMYFUNCTION("""COMPUTED_VALUE"""),6.519444444444445)</f>
        <v>6.519444444</v>
      </c>
      <c r="I45" s="1467">
        <f>IFERROR(__xludf.DUMMYFUNCTION("""COMPUTED_VALUE"""),408600.0)</f>
        <v>408600</v>
      </c>
      <c r="J45" s="1466">
        <f>IFERROR(__xludf.DUMMYFUNCTION("""COMPUTED_VALUE"""),6.519444444444445)</f>
        <v>6.519444444</v>
      </c>
      <c r="K45" s="1467">
        <f>IFERROR(__xludf.DUMMYFUNCTION("""COMPUTED_VALUE"""),408600.0)</f>
        <v>408600</v>
      </c>
      <c r="L45" s="1466">
        <f>IFERROR(__xludf.DUMMYFUNCTION("""COMPUTED_VALUE"""),11.408333333333333)</f>
        <v>11.40833333</v>
      </c>
      <c r="M45" s="1469">
        <f>IFERROR(__xludf.DUMMYFUNCTION("""COMPUTED_VALUE"""),1220000.0)</f>
        <v>1220000</v>
      </c>
      <c r="N45" s="1470">
        <f>IFERROR(__xludf.DUMMYFUNCTION("""COMPUTED_VALUE"""),6.2)</f>
        <v>6.2</v>
      </c>
      <c r="O45" s="1467">
        <f>IFERROR(__xludf.DUMMYFUNCTION("""COMPUTED_VALUE"""),1400000.0)</f>
        <v>1400000</v>
      </c>
      <c r="P45" s="1518"/>
      <c r="Q45" s="1519"/>
      <c r="R45" s="1518"/>
      <c r="S45" s="1519"/>
      <c r="T45" s="1518"/>
      <c r="U45" s="1519"/>
      <c r="V45" s="1518"/>
      <c r="W45" s="1519"/>
      <c r="X45" s="1518"/>
      <c r="Y45" s="1519"/>
      <c r="Z45" s="1518"/>
      <c r="AA45" s="1519"/>
      <c r="AB45" s="1518"/>
      <c r="AC45" s="1519"/>
      <c r="AD45" s="1466">
        <f>IFERROR(__xludf.DUMMYFUNCTION("""COMPUTED_VALUE"""),46.4375)</f>
        <v>46.4375</v>
      </c>
      <c r="AE45" s="1474">
        <f>IFERROR(__xludf.DUMMYFUNCTION("""COMPUTED_VALUE"""),6.104088153E13)</f>
        <v>61040881530000</v>
      </c>
      <c r="AF45" s="1466">
        <f>IFERROR(__xludf.DUMMYFUNCTION("""COMPUTED_VALUE"""),46.4375)</f>
        <v>46.4375</v>
      </c>
      <c r="AG45" s="1474">
        <f>IFERROR(__xludf.DUMMYFUNCTION("""COMPUTED_VALUE"""),6.104088153E13)</f>
        <v>61040881530000</v>
      </c>
      <c r="AH45" s="1466">
        <f>IFERROR(__xludf.DUMMYFUNCTION("""COMPUTED_VALUE"""),46.4375)</f>
        <v>46.4375</v>
      </c>
      <c r="AI45" s="1474">
        <f>IFERROR(__xludf.DUMMYFUNCTION("""COMPUTED_VALUE"""),6.104088153E13)</f>
        <v>61040881530000</v>
      </c>
      <c r="AJ45" s="1475">
        <f>IFERROR(__xludf.DUMMYFUNCTION("""COMPUTED_VALUE"""),6.519444444444445)</f>
        <v>6.519444444</v>
      </c>
      <c r="AK45" s="1476">
        <f>IFERROR(__xludf.DUMMYFUNCTION("""COMPUTED_VALUE"""),408600.0)</f>
        <v>408600</v>
      </c>
      <c r="AL45" s="1475">
        <f>IFERROR(__xludf.DUMMYFUNCTION("""COMPUTED_VALUE"""),6.519444444444445)</f>
        <v>6.519444444</v>
      </c>
      <c r="AM45" s="1476">
        <f>IFERROR(__xludf.DUMMYFUNCTION("""COMPUTED_VALUE"""),408600.0)</f>
        <v>408600</v>
      </c>
      <c r="AN45" s="1475">
        <f>IFERROR(__xludf.DUMMYFUNCTION("""COMPUTED_VALUE"""),6.519444444444445)</f>
        <v>6.519444444</v>
      </c>
      <c r="AO45" s="1476">
        <f>IFERROR(__xludf.DUMMYFUNCTION("""COMPUTED_VALUE"""),408600.0)</f>
        <v>408600</v>
      </c>
      <c r="AP45" s="1475">
        <f>IFERROR(__xludf.DUMMYFUNCTION("""COMPUTED_VALUE"""),6.519444444444445)</f>
        <v>6.519444444</v>
      </c>
      <c r="AQ45" s="1476">
        <f>IFERROR(__xludf.DUMMYFUNCTION("""COMPUTED_VALUE"""),408600.0)</f>
        <v>408600</v>
      </c>
      <c r="AR45" s="1475">
        <f>IFERROR(__xludf.DUMMYFUNCTION("""COMPUTED_VALUE"""),6.519444444444445)</f>
        <v>6.519444444</v>
      </c>
      <c r="AS45" s="1476">
        <f>IFERROR(__xludf.DUMMYFUNCTION("""COMPUTED_VALUE"""),408610.0)</f>
        <v>408610</v>
      </c>
      <c r="AT45" s="1475">
        <f>IFERROR(__xludf.DUMMYFUNCTION("""COMPUTED_VALUE"""),5349.376388888889)</f>
        <v>5349.376389</v>
      </c>
      <c r="AU45" s="1476">
        <f>IFERROR(__xludf.DUMMYFUNCTION("""COMPUTED_VALUE"""),4.26E10)</f>
        <v>42600000000</v>
      </c>
      <c r="AV45" s="1520"/>
      <c r="AW45" s="1519"/>
      <c r="AX45" s="1518"/>
      <c r="AY45" s="1568"/>
      <c r="AZ45" s="1518"/>
      <c r="BA45" s="1518"/>
      <c r="BB45" s="1477">
        <f>IFERROR(__xludf.DUMMYFUNCTION("""COMPUTED_VALUE"""),6.519444444444445)</f>
        <v>6.519444444</v>
      </c>
      <c r="BC45" s="1478">
        <f>IFERROR(__xludf.DUMMYFUNCTION("""COMPUTED_VALUE"""),408600.0)</f>
        <v>408600</v>
      </c>
      <c r="BD45" s="1477">
        <f>IFERROR(__xludf.DUMMYFUNCTION("""COMPUTED_VALUE"""),6.519444444444445)</f>
        <v>6.519444444</v>
      </c>
      <c r="BE45" s="1478">
        <f>IFERROR(__xludf.DUMMYFUNCTION("""COMPUTED_VALUE"""),408600.0)</f>
        <v>408600</v>
      </c>
      <c r="BF45" s="1477">
        <f>IFERROR(__xludf.DUMMYFUNCTION("""COMPUTED_VALUE"""),6.519444444444445)</f>
        <v>6.519444444</v>
      </c>
      <c r="BG45" s="1478">
        <f>IFERROR(__xludf.DUMMYFUNCTION("""COMPUTED_VALUE"""),408600.0)</f>
        <v>408600</v>
      </c>
      <c r="BH45" s="1477">
        <f>IFERROR(__xludf.DUMMYFUNCTION("""COMPUTED_VALUE"""),185.70694444444445)</f>
        <v>185.7069444</v>
      </c>
      <c r="BI45" s="1478">
        <f>IFERROR(__xludf.DUMMYFUNCTION("""COMPUTED_VALUE"""),3.11E9)</f>
        <v>3110000000</v>
      </c>
      <c r="BJ45" s="1518"/>
      <c r="BK45" s="1519"/>
      <c r="BL45" s="1518"/>
      <c r="BM45" s="1519"/>
      <c r="BN45" s="1518"/>
      <c r="BO45" s="1519"/>
      <c r="BP45" s="1518"/>
      <c r="BQ45" s="1519"/>
      <c r="BR45" s="1520"/>
      <c r="BS45" s="1519"/>
      <c r="BT45" s="1479">
        <f>IFERROR(__xludf.DUMMYFUNCTION("""COMPUTED_VALUE"""),6.702083333333333)</f>
        <v>6.702083333</v>
      </c>
      <c r="BU45" s="1480">
        <f>IFERROR(__xludf.DUMMYFUNCTION("""COMPUTED_VALUE"""),3.214E10)</f>
        <v>32140000000</v>
      </c>
      <c r="BV45" s="1520"/>
      <c r="BW45" s="1520"/>
      <c r="BX45" s="1520"/>
      <c r="BY45" s="1520"/>
      <c r="BZ45" s="1520"/>
      <c r="CA45" s="1520"/>
      <c r="CB45" s="1520"/>
      <c r="CC45" s="1519"/>
      <c r="CD45" s="1477">
        <f>IFERROR(__xludf.DUMMYFUNCTION("""COMPUTED_VALUE"""),26.249293981481483)</f>
        <v>26.24929398</v>
      </c>
      <c r="CE45" s="1481">
        <f>IFERROR(__xludf.DUMMYFUNCTION("""COMPUTED_VALUE"""),4.01E12)</f>
        <v>4010000000000</v>
      </c>
      <c r="CF45" s="1527"/>
      <c r="CG45" s="1560"/>
      <c r="CH45" s="1482">
        <f>IFERROR(__xludf.DUMMYFUNCTION("""COMPUTED_VALUE"""),6.519444444444445)</f>
        <v>6.519444444</v>
      </c>
      <c r="CI45" s="1483">
        <f>IFERROR(__xludf.DUMMYFUNCTION("""COMPUTED_VALUE"""),408610.0)</f>
        <v>408610</v>
      </c>
      <c r="CJ45" s="1482">
        <f>IFERROR(__xludf.DUMMYFUNCTION("""COMPUTED_VALUE"""),6.519444444444445)</f>
        <v>6.519444444</v>
      </c>
      <c r="CK45" s="1483">
        <f>IFERROR(__xludf.DUMMYFUNCTION("""COMPUTED_VALUE"""),408610.0)</f>
        <v>408610</v>
      </c>
      <c r="CL45" s="1482">
        <f>IFERROR(__xludf.DUMMYFUNCTION("""COMPUTED_VALUE"""),6.519444444444445)</f>
        <v>6.519444444</v>
      </c>
      <c r="CM45" s="1483">
        <f>IFERROR(__xludf.DUMMYFUNCTION("""COMPUTED_VALUE"""),408610.0)</f>
        <v>408610</v>
      </c>
      <c r="CN45" s="1482">
        <f>IFERROR(__xludf.DUMMYFUNCTION("""COMPUTED_VALUE"""),6.519444444444445)</f>
        <v>6.519444444</v>
      </c>
      <c r="CO45" s="1483">
        <f>IFERROR(__xludf.DUMMYFUNCTION("""COMPUTED_VALUE"""),408610.0)</f>
        <v>408610</v>
      </c>
      <c r="CP45" s="1482">
        <f>IFERROR(__xludf.DUMMYFUNCTION("""COMPUTED_VALUE"""),13.702777777777778)</f>
        <v>13.70277778</v>
      </c>
      <c r="CQ45" s="1483">
        <f>IFERROR(__xludf.DUMMYFUNCTION("""COMPUTED_VALUE"""),1400000.0)</f>
        <v>1400000</v>
      </c>
      <c r="CR45" s="1518"/>
      <c r="CS45" s="1519"/>
      <c r="CT45" s="1520"/>
      <c r="CU45" s="1519"/>
      <c r="CV45" s="1520"/>
      <c r="CW45" s="1519"/>
      <c r="CX45" s="1520"/>
      <c r="CY45" s="1519"/>
      <c r="CZ45" s="1520"/>
      <c r="DA45" s="1520"/>
      <c r="DB45" s="1520"/>
      <c r="DC45" s="1520"/>
      <c r="DD45" s="1520"/>
      <c r="DE45" s="1519"/>
      <c r="DF45" s="1518"/>
      <c r="DG45" s="1519"/>
      <c r="DH45" s="1518"/>
      <c r="DI45" s="1519"/>
      <c r="DJ45" s="1518"/>
      <c r="DK45" s="1519"/>
      <c r="DL45" s="1518"/>
      <c r="DM45" s="1519"/>
      <c r="DN45" s="1518"/>
      <c r="DO45" s="1519"/>
      <c r="DP45" s="1518"/>
      <c r="DQ45" s="1519"/>
      <c r="DR45" s="1518"/>
      <c r="DS45" s="1519"/>
      <c r="DT45" s="1518"/>
      <c r="DU45" s="1519"/>
      <c r="DV45" s="1520"/>
      <c r="DW45" s="1519"/>
      <c r="DX45" s="1518"/>
      <c r="DY45" s="1519"/>
      <c r="DZ45" s="1518"/>
      <c r="EA45" s="1519"/>
      <c r="EB45" s="1518"/>
      <c r="EC45" s="1519"/>
      <c r="ED45" s="1518"/>
      <c r="EE45" s="1519"/>
      <c r="EF45" s="1518"/>
      <c r="EG45" s="1519"/>
      <c r="EH45" s="1518"/>
      <c r="EI45" s="1519"/>
      <c r="EJ45" s="1562"/>
      <c r="EK45" s="1560"/>
      <c r="EL45" s="1562"/>
      <c r="EM45" s="1560"/>
      <c r="EN45" s="1518"/>
      <c r="EO45" s="1519"/>
      <c r="EP45" s="1518"/>
      <c r="EQ45" s="1519"/>
      <c r="ER45" s="1518"/>
      <c r="ES45" s="1519"/>
      <c r="ET45" s="1518"/>
      <c r="EU45" s="1519"/>
      <c r="EV45" s="1518"/>
      <c r="EW45" s="1519"/>
      <c r="EX45" s="1518"/>
      <c r="EY45" s="1519"/>
      <c r="EZ45" s="1518"/>
      <c r="FA45" s="1519"/>
      <c r="FB45" s="1520"/>
      <c r="FC45" s="1519"/>
      <c r="FD45" s="1520"/>
      <c r="FE45" s="1519"/>
      <c r="FF45" s="1520"/>
      <c r="FG45" s="1519"/>
      <c r="FH45" s="1520"/>
      <c r="FI45" s="1520"/>
      <c r="FJ45" s="1520"/>
      <c r="FK45" s="1519"/>
      <c r="FL45" s="1518"/>
      <c r="FM45" s="1519"/>
      <c r="FN45" s="1571"/>
      <c r="FO45" s="1519"/>
      <c r="FP45" s="1571"/>
      <c r="FQ45" s="1519"/>
      <c r="FR45" s="1571"/>
      <c r="FS45" s="1519"/>
      <c r="FT45" s="1532"/>
      <c r="FU45" s="1519"/>
      <c r="FV45" s="1532"/>
      <c r="FW45" s="1519"/>
      <c r="FX45" s="1572"/>
      <c r="FY45" s="1560"/>
      <c r="FZ45" s="1572"/>
      <c r="GA45" s="1560"/>
      <c r="GB45" s="1572"/>
      <c r="GC45" s="1560"/>
      <c r="GD45" s="1527"/>
      <c r="GE45" s="1560"/>
      <c r="GF45" s="1518"/>
      <c r="GG45" s="1519"/>
      <c r="GH45" s="1518"/>
      <c r="GI45" s="1519"/>
      <c r="GJ45" s="1520"/>
      <c r="GK45" s="1519"/>
      <c r="GL45" s="1518"/>
      <c r="GM45" s="1519"/>
      <c r="GN45" s="1520"/>
      <c r="GO45" s="1519"/>
      <c r="GP45" s="1520"/>
      <c r="GQ45" s="1519"/>
      <c r="GR45" s="1518"/>
      <c r="GS45" s="1519"/>
      <c r="GT45" s="1518"/>
      <c r="GU45" s="1519"/>
      <c r="GV45" s="1520"/>
      <c r="GW45" s="1519"/>
      <c r="GX45" s="1561"/>
      <c r="GY45" s="1527"/>
      <c r="GZ45" s="1518"/>
      <c r="HA45" s="1519"/>
      <c r="HB45" s="1501">
        <f>IFERROR(__xludf.DUMMYFUNCTION("""COMPUTED_VALUE"""),394.9090277777778)</f>
        <v>394.9090278</v>
      </c>
      <c r="HC45" s="1502">
        <f>IFERROR(__xludf.DUMMYFUNCTION("""COMPUTED_VALUE"""),2.61E12)</f>
        <v>2610000000000</v>
      </c>
      <c r="HD45" s="1518"/>
      <c r="HE45" s="1519"/>
      <c r="HF45" s="1518"/>
      <c r="HG45" s="1519"/>
      <c r="HH45" s="1518"/>
      <c r="HI45" s="1519"/>
      <c r="HJ45" s="1518"/>
      <c r="HK45" s="1519"/>
      <c r="HL45" s="1518"/>
      <c r="HM45" s="1519"/>
      <c r="HN45" s="1520"/>
      <c r="HO45" s="1519"/>
      <c r="HP45" s="1518"/>
      <c r="HQ45" s="1519"/>
      <c r="HR45" s="1518"/>
      <c r="HS45" s="1519"/>
      <c r="HT45" s="1518"/>
      <c r="HU45" s="1519"/>
      <c r="HV45" s="1518"/>
      <c r="HW45" s="1519"/>
      <c r="HX45" s="1518"/>
      <c r="HY45" s="1519"/>
      <c r="HZ45" s="1518"/>
      <c r="IA45" s="1519"/>
      <c r="IB45" s="1518"/>
      <c r="IC45" s="1519"/>
      <c r="ID45" s="1518"/>
      <c r="IE45" s="1519"/>
      <c r="IF45" s="1518"/>
      <c r="IG45" s="1519"/>
      <c r="IH45" s="1518"/>
      <c r="II45" s="1519"/>
      <c r="IJ45" s="1518"/>
      <c r="IK45" s="1519"/>
      <c r="IL45" s="1518"/>
      <c r="IM45" s="1519"/>
      <c r="IN45" s="1518"/>
      <c r="IO45" s="1519"/>
      <c r="IP45" s="1518"/>
      <c r="IQ45" s="1519"/>
      <c r="IR45" s="1518"/>
      <c r="IS45" s="1519"/>
      <c r="IT45" s="1518"/>
      <c r="IU45" s="1519"/>
      <c r="IV45" s="1518"/>
      <c r="IW45" s="1519"/>
      <c r="IX45" s="1518"/>
      <c r="IY45" s="1519"/>
      <c r="IZ45" s="1518"/>
      <c r="JA45" s="1519"/>
      <c r="JB45" s="1518"/>
      <c r="JC45" s="1519"/>
      <c r="JD45" s="1518"/>
      <c r="JE45" s="1519"/>
      <c r="JF45" s="1518"/>
      <c r="JG45" s="1519"/>
      <c r="JH45" s="1518"/>
      <c r="JI45" s="1519"/>
      <c r="JJ45" s="1562"/>
      <c r="JK45" s="1560"/>
      <c r="JL45" s="1562"/>
      <c r="JM45" s="1560"/>
      <c r="JN45" s="1562"/>
      <c r="JO45" s="1560"/>
      <c r="JP45" s="1562"/>
      <c r="JQ45" s="1560"/>
      <c r="JR45" s="1562"/>
      <c r="JS45" s="1560"/>
      <c r="JT45" s="1562"/>
      <c r="JU45" s="1560"/>
      <c r="JV45" s="1562"/>
      <c r="JW45" s="1560"/>
      <c r="JX45" s="1562"/>
      <c r="JY45" s="1527"/>
      <c r="JZ45" s="1566">
        <f>IFERROR(__xludf.DUMMYFUNCTION("""COMPUTED_VALUE"""),3.83068287)</f>
        <v>3.83068287</v>
      </c>
      <c r="KA45" s="1514">
        <f>IFERROR(__xludf.DUMMYFUNCTION("""COMPUTED_VALUE"""),4.829E10)</f>
        <v>48290000000</v>
      </c>
      <c r="KB45" s="1566">
        <f>IFERROR(__xludf.DUMMYFUNCTION("""COMPUTED_VALUE"""),9.220787037)</f>
        <v>9.220787037</v>
      </c>
      <c r="KC45" s="1567">
        <f>IFERROR(__xludf.DUMMYFUNCTION("""COMPUTED_VALUE"""),2.2227E11)</f>
        <v>222270000000</v>
      </c>
      <c r="KD45" s="1562"/>
      <c r="KE45" s="1527"/>
      <c r="KF45" s="1527"/>
      <c r="KG45" s="1527"/>
      <c r="KH45" s="1527"/>
      <c r="KI45" s="1527"/>
      <c r="KJ45" s="1527"/>
      <c r="KK45" s="1527"/>
      <c r="KL45" s="1527"/>
      <c r="KM45" s="1527"/>
      <c r="KN45" s="1527"/>
      <c r="KO45" s="1527"/>
      <c r="KP45" s="1527"/>
      <c r="KQ45" s="1527"/>
      <c r="KR45" s="1527"/>
      <c r="KS45" s="1527"/>
      <c r="KT45" s="1527"/>
      <c r="KU45" s="1527"/>
      <c r="KV45" s="1527"/>
      <c r="KW45" s="1527"/>
      <c r="KX45" s="1527"/>
      <c r="KY45" s="1527"/>
      <c r="KZ45" s="1527"/>
      <c r="LA45" s="1527"/>
      <c r="LB45" s="1527"/>
      <c r="LC45" s="1527"/>
      <c r="LD45" s="1527"/>
      <c r="LE45" s="1527"/>
      <c r="LF45" s="1527"/>
      <c r="LG45" s="1527"/>
      <c r="LH45" s="1527"/>
      <c r="LI45" s="1527"/>
      <c r="LJ45" s="1527"/>
      <c r="LK45" s="1527"/>
      <c r="LL45" s="1527"/>
      <c r="LM45" s="1527"/>
      <c r="LN45" s="1527"/>
      <c r="LO45" s="1527"/>
      <c r="LP45" s="1527"/>
      <c r="LQ45" s="1527"/>
      <c r="LR45" s="1527"/>
      <c r="LS45" s="1527"/>
      <c r="LT45" s="1527"/>
      <c r="LU45" s="1527"/>
      <c r="LV45" s="1527"/>
      <c r="LW45" s="1527"/>
      <c r="LX45" s="1527"/>
      <c r="LY45" s="1527"/>
      <c r="LZ45" s="1527"/>
      <c r="MA45" s="1527"/>
      <c r="MB45" s="1527"/>
      <c r="MC45" s="1527"/>
      <c r="MD45" s="1527"/>
      <c r="ME45" s="1527"/>
      <c r="MF45" s="1527"/>
      <c r="MG45" s="1527"/>
      <c r="MH45" s="1527"/>
      <c r="MI45" s="1527"/>
      <c r="MJ45" s="1527"/>
      <c r="MK45" s="1527"/>
      <c r="ML45" s="1527"/>
      <c r="MM45" s="1527"/>
      <c r="MN45" s="1527"/>
      <c r="MO45" s="1527"/>
      <c r="MP45" s="1527"/>
      <c r="MQ45" s="1527"/>
      <c r="MR45" s="1527"/>
      <c r="MS45" s="1527"/>
      <c r="MT45" s="1527"/>
      <c r="MU45" s="1527"/>
      <c r="MV45" s="1527"/>
      <c r="MW45" s="1527"/>
      <c r="MX45" s="1527"/>
      <c r="MY45" s="1527"/>
    </row>
    <row r="46">
      <c r="A46" s="1465">
        <f>IFERROR(__xludf.DUMMYFUNCTION("""COMPUTED_VALUE"""),44.0)</f>
        <v>44</v>
      </c>
      <c r="B46" s="1518"/>
      <c r="C46" s="1520"/>
      <c r="D46" s="1466">
        <f>IFERROR(__xludf.DUMMYFUNCTION("""COMPUTED_VALUE"""),6.893055555555556)</f>
        <v>6.893055556</v>
      </c>
      <c r="E46" s="1467">
        <f>IFERROR(__xludf.DUMMYFUNCTION("""COMPUTED_VALUE"""),435870.0)</f>
        <v>435870</v>
      </c>
      <c r="F46" s="1466">
        <f>IFERROR(__xludf.DUMMYFUNCTION("""COMPUTED_VALUE"""),6.893055555555556)</f>
        <v>6.893055556</v>
      </c>
      <c r="G46" s="1467">
        <f>IFERROR(__xludf.DUMMYFUNCTION("""COMPUTED_VALUE"""),435870.0)</f>
        <v>435870</v>
      </c>
      <c r="H46" s="1466">
        <f>IFERROR(__xludf.DUMMYFUNCTION("""COMPUTED_VALUE"""),6.893055555555556)</f>
        <v>6.893055556</v>
      </c>
      <c r="I46" s="1467">
        <f>IFERROR(__xludf.DUMMYFUNCTION("""COMPUTED_VALUE"""),435870.0)</f>
        <v>435870</v>
      </c>
      <c r="J46" s="1466">
        <f>IFERROR(__xludf.DUMMYFUNCTION("""COMPUTED_VALUE"""),6.893055555555556)</f>
        <v>6.893055556</v>
      </c>
      <c r="K46" s="1467">
        <f>IFERROR(__xludf.DUMMYFUNCTION("""COMPUTED_VALUE"""),435870.0)</f>
        <v>435870</v>
      </c>
      <c r="L46" s="1466">
        <f>IFERROR(__xludf.DUMMYFUNCTION("""COMPUTED_VALUE"""),12.104166666666666)</f>
        <v>12.10416667</v>
      </c>
      <c r="M46" s="1469">
        <f>IFERROR(__xludf.DUMMYFUNCTION("""COMPUTED_VALUE"""),1310000.0)</f>
        <v>1310000</v>
      </c>
      <c r="N46" s="1470">
        <f>IFERROR(__xludf.DUMMYFUNCTION("""COMPUTED_VALUE"""),6.507638888888889)</f>
        <v>6.507638889</v>
      </c>
      <c r="O46" s="1467">
        <f>IFERROR(__xludf.DUMMYFUNCTION("""COMPUTED_VALUE"""),1510000.0)</f>
        <v>1510000</v>
      </c>
      <c r="P46" s="1518"/>
      <c r="Q46" s="1519"/>
      <c r="R46" s="1518"/>
      <c r="S46" s="1519"/>
      <c r="T46" s="1518"/>
      <c r="U46" s="1519"/>
      <c r="V46" s="1518"/>
      <c r="W46" s="1519"/>
      <c r="X46" s="1518"/>
      <c r="Y46" s="1519"/>
      <c r="Z46" s="1518"/>
      <c r="AA46" s="1519"/>
      <c r="AB46" s="1518"/>
      <c r="AC46" s="1519"/>
      <c r="AD46" s="1466">
        <f>IFERROR(__xludf.DUMMYFUNCTION("""COMPUTED_VALUE"""),47.517361111111114)</f>
        <v>47.51736111</v>
      </c>
      <c r="AE46" s="1474">
        <f>IFERROR(__xludf.DUMMYFUNCTION("""COMPUTED_VALUE"""),7.935314598E13)</f>
        <v>79353145980000</v>
      </c>
      <c r="AF46" s="1466">
        <f>IFERROR(__xludf.DUMMYFUNCTION("""COMPUTED_VALUE"""),47.517361111111114)</f>
        <v>47.51736111</v>
      </c>
      <c r="AG46" s="1474">
        <f>IFERROR(__xludf.DUMMYFUNCTION("""COMPUTED_VALUE"""),7.935314598E13)</f>
        <v>79353145980000</v>
      </c>
      <c r="AH46" s="1466">
        <f>IFERROR(__xludf.DUMMYFUNCTION("""COMPUTED_VALUE"""),47.517361111111114)</f>
        <v>47.51736111</v>
      </c>
      <c r="AI46" s="1474">
        <f>IFERROR(__xludf.DUMMYFUNCTION("""COMPUTED_VALUE"""),7.935314598E13)</f>
        <v>79353145980000</v>
      </c>
      <c r="AJ46" s="1475">
        <f>IFERROR(__xludf.DUMMYFUNCTION("""COMPUTED_VALUE"""),6.893055555555556)</f>
        <v>6.893055556</v>
      </c>
      <c r="AK46" s="1476">
        <f>IFERROR(__xludf.DUMMYFUNCTION("""COMPUTED_VALUE"""),435870.0)</f>
        <v>435870</v>
      </c>
      <c r="AL46" s="1475">
        <f>IFERROR(__xludf.DUMMYFUNCTION("""COMPUTED_VALUE"""),6.893055555555556)</f>
        <v>6.893055556</v>
      </c>
      <c r="AM46" s="1476">
        <f>IFERROR(__xludf.DUMMYFUNCTION("""COMPUTED_VALUE"""),435870.0)</f>
        <v>435870</v>
      </c>
      <c r="AN46" s="1475">
        <f>IFERROR(__xludf.DUMMYFUNCTION("""COMPUTED_VALUE"""),6.893055555555556)</f>
        <v>6.893055556</v>
      </c>
      <c r="AO46" s="1476">
        <f>IFERROR(__xludf.DUMMYFUNCTION("""COMPUTED_VALUE"""),435870.0)</f>
        <v>435870</v>
      </c>
      <c r="AP46" s="1475">
        <f>IFERROR(__xludf.DUMMYFUNCTION("""COMPUTED_VALUE"""),6.893055555555556)</f>
        <v>6.893055556</v>
      </c>
      <c r="AQ46" s="1476">
        <f>IFERROR(__xludf.DUMMYFUNCTION("""COMPUTED_VALUE"""),435870.0)</f>
        <v>435870</v>
      </c>
      <c r="AR46" s="1475">
        <f>IFERROR(__xludf.DUMMYFUNCTION("""COMPUTED_VALUE"""),6.893055555555556)</f>
        <v>6.893055556</v>
      </c>
      <c r="AS46" s="1476">
        <f>IFERROR(__xludf.DUMMYFUNCTION("""COMPUTED_VALUE"""),435880.0)</f>
        <v>435880</v>
      </c>
      <c r="AT46" s="1475">
        <f>IFERROR(__xludf.DUMMYFUNCTION("""COMPUTED_VALUE"""),5902.9847222222215)</f>
        <v>5902.984722</v>
      </c>
      <c r="AU46" s="1476">
        <f>IFERROR(__xludf.DUMMYFUNCTION("""COMPUTED_VALUE"""),4.758E10)</f>
        <v>47580000000</v>
      </c>
      <c r="AV46" s="1520"/>
      <c r="AW46" s="1519"/>
      <c r="AX46" s="1518"/>
      <c r="AY46" s="1568"/>
      <c r="AZ46" s="1518"/>
      <c r="BA46" s="1518"/>
      <c r="BB46" s="1477">
        <f>IFERROR(__xludf.DUMMYFUNCTION("""COMPUTED_VALUE"""),6.893055555555556)</f>
        <v>6.893055556</v>
      </c>
      <c r="BC46" s="1478">
        <f>IFERROR(__xludf.DUMMYFUNCTION("""COMPUTED_VALUE"""),435870.0)</f>
        <v>435870</v>
      </c>
      <c r="BD46" s="1477">
        <f>IFERROR(__xludf.DUMMYFUNCTION("""COMPUTED_VALUE"""),6.893055555555556)</f>
        <v>6.893055556</v>
      </c>
      <c r="BE46" s="1478">
        <f>IFERROR(__xludf.DUMMYFUNCTION("""COMPUTED_VALUE"""),435870.0)</f>
        <v>435870</v>
      </c>
      <c r="BF46" s="1477">
        <f>IFERROR(__xludf.DUMMYFUNCTION("""COMPUTED_VALUE"""),6.893055555555556)</f>
        <v>6.893055556</v>
      </c>
      <c r="BG46" s="1478">
        <f>IFERROR(__xludf.DUMMYFUNCTION("""COMPUTED_VALUE"""),435870.0)</f>
        <v>435870</v>
      </c>
      <c r="BH46" s="1477">
        <f>IFERROR(__xludf.DUMMYFUNCTION("""COMPUTED_VALUE"""),200.61527777777778)</f>
        <v>200.6152778</v>
      </c>
      <c r="BI46" s="1478">
        <f>IFERROR(__xludf.DUMMYFUNCTION("""COMPUTED_VALUE"""),3.42E9)</f>
        <v>3420000000</v>
      </c>
      <c r="BJ46" s="1518"/>
      <c r="BK46" s="1519"/>
      <c r="BL46" s="1518"/>
      <c r="BM46" s="1519"/>
      <c r="BN46" s="1518"/>
      <c r="BO46" s="1519"/>
      <c r="BP46" s="1518"/>
      <c r="BQ46" s="1519"/>
      <c r="BR46" s="1520"/>
      <c r="BS46" s="1519"/>
      <c r="BT46" s="1479">
        <f>IFERROR(__xludf.DUMMYFUNCTION("""COMPUTED_VALUE"""),7.074305555555556)</f>
        <v>7.074305556</v>
      </c>
      <c r="BU46" s="1480">
        <f>IFERROR(__xludf.DUMMYFUNCTION("""COMPUTED_VALUE"""),3.417E10)</f>
        <v>34170000000</v>
      </c>
      <c r="BV46" s="1520"/>
      <c r="BW46" s="1520"/>
      <c r="BX46" s="1520"/>
      <c r="BY46" s="1520"/>
      <c r="BZ46" s="1520"/>
      <c r="CA46" s="1520"/>
      <c r="CB46" s="1520"/>
      <c r="CC46" s="1519"/>
      <c r="CD46" s="1477">
        <f>IFERROR(__xludf.DUMMYFUNCTION("""COMPUTED_VALUE"""),27.636446759259258)</f>
        <v>27.63644676</v>
      </c>
      <c r="CE46" s="1481">
        <f>IFERROR(__xludf.DUMMYFUNCTION("""COMPUTED_VALUE"""),4.2800000000000005E12)</f>
        <v>4280000000000</v>
      </c>
      <c r="CF46" s="1527"/>
      <c r="CG46" s="1560"/>
      <c r="CH46" s="1482">
        <f>IFERROR(__xludf.DUMMYFUNCTION("""COMPUTED_VALUE"""),6.893055555555556)</f>
        <v>6.893055556</v>
      </c>
      <c r="CI46" s="1483">
        <f>IFERROR(__xludf.DUMMYFUNCTION("""COMPUTED_VALUE"""),435880.0)</f>
        <v>435880</v>
      </c>
      <c r="CJ46" s="1482">
        <f>IFERROR(__xludf.DUMMYFUNCTION("""COMPUTED_VALUE"""),6.893055555555556)</f>
        <v>6.893055556</v>
      </c>
      <c r="CK46" s="1483">
        <f>IFERROR(__xludf.DUMMYFUNCTION("""COMPUTED_VALUE"""),435880.0)</f>
        <v>435880</v>
      </c>
      <c r="CL46" s="1482">
        <f>IFERROR(__xludf.DUMMYFUNCTION("""COMPUTED_VALUE"""),6.893055555555556)</f>
        <v>6.893055556</v>
      </c>
      <c r="CM46" s="1483">
        <f>IFERROR(__xludf.DUMMYFUNCTION("""COMPUTED_VALUE"""),435880.0)</f>
        <v>435880</v>
      </c>
      <c r="CN46" s="1482">
        <f>IFERROR(__xludf.DUMMYFUNCTION("""COMPUTED_VALUE"""),6.893055555555556)</f>
        <v>6.893055556</v>
      </c>
      <c r="CO46" s="1483">
        <f>IFERROR(__xludf.DUMMYFUNCTION("""COMPUTED_VALUE"""),435880.0)</f>
        <v>435880</v>
      </c>
      <c r="CP46" s="1482">
        <f>IFERROR(__xludf.DUMMYFUNCTION("""COMPUTED_VALUE"""),14.557638888888889)</f>
        <v>14.55763889</v>
      </c>
      <c r="CQ46" s="1483">
        <f>IFERROR(__xludf.DUMMYFUNCTION("""COMPUTED_VALUE"""),1510000.0)</f>
        <v>1510000</v>
      </c>
      <c r="CR46" s="1518"/>
      <c r="CS46" s="1519"/>
      <c r="CT46" s="1520"/>
      <c r="CU46" s="1519"/>
      <c r="CV46" s="1520"/>
      <c r="CW46" s="1519"/>
      <c r="CX46" s="1520"/>
      <c r="CY46" s="1519"/>
      <c r="CZ46" s="1520"/>
      <c r="DA46" s="1520"/>
      <c r="DB46" s="1520"/>
      <c r="DC46" s="1520"/>
      <c r="DD46" s="1520"/>
      <c r="DE46" s="1519"/>
      <c r="DF46" s="1518"/>
      <c r="DG46" s="1519"/>
      <c r="DH46" s="1518"/>
      <c r="DI46" s="1519"/>
      <c r="DJ46" s="1518"/>
      <c r="DK46" s="1519"/>
      <c r="DL46" s="1518"/>
      <c r="DM46" s="1519"/>
      <c r="DN46" s="1518"/>
      <c r="DO46" s="1519"/>
      <c r="DP46" s="1518"/>
      <c r="DQ46" s="1519"/>
      <c r="DR46" s="1518"/>
      <c r="DS46" s="1519"/>
      <c r="DT46" s="1518"/>
      <c r="DU46" s="1519"/>
      <c r="DV46" s="1520"/>
      <c r="DW46" s="1519"/>
      <c r="DX46" s="1518"/>
      <c r="DY46" s="1519"/>
      <c r="DZ46" s="1518"/>
      <c r="EA46" s="1519"/>
      <c r="EB46" s="1518"/>
      <c r="EC46" s="1519"/>
      <c r="ED46" s="1518"/>
      <c r="EE46" s="1519"/>
      <c r="EF46" s="1518"/>
      <c r="EG46" s="1519"/>
      <c r="EH46" s="1518"/>
      <c r="EI46" s="1519"/>
      <c r="EJ46" s="1562"/>
      <c r="EK46" s="1560"/>
      <c r="EL46" s="1562"/>
      <c r="EM46" s="1560"/>
      <c r="EN46" s="1518"/>
      <c r="EO46" s="1519"/>
      <c r="EP46" s="1518"/>
      <c r="EQ46" s="1519"/>
      <c r="ER46" s="1518"/>
      <c r="ES46" s="1519"/>
      <c r="ET46" s="1518"/>
      <c r="EU46" s="1519"/>
      <c r="EV46" s="1518"/>
      <c r="EW46" s="1519"/>
      <c r="EX46" s="1518"/>
      <c r="EY46" s="1519"/>
      <c r="EZ46" s="1518"/>
      <c r="FA46" s="1519"/>
      <c r="FB46" s="1520"/>
      <c r="FC46" s="1519"/>
      <c r="FD46" s="1520"/>
      <c r="FE46" s="1519"/>
      <c r="FF46" s="1520"/>
      <c r="FG46" s="1519"/>
      <c r="FH46" s="1520"/>
      <c r="FI46" s="1520"/>
      <c r="FJ46" s="1520"/>
      <c r="FK46" s="1519"/>
      <c r="FL46" s="1518"/>
      <c r="FM46" s="1519"/>
      <c r="FN46" s="1571"/>
      <c r="FO46" s="1519"/>
      <c r="FP46" s="1571"/>
      <c r="FQ46" s="1519"/>
      <c r="FR46" s="1571"/>
      <c r="FS46" s="1519"/>
      <c r="FT46" s="1532"/>
      <c r="FU46" s="1519"/>
      <c r="FV46" s="1532"/>
      <c r="FW46" s="1519"/>
      <c r="FX46" s="1572"/>
      <c r="FY46" s="1560"/>
      <c r="FZ46" s="1572"/>
      <c r="GA46" s="1560"/>
      <c r="GB46" s="1572"/>
      <c r="GC46" s="1560"/>
      <c r="GD46" s="1527"/>
      <c r="GE46" s="1560"/>
      <c r="GF46" s="1518"/>
      <c r="GG46" s="1519"/>
      <c r="GH46" s="1518"/>
      <c r="GI46" s="1519"/>
      <c r="GJ46" s="1520"/>
      <c r="GK46" s="1519"/>
      <c r="GL46" s="1518"/>
      <c r="GM46" s="1519"/>
      <c r="GN46" s="1520"/>
      <c r="GO46" s="1519"/>
      <c r="GP46" s="1520"/>
      <c r="GQ46" s="1519"/>
      <c r="GR46" s="1518"/>
      <c r="GS46" s="1519"/>
      <c r="GT46" s="1518"/>
      <c r="GU46" s="1519"/>
      <c r="GV46" s="1520"/>
      <c r="GW46" s="1519"/>
      <c r="GX46" s="1561"/>
      <c r="GY46" s="1527"/>
      <c r="GZ46" s="1518"/>
      <c r="HA46" s="1519"/>
      <c r="HB46" s="1501">
        <f>IFERROR(__xludf.DUMMYFUNCTION("""COMPUTED_VALUE"""),428.44097222222223)</f>
        <v>428.4409722</v>
      </c>
      <c r="HC46" s="1502">
        <f>IFERROR(__xludf.DUMMYFUNCTION("""COMPUTED_VALUE"""),2.94E12)</f>
        <v>2940000000000</v>
      </c>
      <c r="HD46" s="1518"/>
      <c r="HE46" s="1519"/>
      <c r="HF46" s="1518"/>
      <c r="HG46" s="1519"/>
      <c r="HH46" s="1518"/>
      <c r="HI46" s="1519"/>
      <c r="HJ46" s="1518"/>
      <c r="HK46" s="1519"/>
      <c r="HL46" s="1518"/>
      <c r="HM46" s="1519"/>
      <c r="HN46" s="1520"/>
      <c r="HO46" s="1519"/>
      <c r="HP46" s="1518"/>
      <c r="HQ46" s="1519"/>
      <c r="HR46" s="1518"/>
      <c r="HS46" s="1519"/>
      <c r="HT46" s="1518"/>
      <c r="HU46" s="1519"/>
      <c r="HV46" s="1518"/>
      <c r="HW46" s="1519"/>
      <c r="HX46" s="1518"/>
      <c r="HY46" s="1519"/>
      <c r="HZ46" s="1518"/>
      <c r="IA46" s="1519"/>
      <c r="IB46" s="1518"/>
      <c r="IC46" s="1519"/>
      <c r="ID46" s="1518"/>
      <c r="IE46" s="1519"/>
      <c r="IF46" s="1518"/>
      <c r="IG46" s="1519"/>
      <c r="IH46" s="1518"/>
      <c r="II46" s="1519"/>
      <c r="IJ46" s="1518"/>
      <c r="IK46" s="1519"/>
      <c r="IL46" s="1518"/>
      <c r="IM46" s="1519"/>
      <c r="IN46" s="1518"/>
      <c r="IO46" s="1519"/>
      <c r="IP46" s="1518"/>
      <c r="IQ46" s="1519"/>
      <c r="IR46" s="1518"/>
      <c r="IS46" s="1519"/>
      <c r="IT46" s="1518"/>
      <c r="IU46" s="1519"/>
      <c r="IV46" s="1518"/>
      <c r="IW46" s="1519"/>
      <c r="IX46" s="1518"/>
      <c r="IY46" s="1519"/>
      <c r="IZ46" s="1518"/>
      <c r="JA46" s="1519"/>
      <c r="JB46" s="1518"/>
      <c r="JC46" s="1519"/>
      <c r="JD46" s="1518"/>
      <c r="JE46" s="1519"/>
      <c r="JF46" s="1518"/>
      <c r="JG46" s="1519"/>
      <c r="JH46" s="1518"/>
      <c r="JI46" s="1519"/>
      <c r="JJ46" s="1562"/>
      <c r="JK46" s="1560"/>
      <c r="JL46" s="1562"/>
      <c r="JM46" s="1560"/>
      <c r="JN46" s="1562"/>
      <c r="JO46" s="1560"/>
      <c r="JP46" s="1562"/>
      <c r="JQ46" s="1560"/>
      <c r="JR46" s="1562"/>
      <c r="JS46" s="1560"/>
      <c r="JT46" s="1562"/>
      <c r="JU46" s="1560"/>
      <c r="JV46" s="1562"/>
      <c r="JW46" s="1560"/>
      <c r="JX46" s="1562"/>
      <c r="JY46" s="1527"/>
      <c r="JZ46" s="1566">
        <f>IFERROR(__xludf.DUMMYFUNCTION("""COMPUTED_VALUE"""),3.910358796)</f>
        <v>3.910358796</v>
      </c>
      <c r="KA46" s="1514">
        <f>IFERROR(__xludf.DUMMYFUNCTION("""COMPUTED_VALUE"""),5.145E10)</f>
        <v>51450000000</v>
      </c>
      <c r="KB46" s="1566">
        <f>IFERROR(__xludf.DUMMYFUNCTION("""COMPUTED_VALUE"""),9.625798611)</f>
        <v>9.625798611</v>
      </c>
      <c r="KC46" s="1567">
        <f>IFERROR(__xludf.DUMMYFUNCTION("""COMPUTED_VALUE"""),2.3852E11)</f>
        <v>238520000000</v>
      </c>
      <c r="KD46" s="1562"/>
      <c r="KE46" s="1527"/>
      <c r="KF46" s="1527"/>
      <c r="KG46" s="1527"/>
      <c r="KH46" s="1527"/>
      <c r="KI46" s="1527"/>
      <c r="KJ46" s="1527"/>
      <c r="KK46" s="1527"/>
      <c r="KL46" s="1527"/>
      <c r="KM46" s="1527"/>
      <c r="KN46" s="1527"/>
      <c r="KO46" s="1527"/>
      <c r="KP46" s="1527"/>
      <c r="KQ46" s="1527"/>
      <c r="KR46" s="1527"/>
      <c r="KS46" s="1527"/>
      <c r="KT46" s="1527"/>
      <c r="KU46" s="1527"/>
      <c r="KV46" s="1527"/>
      <c r="KW46" s="1527"/>
      <c r="KX46" s="1527"/>
      <c r="KY46" s="1527"/>
      <c r="KZ46" s="1527"/>
      <c r="LA46" s="1527"/>
      <c r="LB46" s="1527"/>
      <c r="LC46" s="1527"/>
      <c r="LD46" s="1527"/>
      <c r="LE46" s="1527"/>
      <c r="LF46" s="1527"/>
      <c r="LG46" s="1527"/>
      <c r="LH46" s="1527"/>
      <c r="LI46" s="1527"/>
      <c r="LJ46" s="1527"/>
      <c r="LK46" s="1527"/>
      <c r="LL46" s="1527"/>
      <c r="LM46" s="1527"/>
      <c r="LN46" s="1527"/>
      <c r="LO46" s="1527"/>
      <c r="LP46" s="1527"/>
      <c r="LQ46" s="1527"/>
      <c r="LR46" s="1527"/>
      <c r="LS46" s="1527"/>
      <c r="LT46" s="1527"/>
      <c r="LU46" s="1527"/>
      <c r="LV46" s="1527"/>
      <c r="LW46" s="1527"/>
      <c r="LX46" s="1527"/>
      <c r="LY46" s="1527"/>
      <c r="LZ46" s="1527"/>
      <c r="MA46" s="1527"/>
      <c r="MB46" s="1527"/>
      <c r="MC46" s="1527"/>
      <c r="MD46" s="1527"/>
      <c r="ME46" s="1527"/>
      <c r="MF46" s="1527"/>
      <c r="MG46" s="1527"/>
      <c r="MH46" s="1527"/>
      <c r="MI46" s="1527"/>
      <c r="MJ46" s="1527"/>
      <c r="MK46" s="1527"/>
      <c r="ML46" s="1527"/>
      <c r="MM46" s="1527"/>
      <c r="MN46" s="1527"/>
      <c r="MO46" s="1527"/>
      <c r="MP46" s="1527"/>
      <c r="MQ46" s="1527"/>
      <c r="MR46" s="1527"/>
      <c r="MS46" s="1527"/>
      <c r="MT46" s="1527"/>
      <c r="MU46" s="1527"/>
      <c r="MV46" s="1527"/>
      <c r="MW46" s="1527"/>
      <c r="MX46" s="1527"/>
      <c r="MY46" s="1527"/>
    </row>
    <row r="47">
      <c r="A47" s="1465">
        <f>IFERROR(__xludf.DUMMYFUNCTION("""COMPUTED_VALUE"""),45.0)</f>
        <v>45</v>
      </c>
      <c r="B47" s="1518"/>
      <c r="C47" s="1520"/>
      <c r="D47" s="1466">
        <f>IFERROR(__xludf.DUMMYFUNCTION("""COMPUTED_VALUE"""),7.279166666666667)</f>
        <v>7.279166667</v>
      </c>
      <c r="E47" s="1467">
        <f>IFERROR(__xludf.DUMMYFUNCTION("""COMPUTED_VALUE"""),464260.0)</f>
        <v>464260</v>
      </c>
      <c r="F47" s="1466">
        <f>IFERROR(__xludf.DUMMYFUNCTION("""COMPUTED_VALUE"""),7.279166666666667)</f>
        <v>7.279166667</v>
      </c>
      <c r="G47" s="1467">
        <f>IFERROR(__xludf.DUMMYFUNCTION("""COMPUTED_VALUE"""),464260.0)</f>
        <v>464260</v>
      </c>
      <c r="H47" s="1466">
        <f>IFERROR(__xludf.DUMMYFUNCTION("""COMPUTED_VALUE"""),7.279166666666667)</f>
        <v>7.279166667</v>
      </c>
      <c r="I47" s="1467">
        <f>IFERROR(__xludf.DUMMYFUNCTION("""COMPUTED_VALUE"""),464260.0)</f>
        <v>464260</v>
      </c>
      <c r="J47" s="1466">
        <f>IFERROR(__xludf.DUMMYFUNCTION("""COMPUTED_VALUE"""),7.279166666666667)</f>
        <v>7.279166667</v>
      </c>
      <c r="K47" s="1467">
        <f>IFERROR(__xludf.DUMMYFUNCTION("""COMPUTED_VALUE"""),464260.0)</f>
        <v>464260</v>
      </c>
      <c r="L47" s="1466">
        <f>IFERROR(__xludf.DUMMYFUNCTION("""COMPUTED_VALUE"""),12.82638888888889)</f>
        <v>12.82638889</v>
      </c>
      <c r="M47" s="1469">
        <f>IFERROR(__xludf.DUMMYFUNCTION("""COMPUTED_VALUE"""),1400000.0)</f>
        <v>1400000</v>
      </c>
      <c r="N47" s="1470">
        <f>IFERROR(__xludf.DUMMYFUNCTION("""COMPUTED_VALUE"""),6.822222222222222)</f>
        <v>6.822222222</v>
      </c>
      <c r="O47" s="1467">
        <f>IFERROR(__xludf.DUMMYFUNCTION("""COMPUTED_VALUE"""),1620000.0)</f>
        <v>1620000</v>
      </c>
      <c r="P47" s="1518"/>
      <c r="Q47" s="1519"/>
      <c r="R47" s="1518"/>
      <c r="S47" s="1519"/>
      <c r="T47" s="1518"/>
      <c r="U47" s="1519"/>
      <c r="V47" s="1518"/>
      <c r="W47" s="1519"/>
      <c r="X47" s="1518"/>
      <c r="Y47" s="1519"/>
      <c r="Z47" s="1518"/>
      <c r="AA47" s="1519"/>
      <c r="AB47" s="1518"/>
      <c r="AC47" s="1519"/>
      <c r="AD47" s="1466">
        <f>IFERROR(__xludf.DUMMYFUNCTION("""COMPUTED_VALUE"""),48.59722222222222)</f>
        <v>48.59722222</v>
      </c>
      <c r="AE47" s="1474">
        <f>IFERROR(__xludf.DUMMYFUNCTION("""COMPUTED_VALUE"""),1.031590898E14)</f>
        <v>103159089800000</v>
      </c>
      <c r="AF47" s="1466">
        <f>IFERROR(__xludf.DUMMYFUNCTION("""COMPUTED_VALUE"""),48.59722222222222)</f>
        <v>48.59722222</v>
      </c>
      <c r="AG47" s="1474">
        <f>IFERROR(__xludf.DUMMYFUNCTION("""COMPUTED_VALUE"""),1.031590898E14)</f>
        <v>103159089800000</v>
      </c>
      <c r="AH47" s="1466">
        <f>IFERROR(__xludf.DUMMYFUNCTION("""COMPUTED_VALUE"""),48.59722222222222)</f>
        <v>48.59722222</v>
      </c>
      <c r="AI47" s="1474">
        <f>IFERROR(__xludf.DUMMYFUNCTION("""COMPUTED_VALUE"""),1.031590898E14)</f>
        <v>103159089800000</v>
      </c>
      <c r="AJ47" s="1475">
        <f>IFERROR(__xludf.DUMMYFUNCTION("""COMPUTED_VALUE"""),7.279166666666667)</f>
        <v>7.279166667</v>
      </c>
      <c r="AK47" s="1476">
        <f>IFERROR(__xludf.DUMMYFUNCTION("""COMPUTED_VALUE"""),464260.0)</f>
        <v>464260</v>
      </c>
      <c r="AL47" s="1475">
        <f>IFERROR(__xludf.DUMMYFUNCTION("""COMPUTED_VALUE"""),7.279166666666667)</f>
        <v>7.279166667</v>
      </c>
      <c r="AM47" s="1476">
        <f>IFERROR(__xludf.DUMMYFUNCTION("""COMPUTED_VALUE"""),464260.0)</f>
        <v>464260</v>
      </c>
      <c r="AN47" s="1475">
        <f>IFERROR(__xludf.DUMMYFUNCTION("""COMPUTED_VALUE"""),7.279166666666667)</f>
        <v>7.279166667</v>
      </c>
      <c r="AO47" s="1476">
        <f>IFERROR(__xludf.DUMMYFUNCTION("""COMPUTED_VALUE"""),464260.0)</f>
        <v>464260</v>
      </c>
      <c r="AP47" s="1475">
        <f>IFERROR(__xludf.DUMMYFUNCTION("""COMPUTED_VALUE"""),7.279166666666667)</f>
        <v>7.279166667</v>
      </c>
      <c r="AQ47" s="1476">
        <f>IFERROR(__xludf.DUMMYFUNCTION("""COMPUTED_VALUE"""),464260.0)</f>
        <v>464260</v>
      </c>
      <c r="AR47" s="1475">
        <f>IFERROR(__xludf.DUMMYFUNCTION("""COMPUTED_VALUE"""),7.279166666666667)</f>
        <v>7.279166667</v>
      </c>
      <c r="AS47" s="1476">
        <f>IFERROR(__xludf.DUMMYFUNCTION("""COMPUTED_VALUE"""),464270.0)</f>
        <v>464270</v>
      </c>
      <c r="AT47" s="1475">
        <f>IFERROR(__xludf.DUMMYFUNCTION("""COMPUTED_VALUE"""),6499.316666666667)</f>
        <v>6499.316667</v>
      </c>
      <c r="AU47" s="1476">
        <f>IFERROR(__xludf.DUMMYFUNCTION("""COMPUTED_VALUE"""),5.3E10)</f>
        <v>53000000000</v>
      </c>
      <c r="AV47" s="1520"/>
      <c r="AW47" s="1519"/>
      <c r="AX47" s="1518"/>
      <c r="AY47" s="1568"/>
      <c r="AZ47" s="1518"/>
      <c r="BA47" s="1518"/>
      <c r="BB47" s="1477">
        <f>IFERROR(__xludf.DUMMYFUNCTION("""COMPUTED_VALUE"""),7.279166666666667)</f>
        <v>7.279166667</v>
      </c>
      <c r="BC47" s="1478">
        <f>IFERROR(__xludf.DUMMYFUNCTION("""COMPUTED_VALUE"""),464260.0)</f>
        <v>464260</v>
      </c>
      <c r="BD47" s="1477">
        <f>IFERROR(__xludf.DUMMYFUNCTION("""COMPUTED_VALUE"""),7.279166666666667)</f>
        <v>7.279166667</v>
      </c>
      <c r="BE47" s="1478">
        <f>IFERROR(__xludf.DUMMYFUNCTION("""COMPUTED_VALUE"""),464260.0)</f>
        <v>464260</v>
      </c>
      <c r="BF47" s="1477">
        <f>IFERROR(__xludf.DUMMYFUNCTION("""COMPUTED_VALUE"""),7.279166666666667)</f>
        <v>7.279166667</v>
      </c>
      <c r="BG47" s="1478">
        <f>IFERROR(__xludf.DUMMYFUNCTION("""COMPUTED_VALUE"""),464260.0)</f>
        <v>464260</v>
      </c>
      <c r="BH47" s="1477">
        <f>IFERROR(__xludf.DUMMYFUNCTION("""COMPUTED_VALUE"""),216.34097222222223)</f>
        <v>216.3409722</v>
      </c>
      <c r="BI47" s="1478">
        <f>IFERROR(__xludf.DUMMYFUNCTION("""COMPUTED_VALUE"""),3.75E9)</f>
        <v>3750000000</v>
      </c>
      <c r="BJ47" s="1518"/>
      <c r="BK47" s="1519"/>
      <c r="BL47" s="1518"/>
      <c r="BM47" s="1519"/>
      <c r="BN47" s="1518"/>
      <c r="BO47" s="1519"/>
      <c r="BP47" s="1518"/>
      <c r="BQ47" s="1519"/>
      <c r="BR47" s="1520"/>
      <c r="BS47" s="1519"/>
      <c r="BT47" s="1479">
        <f>IFERROR(__xludf.DUMMYFUNCTION("""COMPUTED_VALUE"""),7.459722222222222)</f>
        <v>7.459722222</v>
      </c>
      <c r="BU47" s="1480">
        <f>IFERROR(__xludf.DUMMYFUNCTION("""COMPUTED_VALUE"""),3.631E10)</f>
        <v>36310000000</v>
      </c>
      <c r="BV47" s="1520"/>
      <c r="BW47" s="1520"/>
      <c r="BX47" s="1520"/>
      <c r="BY47" s="1520"/>
      <c r="BZ47" s="1520"/>
      <c r="CA47" s="1520"/>
      <c r="CB47" s="1520"/>
      <c r="CC47" s="1519"/>
      <c r="CD47" s="1477">
        <f>IFERROR(__xludf.DUMMYFUNCTION("""COMPUTED_VALUE"""),29.075335648148148)</f>
        <v>29.07533565</v>
      </c>
      <c r="CE47" s="1481">
        <f>IFERROR(__xludf.DUMMYFUNCTION("""COMPUTED_VALUE"""),4.56E12)</f>
        <v>4560000000000</v>
      </c>
      <c r="CF47" s="1527"/>
      <c r="CG47" s="1560"/>
      <c r="CH47" s="1482">
        <f>IFERROR(__xludf.DUMMYFUNCTION("""COMPUTED_VALUE"""),7.279166666666667)</f>
        <v>7.279166667</v>
      </c>
      <c r="CI47" s="1483">
        <f>IFERROR(__xludf.DUMMYFUNCTION("""COMPUTED_VALUE"""),464270.0)</f>
        <v>464270</v>
      </c>
      <c r="CJ47" s="1482">
        <f>IFERROR(__xludf.DUMMYFUNCTION("""COMPUTED_VALUE"""),7.279166666666667)</f>
        <v>7.279166667</v>
      </c>
      <c r="CK47" s="1483">
        <f>IFERROR(__xludf.DUMMYFUNCTION("""COMPUTED_VALUE"""),464270.0)</f>
        <v>464270</v>
      </c>
      <c r="CL47" s="1482">
        <f>IFERROR(__xludf.DUMMYFUNCTION("""COMPUTED_VALUE"""),7.279166666666667)</f>
        <v>7.279166667</v>
      </c>
      <c r="CM47" s="1483">
        <f>IFERROR(__xludf.DUMMYFUNCTION("""COMPUTED_VALUE"""),464270.0)</f>
        <v>464270</v>
      </c>
      <c r="CN47" s="1482">
        <f>IFERROR(__xludf.DUMMYFUNCTION("""COMPUTED_VALUE"""),7.279166666666667)</f>
        <v>7.279166667</v>
      </c>
      <c r="CO47" s="1483">
        <f>IFERROR(__xludf.DUMMYFUNCTION("""COMPUTED_VALUE"""),464270.0)</f>
        <v>464270</v>
      </c>
      <c r="CP47" s="1482">
        <f>IFERROR(__xludf.DUMMYFUNCTION("""COMPUTED_VALUE"""),15.444444444444445)</f>
        <v>15.44444444</v>
      </c>
      <c r="CQ47" s="1483">
        <f>IFERROR(__xludf.DUMMYFUNCTION("""COMPUTED_VALUE"""),1620000.0)</f>
        <v>1620000</v>
      </c>
      <c r="CR47" s="1518"/>
      <c r="CS47" s="1519"/>
      <c r="CT47" s="1520"/>
      <c r="CU47" s="1519"/>
      <c r="CV47" s="1520"/>
      <c r="CW47" s="1519"/>
      <c r="CX47" s="1520"/>
      <c r="CY47" s="1519"/>
      <c r="CZ47" s="1520"/>
      <c r="DA47" s="1520"/>
      <c r="DB47" s="1520"/>
      <c r="DC47" s="1520"/>
      <c r="DD47" s="1520"/>
      <c r="DE47" s="1519"/>
      <c r="DF47" s="1518"/>
      <c r="DG47" s="1519"/>
      <c r="DH47" s="1518"/>
      <c r="DI47" s="1519"/>
      <c r="DJ47" s="1518"/>
      <c r="DK47" s="1519"/>
      <c r="DL47" s="1518"/>
      <c r="DM47" s="1519"/>
      <c r="DN47" s="1518"/>
      <c r="DO47" s="1519"/>
      <c r="DP47" s="1518"/>
      <c r="DQ47" s="1519"/>
      <c r="DR47" s="1518"/>
      <c r="DS47" s="1519"/>
      <c r="DT47" s="1518"/>
      <c r="DU47" s="1519"/>
      <c r="DV47" s="1520"/>
      <c r="DW47" s="1519"/>
      <c r="DX47" s="1518"/>
      <c r="DY47" s="1519"/>
      <c r="DZ47" s="1518"/>
      <c r="EA47" s="1519"/>
      <c r="EB47" s="1518"/>
      <c r="EC47" s="1519"/>
      <c r="ED47" s="1518"/>
      <c r="EE47" s="1519"/>
      <c r="EF47" s="1518"/>
      <c r="EG47" s="1519"/>
      <c r="EH47" s="1518"/>
      <c r="EI47" s="1519"/>
      <c r="EJ47" s="1562"/>
      <c r="EK47" s="1560"/>
      <c r="EL47" s="1562"/>
      <c r="EM47" s="1560"/>
      <c r="EN47" s="1518"/>
      <c r="EO47" s="1519"/>
      <c r="EP47" s="1518"/>
      <c r="EQ47" s="1519"/>
      <c r="ER47" s="1518"/>
      <c r="ES47" s="1519"/>
      <c r="ET47" s="1518"/>
      <c r="EU47" s="1519"/>
      <c r="EV47" s="1518"/>
      <c r="EW47" s="1519"/>
      <c r="EX47" s="1518"/>
      <c r="EY47" s="1519"/>
      <c r="EZ47" s="1518"/>
      <c r="FA47" s="1519"/>
      <c r="FB47" s="1520"/>
      <c r="FC47" s="1519"/>
      <c r="FD47" s="1520"/>
      <c r="FE47" s="1519"/>
      <c r="FF47" s="1520"/>
      <c r="FG47" s="1519"/>
      <c r="FH47" s="1520"/>
      <c r="FI47" s="1520"/>
      <c r="FJ47" s="1520"/>
      <c r="FK47" s="1519"/>
      <c r="FL47" s="1518"/>
      <c r="FM47" s="1519"/>
      <c r="FN47" s="1571"/>
      <c r="FO47" s="1519"/>
      <c r="FP47" s="1571"/>
      <c r="FQ47" s="1519"/>
      <c r="FR47" s="1571"/>
      <c r="FS47" s="1519"/>
      <c r="FT47" s="1532"/>
      <c r="FU47" s="1519"/>
      <c r="FV47" s="1532"/>
      <c r="FW47" s="1519"/>
      <c r="FX47" s="1572"/>
      <c r="FY47" s="1560"/>
      <c r="FZ47" s="1572"/>
      <c r="GA47" s="1560"/>
      <c r="GB47" s="1572"/>
      <c r="GC47" s="1560"/>
      <c r="GD47" s="1527"/>
      <c r="GE47" s="1560"/>
      <c r="GF47" s="1518"/>
      <c r="GG47" s="1519"/>
      <c r="GH47" s="1518"/>
      <c r="GI47" s="1519"/>
      <c r="GJ47" s="1520"/>
      <c r="GK47" s="1519"/>
      <c r="GL47" s="1518"/>
      <c r="GM47" s="1519"/>
      <c r="GN47" s="1520"/>
      <c r="GO47" s="1519"/>
      <c r="GP47" s="1520"/>
      <c r="GQ47" s="1519"/>
      <c r="GR47" s="1518"/>
      <c r="GS47" s="1519"/>
      <c r="GT47" s="1518"/>
      <c r="GU47" s="1519"/>
      <c r="GV47" s="1520"/>
      <c r="GW47" s="1519"/>
      <c r="GX47" s="1561"/>
      <c r="GY47" s="1527"/>
      <c r="GZ47" s="1518"/>
      <c r="HA47" s="1519"/>
      <c r="HB47" s="1501">
        <f>IFERROR(__xludf.DUMMYFUNCTION("""COMPUTED_VALUE"""),463.97291666666666)</f>
        <v>463.9729167</v>
      </c>
      <c r="HC47" s="1502">
        <f>IFERROR(__xludf.DUMMYFUNCTION("""COMPUTED_VALUE"""),3.3E12)</f>
        <v>3300000000000</v>
      </c>
      <c r="HD47" s="1518"/>
      <c r="HE47" s="1519"/>
      <c r="HF47" s="1518"/>
      <c r="HG47" s="1519"/>
      <c r="HH47" s="1518"/>
      <c r="HI47" s="1519"/>
      <c r="HJ47" s="1518"/>
      <c r="HK47" s="1519"/>
      <c r="HL47" s="1518"/>
      <c r="HM47" s="1519"/>
      <c r="HN47" s="1520"/>
      <c r="HO47" s="1519"/>
      <c r="HP47" s="1518"/>
      <c r="HQ47" s="1519"/>
      <c r="HR47" s="1518"/>
      <c r="HS47" s="1519"/>
      <c r="HT47" s="1518"/>
      <c r="HU47" s="1519"/>
      <c r="HV47" s="1518"/>
      <c r="HW47" s="1519"/>
      <c r="HX47" s="1518"/>
      <c r="HY47" s="1519"/>
      <c r="HZ47" s="1518"/>
      <c r="IA47" s="1519"/>
      <c r="IB47" s="1518"/>
      <c r="IC47" s="1519"/>
      <c r="ID47" s="1518"/>
      <c r="IE47" s="1519"/>
      <c r="IF47" s="1518"/>
      <c r="IG47" s="1519"/>
      <c r="IH47" s="1518"/>
      <c r="II47" s="1519"/>
      <c r="IJ47" s="1518"/>
      <c r="IK47" s="1519"/>
      <c r="IL47" s="1518"/>
      <c r="IM47" s="1519"/>
      <c r="IN47" s="1518"/>
      <c r="IO47" s="1519"/>
      <c r="IP47" s="1518"/>
      <c r="IQ47" s="1519"/>
      <c r="IR47" s="1518"/>
      <c r="IS47" s="1519"/>
      <c r="IT47" s="1518"/>
      <c r="IU47" s="1519"/>
      <c r="IV47" s="1518"/>
      <c r="IW47" s="1519"/>
      <c r="IX47" s="1518"/>
      <c r="IY47" s="1519"/>
      <c r="IZ47" s="1518"/>
      <c r="JA47" s="1519"/>
      <c r="JB47" s="1518"/>
      <c r="JC47" s="1519"/>
      <c r="JD47" s="1518"/>
      <c r="JE47" s="1519"/>
      <c r="JF47" s="1518"/>
      <c r="JG47" s="1519"/>
      <c r="JH47" s="1518"/>
      <c r="JI47" s="1519"/>
      <c r="JJ47" s="1562"/>
      <c r="JK47" s="1560"/>
      <c r="JL47" s="1562"/>
      <c r="JM47" s="1560"/>
      <c r="JN47" s="1562"/>
      <c r="JO47" s="1560"/>
      <c r="JP47" s="1562"/>
      <c r="JQ47" s="1560"/>
      <c r="JR47" s="1562"/>
      <c r="JS47" s="1560"/>
      <c r="JT47" s="1562"/>
      <c r="JU47" s="1560"/>
      <c r="JV47" s="1562"/>
      <c r="JW47" s="1560"/>
      <c r="JX47" s="1562"/>
      <c r="JY47" s="1527"/>
      <c r="JZ47" s="1566">
        <f>IFERROR(__xludf.DUMMYFUNCTION("""COMPUTED_VALUE"""),3.991006944)</f>
        <v>3.991006944</v>
      </c>
      <c r="KA47" s="1514">
        <f>IFERROR(__xludf.DUMMYFUNCTION("""COMPUTED_VALUE"""),5.475E10)</f>
        <v>54750000000</v>
      </c>
      <c r="KB47" s="1566">
        <f>IFERROR(__xludf.DUMMYFUNCTION("""COMPUTED_VALUE"""),10.0430787)</f>
        <v>10.0430787</v>
      </c>
      <c r="KC47" s="1567">
        <f>IFERROR(__xludf.DUMMYFUNCTION("""COMPUTED_VALUE"""),2.5555E11)</f>
        <v>255550000000</v>
      </c>
      <c r="KD47" s="1562"/>
      <c r="KE47" s="1527"/>
      <c r="KF47" s="1527"/>
      <c r="KG47" s="1527"/>
      <c r="KH47" s="1527"/>
      <c r="KI47" s="1527"/>
      <c r="KJ47" s="1527"/>
      <c r="KK47" s="1527"/>
      <c r="KL47" s="1527"/>
      <c r="KM47" s="1527"/>
      <c r="KN47" s="1527"/>
      <c r="KO47" s="1527"/>
      <c r="KP47" s="1527"/>
      <c r="KQ47" s="1527"/>
      <c r="KR47" s="1527"/>
      <c r="KS47" s="1527"/>
      <c r="KT47" s="1527"/>
      <c r="KU47" s="1527"/>
      <c r="KV47" s="1527"/>
      <c r="KW47" s="1527"/>
      <c r="KX47" s="1527"/>
      <c r="KY47" s="1527"/>
      <c r="KZ47" s="1527"/>
      <c r="LA47" s="1527"/>
      <c r="LB47" s="1527"/>
      <c r="LC47" s="1527"/>
      <c r="LD47" s="1527"/>
      <c r="LE47" s="1527"/>
      <c r="LF47" s="1527"/>
      <c r="LG47" s="1527"/>
      <c r="LH47" s="1527"/>
      <c r="LI47" s="1527"/>
      <c r="LJ47" s="1527"/>
      <c r="LK47" s="1527"/>
      <c r="LL47" s="1527"/>
      <c r="LM47" s="1527"/>
      <c r="LN47" s="1527"/>
      <c r="LO47" s="1527"/>
      <c r="LP47" s="1527"/>
      <c r="LQ47" s="1527"/>
      <c r="LR47" s="1527"/>
      <c r="LS47" s="1527"/>
      <c r="LT47" s="1527"/>
      <c r="LU47" s="1527"/>
      <c r="LV47" s="1527"/>
      <c r="LW47" s="1527"/>
      <c r="LX47" s="1527"/>
      <c r="LY47" s="1527"/>
      <c r="LZ47" s="1527"/>
      <c r="MA47" s="1527"/>
      <c r="MB47" s="1527"/>
      <c r="MC47" s="1527"/>
      <c r="MD47" s="1527"/>
      <c r="ME47" s="1527"/>
      <c r="MF47" s="1527"/>
      <c r="MG47" s="1527"/>
      <c r="MH47" s="1527"/>
      <c r="MI47" s="1527"/>
      <c r="MJ47" s="1527"/>
      <c r="MK47" s="1527"/>
      <c r="ML47" s="1527"/>
      <c r="MM47" s="1527"/>
      <c r="MN47" s="1527"/>
      <c r="MO47" s="1527"/>
      <c r="MP47" s="1527"/>
      <c r="MQ47" s="1527"/>
      <c r="MR47" s="1527"/>
      <c r="MS47" s="1527"/>
      <c r="MT47" s="1527"/>
      <c r="MU47" s="1527"/>
      <c r="MV47" s="1527"/>
      <c r="MW47" s="1527"/>
      <c r="MX47" s="1527"/>
      <c r="MY47" s="1527"/>
    </row>
    <row r="48">
      <c r="A48" s="1465">
        <f>IFERROR(__xludf.DUMMYFUNCTION("""COMPUTED_VALUE"""),46.0)</f>
        <v>46</v>
      </c>
      <c r="B48" s="1518"/>
      <c r="C48" s="1520"/>
      <c r="D48" s="1466">
        <f>IFERROR(__xludf.DUMMYFUNCTION("""COMPUTED_VALUE"""),7.677083333333333)</f>
        <v>7.677083333</v>
      </c>
      <c r="E48" s="1467">
        <f>IFERROR(__xludf.DUMMYFUNCTION("""COMPUTED_VALUE"""),493810.0)</f>
        <v>493810</v>
      </c>
      <c r="F48" s="1466">
        <f>IFERROR(__xludf.DUMMYFUNCTION("""COMPUTED_VALUE"""),7.677083333333333)</f>
        <v>7.677083333</v>
      </c>
      <c r="G48" s="1467">
        <f>IFERROR(__xludf.DUMMYFUNCTION("""COMPUTED_VALUE"""),493810.0)</f>
        <v>493810</v>
      </c>
      <c r="H48" s="1466">
        <f>IFERROR(__xludf.DUMMYFUNCTION("""COMPUTED_VALUE"""),7.677083333333333)</f>
        <v>7.677083333</v>
      </c>
      <c r="I48" s="1467">
        <f>IFERROR(__xludf.DUMMYFUNCTION("""COMPUTED_VALUE"""),493810.0)</f>
        <v>493810</v>
      </c>
      <c r="J48" s="1466">
        <f>IFERROR(__xludf.DUMMYFUNCTION("""COMPUTED_VALUE"""),7.677083333333333)</f>
        <v>7.677083333</v>
      </c>
      <c r="K48" s="1467">
        <f>IFERROR(__xludf.DUMMYFUNCTION("""COMPUTED_VALUE"""),493810.0)</f>
        <v>493810</v>
      </c>
      <c r="L48" s="1466">
        <f>IFERROR(__xludf.DUMMYFUNCTION("""COMPUTED_VALUE"""),13.573611111111111)</f>
        <v>13.57361111</v>
      </c>
      <c r="M48" s="1469">
        <f>IFERROR(__xludf.DUMMYFUNCTION("""COMPUTED_VALUE"""),1500000.0)</f>
        <v>1500000</v>
      </c>
      <c r="N48" s="1470">
        <f>IFERROR(__xludf.DUMMYFUNCTION("""COMPUTED_VALUE"""),7.14375)</f>
        <v>7.14375</v>
      </c>
      <c r="O48" s="1467">
        <f>IFERROR(__xludf.DUMMYFUNCTION("""COMPUTED_VALUE"""),1730000.0)</f>
        <v>1730000</v>
      </c>
      <c r="P48" s="1518"/>
      <c r="Q48" s="1519"/>
      <c r="R48" s="1518"/>
      <c r="S48" s="1519"/>
      <c r="T48" s="1518"/>
      <c r="U48" s="1519"/>
      <c r="V48" s="1518"/>
      <c r="W48" s="1519"/>
      <c r="X48" s="1518"/>
      <c r="Y48" s="1519"/>
      <c r="Z48" s="1518"/>
      <c r="AA48" s="1519"/>
      <c r="AB48" s="1518"/>
      <c r="AC48" s="1519"/>
      <c r="AD48" s="1466">
        <f>IFERROR(__xludf.DUMMYFUNCTION("""COMPUTED_VALUE"""),49.67777777777778)</f>
        <v>49.67777778</v>
      </c>
      <c r="AE48" s="1474">
        <f>IFERROR(__xludf.DUMMYFUNCTION("""COMPUTED_VALUE"""),1.341068167E14)</f>
        <v>134106816700000</v>
      </c>
      <c r="AF48" s="1466">
        <f>IFERROR(__xludf.DUMMYFUNCTION("""COMPUTED_VALUE"""),49.67777777777778)</f>
        <v>49.67777778</v>
      </c>
      <c r="AG48" s="1474">
        <f>IFERROR(__xludf.DUMMYFUNCTION("""COMPUTED_VALUE"""),1.341068167E14)</f>
        <v>134106816700000</v>
      </c>
      <c r="AH48" s="1466">
        <f>IFERROR(__xludf.DUMMYFUNCTION("""COMPUTED_VALUE"""),49.67777777777778)</f>
        <v>49.67777778</v>
      </c>
      <c r="AI48" s="1474">
        <f>IFERROR(__xludf.DUMMYFUNCTION("""COMPUTED_VALUE"""),1.341068167E14)</f>
        <v>134106816700000</v>
      </c>
      <c r="AJ48" s="1475">
        <f>IFERROR(__xludf.DUMMYFUNCTION("""COMPUTED_VALUE"""),7.677083333333333)</f>
        <v>7.677083333</v>
      </c>
      <c r="AK48" s="1476">
        <f>IFERROR(__xludf.DUMMYFUNCTION("""COMPUTED_VALUE"""),493810.0)</f>
        <v>493810</v>
      </c>
      <c r="AL48" s="1475">
        <f>IFERROR(__xludf.DUMMYFUNCTION("""COMPUTED_VALUE"""),7.677083333333333)</f>
        <v>7.677083333</v>
      </c>
      <c r="AM48" s="1476">
        <f>IFERROR(__xludf.DUMMYFUNCTION("""COMPUTED_VALUE"""),493810.0)</f>
        <v>493810</v>
      </c>
      <c r="AN48" s="1475">
        <f>IFERROR(__xludf.DUMMYFUNCTION("""COMPUTED_VALUE"""),7.677083333333333)</f>
        <v>7.677083333</v>
      </c>
      <c r="AO48" s="1476">
        <f>IFERROR(__xludf.DUMMYFUNCTION("""COMPUTED_VALUE"""),493810.0)</f>
        <v>493810</v>
      </c>
      <c r="AP48" s="1475">
        <f>IFERROR(__xludf.DUMMYFUNCTION("""COMPUTED_VALUE"""),7.677083333333333)</f>
        <v>7.677083333</v>
      </c>
      <c r="AQ48" s="1476">
        <f>IFERROR(__xludf.DUMMYFUNCTION("""COMPUTED_VALUE"""),493810.0)</f>
        <v>493810</v>
      </c>
      <c r="AR48" s="1475">
        <f>IFERROR(__xludf.DUMMYFUNCTION("""COMPUTED_VALUE"""),7.677777777777778)</f>
        <v>7.677777778</v>
      </c>
      <c r="AS48" s="1476">
        <f>IFERROR(__xludf.DUMMYFUNCTION("""COMPUTED_VALUE"""),493820.0)</f>
        <v>493820</v>
      </c>
      <c r="AT48" s="1475">
        <f>IFERROR(__xludf.DUMMYFUNCTION("""COMPUTED_VALUE"""),7140.5875)</f>
        <v>7140.5875</v>
      </c>
      <c r="AU48" s="1476">
        <f>IFERROR(__xludf.DUMMYFUNCTION("""COMPUTED_VALUE"""),5.891E10)</f>
        <v>58910000000</v>
      </c>
      <c r="AV48" s="1520"/>
      <c r="AW48" s="1519"/>
      <c r="AX48" s="1518"/>
      <c r="AY48" s="1568"/>
      <c r="AZ48" s="1518"/>
      <c r="BA48" s="1518"/>
      <c r="BB48" s="1477">
        <f>IFERROR(__xludf.DUMMYFUNCTION("""COMPUTED_VALUE"""),7.677083333333333)</f>
        <v>7.677083333</v>
      </c>
      <c r="BC48" s="1478">
        <f>IFERROR(__xludf.DUMMYFUNCTION("""COMPUTED_VALUE"""),493810.0)</f>
        <v>493810</v>
      </c>
      <c r="BD48" s="1477">
        <f>IFERROR(__xludf.DUMMYFUNCTION("""COMPUTED_VALUE"""),7.677083333333333)</f>
        <v>7.677083333</v>
      </c>
      <c r="BE48" s="1478">
        <f>IFERROR(__xludf.DUMMYFUNCTION("""COMPUTED_VALUE"""),493810.0)</f>
        <v>493810</v>
      </c>
      <c r="BF48" s="1477">
        <f>IFERROR(__xludf.DUMMYFUNCTION("""COMPUTED_VALUE"""),7.677083333333333)</f>
        <v>7.677083333</v>
      </c>
      <c r="BG48" s="1478">
        <f>IFERROR(__xludf.DUMMYFUNCTION("""COMPUTED_VALUE"""),493810.0)</f>
        <v>493810</v>
      </c>
      <c r="BH48" s="1477">
        <f>IFERROR(__xludf.DUMMYFUNCTION("""COMPUTED_VALUE"""),232.4923611111111)</f>
        <v>232.4923611</v>
      </c>
      <c r="BI48" s="1478">
        <f>IFERROR(__xludf.DUMMYFUNCTION("""COMPUTED_VALUE"""),4.1E9)</f>
        <v>4100000000</v>
      </c>
      <c r="BJ48" s="1518"/>
      <c r="BK48" s="1519"/>
      <c r="BL48" s="1518"/>
      <c r="BM48" s="1519"/>
      <c r="BN48" s="1518"/>
      <c r="BO48" s="1519"/>
      <c r="BP48" s="1518"/>
      <c r="BQ48" s="1519"/>
      <c r="BR48" s="1520"/>
      <c r="BS48" s="1519"/>
      <c r="BT48" s="1479">
        <f>IFERROR(__xludf.DUMMYFUNCTION("""COMPUTED_VALUE"""),7.856944444444444)</f>
        <v>7.856944444</v>
      </c>
      <c r="BU48" s="1480">
        <f>IFERROR(__xludf.DUMMYFUNCTION("""COMPUTED_VALUE"""),3.855E10)</f>
        <v>38550000000</v>
      </c>
      <c r="BV48" s="1520"/>
      <c r="BW48" s="1520"/>
      <c r="BX48" s="1520"/>
      <c r="BY48" s="1520"/>
      <c r="BZ48" s="1520"/>
      <c r="CA48" s="1520"/>
      <c r="CB48" s="1520"/>
      <c r="CC48" s="1519"/>
      <c r="CD48" s="1477">
        <f>IFERROR(__xludf.DUMMYFUNCTION("""COMPUTED_VALUE"""),30.566805555555554)</f>
        <v>30.56680556</v>
      </c>
      <c r="CE48" s="1481">
        <f>IFERROR(__xludf.DUMMYFUNCTION("""COMPUTED_VALUE"""),4.86E12)</f>
        <v>4860000000000</v>
      </c>
      <c r="CF48" s="1527"/>
      <c r="CG48" s="1560"/>
      <c r="CH48" s="1482">
        <f>IFERROR(__xludf.DUMMYFUNCTION("""COMPUTED_VALUE"""),7.677777777777778)</f>
        <v>7.677777778</v>
      </c>
      <c r="CI48" s="1483">
        <f>IFERROR(__xludf.DUMMYFUNCTION("""COMPUTED_VALUE"""),493820.0)</f>
        <v>493820</v>
      </c>
      <c r="CJ48" s="1482">
        <f>IFERROR(__xludf.DUMMYFUNCTION("""COMPUTED_VALUE"""),7.677777777777778)</f>
        <v>7.677777778</v>
      </c>
      <c r="CK48" s="1483">
        <f>IFERROR(__xludf.DUMMYFUNCTION("""COMPUTED_VALUE"""),493820.0)</f>
        <v>493820</v>
      </c>
      <c r="CL48" s="1482">
        <f>IFERROR(__xludf.DUMMYFUNCTION("""COMPUTED_VALUE"""),7.677777777777778)</f>
        <v>7.677777778</v>
      </c>
      <c r="CM48" s="1483">
        <f>IFERROR(__xludf.DUMMYFUNCTION("""COMPUTED_VALUE"""),493820.0)</f>
        <v>493820</v>
      </c>
      <c r="CN48" s="1482">
        <f>IFERROR(__xludf.DUMMYFUNCTION("""COMPUTED_VALUE"""),7.677777777777778)</f>
        <v>7.677777778</v>
      </c>
      <c r="CO48" s="1483">
        <f>IFERROR(__xludf.DUMMYFUNCTION("""COMPUTED_VALUE"""),493820.0)</f>
        <v>493820</v>
      </c>
      <c r="CP48" s="1482">
        <f>IFERROR(__xludf.DUMMYFUNCTION("""COMPUTED_VALUE"""),16.364583333333332)</f>
        <v>16.36458333</v>
      </c>
      <c r="CQ48" s="1483">
        <f>IFERROR(__xludf.DUMMYFUNCTION("""COMPUTED_VALUE"""),1730000.0)</f>
        <v>1730000</v>
      </c>
      <c r="CR48" s="1518"/>
      <c r="CS48" s="1519"/>
      <c r="CT48" s="1520"/>
      <c r="CU48" s="1519"/>
      <c r="CV48" s="1520"/>
      <c r="CW48" s="1519"/>
      <c r="CX48" s="1520"/>
      <c r="CY48" s="1519"/>
      <c r="CZ48" s="1520"/>
      <c r="DA48" s="1520"/>
      <c r="DB48" s="1520"/>
      <c r="DC48" s="1520"/>
      <c r="DD48" s="1520"/>
      <c r="DE48" s="1519"/>
      <c r="DF48" s="1518"/>
      <c r="DG48" s="1519"/>
      <c r="DH48" s="1518"/>
      <c r="DI48" s="1519"/>
      <c r="DJ48" s="1518"/>
      <c r="DK48" s="1519"/>
      <c r="DL48" s="1518"/>
      <c r="DM48" s="1519"/>
      <c r="DN48" s="1518"/>
      <c r="DO48" s="1519"/>
      <c r="DP48" s="1518"/>
      <c r="DQ48" s="1519"/>
      <c r="DR48" s="1518"/>
      <c r="DS48" s="1519"/>
      <c r="DT48" s="1518"/>
      <c r="DU48" s="1519"/>
      <c r="DV48" s="1520"/>
      <c r="DW48" s="1519"/>
      <c r="DX48" s="1518"/>
      <c r="DY48" s="1519"/>
      <c r="DZ48" s="1518"/>
      <c r="EA48" s="1519"/>
      <c r="EB48" s="1518"/>
      <c r="EC48" s="1519"/>
      <c r="ED48" s="1518"/>
      <c r="EE48" s="1519"/>
      <c r="EF48" s="1518"/>
      <c r="EG48" s="1519"/>
      <c r="EH48" s="1518"/>
      <c r="EI48" s="1519"/>
      <c r="EJ48" s="1562"/>
      <c r="EK48" s="1560"/>
      <c r="EL48" s="1562"/>
      <c r="EM48" s="1560"/>
      <c r="EN48" s="1518"/>
      <c r="EO48" s="1519"/>
      <c r="EP48" s="1518"/>
      <c r="EQ48" s="1519"/>
      <c r="ER48" s="1518"/>
      <c r="ES48" s="1519"/>
      <c r="ET48" s="1518"/>
      <c r="EU48" s="1519"/>
      <c r="EV48" s="1518"/>
      <c r="EW48" s="1519"/>
      <c r="EX48" s="1518"/>
      <c r="EY48" s="1519"/>
      <c r="EZ48" s="1518"/>
      <c r="FA48" s="1519"/>
      <c r="FB48" s="1520"/>
      <c r="FC48" s="1519"/>
      <c r="FD48" s="1520"/>
      <c r="FE48" s="1519"/>
      <c r="FF48" s="1520"/>
      <c r="FG48" s="1519"/>
      <c r="FH48" s="1520"/>
      <c r="FI48" s="1520"/>
      <c r="FJ48" s="1520"/>
      <c r="FK48" s="1519"/>
      <c r="FL48" s="1518"/>
      <c r="FM48" s="1519"/>
      <c r="FN48" s="1571"/>
      <c r="FO48" s="1519"/>
      <c r="FP48" s="1571"/>
      <c r="FQ48" s="1519"/>
      <c r="FR48" s="1571"/>
      <c r="FS48" s="1519"/>
      <c r="FT48" s="1532"/>
      <c r="FU48" s="1519"/>
      <c r="FV48" s="1532"/>
      <c r="FW48" s="1519"/>
      <c r="FX48" s="1572"/>
      <c r="FY48" s="1560"/>
      <c r="FZ48" s="1572"/>
      <c r="GA48" s="1560"/>
      <c r="GB48" s="1572"/>
      <c r="GC48" s="1560"/>
      <c r="GD48" s="1527"/>
      <c r="GE48" s="1560"/>
      <c r="GF48" s="1518"/>
      <c r="GG48" s="1519"/>
      <c r="GH48" s="1518"/>
      <c r="GI48" s="1519"/>
      <c r="GJ48" s="1520"/>
      <c r="GK48" s="1519"/>
      <c r="GL48" s="1518"/>
      <c r="GM48" s="1519"/>
      <c r="GN48" s="1520"/>
      <c r="GO48" s="1519"/>
      <c r="GP48" s="1520"/>
      <c r="GQ48" s="1519"/>
      <c r="GR48" s="1518"/>
      <c r="GS48" s="1519"/>
      <c r="GT48" s="1518"/>
      <c r="GU48" s="1519"/>
      <c r="GV48" s="1520"/>
      <c r="GW48" s="1519"/>
      <c r="GX48" s="1561"/>
      <c r="GY48" s="1527"/>
      <c r="GZ48" s="1518"/>
      <c r="HA48" s="1519"/>
      <c r="HB48" s="1501">
        <f>IFERROR(__xludf.DUMMYFUNCTION("""COMPUTED_VALUE"""),501.5729166666667)</f>
        <v>501.5729167</v>
      </c>
      <c r="HC48" s="1502">
        <f>IFERROR(__xludf.DUMMYFUNCTION("""COMPUTED_VALUE"""),3.69E12)</f>
        <v>3690000000000</v>
      </c>
      <c r="HD48" s="1518"/>
      <c r="HE48" s="1519"/>
      <c r="HF48" s="1518"/>
      <c r="HG48" s="1519"/>
      <c r="HH48" s="1518"/>
      <c r="HI48" s="1519"/>
      <c r="HJ48" s="1518"/>
      <c r="HK48" s="1519"/>
      <c r="HL48" s="1518"/>
      <c r="HM48" s="1519"/>
      <c r="HN48" s="1520"/>
      <c r="HO48" s="1519"/>
      <c r="HP48" s="1518"/>
      <c r="HQ48" s="1519"/>
      <c r="HR48" s="1518"/>
      <c r="HS48" s="1519"/>
      <c r="HT48" s="1518"/>
      <c r="HU48" s="1519"/>
      <c r="HV48" s="1518"/>
      <c r="HW48" s="1519"/>
      <c r="HX48" s="1518"/>
      <c r="HY48" s="1519"/>
      <c r="HZ48" s="1518"/>
      <c r="IA48" s="1519"/>
      <c r="IB48" s="1518"/>
      <c r="IC48" s="1519"/>
      <c r="ID48" s="1518"/>
      <c r="IE48" s="1519"/>
      <c r="IF48" s="1518"/>
      <c r="IG48" s="1519"/>
      <c r="IH48" s="1518"/>
      <c r="II48" s="1519"/>
      <c r="IJ48" s="1518"/>
      <c r="IK48" s="1519"/>
      <c r="IL48" s="1518"/>
      <c r="IM48" s="1519"/>
      <c r="IN48" s="1518"/>
      <c r="IO48" s="1519"/>
      <c r="IP48" s="1518"/>
      <c r="IQ48" s="1519"/>
      <c r="IR48" s="1518"/>
      <c r="IS48" s="1519"/>
      <c r="IT48" s="1518"/>
      <c r="IU48" s="1519"/>
      <c r="IV48" s="1518"/>
      <c r="IW48" s="1519"/>
      <c r="IX48" s="1518"/>
      <c r="IY48" s="1519"/>
      <c r="IZ48" s="1518"/>
      <c r="JA48" s="1519"/>
      <c r="JB48" s="1518"/>
      <c r="JC48" s="1519"/>
      <c r="JD48" s="1518"/>
      <c r="JE48" s="1519"/>
      <c r="JF48" s="1518"/>
      <c r="JG48" s="1519"/>
      <c r="JH48" s="1518"/>
      <c r="JI48" s="1519"/>
      <c r="JJ48" s="1562"/>
      <c r="JK48" s="1560"/>
      <c r="JL48" s="1562"/>
      <c r="JM48" s="1560"/>
      <c r="JN48" s="1562"/>
      <c r="JO48" s="1560"/>
      <c r="JP48" s="1562"/>
      <c r="JQ48" s="1560"/>
      <c r="JR48" s="1562"/>
      <c r="JS48" s="1560"/>
      <c r="JT48" s="1562"/>
      <c r="JU48" s="1560"/>
      <c r="JV48" s="1562"/>
      <c r="JW48" s="1560"/>
      <c r="JX48" s="1562"/>
      <c r="JY48" s="1527"/>
      <c r="JZ48" s="1566">
        <f>IFERROR(__xludf.DUMMYFUNCTION("""COMPUTED_VALUE"""),4.072592593)</f>
        <v>4.072592593</v>
      </c>
      <c r="KA48" s="1514">
        <f>IFERROR(__xludf.DUMMYFUNCTION("""COMPUTED_VALUE"""),5.817E10)</f>
        <v>58170000000</v>
      </c>
      <c r="KB48" s="1566">
        <f>IFERROR(__xludf.DUMMYFUNCTION("""COMPUTED_VALUE"""),10.47270833)</f>
        <v>10.47270833</v>
      </c>
      <c r="KC48" s="1567">
        <f>IFERROR(__xludf.DUMMYFUNCTION("""COMPUTED_VALUE"""),2.7338E11)</f>
        <v>273380000000</v>
      </c>
      <c r="KD48" s="1562"/>
      <c r="KE48" s="1527"/>
      <c r="KF48" s="1527"/>
      <c r="KG48" s="1527"/>
      <c r="KH48" s="1527"/>
      <c r="KI48" s="1527"/>
      <c r="KJ48" s="1527"/>
      <c r="KK48" s="1527"/>
      <c r="KL48" s="1527"/>
      <c r="KM48" s="1527"/>
      <c r="KN48" s="1527"/>
      <c r="KO48" s="1527"/>
      <c r="KP48" s="1527"/>
      <c r="KQ48" s="1527"/>
      <c r="KR48" s="1527"/>
      <c r="KS48" s="1527"/>
      <c r="KT48" s="1527"/>
      <c r="KU48" s="1527"/>
      <c r="KV48" s="1527"/>
      <c r="KW48" s="1527"/>
      <c r="KX48" s="1527"/>
      <c r="KY48" s="1527"/>
      <c r="KZ48" s="1527"/>
      <c r="LA48" s="1527"/>
      <c r="LB48" s="1527"/>
      <c r="LC48" s="1527"/>
      <c r="LD48" s="1527"/>
      <c r="LE48" s="1527"/>
      <c r="LF48" s="1527"/>
      <c r="LG48" s="1527"/>
      <c r="LH48" s="1527"/>
      <c r="LI48" s="1527"/>
      <c r="LJ48" s="1527"/>
      <c r="LK48" s="1527"/>
      <c r="LL48" s="1527"/>
      <c r="LM48" s="1527"/>
      <c r="LN48" s="1527"/>
      <c r="LO48" s="1527"/>
      <c r="LP48" s="1527"/>
      <c r="LQ48" s="1527"/>
      <c r="LR48" s="1527"/>
      <c r="LS48" s="1527"/>
      <c r="LT48" s="1527"/>
      <c r="LU48" s="1527"/>
      <c r="LV48" s="1527"/>
      <c r="LW48" s="1527"/>
      <c r="LX48" s="1527"/>
      <c r="LY48" s="1527"/>
      <c r="LZ48" s="1527"/>
      <c r="MA48" s="1527"/>
      <c r="MB48" s="1527"/>
      <c r="MC48" s="1527"/>
      <c r="MD48" s="1527"/>
      <c r="ME48" s="1527"/>
      <c r="MF48" s="1527"/>
      <c r="MG48" s="1527"/>
      <c r="MH48" s="1527"/>
      <c r="MI48" s="1527"/>
      <c r="MJ48" s="1527"/>
      <c r="MK48" s="1527"/>
      <c r="ML48" s="1527"/>
      <c r="MM48" s="1527"/>
      <c r="MN48" s="1527"/>
      <c r="MO48" s="1527"/>
      <c r="MP48" s="1527"/>
      <c r="MQ48" s="1527"/>
      <c r="MR48" s="1527"/>
      <c r="MS48" s="1527"/>
      <c r="MT48" s="1527"/>
      <c r="MU48" s="1527"/>
      <c r="MV48" s="1527"/>
      <c r="MW48" s="1527"/>
      <c r="MX48" s="1527"/>
      <c r="MY48" s="1527"/>
    </row>
    <row r="49">
      <c r="A49" s="1465">
        <f>IFERROR(__xludf.DUMMYFUNCTION("""COMPUTED_VALUE"""),47.0)</f>
        <v>47</v>
      </c>
      <c r="B49" s="1518"/>
      <c r="C49" s="1520"/>
      <c r="D49" s="1466">
        <f>IFERROR(__xludf.DUMMYFUNCTION("""COMPUTED_VALUE"""),8.088194444444444)</f>
        <v>8.088194444</v>
      </c>
      <c r="E49" s="1467">
        <f>IFERROR(__xludf.DUMMYFUNCTION("""COMPUTED_VALUE"""),524530.0)</f>
        <v>524530</v>
      </c>
      <c r="F49" s="1466">
        <f>IFERROR(__xludf.DUMMYFUNCTION("""COMPUTED_VALUE"""),8.088194444444444)</f>
        <v>8.088194444</v>
      </c>
      <c r="G49" s="1467">
        <f>IFERROR(__xludf.DUMMYFUNCTION("""COMPUTED_VALUE"""),524530.0)</f>
        <v>524530</v>
      </c>
      <c r="H49" s="1466">
        <f>IFERROR(__xludf.DUMMYFUNCTION("""COMPUTED_VALUE"""),8.088194444444444)</f>
        <v>8.088194444</v>
      </c>
      <c r="I49" s="1467">
        <f>IFERROR(__xludf.DUMMYFUNCTION("""COMPUTED_VALUE"""),524530.0)</f>
        <v>524530</v>
      </c>
      <c r="J49" s="1466">
        <f>IFERROR(__xludf.DUMMYFUNCTION("""COMPUTED_VALUE"""),8.088194444444444)</f>
        <v>8.088194444</v>
      </c>
      <c r="K49" s="1467">
        <f>IFERROR(__xludf.DUMMYFUNCTION("""COMPUTED_VALUE"""),524530.0)</f>
        <v>524530</v>
      </c>
      <c r="L49" s="1466">
        <f>IFERROR(__xludf.DUMMYFUNCTION("""COMPUTED_VALUE"""),14.346527777777778)</f>
        <v>14.34652778</v>
      </c>
      <c r="M49" s="1469">
        <f>IFERROR(__xludf.DUMMYFUNCTION("""COMPUTED_VALUE"""),1600000.0)</f>
        <v>1600000</v>
      </c>
      <c r="N49" s="1470">
        <f>IFERROR(__xludf.DUMMYFUNCTION("""COMPUTED_VALUE"""),7.472222222222222)</f>
        <v>7.472222222</v>
      </c>
      <c r="O49" s="1467">
        <f>IFERROR(__xludf.DUMMYFUNCTION("""COMPUTED_VALUE"""),1860000.0)</f>
        <v>1860000</v>
      </c>
      <c r="P49" s="1518"/>
      <c r="Q49" s="1519"/>
      <c r="R49" s="1518"/>
      <c r="S49" s="1519"/>
      <c r="T49" s="1518"/>
      <c r="U49" s="1519"/>
      <c r="V49" s="1518"/>
      <c r="W49" s="1519"/>
      <c r="X49" s="1518"/>
      <c r="Y49" s="1519"/>
      <c r="Z49" s="1518"/>
      <c r="AA49" s="1519"/>
      <c r="AB49" s="1518"/>
      <c r="AC49" s="1519"/>
      <c r="AD49" s="1466">
        <f>IFERROR(__xludf.DUMMYFUNCTION("""COMPUTED_VALUE"""),50.75763888888889)</f>
        <v>50.75763889</v>
      </c>
      <c r="AE49" s="1474">
        <f>IFERROR(__xludf.DUMMYFUNCTION("""COMPUTED_VALUE"""),1.743388617E14)</f>
        <v>174338861700000</v>
      </c>
      <c r="AF49" s="1466">
        <f>IFERROR(__xludf.DUMMYFUNCTION("""COMPUTED_VALUE"""),50.75763888888889)</f>
        <v>50.75763889</v>
      </c>
      <c r="AG49" s="1474">
        <f>IFERROR(__xludf.DUMMYFUNCTION("""COMPUTED_VALUE"""),1.743388617E14)</f>
        <v>174338861700000</v>
      </c>
      <c r="AH49" s="1466">
        <f>IFERROR(__xludf.DUMMYFUNCTION("""COMPUTED_VALUE"""),50.75763888888889)</f>
        <v>50.75763889</v>
      </c>
      <c r="AI49" s="1474">
        <f>IFERROR(__xludf.DUMMYFUNCTION("""COMPUTED_VALUE"""),1.743388617E14)</f>
        <v>174338861700000</v>
      </c>
      <c r="AJ49" s="1475">
        <f>IFERROR(__xludf.DUMMYFUNCTION("""COMPUTED_VALUE"""),8.088194444444444)</f>
        <v>8.088194444</v>
      </c>
      <c r="AK49" s="1476">
        <f>IFERROR(__xludf.DUMMYFUNCTION("""COMPUTED_VALUE"""),524530.0)</f>
        <v>524530</v>
      </c>
      <c r="AL49" s="1475">
        <f>IFERROR(__xludf.DUMMYFUNCTION("""COMPUTED_VALUE"""),8.088194444444444)</f>
        <v>8.088194444</v>
      </c>
      <c r="AM49" s="1476">
        <f>IFERROR(__xludf.DUMMYFUNCTION("""COMPUTED_VALUE"""),524530.0)</f>
        <v>524530</v>
      </c>
      <c r="AN49" s="1475">
        <f>IFERROR(__xludf.DUMMYFUNCTION("""COMPUTED_VALUE"""),8.088194444444444)</f>
        <v>8.088194444</v>
      </c>
      <c r="AO49" s="1476">
        <f>IFERROR(__xludf.DUMMYFUNCTION("""COMPUTED_VALUE"""),524530.0)</f>
        <v>524530</v>
      </c>
      <c r="AP49" s="1475">
        <f>IFERROR(__xludf.DUMMYFUNCTION("""COMPUTED_VALUE"""),8.088194444444444)</f>
        <v>8.088194444</v>
      </c>
      <c r="AQ49" s="1476">
        <f>IFERROR(__xludf.DUMMYFUNCTION("""COMPUTED_VALUE"""),524530.0)</f>
        <v>524530</v>
      </c>
      <c r="AR49" s="1475">
        <f>IFERROR(__xludf.DUMMYFUNCTION("""COMPUTED_VALUE"""),8.088194444444444)</f>
        <v>8.088194444</v>
      </c>
      <c r="AS49" s="1476">
        <f>IFERROR(__xludf.DUMMYFUNCTION("""COMPUTED_VALUE"""),524540.0)</f>
        <v>524540</v>
      </c>
      <c r="AT49" s="1475">
        <f>IFERROR(__xludf.DUMMYFUNCTION("""COMPUTED_VALUE"""),7829.075000000001)</f>
        <v>7829.075</v>
      </c>
      <c r="AU49" s="1476">
        <f>IFERROR(__xludf.DUMMYFUNCTION("""COMPUTED_VALUE"""),6.532E10)</f>
        <v>65320000000</v>
      </c>
      <c r="AV49" s="1520"/>
      <c r="AW49" s="1519"/>
      <c r="AX49" s="1518"/>
      <c r="AY49" s="1568"/>
      <c r="AZ49" s="1518"/>
      <c r="BA49" s="1518"/>
      <c r="BB49" s="1477">
        <f>IFERROR(__xludf.DUMMYFUNCTION("""COMPUTED_VALUE"""),8.088194444444444)</f>
        <v>8.088194444</v>
      </c>
      <c r="BC49" s="1478">
        <f>IFERROR(__xludf.DUMMYFUNCTION("""COMPUTED_VALUE"""),524530.0)</f>
        <v>524530</v>
      </c>
      <c r="BD49" s="1477">
        <f>IFERROR(__xludf.DUMMYFUNCTION("""COMPUTED_VALUE"""),8.088194444444444)</f>
        <v>8.088194444</v>
      </c>
      <c r="BE49" s="1478">
        <f>IFERROR(__xludf.DUMMYFUNCTION("""COMPUTED_VALUE"""),524530.0)</f>
        <v>524530</v>
      </c>
      <c r="BF49" s="1477">
        <f>IFERROR(__xludf.DUMMYFUNCTION("""COMPUTED_VALUE"""),8.088194444444444)</f>
        <v>8.088194444</v>
      </c>
      <c r="BG49" s="1478">
        <f>IFERROR(__xludf.DUMMYFUNCTION("""COMPUTED_VALUE"""),524530.0)</f>
        <v>524530</v>
      </c>
      <c r="BH49" s="1477">
        <f>IFERROR(__xludf.DUMMYFUNCTION("""COMPUTED_VALUE"""),250.34375)</f>
        <v>250.34375</v>
      </c>
      <c r="BI49" s="1478">
        <f>IFERROR(__xludf.DUMMYFUNCTION("""COMPUTED_VALUE"""),4.48E9)</f>
        <v>4480000000</v>
      </c>
      <c r="BJ49" s="1518"/>
      <c r="BK49" s="1519"/>
      <c r="BL49" s="1518"/>
      <c r="BM49" s="1519"/>
      <c r="BN49" s="1518"/>
      <c r="BO49" s="1519"/>
      <c r="BP49" s="1518"/>
      <c r="BQ49" s="1519"/>
      <c r="BR49" s="1520"/>
      <c r="BS49" s="1519"/>
      <c r="BT49" s="1479">
        <f>IFERROR(__xludf.DUMMYFUNCTION("""COMPUTED_VALUE"""),8.266666666666667)</f>
        <v>8.266666667</v>
      </c>
      <c r="BU49" s="1480">
        <f>IFERROR(__xludf.DUMMYFUNCTION("""COMPUTED_VALUE"""),4.09E10)</f>
        <v>40900000000</v>
      </c>
      <c r="BV49" s="1520"/>
      <c r="BW49" s="1520"/>
      <c r="BX49" s="1520"/>
      <c r="BY49" s="1520"/>
      <c r="BZ49" s="1520"/>
      <c r="CA49" s="1520"/>
      <c r="CB49" s="1520"/>
      <c r="CC49" s="1519"/>
      <c r="CD49" s="1477">
        <f>IFERROR(__xludf.DUMMYFUNCTION("""COMPUTED_VALUE"""),32.11168981481482)</f>
        <v>32.11168981</v>
      </c>
      <c r="CE49" s="1481">
        <f>IFERROR(__xludf.DUMMYFUNCTION("""COMPUTED_VALUE"""),5.17E12)</f>
        <v>5170000000000</v>
      </c>
      <c r="CF49" s="1527"/>
      <c r="CG49" s="1560"/>
      <c r="CH49" s="1482">
        <f>IFERROR(__xludf.DUMMYFUNCTION("""COMPUTED_VALUE"""),8.088194444444444)</f>
        <v>8.088194444</v>
      </c>
      <c r="CI49" s="1483">
        <f>IFERROR(__xludf.DUMMYFUNCTION("""COMPUTED_VALUE"""),524540.0)</f>
        <v>524540</v>
      </c>
      <c r="CJ49" s="1482">
        <f>IFERROR(__xludf.DUMMYFUNCTION("""COMPUTED_VALUE"""),8.088194444444444)</f>
        <v>8.088194444</v>
      </c>
      <c r="CK49" s="1483">
        <f>IFERROR(__xludf.DUMMYFUNCTION("""COMPUTED_VALUE"""),524540.0)</f>
        <v>524540</v>
      </c>
      <c r="CL49" s="1482">
        <f>IFERROR(__xludf.DUMMYFUNCTION("""COMPUTED_VALUE"""),8.088194444444444)</f>
        <v>8.088194444</v>
      </c>
      <c r="CM49" s="1483">
        <f>IFERROR(__xludf.DUMMYFUNCTION("""COMPUTED_VALUE"""),524540.0)</f>
        <v>524540</v>
      </c>
      <c r="CN49" s="1482">
        <f>IFERROR(__xludf.DUMMYFUNCTION("""COMPUTED_VALUE"""),8.088194444444444)</f>
        <v>8.088194444</v>
      </c>
      <c r="CO49" s="1483">
        <f>IFERROR(__xludf.DUMMYFUNCTION("""COMPUTED_VALUE"""),524540.0)</f>
        <v>524540</v>
      </c>
      <c r="CP49" s="1482">
        <f>IFERROR(__xludf.DUMMYFUNCTION("""COMPUTED_VALUE"""),17.31736111111111)</f>
        <v>17.31736111</v>
      </c>
      <c r="CQ49" s="1483">
        <f>IFERROR(__xludf.DUMMYFUNCTION("""COMPUTED_VALUE"""),1860000.0)</f>
        <v>1860000</v>
      </c>
      <c r="CR49" s="1518"/>
      <c r="CS49" s="1519"/>
      <c r="CT49" s="1520"/>
      <c r="CU49" s="1519"/>
      <c r="CV49" s="1520"/>
      <c r="CW49" s="1519"/>
      <c r="CX49" s="1520"/>
      <c r="CY49" s="1519"/>
      <c r="CZ49" s="1520"/>
      <c r="DA49" s="1520"/>
      <c r="DB49" s="1520"/>
      <c r="DC49" s="1520"/>
      <c r="DD49" s="1520"/>
      <c r="DE49" s="1519"/>
      <c r="DF49" s="1518"/>
      <c r="DG49" s="1519"/>
      <c r="DH49" s="1518"/>
      <c r="DI49" s="1519"/>
      <c r="DJ49" s="1518"/>
      <c r="DK49" s="1519"/>
      <c r="DL49" s="1518"/>
      <c r="DM49" s="1519"/>
      <c r="DN49" s="1518"/>
      <c r="DO49" s="1519"/>
      <c r="DP49" s="1518"/>
      <c r="DQ49" s="1519"/>
      <c r="DR49" s="1518"/>
      <c r="DS49" s="1519"/>
      <c r="DT49" s="1518"/>
      <c r="DU49" s="1519"/>
      <c r="DV49" s="1520"/>
      <c r="DW49" s="1519"/>
      <c r="DX49" s="1518"/>
      <c r="DY49" s="1519"/>
      <c r="DZ49" s="1518"/>
      <c r="EA49" s="1519"/>
      <c r="EB49" s="1518"/>
      <c r="EC49" s="1519"/>
      <c r="ED49" s="1518"/>
      <c r="EE49" s="1519"/>
      <c r="EF49" s="1518"/>
      <c r="EG49" s="1519"/>
      <c r="EH49" s="1518"/>
      <c r="EI49" s="1519"/>
      <c r="EJ49" s="1562"/>
      <c r="EK49" s="1560"/>
      <c r="EL49" s="1562"/>
      <c r="EM49" s="1560"/>
      <c r="EN49" s="1518"/>
      <c r="EO49" s="1519"/>
      <c r="EP49" s="1518"/>
      <c r="EQ49" s="1519"/>
      <c r="ER49" s="1518"/>
      <c r="ES49" s="1519"/>
      <c r="ET49" s="1518"/>
      <c r="EU49" s="1519"/>
      <c r="EV49" s="1518"/>
      <c r="EW49" s="1519"/>
      <c r="EX49" s="1518"/>
      <c r="EY49" s="1519"/>
      <c r="EZ49" s="1518"/>
      <c r="FA49" s="1519"/>
      <c r="FB49" s="1520"/>
      <c r="FC49" s="1519"/>
      <c r="FD49" s="1520"/>
      <c r="FE49" s="1519"/>
      <c r="FF49" s="1520"/>
      <c r="FG49" s="1519"/>
      <c r="FH49" s="1520"/>
      <c r="FI49" s="1520"/>
      <c r="FJ49" s="1520"/>
      <c r="FK49" s="1519"/>
      <c r="FL49" s="1518"/>
      <c r="FM49" s="1519"/>
      <c r="FN49" s="1571"/>
      <c r="FO49" s="1519"/>
      <c r="FP49" s="1571"/>
      <c r="FQ49" s="1519"/>
      <c r="FR49" s="1571"/>
      <c r="FS49" s="1519"/>
      <c r="FT49" s="1532"/>
      <c r="FU49" s="1519"/>
      <c r="FV49" s="1532"/>
      <c r="FW49" s="1519"/>
      <c r="FX49" s="1572"/>
      <c r="FY49" s="1560"/>
      <c r="FZ49" s="1572"/>
      <c r="GA49" s="1560"/>
      <c r="GB49" s="1572"/>
      <c r="GC49" s="1560"/>
      <c r="GD49" s="1527"/>
      <c r="GE49" s="1560"/>
      <c r="GF49" s="1518"/>
      <c r="GG49" s="1519"/>
      <c r="GH49" s="1518"/>
      <c r="GI49" s="1519"/>
      <c r="GJ49" s="1520"/>
      <c r="GK49" s="1519"/>
      <c r="GL49" s="1518"/>
      <c r="GM49" s="1519"/>
      <c r="GN49" s="1520"/>
      <c r="GO49" s="1519"/>
      <c r="GP49" s="1520"/>
      <c r="GQ49" s="1519"/>
      <c r="GR49" s="1518"/>
      <c r="GS49" s="1519"/>
      <c r="GT49" s="1518"/>
      <c r="GU49" s="1519"/>
      <c r="GV49" s="1520"/>
      <c r="GW49" s="1519"/>
      <c r="GX49" s="1561"/>
      <c r="GY49" s="1527"/>
      <c r="GZ49" s="1518"/>
      <c r="HA49" s="1519"/>
      <c r="HB49" s="1501">
        <f>IFERROR(__xludf.DUMMYFUNCTION("""COMPUTED_VALUE"""),541.3138888888889)</f>
        <v>541.3138889</v>
      </c>
      <c r="HC49" s="1502">
        <f>IFERROR(__xludf.DUMMYFUNCTION("""COMPUTED_VALUE"""),4.12E12)</f>
        <v>4120000000000</v>
      </c>
      <c r="HD49" s="1518"/>
      <c r="HE49" s="1519"/>
      <c r="HF49" s="1518"/>
      <c r="HG49" s="1519"/>
      <c r="HH49" s="1518"/>
      <c r="HI49" s="1519"/>
      <c r="HJ49" s="1518"/>
      <c r="HK49" s="1519"/>
      <c r="HL49" s="1518"/>
      <c r="HM49" s="1519"/>
      <c r="HN49" s="1520"/>
      <c r="HO49" s="1519"/>
      <c r="HP49" s="1518"/>
      <c r="HQ49" s="1519"/>
      <c r="HR49" s="1518"/>
      <c r="HS49" s="1519"/>
      <c r="HT49" s="1518"/>
      <c r="HU49" s="1519"/>
      <c r="HV49" s="1518"/>
      <c r="HW49" s="1519"/>
      <c r="HX49" s="1518"/>
      <c r="HY49" s="1519"/>
      <c r="HZ49" s="1518"/>
      <c r="IA49" s="1519"/>
      <c r="IB49" s="1518"/>
      <c r="IC49" s="1519"/>
      <c r="ID49" s="1518"/>
      <c r="IE49" s="1519"/>
      <c r="IF49" s="1518"/>
      <c r="IG49" s="1519"/>
      <c r="IH49" s="1518"/>
      <c r="II49" s="1519"/>
      <c r="IJ49" s="1518"/>
      <c r="IK49" s="1519"/>
      <c r="IL49" s="1518"/>
      <c r="IM49" s="1519"/>
      <c r="IN49" s="1518"/>
      <c r="IO49" s="1519"/>
      <c r="IP49" s="1518"/>
      <c r="IQ49" s="1519"/>
      <c r="IR49" s="1518"/>
      <c r="IS49" s="1519"/>
      <c r="IT49" s="1518"/>
      <c r="IU49" s="1519"/>
      <c r="IV49" s="1518"/>
      <c r="IW49" s="1519"/>
      <c r="IX49" s="1518"/>
      <c r="IY49" s="1519"/>
      <c r="IZ49" s="1518"/>
      <c r="JA49" s="1519"/>
      <c r="JB49" s="1518"/>
      <c r="JC49" s="1519"/>
      <c r="JD49" s="1518"/>
      <c r="JE49" s="1519"/>
      <c r="JF49" s="1518"/>
      <c r="JG49" s="1519"/>
      <c r="JH49" s="1518"/>
      <c r="JI49" s="1519"/>
      <c r="JJ49" s="1562"/>
      <c r="JK49" s="1560"/>
      <c r="JL49" s="1562"/>
      <c r="JM49" s="1560"/>
      <c r="JN49" s="1562"/>
      <c r="JO49" s="1560"/>
      <c r="JP49" s="1562"/>
      <c r="JQ49" s="1560"/>
      <c r="JR49" s="1562"/>
      <c r="JS49" s="1560"/>
      <c r="JT49" s="1562"/>
      <c r="JU49" s="1560"/>
      <c r="JV49" s="1562"/>
      <c r="JW49" s="1560"/>
      <c r="JX49" s="1562"/>
      <c r="JY49" s="1527"/>
      <c r="JZ49" s="1566">
        <f>IFERROR(__xludf.DUMMYFUNCTION("""COMPUTED_VALUE"""),4.155127315)</f>
        <v>4.155127315</v>
      </c>
      <c r="KA49" s="1514">
        <f>IFERROR(__xludf.DUMMYFUNCTION("""COMPUTED_VALUE"""),6.173E10)</f>
        <v>61730000000</v>
      </c>
      <c r="KB49" s="1566">
        <f>IFERROR(__xludf.DUMMYFUNCTION("""COMPUTED_VALUE"""),10.91482639)</f>
        <v>10.91482639</v>
      </c>
      <c r="KC49" s="1567">
        <f>IFERROR(__xludf.DUMMYFUNCTION("""COMPUTED_VALUE"""),2.9201E11)</f>
        <v>292010000000</v>
      </c>
      <c r="KD49" s="1562"/>
      <c r="KE49" s="1527"/>
      <c r="KF49" s="1527"/>
      <c r="KG49" s="1527"/>
      <c r="KH49" s="1527"/>
      <c r="KI49" s="1527"/>
      <c r="KJ49" s="1527"/>
      <c r="KK49" s="1527"/>
      <c r="KL49" s="1527"/>
      <c r="KM49" s="1527"/>
      <c r="KN49" s="1527"/>
      <c r="KO49" s="1527"/>
      <c r="KP49" s="1527"/>
      <c r="KQ49" s="1527"/>
      <c r="KR49" s="1527"/>
      <c r="KS49" s="1527"/>
      <c r="KT49" s="1527"/>
      <c r="KU49" s="1527"/>
      <c r="KV49" s="1527"/>
      <c r="KW49" s="1527"/>
      <c r="KX49" s="1527"/>
      <c r="KY49" s="1527"/>
      <c r="KZ49" s="1527"/>
      <c r="LA49" s="1527"/>
      <c r="LB49" s="1527"/>
      <c r="LC49" s="1527"/>
      <c r="LD49" s="1527"/>
      <c r="LE49" s="1527"/>
      <c r="LF49" s="1527"/>
      <c r="LG49" s="1527"/>
      <c r="LH49" s="1527"/>
      <c r="LI49" s="1527"/>
      <c r="LJ49" s="1527"/>
      <c r="LK49" s="1527"/>
      <c r="LL49" s="1527"/>
      <c r="LM49" s="1527"/>
      <c r="LN49" s="1527"/>
      <c r="LO49" s="1527"/>
      <c r="LP49" s="1527"/>
      <c r="LQ49" s="1527"/>
      <c r="LR49" s="1527"/>
      <c r="LS49" s="1527"/>
      <c r="LT49" s="1527"/>
      <c r="LU49" s="1527"/>
      <c r="LV49" s="1527"/>
      <c r="LW49" s="1527"/>
      <c r="LX49" s="1527"/>
      <c r="LY49" s="1527"/>
      <c r="LZ49" s="1527"/>
      <c r="MA49" s="1527"/>
      <c r="MB49" s="1527"/>
      <c r="MC49" s="1527"/>
      <c r="MD49" s="1527"/>
      <c r="ME49" s="1527"/>
      <c r="MF49" s="1527"/>
      <c r="MG49" s="1527"/>
      <c r="MH49" s="1527"/>
      <c r="MI49" s="1527"/>
      <c r="MJ49" s="1527"/>
      <c r="MK49" s="1527"/>
      <c r="ML49" s="1527"/>
      <c r="MM49" s="1527"/>
      <c r="MN49" s="1527"/>
      <c r="MO49" s="1527"/>
      <c r="MP49" s="1527"/>
      <c r="MQ49" s="1527"/>
      <c r="MR49" s="1527"/>
      <c r="MS49" s="1527"/>
      <c r="MT49" s="1527"/>
      <c r="MU49" s="1527"/>
      <c r="MV49" s="1527"/>
      <c r="MW49" s="1527"/>
      <c r="MX49" s="1527"/>
      <c r="MY49" s="1527"/>
    </row>
    <row r="50">
      <c r="A50" s="1465">
        <f>IFERROR(__xludf.DUMMYFUNCTION("""COMPUTED_VALUE"""),48.0)</f>
        <v>48</v>
      </c>
      <c r="B50" s="1518"/>
      <c r="C50" s="1520"/>
      <c r="D50" s="1466">
        <f>IFERROR(__xludf.DUMMYFUNCTION("""COMPUTED_VALUE"""),8.511805555555556)</f>
        <v>8.511805556</v>
      </c>
      <c r="E50" s="1467">
        <f>IFERROR(__xludf.DUMMYFUNCTION("""COMPUTED_VALUE"""),556430.0)</f>
        <v>556430</v>
      </c>
      <c r="F50" s="1466">
        <f>IFERROR(__xludf.DUMMYFUNCTION("""COMPUTED_VALUE"""),8.511805555555556)</f>
        <v>8.511805556</v>
      </c>
      <c r="G50" s="1467">
        <f>IFERROR(__xludf.DUMMYFUNCTION("""COMPUTED_VALUE"""),556430.0)</f>
        <v>556430</v>
      </c>
      <c r="H50" s="1466">
        <f>IFERROR(__xludf.DUMMYFUNCTION("""COMPUTED_VALUE"""),8.511805555555556)</f>
        <v>8.511805556</v>
      </c>
      <c r="I50" s="1467">
        <f>IFERROR(__xludf.DUMMYFUNCTION("""COMPUTED_VALUE"""),556430.0)</f>
        <v>556430</v>
      </c>
      <c r="J50" s="1466">
        <f>IFERROR(__xludf.DUMMYFUNCTION("""COMPUTED_VALUE"""),8.511805555555556)</f>
        <v>8.511805556</v>
      </c>
      <c r="K50" s="1467">
        <f>IFERROR(__xludf.DUMMYFUNCTION("""COMPUTED_VALUE"""),556430.0)</f>
        <v>556430</v>
      </c>
      <c r="L50" s="1466">
        <f>IFERROR(__xludf.DUMMYFUNCTION("""COMPUTED_VALUE"""),15.145833333333334)</f>
        <v>15.14583333</v>
      </c>
      <c r="M50" s="1469">
        <f>IFERROR(__xludf.DUMMYFUNCTION("""COMPUTED_VALUE"""),1710000.0)</f>
        <v>1710000</v>
      </c>
      <c r="N50" s="1470">
        <f>IFERROR(__xludf.DUMMYFUNCTION("""COMPUTED_VALUE"""),7.8069444444444445)</f>
        <v>7.806944444</v>
      </c>
      <c r="O50" s="1467">
        <f>IFERROR(__xludf.DUMMYFUNCTION("""COMPUTED_VALUE"""),1990000.0)</f>
        <v>1990000</v>
      </c>
      <c r="P50" s="1518"/>
      <c r="Q50" s="1519"/>
      <c r="R50" s="1518"/>
      <c r="S50" s="1519"/>
      <c r="T50" s="1518"/>
      <c r="U50" s="1519"/>
      <c r="V50" s="1518"/>
      <c r="W50" s="1519"/>
      <c r="X50" s="1518"/>
      <c r="Y50" s="1519"/>
      <c r="Z50" s="1518"/>
      <c r="AA50" s="1519"/>
      <c r="AB50" s="1518"/>
      <c r="AC50" s="1519"/>
      <c r="AD50" s="1466">
        <f>IFERROR(__xludf.DUMMYFUNCTION("""COMPUTED_VALUE"""),51.8375)</f>
        <v>51.8375</v>
      </c>
      <c r="AE50" s="1474">
        <f>IFERROR(__xludf.DUMMYFUNCTION("""COMPUTED_VALUE"""),2.266405202E14)</f>
        <v>226640520200000</v>
      </c>
      <c r="AF50" s="1466">
        <f>IFERROR(__xludf.DUMMYFUNCTION("""COMPUTED_VALUE"""),51.8375)</f>
        <v>51.8375</v>
      </c>
      <c r="AG50" s="1474">
        <f>IFERROR(__xludf.DUMMYFUNCTION("""COMPUTED_VALUE"""),2.266405202E14)</f>
        <v>226640520200000</v>
      </c>
      <c r="AH50" s="1466">
        <f>IFERROR(__xludf.DUMMYFUNCTION("""COMPUTED_VALUE"""),51.8375)</f>
        <v>51.8375</v>
      </c>
      <c r="AI50" s="1474">
        <f>IFERROR(__xludf.DUMMYFUNCTION("""COMPUTED_VALUE"""),2.266405202E14)</f>
        <v>226640520200000</v>
      </c>
      <c r="AJ50" s="1475">
        <f>IFERROR(__xludf.DUMMYFUNCTION("""COMPUTED_VALUE"""),8.511805555555556)</f>
        <v>8.511805556</v>
      </c>
      <c r="AK50" s="1476">
        <f>IFERROR(__xludf.DUMMYFUNCTION("""COMPUTED_VALUE"""),556430.0)</f>
        <v>556430</v>
      </c>
      <c r="AL50" s="1475">
        <f>IFERROR(__xludf.DUMMYFUNCTION("""COMPUTED_VALUE"""),8.511805555555556)</f>
        <v>8.511805556</v>
      </c>
      <c r="AM50" s="1476">
        <f>IFERROR(__xludf.DUMMYFUNCTION("""COMPUTED_VALUE"""),556430.0)</f>
        <v>556430</v>
      </c>
      <c r="AN50" s="1475">
        <f>IFERROR(__xludf.DUMMYFUNCTION("""COMPUTED_VALUE"""),8.511805555555556)</f>
        <v>8.511805556</v>
      </c>
      <c r="AO50" s="1476">
        <f>IFERROR(__xludf.DUMMYFUNCTION("""COMPUTED_VALUE"""),556430.0)</f>
        <v>556430</v>
      </c>
      <c r="AP50" s="1475">
        <f>IFERROR(__xludf.DUMMYFUNCTION("""COMPUTED_VALUE"""),8.511805555555556)</f>
        <v>8.511805556</v>
      </c>
      <c r="AQ50" s="1476">
        <f>IFERROR(__xludf.DUMMYFUNCTION("""COMPUTED_VALUE"""),556430.0)</f>
        <v>556430</v>
      </c>
      <c r="AR50" s="1475">
        <f>IFERROR(__xludf.DUMMYFUNCTION("""COMPUTED_VALUE"""),8.511805555555556)</f>
        <v>8.511805556</v>
      </c>
      <c r="AS50" s="1476">
        <f>IFERROR(__xludf.DUMMYFUNCTION("""COMPUTED_VALUE"""),556440.0)</f>
        <v>556440</v>
      </c>
      <c r="AT50" s="1475">
        <f>IFERROR(__xludf.DUMMYFUNCTION("""COMPUTED_VALUE"""),8567.119444444445)</f>
        <v>8567.119444</v>
      </c>
      <c r="AU50" s="1476">
        <f>IFERROR(__xludf.DUMMYFUNCTION("""COMPUTED_VALUE"""),7.226E10)</f>
        <v>72260000000</v>
      </c>
      <c r="AV50" s="1520"/>
      <c r="AW50" s="1519"/>
      <c r="AX50" s="1518"/>
      <c r="AY50" s="1568"/>
      <c r="AZ50" s="1518"/>
      <c r="BA50" s="1518"/>
      <c r="BB50" s="1477">
        <f>IFERROR(__xludf.DUMMYFUNCTION("""COMPUTED_VALUE"""),8.511805555555556)</f>
        <v>8.511805556</v>
      </c>
      <c r="BC50" s="1478">
        <f>IFERROR(__xludf.DUMMYFUNCTION("""COMPUTED_VALUE"""),556430.0)</f>
        <v>556430</v>
      </c>
      <c r="BD50" s="1477">
        <f>IFERROR(__xludf.DUMMYFUNCTION("""COMPUTED_VALUE"""),8.511805555555556)</f>
        <v>8.511805556</v>
      </c>
      <c r="BE50" s="1478">
        <f>IFERROR(__xludf.DUMMYFUNCTION("""COMPUTED_VALUE"""),556430.0)</f>
        <v>556430</v>
      </c>
      <c r="BF50" s="1477">
        <f>IFERROR(__xludf.DUMMYFUNCTION("""COMPUTED_VALUE"""),8.511805555555556)</f>
        <v>8.511805556</v>
      </c>
      <c r="BG50" s="1478">
        <f>IFERROR(__xludf.DUMMYFUNCTION("""COMPUTED_VALUE"""),556430.0)</f>
        <v>556430</v>
      </c>
      <c r="BH50" s="1477">
        <f>IFERROR(__xludf.DUMMYFUNCTION("""COMPUTED_VALUE"""),268.67083333333335)</f>
        <v>268.6708333</v>
      </c>
      <c r="BI50" s="1478">
        <f>IFERROR(__xludf.DUMMYFUNCTION("""COMPUTED_VALUE"""),4.88E9)</f>
        <v>4880000000</v>
      </c>
      <c r="BJ50" s="1518"/>
      <c r="BK50" s="1519"/>
      <c r="BL50" s="1518"/>
      <c r="BM50" s="1519"/>
      <c r="BN50" s="1518"/>
      <c r="BO50" s="1519"/>
      <c r="BP50" s="1518"/>
      <c r="BQ50" s="1519"/>
      <c r="BR50" s="1520"/>
      <c r="BS50" s="1519"/>
      <c r="BT50" s="1479">
        <f>IFERROR(__xludf.DUMMYFUNCTION("""COMPUTED_VALUE"""),8.688888888888888)</f>
        <v>8.688888889</v>
      </c>
      <c r="BU50" s="1480">
        <f>IFERROR(__xludf.DUMMYFUNCTION("""COMPUTED_VALUE"""),4.336E10)</f>
        <v>43360000000</v>
      </c>
      <c r="BV50" s="1520"/>
      <c r="BW50" s="1520"/>
      <c r="BX50" s="1520"/>
      <c r="BY50" s="1520"/>
      <c r="BZ50" s="1520"/>
      <c r="CA50" s="1520"/>
      <c r="CB50" s="1520"/>
      <c r="CC50" s="1519"/>
      <c r="CD50" s="1477">
        <f>IFERROR(__xludf.DUMMYFUNCTION("""COMPUTED_VALUE"""),33.71081018518519)</f>
        <v>33.71081019</v>
      </c>
      <c r="CE50" s="1481">
        <f>IFERROR(__xludf.DUMMYFUNCTION("""COMPUTED_VALUE"""),5.49E12)</f>
        <v>5490000000000</v>
      </c>
      <c r="CF50" s="1527"/>
      <c r="CG50" s="1560"/>
      <c r="CH50" s="1482">
        <f>IFERROR(__xludf.DUMMYFUNCTION("""COMPUTED_VALUE"""),8.511805555555556)</f>
        <v>8.511805556</v>
      </c>
      <c r="CI50" s="1483">
        <f>IFERROR(__xludf.DUMMYFUNCTION("""COMPUTED_VALUE"""),556440.0)</f>
        <v>556440</v>
      </c>
      <c r="CJ50" s="1482">
        <f>IFERROR(__xludf.DUMMYFUNCTION("""COMPUTED_VALUE"""),8.511805555555556)</f>
        <v>8.511805556</v>
      </c>
      <c r="CK50" s="1483">
        <f>IFERROR(__xludf.DUMMYFUNCTION("""COMPUTED_VALUE"""),556440.0)</f>
        <v>556440</v>
      </c>
      <c r="CL50" s="1482">
        <f>IFERROR(__xludf.DUMMYFUNCTION("""COMPUTED_VALUE"""),8.511805555555556)</f>
        <v>8.511805556</v>
      </c>
      <c r="CM50" s="1483">
        <f>IFERROR(__xludf.DUMMYFUNCTION("""COMPUTED_VALUE"""),556440.0)</f>
        <v>556440</v>
      </c>
      <c r="CN50" s="1482">
        <f>IFERROR(__xludf.DUMMYFUNCTION("""COMPUTED_VALUE"""),8.511805555555556)</f>
        <v>8.511805556</v>
      </c>
      <c r="CO50" s="1483">
        <f>IFERROR(__xludf.DUMMYFUNCTION("""COMPUTED_VALUE"""),556440.0)</f>
        <v>556440</v>
      </c>
      <c r="CP50" s="1482">
        <f>IFERROR(__xludf.DUMMYFUNCTION("""COMPUTED_VALUE"""),18.303472222222222)</f>
        <v>18.30347222</v>
      </c>
      <c r="CQ50" s="1483">
        <f>IFERROR(__xludf.DUMMYFUNCTION("""COMPUTED_VALUE"""),1990000.0)</f>
        <v>1990000</v>
      </c>
      <c r="CR50" s="1518"/>
      <c r="CS50" s="1519"/>
      <c r="CT50" s="1520"/>
      <c r="CU50" s="1519"/>
      <c r="CV50" s="1520"/>
      <c r="CW50" s="1519"/>
      <c r="CX50" s="1520"/>
      <c r="CY50" s="1519"/>
      <c r="CZ50" s="1520"/>
      <c r="DA50" s="1520"/>
      <c r="DB50" s="1520"/>
      <c r="DC50" s="1520"/>
      <c r="DD50" s="1520"/>
      <c r="DE50" s="1519"/>
      <c r="DF50" s="1518"/>
      <c r="DG50" s="1519"/>
      <c r="DH50" s="1518"/>
      <c r="DI50" s="1519"/>
      <c r="DJ50" s="1518"/>
      <c r="DK50" s="1519"/>
      <c r="DL50" s="1518"/>
      <c r="DM50" s="1519"/>
      <c r="DN50" s="1518"/>
      <c r="DO50" s="1519"/>
      <c r="DP50" s="1518"/>
      <c r="DQ50" s="1519"/>
      <c r="DR50" s="1518"/>
      <c r="DS50" s="1519"/>
      <c r="DT50" s="1518"/>
      <c r="DU50" s="1519"/>
      <c r="DV50" s="1520"/>
      <c r="DW50" s="1519"/>
      <c r="DX50" s="1518"/>
      <c r="DY50" s="1519"/>
      <c r="DZ50" s="1518"/>
      <c r="EA50" s="1519"/>
      <c r="EB50" s="1518"/>
      <c r="EC50" s="1519"/>
      <c r="ED50" s="1518"/>
      <c r="EE50" s="1519"/>
      <c r="EF50" s="1518"/>
      <c r="EG50" s="1519"/>
      <c r="EH50" s="1518"/>
      <c r="EI50" s="1519"/>
      <c r="EJ50" s="1562"/>
      <c r="EK50" s="1560"/>
      <c r="EL50" s="1562"/>
      <c r="EM50" s="1560"/>
      <c r="EN50" s="1518"/>
      <c r="EO50" s="1519"/>
      <c r="EP50" s="1518"/>
      <c r="EQ50" s="1519"/>
      <c r="ER50" s="1518"/>
      <c r="ES50" s="1519"/>
      <c r="ET50" s="1518"/>
      <c r="EU50" s="1519"/>
      <c r="EV50" s="1518"/>
      <c r="EW50" s="1519"/>
      <c r="EX50" s="1518"/>
      <c r="EY50" s="1519"/>
      <c r="EZ50" s="1518"/>
      <c r="FA50" s="1519"/>
      <c r="FB50" s="1520"/>
      <c r="FC50" s="1519"/>
      <c r="FD50" s="1520"/>
      <c r="FE50" s="1519"/>
      <c r="FF50" s="1520"/>
      <c r="FG50" s="1519"/>
      <c r="FH50" s="1520"/>
      <c r="FI50" s="1520"/>
      <c r="FJ50" s="1520"/>
      <c r="FK50" s="1519"/>
      <c r="FL50" s="1518"/>
      <c r="FM50" s="1519"/>
      <c r="FN50" s="1571"/>
      <c r="FO50" s="1519"/>
      <c r="FP50" s="1571"/>
      <c r="FQ50" s="1519"/>
      <c r="FR50" s="1571"/>
      <c r="FS50" s="1519"/>
      <c r="FT50" s="1532"/>
      <c r="FU50" s="1519"/>
      <c r="FV50" s="1532"/>
      <c r="FW50" s="1519"/>
      <c r="FX50" s="1572"/>
      <c r="FY50" s="1560"/>
      <c r="FZ50" s="1572"/>
      <c r="GA50" s="1560"/>
      <c r="GB50" s="1572"/>
      <c r="GC50" s="1560"/>
      <c r="GD50" s="1527"/>
      <c r="GE50" s="1560"/>
      <c r="GF50" s="1518"/>
      <c r="GG50" s="1519"/>
      <c r="GH50" s="1518"/>
      <c r="GI50" s="1519"/>
      <c r="GJ50" s="1520"/>
      <c r="GK50" s="1519"/>
      <c r="GL50" s="1518"/>
      <c r="GM50" s="1519"/>
      <c r="GN50" s="1520"/>
      <c r="GO50" s="1519"/>
      <c r="GP50" s="1520"/>
      <c r="GQ50" s="1519"/>
      <c r="GR50" s="1518"/>
      <c r="GS50" s="1519"/>
      <c r="GT50" s="1518"/>
      <c r="GU50" s="1519"/>
      <c r="GV50" s="1520"/>
      <c r="GW50" s="1519"/>
      <c r="GX50" s="1561"/>
      <c r="GY50" s="1527"/>
      <c r="GZ50" s="1518"/>
      <c r="HA50" s="1519"/>
      <c r="HB50" s="1501">
        <f>IFERROR(__xludf.DUMMYFUNCTION("""COMPUTED_VALUE"""),583.2659722222222)</f>
        <v>583.2659722</v>
      </c>
      <c r="HC50" s="1502">
        <f>IFERROR(__xludf.DUMMYFUNCTION("""COMPUTED_VALUE"""),4.59E12)</f>
        <v>4590000000000</v>
      </c>
      <c r="HD50" s="1518"/>
      <c r="HE50" s="1519"/>
      <c r="HF50" s="1518"/>
      <c r="HG50" s="1519"/>
      <c r="HH50" s="1518"/>
      <c r="HI50" s="1519"/>
      <c r="HJ50" s="1518"/>
      <c r="HK50" s="1519"/>
      <c r="HL50" s="1518"/>
      <c r="HM50" s="1519"/>
      <c r="HN50" s="1520"/>
      <c r="HO50" s="1519"/>
      <c r="HP50" s="1518"/>
      <c r="HQ50" s="1519"/>
      <c r="HR50" s="1518"/>
      <c r="HS50" s="1519"/>
      <c r="HT50" s="1518"/>
      <c r="HU50" s="1519"/>
      <c r="HV50" s="1518"/>
      <c r="HW50" s="1519"/>
      <c r="HX50" s="1518"/>
      <c r="HY50" s="1519"/>
      <c r="HZ50" s="1518"/>
      <c r="IA50" s="1519"/>
      <c r="IB50" s="1518"/>
      <c r="IC50" s="1519"/>
      <c r="ID50" s="1518"/>
      <c r="IE50" s="1519"/>
      <c r="IF50" s="1518"/>
      <c r="IG50" s="1519"/>
      <c r="IH50" s="1518"/>
      <c r="II50" s="1519"/>
      <c r="IJ50" s="1518"/>
      <c r="IK50" s="1519"/>
      <c r="IL50" s="1518"/>
      <c r="IM50" s="1519"/>
      <c r="IN50" s="1518"/>
      <c r="IO50" s="1519"/>
      <c r="IP50" s="1518"/>
      <c r="IQ50" s="1519"/>
      <c r="IR50" s="1518"/>
      <c r="IS50" s="1519"/>
      <c r="IT50" s="1518"/>
      <c r="IU50" s="1519"/>
      <c r="IV50" s="1518"/>
      <c r="IW50" s="1519"/>
      <c r="IX50" s="1518"/>
      <c r="IY50" s="1519"/>
      <c r="IZ50" s="1518"/>
      <c r="JA50" s="1519"/>
      <c r="JB50" s="1518"/>
      <c r="JC50" s="1519"/>
      <c r="JD50" s="1518"/>
      <c r="JE50" s="1519"/>
      <c r="JF50" s="1518"/>
      <c r="JG50" s="1519"/>
      <c r="JH50" s="1518"/>
      <c r="JI50" s="1519"/>
      <c r="JJ50" s="1562"/>
      <c r="JK50" s="1560"/>
      <c r="JL50" s="1562"/>
      <c r="JM50" s="1560"/>
      <c r="JN50" s="1562"/>
      <c r="JO50" s="1560"/>
      <c r="JP50" s="1562"/>
      <c r="JQ50" s="1560"/>
      <c r="JR50" s="1562"/>
      <c r="JS50" s="1560"/>
      <c r="JT50" s="1562"/>
      <c r="JU50" s="1560"/>
      <c r="JV50" s="1562"/>
      <c r="JW50" s="1560"/>
      <c r="JX50" s="1562"/>
      <c r="JY50" s="1527"/>
      <c r="JZ50" s="1566">
        <f>IFERROR(__xludf.DUMMYFUNCTION("""COMPUTED_VALUE"""),4.238611111)</f>
        <v>4.238611111</v>
      </c>
      <c r="KA50" s="1514">
        <f>IFERROR(__xludf.DUMMYFUNCTION("""COMPUTED_VALUE"""),6.542E10)</f>
        <v>65420000000</v>
      </c>
      <c r="KB50" s="1566">
        <f>IFERROR(__xludf.DUMMYFUNCTION("""COMPUTED_VALUE"""),11.36953704)</f>
        <v>11.36953704</v>
      </c>
      <c r="KC50" s="1567">
        <f>IFERROR(__xludf.DUMMYFUNCTION("""COMPUTED_VALUE"""),3.1147E11)</f>
        <v>311470000000</v>
      </c>
      <c r="KD50" s="1562"/>
      <c r="KE50" s="1527"/>
      <c r="KF50" s="1527"/>
      <c r="KG50" s="1527"/>
      <c r="KH50" s="1527"/>
      <c r="KI50" s="1527"/>
      <c r="KJ50" s="1527"/>
      <c r="KK50" s="1527"/>
      <c r="KL50" s="1527"/>
      <c r="KM50" s="1527"/>
      <c r="KN50" s="1527"/>
      <c r="KO50" s="1527"/>
      <c r="KP50" s="1527"/>
      <c r="KQ50" s="1527"/>
      <c r="KR50" s="1527"/>
      <c r="KS50" s="1527"/>
      <c r="KT50" s="1527"/>
      <c r="KU50" s="1527"/>
      <c r="KV50" s="1527"/>
      <c r="KW50" s="1527"/>
      <c r="KX50" s="1527"/>
      <c r="KY50" s="1527"/>
      <c r="KZ50" s="1527"/>
      <c r="LA50" s="1527"/>
      <c r="LB50" s="1527"/>
      <c r="LC50" s="1527"/>
      <c r="LD50" s="1527"/>
      <c r="LE50" s="1527"/>
      <c r="LF50" s="1527"/>
      <c r="LG50" s="1527"/>
      <c r="LH50" s="1527"/>
      <c r="LI50" s="1527"/>
      <c r="LJ50" s="1527"/>
      <c r="LK50" s="1527"/>
      <c r="LL50" s="1527"/>
      <c r="LM50" s="1527"/>
      <c r="LN50" s="1527"/>
      <c r="LO50" s="1527"/>
      <c r="LP50" s="1527"/>
      <c r="LQ50" s="1527"/>
      <c r="LR50" s="1527"/>
      <c r="LS50" s="1527"/>
      <c r="LT50" s="1527"/>
      <c r="LU50" s="1527"/>
      <c r="LV50" s="1527"/>
      <c r="LW50" s="1527"/>
      <c r="LX50" s="1527"/>
      <c r="LY50" s="1527"/>
      <c r="LZ50" s="1527"/>
      <c r="MA50" s="1527"/>
      <c r="MB50" s="1527"/>
      <c r="MC50" s="1527"/>
      <c r="MD50" s="1527"/>
      <c r="ME50" s="1527"/>
      <c r="MF50" s="1527"/>
      <c r="MG50" s="1527"/>
      <c r="MH50" s="1527"/>
      <c r="MI50" s="1527"/>
      <c r="MJ50" s="1527"/>
      <c r="MK50" s="1527"/>
      <c r="ML50" s="1527"/>
      <c r="MM50" s="1527"/>
      <c r="MN50" s="1527"/>
      <c r="MO50" s="1527"/>
      <c r="MP50" s="1527"/>
      <c r="MQ50" s="1527"/>
      <c r="MR50" s="1527"/>
      <c r="MS50" s="1527"/>
      <c r="MT50" s="1527"/>
      <c r="MU50" s="1527"/>
      <c r="MV50" s="1527"/>
      <c r="MW50" s="1527"/>
      <c r="MX50" s="1527"/>
      <c r="MY50" s="1527"/>
    </row>
    <row r="51">
      <c r="A51" s="1465">
        <f>IFERROR(__xludf.DUMMYFUNCTION("""COMPUTED_VALUE"""),49.0)</f>
        <v>49</v>
      </c>
      <c r="B51" s="1518"/>
      <c r="C51" s="1520"/>
      <c r="D51" s="1466">
        <f>IFERROR(__xludf.DUMMYFUNCTION("""COMPUTED_VALUE"""),8.947916666666666)</f>
        <v>8.947916667</v>
      </c>
      <c r="E51" s="1467">
        <f>IFERROR(__xludf.DUMMYFUNCTION("""COMPUTED_VALUE"""),589550.0)</f>
        <v>589550</v>
      </c>
      <c r="F51" s="1466">
        <f>IFERROR(__xludf.DUMMYFUNCTION("""COMPUTED_VALUE"""),8.947916666666666)</f>
        <v>8.947916667</v>
      </c>
      <c r="G51" s="1467">
        <f>IFERROR(__xludf.DUMMYFUNCTION("""COMPUTED_VALUE"""),589550.0)</f>
        <v>589550</v>
      </c>
      <c r="H51" s="1466">
        <f>IFERROR(__xludf.DUMMYFUNCTION("""COMPUTED_VALUE"""),8.947916666666666)</f>
        <v>8.947916667</v>
      </c>
      <c r="I51" s="1467">
        <f>IFERROR(__xludf.DUMMYFUNCTION("""COMPUTED_VALUE"""),589550.0)</f>
        <v>589550</v>
      </c>
      <c r="J51" s="1466">
        <f>IFERROR(__xludf.DUMMYFUNCTION("""COMPUTED_VALUE"""),8.947916666666666)</f>
        <v>8.947916667</v>
      </c>
      <c r="K51" s="1467">
        <f>IFERROR(__xludf.DUMMYFUNCTION("""COMPUTED_VALUE"""),589550.0)</f>
        <v>589550</v>
      </c>
      <c r="L51" s="1466">
        <f>IFERROR(__xludf.DUMMYFUNCTION("""COMPUTED_VALUE"""),15.972222222222221)</f>
        <v>15.97222222</v>
      </c>
      <c r="M51" s="1469">
        <f>IFERROR(__xludf.DUMMYFUNCTION("""COMPUTED_VALUE"""),1810000.0)</f>
        <v>1810000</v>
      </c>
      <c r="N51" s="1470">
        <f>IFERROR(__xludf.DUMMYFUNCTION("""COMPUTED_VALUE"""),8.14861111111111)</f>
        <v>8.148611111</v>
      </c>
      <c r="O51" s="1467">
        <f>IFERROR(__xludf.DUMMYFUNCTION("""COMPUTED_VALUE"""),2120000.0)</f>
        <v>2120000</v>
      </c>
      <c r="P51" s="1518"/>
      <c r="Q51" s="1519"/>
      <c r="R51" s="1518"/>
      <c r="S51" s="1519"/>
      <c r="T51" s="1518"/>
      <c r="U51" s="1519"/>
      <c r="V51" s="1518"/>
      <c r="W51" s="1519"/>
      <c r="X51" s="1518"/>
      <c r="Y51" s="1519"/>
      <c r="Z51" s="1518"/>
      <c r="AA51" s="1519"/>
      <c r="AB51" s="1518"/>
      <c r="AC51" s="1519"/>
      <c r="AD51" s="1466">
        <f>IFERROR(__xludf.DUMMYFUNCTION("""COMPUTED_VALUE"""),52.91736111111111)</f>
        <v>52.91736111</v>
      </c>
      <c r="AE51" s="1474">
        <f>IFERROR(__xludf.DUMMYFUNCTION("""COMPUTED_VALUE"""),2.946326763E14)</f>
        <v>294632676300000</v>
      </c>
      <c r="AF51" s="1466">
        <f>IFERROR(__xludf.DUMMYFUNCTION("""COMPUTED_VALUE"""),52.91736111111111)</f>
        <v>52.91736111</v>
      </c>
      <c r="AG51" s="1474">
        <f>IFERROR(__xludf.DUMMYFUNCTION("""COMPUTED_VALUE"""),2.946326763E14)</f>
        <v>294632676300000</v>
      </c>
      <c r="AH51" s="1466">
        <f>IFERROR(__xludf.DUMMYFUNCTION("""COMPUTED_VALUE"""),52.91736111111111)</f>
        <v>52.91736111</v>
      </c>
      <c r="AI51" s="1474">
        <f>IFERROR(__xludf.DUMMYFUNCTION("""COMPUTED_VALUE"""),2.946326763E14)</f>
        <v>294632676300000</v>
      </c>
      <c r="AJ51" s="1475">
        <f>IFERROR(__xludf.DUMMYFUNCTION("""COMPUTED_VALUE"""),8.947916666666666)</f>
        <v>8.947916667</v>
      </c>
      <c r="AK51" s="1476">
        <f>IFERROR(__xludf.DUMMYFUNCTION("""COMPUTED_VALUE"""),589550.0)</f>
        <v>589550</v>
      </c>
      <c r="AL51" s="1475">
        <f>IFERROR(__xludf.DUMMYFUNCTION("""COMPUTED_VALUE"""),8.947916666666666)</f>
        <v>8.947916667</v>
      </c>
      <c r="AM51" s="1476">
        <f>IFERROR(__xludf.DUMMYFUNCTION("""COMPUTED_VALUE"""),589550.0)</f>
        <v>589550</v>
      </c>
      <c r="AN51" s="1475">
        <f>IFERROR(__xludf.DUMMYFUNCTION("""COMPUTED_VALUE"""),8.947916666666666)</f>
        <v>8.947916667</v>
      </c>
      <c r="AO51" s="1476">
        <f>IFERROR(__xludf.DUMMYFUNCTION("""COMPUTED_VALUE"""),589550.0)</f>
        <v>589550</v>
      </c>
      <c r="AP51" s="1475">
        <f>IFERROR(__xludf.DUMMYFUNCTION("""COMPUTED_VALUE"""),8.947916666666666)</f>
        <v>8.947916667</v>
      </c>
      <c r="AQ51" s="1476">
        <f>IFERROR(__xludf.DUMMYFUNCTION("""COMPUTED_VALUE"""),589550.0)</f>
        <v>589550</v>
      </c>
      <c r="AR51" s="1475">
        <f>IFERROR(__xludf.DUMMYFUNCTION("""COMPUTED_VALUE"""),8.947916666666666)</f>
        <v>8.947916667</v>
      </c>
      <c r="AS51" s="1476">
        <f>IFERROR(__xludf.DUMMYFUNCTION("""COMPUTED_VALUE"""),589560.0)</f>
        <v>589560</v>
      </c>
      <c r="AT51" s="1475">
        <f>IFERROR(__xludf.DUMMYFUNCTION("""COMPUTED_VALUE"""),9357.119444444445)</f>
        <v>9357.119444</v>
      </c>
      <c r="AU51" s="1476">
        <f>IFERROR(__xludf.DUMMYFUNCTION("""COMPUTED_VALUE"""),7.978E10)</f>
        <v>79780000000</v>
      </c>
      <c r="AV51" s="1520"/>
      <c r="AW51" s="1519"/>
      <c r="AX51" s="1518"/>
      <c r="AY51" s="1568"/>
      <c r="AZ51" s="1518"/>
      <c r="BA51" s="1518"/>
      <c r="BB51" s="1477">
        <f>IFERROR(__xludf.DUMMYFUNCTION("""COMPUTED_VALUE"""),8.947916666666666)</f>
        <v>8.947916667</v>
      </c>
      <c r="BC51" s="1478">
        <f>IFERROR(__xludf.DUMMYFUNCTION("""COMPUTED_VALUE"""),589550.0)</f>
        <v>589550</v>
      </c>
      <c r="BD51" s="1477">
        <f>IFERROR(__xludf.DUMMYFUNCTION("""COMPUTED_VALUE"""),8.947916666666666)</f>
        <v>8.947916667</v>
      </c>
      <c r="BE51" s="1478">
        <f>IFERROR(__xludf.DUMMYFUNCTION("""COMPUTED_VALUE"""),589550.0)</f>
        <v>589550</v>
      </c>
      <c r="BF51" s="1477">
        <f>IFERROR(__xludf.DUMMYFUNCTION("""COMPUTED_VALUE"""),8.947916666666666)</f>
        <v>8.947916667</v>
      </c>
      <c r="BG51" s="1478">
        <f>IFERROR(__xludf.DUMMYFUNCTION("""COMPUTED_VALUE"""),589550.0)</f>
        <v>589550</v>
      </c>
      <c r="BH51" s="1477">
        <f>IFERROR(__xludf.DUMMYFUNCTION("""COMPUTED_VALUE"""),287.91527777777776)</f>
        <v>287.9152778</v>
      </c>
      <c r="BI51" s="1478">
        <f>IFERROR(__xludf.DUMMYFUNCTION("""COMPUTED_VALUE"""),5.31E9)</f>
        <v>5310000000</v>
      </c>
      <c r="BJ51" s="1518"/>
      <c r="BK51" s="1519"/>
      <c r="BL51" s="1518"/>
      <c r="BM51" s="1519"/>
      <c r="BN51" s="1518"/>
      <c r="BO51" s="1519"/>
      <c r="BP51" s="1518"/>
      <c r="BQ51" s="1519"/>
      <c r="BR51" s="1520"/>
      <c r="BS51" s="1519"/>
      <c r="BT51" s="1479">
        <f>IFERROR(__xludf.DUMMYFUNCTION("""COMPUTED_VALUE"""),9.123611111111112)</f>
        <v>9.123611111</v>
      </c>
      <c r="BU51" s="1480">
        <f>IFERROR(__xludf.DUMMYFUNCTION("""COMPUTED_VALUE"""),4.593E10)</f>
        <v>45930000000</v>
      </c>
      <c r="BV51" s="1520"/>
      <c r="BW51" s="1520"/>
      <c r="BX51" s="1520"/>
      <c r="BY51" s="1520"/>
      <c r="BZ51" s="1520"/>
      <c r="CA51" s="1520"/>
      <c r="CB51" s="1520"/>
      <c r="CC51" s="1519"/>
      <c r="CD51" s="1477">
        <f>IFERROR(__xludf.DUMMYFUNCTION("""COMPUTED_VALUE"""),35.36498842592592)</f>
        <v>35.36498843</v>
      </c>
      <c r="CE51" s="1481">
        <f>IFERROR(__xludf.DUMMYFUNCTION("""COMPUTED_VALUE"""),5.83E12)</f>
        <v>5830000000000</v>
      </c>
      <c r="CF51" s="1527"/>
      <c r="CG51" s="1560"/>
      <c r="CH51" s="1482">
        <f>IFERROR(__xludf.DUMMYFUNCTION("""COMPUTED_VALUE"""),8.947916666666666)</f>
        <v>8.947916667</v>
      </c>
      <c r="CI51" s="1483">
        <f>IFERROR(__xludf.DUMMYFUNCTION("""COMPUTED_VALUE"""),589560.0)</f>
        <v>589560</v>
      </c>
      <c r="CJ51" s="1482">
        <f>IFERROR(__xludf.DUMMYFUNCTION("""COMPUTED_VALUE"""),8.947916666666666)</f>
        <v>8.947916667</v>
      </c>
      <c r="CK51" s="1483">
        <f>IFERROR(__xludf.DUMMYFUNCTION("""COMPUTED_VALUE"""),589560.0)</f>
        <v>589560</v>
      </c>
      <c r="CL51" s="1482">
        <f>IFERROR(__xludf.DUMMYFUNCTION("""COMPUTED_VALUE"""),8.947916666666666)</f>
        <v>8.947916667</v>
      </c>
      <c r="CM51" s="1483">
        <f>IFERROR(__xludf.DUMMYFUNCTION("""COMPUTED_VALUE"""),589560.0)</f>
        <v>589560</v>
      </c>
      <c r="CN51" s="1482">
        <f>IFERROR(__xludf.DUMMYFUNCTION("""COMPUTED_VALUE"""),8.947916666666666)</f>
        <v>8.947916667</v>
      </c>
      <c r="CO51" s="1483">
        <f>IFERROR(__xludf.DUMMYFUNCTION("""COMPUTED_VALUE"""),589560.0)</f>
        <v>589560</v>
      </c>
      <c r="CP51" s="1482">
        <f>IFERROR(__xludf.DUMMYFUNCTION("""COMPUTED_VALUE"""),19.324305555555558)</f>
        <v>19.32430556</v>
      </c>
      <c r="CQ51" s="1483">
        <f>IFERROR(__xludf.DUMMYFUNCTION("""COMPUTED_VALUE"""),2120000.0)</f>
        <v>2120000</v>
      </c>
      <c r="CR51" s="1518"/>
      <c r="CS51" s="1519"/>
      <c r="CT51" s="1520"/>
      <c r="CU51" s="1519"/>
      <c r="CV51" s="1520"/>
      <c r="CW51" s="1519"/>
      <c r="CX51" s="1520"/>
      <c r="CY51" s="1519"/>
      <c r="CZ51" s="1520"/>
      <c r="DA51" s="1520"/>
      <c r="DB51" s="1520"/>
      <c r="DC51" s="1520"/>
      <c r="DD51" s="1520"/>
      <c r="DE51" s="1519"/>
      <c r="DF51" s="1518"/>
      <c r="DG51" s="1519"/>
      <c r="DH51" s="1518"/>
      <c r="DI51" s="1519"/>
      <c r="DJ51" s="1518"/>
      <c r="DK51" s="1519"/>
      <c r="DL51" s="1518"/>
      <c r="DM51" s="1519"/>
      <c r="DN51" s="1518"/>
      <c r="DO51" s="1519"/>
      <c r="DP51" s="1518"/>
      <c r="DQ51" s="1519"/>
      <c r="DR51" s="1518"/>
      <c r="DS51" s="1519"/>
      <c r="DT51" s="1518"/>
      <c r="DU51" s="1519"/>
      <c r="DV51" s="1520"/>
      <c r="DW51" s="1519"/>
      <c r="DX51" s="1518"/>
      <c r="DY51" s="1519"/>
      <c r="DZ51" s="1518"/>
      <c r="EA51" s="1519"/>
      <c r="EB51" s="1518"/>
      <c r="EC51" s="1519"/>
      <c r="ED51" s="1518"/>
      <c r="EE51" s="1519"/>
      <c r="EF51" s="1518"/>
      <c r="EG51" s="1519"/>
      <c r="EH51" s="1518"/>
      <c r="EI51" s="1519"/>
      <c r="EJ51" s="1562"/>
      <c r="EK51" s="1560"/>
      <c r="EL51" s="1562"/>
      <c r="EM51" s="1560"/>
      <c r="EN51" s="1518"/>
      <c r="EO51" s="1519"/>
      <c r="EP51" s="1518"/>
      <c r="EQ51" s="1519"/>
      <c r="ER51" s="1518"/>
      <c r="ES51" s="1519"/>
      <c r="ET51" s="1518"/>
      <c r="EU51" s="1519"/>
      <c r="EV51" s="1518"/>
      <c r="EW51" s="1519"/>
      <c r="EX51" s="1518"/>
      <c r="EY51" s="1519"/>
      <c r="EZ51" s="1518"/>
      <c r="FA51" s="1519"/>
      <c r="FB51" s="1520"/>
      <c r="FC51" s="1519"/>
      <c r="FD51" s="1520"/>
      <c r="FE51" s="1519"/>
      <c r="FF51" s="1520"/>
      <c r="FG51" s="1519"/>
      <c r="FH51" s="1520"/>
      <c r="FI51" s="1520"/>
      <c r="FJ51" s="1520"/>
      <c r="FK51" s="1519"/>
      <c r="FL51" s="1518"/>
      <c r="FM51" s="1519"/>
      <c r="FN51" s="1571"/>
      <c r="FO51" s="1519"/>
      <c r="FP51" s="1571"/>
      <c r="FQ51" s="1519"/>
      <c r="FR51" s="1571"/>
      <c r="FS51" s="1519"/>
      <c r="FT51" s="1532"/>
      <c r="FU51" s="1519"/>
      <c r="FV51" s="1532"/>
      <c r="FW51" s="1519"/>
      <c r="FX51" s="1572"/>
      <c r="FY51" s="1560"/>
      <c r="FZ51" s="1572"/>
      <c r="GA51" s="1560"/>
      <c r="GB51" s="1572"/>
      <c r="GC51" s="1560"/>
      <c r="GD51" s="1527"/>
      <c r="GE51" s="1560"/>
      <c r="GF51" s="1518"/>
      <c r="GG51" s="1519"/>
      <c r="GH51" s="1518"/>
      <c r="GI51" s="1519"/>
      <c r="GJ51" s="1520"/>
      <c r="GK51" s="1519"/>
      <c r="GL51" s="1518"/>
      <c r="GM51" s="1519"/>
      <c r="GN51" s="1520"/>
      <c r="GO51" s="1519"/>
      <c r="GP51" s="1520"/>
      <c r="GQ51" s="1519"/>
      <c r="GR51" s="1518"/>
      <c r="GS51" s="1519"/>
      <c r="GT51" s="1518"/>
      <c r="GU51" s="1519"/>
      <c r="GV51" s="1520"/>
      <c r="GW51" s="1519"/>
      <c r="GX51" s="1561"/>
      <c r="GY51" s="1527"/>
      <c r="GZ51" s="1518"/>
      <c r="HA51" s="1519"/>
      <c r="HB51" s="1501">
        <f>IFERROR(__xludf.DUMMYFUNCTION("""COMPUTED_VALUE"""),627.5027777777777)</f>
        <v>627.5027778</v>
      </c>
      <c r="HC51" s="1502">
        <f>IFERROR(__xludf.DUMMYFUNCTION("""COMPUTED_VALUE"""),5.1E12)</f>
        <v>5100000000000</v>
      </c>
      <c r="HD51" s="1518"/>
      <c r="HE51" s="1519"/>
      <c r="HF51" s="1518"/>
      <c r="HG51" s="1519"/>
      <c r="HH51" s="1518"/>
      <c r="HI51" s="1519"/>
      <c r="HJ51" s="1518"/>
      <c r="HK51" s="1519"/>
      <c r="HL51" s="1518"/>
      <c r="HM51" s="1519"/>
      <c r="HN51" s="1520"/>
      <c r="HO51" s="1519"/>
      <c r="HP51" s="1518"/>
      <c r="HQ51" s="1519"/>
      <c r="HR51" s="1518"/>
      <c r="HS51" s="1519"/>
      <c r="HT51" s="1518"/>
      <c r="HU51" s="1519"/>
      <c r="HV51" s="1518"/>
      <c r="HW51" s="1519"/>
      <c r="HX51" s="1518"/>
      <c r="HY51" s="1519"/>
      <c r="HZ51" s="1518"/>
      <c r="IA51" s="1519"/>
      <c r="IB51" s="1518"/>
      <c r="IC51" s="1519"/>
      <c r="ID51" s="1518"/>
      <c r="IE51" s="1519"/>
      <c r="IF51" s="1518"/>
      <c r="IG51" s="1519"/>
      <c r="IH51" s="1518"/>
      <c r="II51" s="1519"/>
      <c r="IJ51" s="1518"/>
      <c r="IK51" s="1519"/>
      <c r="IL51" s="1518"/>
      <c r="IM51" s="1519"/>
      <c r="IN51" s="1518"/>
      <c r="IO51" s="1519"/>
      <c r="IP51" s="1518"/>
      <c r="IQ51" s="1519"/>
      <c r="IR51" s="1518"/>
      <c r="IS51" s="1519"/>
      <c r="IT51" s="1518"/>
      <c r="IU51" s="1519"/>
      <c r="IV51" s="1518"/>
      <c r="IW51" s="1519"/>
      <c r="IX51" s="1518"/>
      <c r="IY51" s="1519"/>
      <c r="IZ51" s="1518"/>
      <c r="JA51" s="1519"/>
      <c r="JB51" s="1518"/>
      <c r="JC51" s="1519"/>
      <c r="JD51" s="1518"/>
      <c r="JE51" s="1519"/>
      <c r="JF51" s="1518"/>
      <c r="JG51" s="1519"/>
      <c r="JH51" s="1518"/>
      <c r="JI51" s="1519"/>
      <c r="JJ51" s="1562"/>
      <c r="JK51" s="1560"/>
      <c r="JL51" s="1562"/>
      <c r="JM51" s="1560"/>
      <c r="JN51" s="1562"/>
      <c r="JO51" s="1560"/>
      <c r="JP51" s="1562"/>
      <c r="JQ51" s="1560"/>
      <c r="JR51" s="1562"/>
      <c r="JS51" s="1560"/>
      <c r="JT51" s="1562"/>
      <c r="JU51" s="1560"/>
      <c r="JV51" s="1562"/>
      <c r="JW51" s="1560"/>
      <c r="JX51" s="1562"/>
      <c r="JY51" s="1527"/>
      <c r="JZ51" s="1566">
        <f>IFERROR(__xludf.DUMMYFUNCTION("""COMPUTED_VALUE"""),4.323032407)</f>
        <v>4.323032407</v>
      </c>
      <c r="KA51" s="1514">
        <f>IFERROR(__xludf.DUMMYFUNCTION("""COMPUTED_VALUE"""),6.925E10)</f>
        <v>69250000000</v>
      </c>
      <c r="KB51" s="1566">
        <f>IFERROR(__xludf.DUMMYFUNCTION("""COMPUTED_VALUE"""),11.83694444)</f>
        <v>11.83694444</v>
      </c>
      <c r="KC51" s="1567">
        <f>IFERROR(__xludf.DUMMYFUNCTION("""COMPUTED_VALUE"""),3.3178E11)</f>
        <v>331780000000</v>
      </c>
      <c r="KD51" s="1562"/>
      <c r="KE51" s="1527"/>
      <c r="KF51" s="1527"/>
      <c r="KG51" s="1527"/>
      <c r="KH51" s="1527"/>
      <c r="KI51" s="1527"/>
      <c r="KJ51" s="1527"/>
      <c r="KK51" s="1527"/>
      <c r="KL51" s="1527"/>
      <c r="KM51" s="1527"/>
      <c r="KN51" s="1527"/>
      <c r="KO51" s="1527"/>
      <c r="KP51" s="1527"/>
      <c r="KQ51" s="1527"/>
      <c r="KR51" s="1527"/>
      <c r="KS51" s="1527"/>
      <c r="KT51" s="1527"/>
      <c r="KU51" s="1527"/>
      <c r="KV51" s="1527"/>
      <c r="KW51" s="1527"/>
      <c r="KX51" s="1527"/>
      <c r="KY51" s="1527"/>
      <c r="KZ51" s="1527"/>
      <c r="LA51" s="1527"/>
      <c r="LB51" s="1527"/>
      <c r="LC51" s="1527"/>
      <c r="LD51" s="1527"/>
      <c r="LE51" s="1527"/>
      <c r="LF51" s="1527"/>
      <c r="LG51" s="1527"/>
      <c r="LH51" s="1527"/>
      <c r="LI51" s="1527"/>
      <c r="LJ51" s="1527"/>
      <c r="LK51" s="1527"/>
      <c r="LL51" s="1527"/>
      <c r="LM51" s="1527"/>
      <c r="LN51" s="1527"/>
      <c r="LO51" s="1527"/>
      <c r="LP51" s="1527"/>
      <c r="LQ51" s="1527"/>
      <c r="LR51" s="1527"/>
      <c r="LS51" s="1527"/>
      <c r="LT51" s="1527"/>
      <c r="LU51" s="1527"/>
      <c r="LV51" s="1527"/>
      <c r="LW51" s="1527"/>
      <c r="LX51" s="1527"/>
      <c r="LY51" s="1527"/>
      <c r="LZ51" s="1527"/>
      <c r="MA51" s="1527"/>
      <c r="MB51" s="1527"/>
      <c r="MC51" s="1527"/>
      <c r="MD51" s="1527"/>
      <c r="ME51" s="1527"/>
      <c r="MF51" s="1527"/>
      <c r="MG51" s="1527"/>
      <c r="MH51" s="1527"/>
      <c r="MI51" s="1527"/>
      <c r="MJ51" s="1527"/>
      <c r="MK51" s="1527"/>
      <c r="ML51" s="1527"/>
      <c r="MM51" s="1527"/>
      <c r="MN51" s="1527"/>
      <c r="MO51" s="1527"/>
      <c r="MP51" s="1527"/>
      <c r="MQ51" s="1527"/>
      <c r="MR51" s="1527"/>
      <c r="MS51" s="1527"/>
      <c r="MT51" s="1527"/>
      <c r="MU51" s="1527"/>
      <c r="MV51" s="1527"/>
      <c r="MW51" s="1527"/>
      <c r="MX51" s="1527"/>
      <c r="MY51" s="1527"/>
    </row>
    <row r="52">
      <c r="A52" s="1465">
        <f>IFERROR(__xludf.DUMMYFUNCTION("""COMPUTED_VALUE"""),50.0)</f>
        <v>50</v>
      </c>
      <c r="B52" s="1533"/>
      <c r="C52" s="1541"/>
      <c r="D52" s="1471">
        <f>IFERROR(__xludf.DUMMYFUNCTION("""COMPUTED_VALUE"""),9.396527777777777)</f>
        <v>9.396527778</v>
      </c>
      <c r="E52" s="1472">
        <f>IFERROR(__xludf.DUMMYFUNCTION("""COMPUTED_VALUE"""),623890.0)</f>
        <v>623890</v>
      </c>
      <c r="F52" s="1471">
        <f>IFERROR(__xludf.DUMMYFUNCTION("""COMPUTED_VALUE"""),9.396527777777777)</f>
        <v>9.396527778</v>
      </c>
      <c r="G52" s="1472">
        <f>IFERROR(__xludf.DUMMYFUNCTION("""COMPUTED_VALUE"""),623890.0)</f>
        <v>623890</v>
      </c>
      <c r="H52" s="1471">
        <f>IFERROR(__xludf.DUMMYFUNCTION("""COMPUTED_VALUE"""),9.396527777777777)</f>
        <v>9.396527778</v>
      </c>
      <c r="I52" s="1472">
        <f>IFERROR(__xludf.DUMMYFUNCTION("""COMPUTED_VALUE"""),623890.0)</f>
        <v>623890</v>
      </c>
      <c r="J52" s="1471">
        <f>IFERROR(__xludf.DUMMYFUNCTION("""COMPUTED_VALUE"""),9.396527777777777)</f>
        <v>9.396527778</v>
      </c>
      <c r="K52" s="1472">
        <f>IFERROR(__xludf.DUMMYFUNCTION("""COMPUTED_VALUE"""),623890.0)</f>
        <v>623890</v>
      </c>
      <c r="L52" s="1471">
        <f>IFERROR(__xludf.DUMMYFUNCTION("""COMPUTED_VALUE"""),16.825)</f>
        <v>16.825</v>
      </c>
      <c r="M52" s="1536">
        <f>IFERROR(__xludf.DUMMYFUNCTION("""COMPUTED_VALUE"""),1930000.0)</f>
        <v>1930000</v>
      </c>
      <c r="N52" s="1537">
        <f>IFERROR(__xludf.DUMMYFUNCTION("""COMPUTED_VALUE"""),8.497222222222222)</f>
        <v>8.497222222</v>
      </c>
      <c r="O52" s="1472">
        <f>IFERROR(__xludf.DUMMYFUNCTION("""COMPUTED_VALUE"""),2260000.0)</f>
        <v>2260000</v>
      </c>
      <c r="P52" s="1533"/>
      <c r="Q52" s="1534"/>
      <c r="R52" s="1533"/>
      <c r="S52" s="1534"/>
      <c r="T52" s="1533"/>
      <c r="U52" s="1534"/>
      <c r="V52" s="1533"/>
      <c r="W52" s="1534"/>
      <c r="X52" s="1533"/>
      <c r="Y52" s="1534"/>
      <c r="Z52" s="1533"/>
      <c r="AA52" s="1534"/>
      <c r="AB52" s="1533"/>
      <c r="AC52" s="1534"/>
      <c r="AD52" s="1471">
        <f>IFERROR(__xludf.DUMMYFUNCTION("""COMPUTED_VALUE"""),53.99722222222222)</f>
        <v>53.99722222</v>
      </c>
      <c r="AE52" s="1538">
        <f>IFERROR(__xludf.DUMMYFUNCTION("""COMPUTED_VALUE"""),3.830224792E14)</f>
        <v>383022479200000</v>
      </c>
      <c r="AF52" s="1471">
        <f>IFERROR(__xludf.DUMMYFUNCTION("""COMPUTED_VALUE"""),53.99722222222222)</f>
        <v>53.99722222</v>
      </c>
      <c r="AG52" s="1538">
        <f>IFERROR(__xludf.DUMMYFUNCTION("""COMPUTED_VALUE"""),3.830224792E14)</f>
        <v>383022479200000</v>
      </c>
      <c r="AH52" s="1471">
        <f>IFERROR(__xludf.DUMMYFUNCTION("""COMPUTED_VALUE"""),53.99722222222222)</f>
        <v>53.99722222</v>
      </c>
      <c r="AI52" s="1538">
        <f>IFERROR(__xludf.DUMMYFUNCTION("""COMPUTED_VALUE"""),3.830224792E14)</f>
        <v>383022479200000</v>
      </c>
      <c r="AJ52" s="1539">
        <f>IFERROR(__xludf.DUMMYFUNCTION("""COMPUTED_VALUE"""),9.396527777777777)</f>
        <v>9.396527778</v>
      </c>
      <c r="AK52" s="1540">
        <f>IFERROR(__xludf.DUMMYFUNCTION("""COMPUTED_VALUE"""),623890.0)</f>
        <v>623890</v>
      </c>
      <c r="AL52" s="1539">
        <f>IFERROR(__xludf.DUMMYFUNCTION("""COMPUTED_VALUE"""),9.396527777777777)</f>
        <v>9.396527778</v>
      </c>
      <c r="AM52" s="1540">
        <f>IFERROR(__xludf.DUMMYFUNCTION("""COMPUTED_VALUE"""),623890.0)</f>
        <v>623890</v>
      </c>
      <c r="AN52" s="1539">
        <f>IFERROR(__xludf.DUMMYFUNCTION("""COMPUTED_VALUE"""),9.396527777777777)</f>
        <v>9.396527778</v>
      </c>
      <c r="AO52" s="1540">
        <f>IFERROR(__xludf.DUMMYFUNCTION("""COMPUTED_VALUE"""),623890.0)</f>
        <v>623890</v>
      </c>
      <c r="AP52" s="1539">
        <f>IFERROR(__xludf.DUMMYFUNCTION("""COMPUTED_VALUE"""),9.396527777777777)</f>
        <v>9.396527778</v>
      </c>
      <c r="AQ52" s="1540">
        <f>IFERROR(__xludf.DUMMYFUNCTION("""COMPUTED_VALUE"""),623890.0)</f>
        <v>623890</v>
      </c>
      <c r="AR52" s="1539">
        <f>IFERROR(__xludf.DUMMYFUNCTION("""COMPUTED_VALUE"""),9.397222222222222)</f>
        <v>9.397222222</v>
      </c>
      <c r="AS52" s="1540">
        <f>IFERROR(__xludf.DUMMYFUNCTION("""COMPUTED_VALUE"""),623890.0)</f>
        <v>623890</v>
      </c>
      <c r="AT52" s="1539">
        <f>IFERROR(__xludf.DUMMYFUNCTION("""COMPUTED_VALUE"""),10201.540277777778)</f>
        <v>10201.54028</v>
      </c>
      <c r="AU52" s="1540">
        <f>IFERROR(__xludf.DUMMYFUNCTION("""COMPUTED_VALUE"""),8.79E10)</f>
        <v>87900000000</v>
      </c>
      <c r="AV52" s="1541"/>
      <c r="AW52" s="1534"/>
      <c r="AX52" s="1533"/>
      <c r="AY52" s="1569"/>
      <c r="AZ52" s="1533"/>
      <c r="BA52" s="1533"/>
      <c r="BB52" s="1479">
        <f>IFERROR(__xludf.DUMMYFUNCTION("""COMPUTED_VALUE"""),9.396527777777777)</f>
        <v>9.396527778</v>
      </c>
      <c r="BC52" s="1480">
        <f>IFERROR(__xludf.DUMMYFUNCTION("""COMPUTED_VALUE"""),623890.0)</f>
        <v>623890</v>
      </c>
      <c r="BD52" s="1479">
        <f>IFERROR(__xludf.DUMMYFUNCTION("""COMPUTED_VALUE"""),9.396527777777777)</f>
        <v>9.396527778</v>
      </c>
      <c r="BE52" s="1480">
        <f>IFERROR(__xludf.DUMMYFUNCTION("""COMPUTED_VALUE"""),623890.0)</f>
        <v>623890</v>
      </c>
      <c r="BF52" s="1479">
        <f>IFERROR(__xludf.DUMMYFUNCTION("""COMPUTED_VALUE"""),9.396527777777777)</f>
        <v>9.396527778</v>
      </c>
      <c r="BG52" s="1480">
        <f>IFERROR(__xludf.DUMMYFUNCTION("""COMPUTED_VALUE"""),623890.0)</f>
        <v>623890</v>
      </c>
      <c r="BH52" s="1479">
        <f>IFERROR(__xludf.DUMMYFUNCTION("""COMPUTED_VALUE"""),308.1020833333333)</f>
        <v>308.1020833</v>
      </c>
      <c r="BI52" s="1480">
        <f>IFERROR(__xludf.DUMMYFUNCTION("""COMPUTED_VALUE"""),5.76E9)</f>
        <v>5760000000</v>
      </c>
      <c r="BJ52" s="1533"/>
      <c r="BK52" s="1534"/>
      <c r="BL52" s="1533"/>
      <c r="BM52" s="1534"/>
      <c r="BN52" s="1533"/>
      <c r="BO52" s="1534"/>
      <c r="BP52" s="1533"/>
      <c r="BQ52" s="1534"/>
      <c r="BR52" s="1541"/>
      <c r="BS52" s="1534"/>
      <c r="BT52" s="1479">
        <f>IFERROR(__xludf.DUMMYFUNCTION("""COMPUTED_VALUE"""),9.571527777777778)</f>
        <v>9.571527778</v>
      </c>
      <c r="BU52" s="1480">
        <f>IFERROR(__xludf.DUMMYFUNCTION("""COMPUTED_VALUE"""),4.861E10)</f>
        <v>48610000000</v>
      </c>
      <c r="BV52" s="1541"/>
      <c r="BW52" s="1541"/>
      <c r="BX52" s="1541"/>
      <c r="BY52" s="1541"/>
      <c r="BZ52" s="1541"/>
      <c r="CA52" s="1541"/>
      <c r="CB52" s="1541"/>
      <c r="CC52" s="1534"/>
      <c r="CD52" s="1477">
        <f>IFERROR(__xludf.DUMMYFUNCTION("""COMPUTED_VALUE"""),37.07505787037037)</f>
        <v>37.07505787</v>
      </c>
      <c r="CE52" s="1481">
        <f>IFERROR(__xludf.DUMMYFUNCTION("""COMPUTED_VALUE"""),6.18E12)</f>
        <v>6180000000000</v>
      </c>
      <c r="CF52" s="1550"/>
      <c r="CG52" s="1564"/>
      <c r="CH52" s="1484">
        <f>IFERROR(__xludf.DUMMYFUNCTION("""COMPUTED_VALUE"""),9.397222222222222)</f>
        <v>9.397222222</v>
      </c>
      <c r="CI52" s="1485">
        <f>IFERROR(__xludf.DUMMYFUNCTION("""COMPUTED_VALUE"""),623890.0)</f>
        <v>623890</v>
      </c>
      <c r="CJ52" s="1484">
        <f>IFERROR(__xludf.DUMMYFUNCTION("""COMPUTED_VALUE"""),9.397222222222222)</f>
        <v>9.397222222</v>
      </c>
      <c r="CK52" s="1485">
        <f>IFERROR(__xludf.DUMMYFUNCTION("""COMPUTED_VALUE"""),623890.0)</f>
        <v>623890</v>
      </c>
      <c r="CL52" s="1484">
        <f>IFERROR(__xludf.DUMMYFUNCTION("""COMPUTED_VALUE"""),9.397222222222222)</f>
        <v>9.397222222</v>
      </c>
      <c r="CM52" s="1485">
        <f>IFERROR(__xludf.DUMMYFUNCTION("""COMPUTED_VALUE"""),623890.0)</f>
        <v>623890</v>
      </c>
      <c r="CN52" s="1484">
        <f>IFERROR(__xludf.DUMMYFUNCTION("""COMPUTED_VALUE"""),9.397222222222222)</f>
        <v>9.397222222</v>
      </c>
      <c r="CO52" s="1485">
        <f>IFERROR(__xludf.DUMMYFUNCTION("""COMPUTED_VALUE"""),623890.0)</f>
        <v>623890</v>
      </c>
      <c r="CP52" s="1484">
        <f>IFERROR(__xludf.DUMMYFUNCTION("""COMPUTED_VALUE"""),20.37847222222222)</f>
        <v>20.37847222</v>
      </c>
      <c r="CQ52" s="1485">
        <f>IFERROR(__xludf.DUMMYFUNCTION("""COMPUTED_VALUE"""),2260000.0)</f>
        <v>2260000</v>
      </c>
      <c r="CR52" s="1533"/>
      <c r="CS52" s="1534"/>
      <c r="CT52" s="1541"/>
      <c r="CU52" s="1534"/>
      <c r="CV52" s="1541"/>
      <c r="CW52" s="1534"/>
      <c r="CX52" s="1541"/>
      <c r="CY52" s="1534"/>
      <c r="CZ52" s="1541"/>
      <c r="DA52" s="1541"/>
      <c r="DB52" s="1541"/>
      <c r="DC52" s="1541"/>
      <c r="DD52" s="1541"/>
      <c r="DE52" s="1534"/>
      <c r="DF52" s="1533"/>
      <c r="DG52" s="1534"/>
      <c r="DH52" s="1533"/>
      <c r="DI52" s="1534"/>
      <c r="DJ52" s="1533"/>
      <c r="DK52" s="1534"/>
      <c r="DL52" s="1533"/>
      <c r="DM52" s="1534"/>
      <c r="DN52" s="1533"/>
      <c r="DO52" s="1534"/>
      <c r="DP52" s="1533"/>
      <c r="DQ52" s="1534"/>
      <c r="DR52" s="1533"/>
      <c r="DS52" s="1534"/>
      <c r="DT52" s="1533"/>
      <c r="DU52" s="1534"/>
      <c r="DV52" s="1541"/>
      <c r="DW52" s="1534"/>
      <c r="DX52" s="1533"/>
      <c r="DY52" s="1534"/>
      <c r="DZ52" s="1533"/>
      <c r="EA52" s="1534"/>
      <c r="EB52" s="1533"/>
      <c r="EC52" s="1534"/>
      <c r="ED52" s="1533"/>
      <c r="EE52" s="1534"/>
      <c r="EF52" s="1533"/>
      <c r="EG52" s="1534"/>
      <c r="EH52" s="1533"/>
      <c r="EI52" s="1534"/>
      <c r="EJ52" s="1565"/>
      <c r="EK52" s="1564"/>
      <c r="EL52" s="1565"/>
      <c r="EM52" s="1564"/>
      <c r="EN52" s="1533"/>
      <c r="EO52" s="1534"/>
      <c r="EP52" s="1533"/>
      <c r="EQ52" s="1534"/>
      <c r="ER52" s="1533"/>
      <c r="ES52" s="1534"/>
      <c r="ET52" s="1533"/>
      <c r="EU52" s="1534"/>
      <c r="EV52" s="1533"/>
      <c r="EW52" s="1534"/>
      <c r="EX52" s="1533"/>
      <c r="EY52" s="1534"/>
      <c r="EZ52" s="1533"/>
      <c r="FA52" s="1534"/>
      <c r="FB52" s="1541"/>
      <c r="FC52" s="1534"/>
      <c r="FD52" s="1541"/>
      <c r="FE52" s="1534"/>
      <c r="FF52" s="1541"/>
      <c r="FG52" s="1534"/>
      <c r="FH52" s="1541"/>
      <c r="FI52" s="1541"/>
      <c r="FJ52" s="1541"/>
      <c r="FK52" s="1534"/>
      <c r="FL52" s="1533"/>
      <c r="FM52" s="1534"/>
      <c r="FN52" s="1573"/>
      <c r="FO52" s="1534"/>
      <c r="FP52" s="1573"/>
      <c r="FQ52" s="1534"/>
      <c r="FR52" s="1573"/>
      <c r="FS52" s="1534"/>
      <c r="FT52" s="1545"/>
      <c r="FU52" s="1534"/>
      <c r="FV52" s="1545"/>
      <c r="FW52" s="1534"/>
      <c r="FX52" s="1574"/>
      <c r="FY52" s="1564"/>
      <c r="FZ52" s="1574"/>
      <c r="GA52" s="1564"/>
      <c r="GB52" s="1574"/>
      <c r="GC52" s="1564"/>
      <c r="GD52" s="1550"/>
      <c r="GE52" s="1564"/>
      <c r="GF52" s="1533"/>
      <c r="GG52" s="1534"/>
      <c r="GH52" s="1533"/>
      <c r="GI52" s="1534"/>
      <c r="GJ52" s="1541"/>
      <c r="GK52" s="1534"/>
      <c r="GL52" s="1533"/>
      <c r="GM52" s="1534"/>
      <c r="GN52" s="1541"/>
      <c r="GO52" s="1534"/>
      <c r="GP52" s="1541"/>
      <c r="GQ52" s="1534"/>
      <c r="GR52" s="1533"/>
      <c r="GS52" s="1534"/>
      <c r="GT52" s="1533"/>
      <c r="GU52" s="1534"/>
      <c r="GV52" s="1541"/>
      <c r="GW52" s="1534"/>
      <c r="GX52" s="1549"/>
      <c r="GY52" s="1550"/>
      <c r="GZ52" s="1533"/>
      <c r="HA52" s="1534"/>
      <c r="HB52" s="1551">
        <f>IFERROR(__xludf.DUMMYFUNCTION("""COMPUTED_VALUE"""),674.0972222222222)</f>
        <v>674.0972222</v>
      </c>
      <c r="HC52" s="1552">
        <f>IFERROR(__xludf.DUMMYFUNCTION("""COMPUTED_VALUE"""),5.65E12)</f>
        <v>5650000000000</v>
      </c>
      <c r="HD52" s="1533"/>
      <c r="HE52" s="1534"/>
      <c r="HF52" s="1533"/>
      <c r="HG52" s="1534"/>
      <c r="HH52" s="1533"/>
      <c r="HI52" s="1534"/>
      <c r="HJ52" s="1533"/>
      <c r="HK52" s="1534"/>
      <c r="HL52" s="1533"/>
      <c r="HM52" s="1534"/>
      <c r="HN52" s="1541"/>
      <c r="HO52" s="1534"/>
      <c r="HP52" s="1533"/>
      <c r="HQ52" s="1534"/>
      <c r="HR52" s="1533"/>
      <c r="HS52" s="1534"/>
      <c r="HT52" s="1533"/>
      <c r="HU52" s="1534"/>
      <c r="HV52" s="1533"/>
      <c r="HW52" s="1534"/>
      <c r="HX52" s="1533"/>
      <c r="HY52" s="1534"/>
      <c r="HZ52" s="1533"/>
      <c r="IA52" s="1534"/>
      <c r="IB52" s="1533"/>
      <c r="IC52" s="1534"/>
      <c r="ID52" s="1533"/>
      <c r="IE52" s="1534"/>
      <c r="IF52" s="1533"/>
      <c r="IG52" s="1534"/>
      <c r="IH52" s="1533"/>
      <c r="II52" s="1534"/>
      <c r="IJ52" s="1533"/>
      <c r="IK52" s="1534"/>
      <c r="IL52" s="1533"/>
      <c r="IM52" s="1534"/>
      <c r="IN52" s="1533"/>
      <c r="IO52" s="1534"/>
      <c r="IP52" s="1533"/>
      <c r="IQ52" s="1534"/>
      <c r="IR52" s="1533"/>
      <c r="IS52" s="1534"/>
      <c r="IT52" s="1533"/>
      <c r="IU52" s="1534"/>
      <c r="IV52" s="1533"/>
      <c r="IW52" s="1534"/>
      <c r="IX52" s="1533"/>
      <c r="IY52" s="1534"/>
      <c r="IZ52" s="1533"/>
      <c r="JA52" s="1534"/>
      <c r="JB52" s="1533"/>
      <c r="JC52" s="1534"/>
      <c r="JD52" s="1533"/>
      <c r="JE52" s="1534"/>
      <c r="JF52" s="1533"/>
      <c r="JG52" s="1534"/>
      <c r="JH52" s="1533"/>
      <c r="JI52" s="1534"/>
      <c r="JJ52" s="1565"/>
      <c r="JK52" s="1564"/>
      <c r="JL52" s="1565"/>
      <c r="JM52" s="1564"/>
      <c r="JN52" s="1565"/>
      <c r="JO52" s="1564"/>
      <c r="JP52" s="1565"/>
      <c r="JQ52" s="1564"/>
      <c r="JR52" s="1565"/>
      <c r="JS52" s="1564"/>
      <c r="JT52" s="1565"/>
      <c r="JU52" s="1564"/>
      <c r="JV52" s="1565"/>
      <c r="JW52" s="1564"/>
      <c r="JX52" s="1562"/>
      <c r="JY52" s="1527"/>
      <c r="JZ52" s="1566">
        <f>IFERROR(__xludf.DUMMYFUNCTION("""COMPUTED_VALUE"""),4.408391204)</f>
        <v>4.408391204</v>
      </c>
      <c r="KA52" s="1514">
        <f>IFERROR(__xludf.DUMMYFUNCTION("""COMPUTED_VALUE"""),7.321E10)</f>
        <v>73210000000</v>
      </c>
      <c r="KB52" s="1566">
        <f>IFERROR(__xludf.DUMMYFUNCTION("""COMPUTED_VALUE"""),12.31715278)</f>
        <v>12.31715278</v>
      </c>
      <c r="KC52" s="1567">
        <f>IFERROR(__xludf.DUMMYFUNCTION("""COMPUTED_VALUE"""),3.5295E11)</f>
        <v>352950000000</v>
      </c>
      <c r="KD52" s="1562"/>
      <c r="KE52" s="1527"/>
      <c r="KF52" s="1527"/>
      <c r="KG52" s="1527"/>
      <c r="KH52" s="1527"/>
      <c r="KI52" s="1527"/>
      <c r="KJ52" s="1527"/>
      <c r="KK52" s="1527"/>
      <c r="KL52" s="1527"/>
      <c r="KM52" s="1527"/>
      <c r="KN52" s="1527"/>
      <c r="KO52" s="1527"/>
      <c r="KP52" s="1527"/>
      <c r="KQ52" s="1527"/>
      <c r="KR52" s="1527"/>
      <c r="KS52" s="1527"/>
      <c r="KT52" s="1527"/>
      <c r="KU52" s="1527"/>
      <c r="KV52" s="1527"/>
      <c r="KW52" s="1527"/>
      <c r="KX52" s="1527"/>
      <c r="KY52" s="1527"/>
      <c r="KZ52" s="1527"/>
      <c r="LA52" s="1527"/>
      <c r="LB52" s="1527"/>
      <c r="LC52" s="1527"/>
      <c r="LD52" s="1527"/>
      <c r="LE52" s="1527"/>
      <c r="LF52" s="1527"/>
      <c r="LG52" s="1527"/>
      <c r="LH52" s="1527"/>
      <c r="LI52" s="1527"/>
      <c r="LJ52" s="1527"/>
      <c r="LK52" s="1527"/>
      <c r="LL52" s="1550"/>
      <c r="LM52" s="1550"/>
      <c r="LN52" s="1527"/>
      <c r="LO52" s="1527"/>
      <c r="LP52" s="1527"/>
      <c r="LQ52" s="1527"/>
      <c r="LR52" s="1527"/>
      <c r="LS52" s="1527"/>
      <c r="LT52" s="1527"/>
      <c r="LU52" s="1527"/>
      <c r="LV52" s="1527"/>
      <c r="LW52" s="1527"/>
      <c r="LX52" s="1527"/>
      <c r="LY52" s="1527"/>
      <c r="LZ52" s="1527"/>
      <c r="MA52" s="1527"/>
      <c r="MB52" s="1527"/>
      <c r="MC52" s="1527"/>
      <c r="MD52" s="1527"/>
      <c r="ME52" s="1527"/>
      <c r="MF52" s="1527"/>
      <c r="MG52" s="1527"/>
      <c r="MH52" s="1527"/>
      <c r="MI52" s="1527"/>
      <c r="MJ52" s="1527"/>
      <c r="MK52" s="1527"/>
      <c r="ML52" s="1527"/>
      <c r="MM52" s="1527"/>
      <c r="MN52" s="1527"/>
      <c r="MO52" s="1527"/>
      <c r="MP52" s="1527"/>
      <c r="MQ52" s="1527"/>
      <c r="MR52" s="1527"/>
      <c r="MS52" s="1527"/>
      <c r="MT52" s="1527"/>
      <c r="MU52" s="1527"/>
      <c r="MV52" s="1527"/>
      <c r="MW52" s="1527"/>
      <c r="MX52" s="1527"/>
      <c r="MY52" s="1527"/>
    </row>
    <row r="53">
      <c r="A53" s="1465">
        <f>IFERROR(__xludf.DUMMYFUNCTION("""COMPUTED_VALUE"""),51.0)</f>
        <v>51</v>
      </c>
      <c r="B53" s="1518"/>
      <c r="C53" s="1520"/>
      <c r="D53" s="1466">
        <f>IFERROR(__xludf.DUMMYFUNCTION("""COMPUTED_VALUE"""),9.859027777777778)</f>
        <v>9.859027778</v>
      </c>
      <c r="E53" s="1467">
        <f>IFERROR(__xludf.DUMMYFUNCTION("""COMPUTED_VALUE"""),659490.0)</f>
        <v>659490</v>
      </c>
      <c r="F53" s="1466">
        <f>IFERROR(__xludf.DUMMYFUNCTION("""COMPUTED_VALUE"""),9.859027777777778)</f>
        <v>9.859027778</v>
      </c>
      <c r="G53" s="1467">
        <f>IFERROR(__xludf.DUMMYFUNCTION("""COMPUTED_VALUE"""),659490.0)</f>
        <v>659490</v>
      </c>
      <c r="H53" s="1466">
        <f>IFERROR(__xludf.DUMMYFUNCTION("""COMPUTED_VALUE"""),9.859027777777778)</f>
        <v>9.859027778</v>
      </c>
      <c r="I53" s="1467">
        <f>IFERROR(__xludf.DUMMYFUNCTION("""COMPUTED_VALUE"""),659490.0)</f>
        <v>659490</v>
      </c>
      <c r="J53" s="1466">
        <f>IFERROR(__xludf.DUMMYFUNCTION("""COMPUTED_VALUE"""),9.859027777777778)</f>
        <v>9.859027778</v>
      </c>
      <c r="K53" s="1467">
        <f>IFERROR(__xludf.DUMMYFUNCTION("""COMPUTED_VALUE"""),659490.0)</f>
        <v>659490</v>
      </c>
      <c r="L53" s="1466">
        <f>IFERROR(__xludf.DUMMYFUNCTION("""COMPUTED_VALUE"""),17.707638888888887)</f>
        <v>17.70763889</v>
      </c>
      <c r="M53" s="1469">
        <f>IFERROR(__xludf.DUMMYFUNCTION("""COMPUTED_VALUE"""),2040000.0)</f>
        <v>2040000</v>
      </c>
      <c r="N53" s="1470">
        <f>IFERROR(__xludf.DUMMYFUNCTION("""COMPUTED_VALUE"""),8.852777777777778)</f>
        <v>8.852777778</v>
      </c>
      <c r="O53" s="1467">
        <f>IFERROR(__xludf.DUMMYFUNCTION("""COMPUTED_VALUE"""),2400000.0)</f>
        <v>2400000</v>
      </c>
      <c r="P53" s="1518"/>
      <c r="Q53" s="1519"/>
      <c r="R53" s="1518"/>
      <c r="S53" s="1519"/>
      <c r="T53" s="1518"/>
      <c r="U53" s="1519"/>
      <c r="V53" s="1518"/>
      <c r="W53" s="1519"/>
      <c r="X53" s="1518"/>
      <c r="Y53" s="1519"/>
      <c r="Z53" s="1518"/>
      <c r="AA53" s="1519"/>
      <c r="AB53" s="1518"/>
      <c r="AC53" s="1519"/>
      <c r="AD53" s="1466">
        <f>IFERROR(__xludf.DUMMYFUNCTION("""COMPUTED_VALUE"""),55.077083333333334)</f>
        <v>55.07708333</v>
      </c>
      <c r="AE53" s="1474">
        <f>IFERROR(__xludf.DUMMYFUNCTION("""COMPUTED_VALUE"""),4.97929223E14)</f>
        <v>497929223000000</v>
      </c>
      <c r="AF53" s="1466">
        <f>IFERROR(__xludf.DUMMYFUNCTION("""COMPUTED_VALUE"""),55.077083333333334)</f>
        <v>55.07708333</v>
      </c>
      <c r="AG53" s="1474">
        <f>IFERROR(__xludf.DUMMYFUNCTION("""COMPUTED_VALUE"""),4.97929223E14)</f>
        <v>497929223000000</v>
      </c>
      <c r="AH53" s="1466">
        <f>IFERROR(__xludf.DUMMYFUNCTION("""COMPUTED_VALUE"""),55.077083333333334)</f>
        <v>55.07708333</v>
      </c>
      <c r="AI53" s="1474">
        <f>IFERROR(__xludf.DUMMYFUNCTION("""COMPUTED_VALUE"""),4.97929223E14)</f>
        <v>497929223000000</v>
      </c>
      <c r="AJ53" s="1475">
        <f>IFERROR(__xludf.DUMMYFUNCTION("""COMPUTED_VALUE"""),9.859027777777778)</f>
        <v>9.859027778</v>
      </c>
      <c r="AK53" s="1476">
        <f>IFERROR(__xludf.DUMMYFUNCTION("""COMPUTED_VALUE"""),659490.0)</f>
        <v>659490</v>
      </c>
      <c r="AL53" s="1475">
        <f>IFERROR(__xludf.DUMMYFUNCTION("""COMPUTED_VALUE"""),9.859027777777778)</f>
        <v>9.859027778</v>
      </c>
      <c r="AM53" s="1476">
        <f>IFERROR(__xludf.DUMMYFUNCTION("""COMPUTED_VALUE"""),659490.0)</f>
        <v>659490</v>
      </c>
      <c r="AN53" s="1475">
        <f>IFERROR(__xludf.DUMMYFUNCTION("""COMPUTED_VALUE"""),9.859027777777778)</f>
        <v>9.859027778</v>
      </c>
      <c r="AO53" s="1476">
        <f>IFERROR(__xludf.DUMMYFUNCTION("""COMPUTED_VALUE"""),659490.0)</f>
        <v>659490</v>
      </c>
      <c r="AP53" s="1475">
        <f>IFERROR(__xludf.DUMMYFUNCTION("""COMPUTED_VALUE"""),9.859027777777778)</f>
        <v>9.859027778</v>
      </c>
      <c r="AQ53" s="1476">
        <f>IFERROR(__xludf.DUMMYFUNCTION("""COMPUTED_VALUE"""),659490.0)</f>
        <v>659490</v>
      </c>
      <c r="AR53" s="1475">
        <f>IFERROR(__xludf.DUMMYFUNCTION("""COMPUTED_VALUE"""),9.859027777777778)</f>
        <v>9.859027778</v>
      </c>
      <c r="AS53" s="1476">
        <f>IFERROR(__xludf.DUMMYFUNCTION("""COMPUTED_VALUE"""),659500.0)</f>
        <v>659500</v>
      </c>
      <c r="AT53" s="1520"/>
      <c r="AU53" s="1519"/>
      <c r="AV53" s="1520"/>
      <c r="AW53" s="1519"/>
      <c r="AX53" s="1518"/>
      <c r="AY53" s="1568"/>
      <c r="AZ53" s="1518"/>
      <c r="BA53" s="1518"/>
      <c r="BB53" s="1477">
        <f>IFERROR(__xludf.DUMMYFUNCTION("""COMPUTED_VALUE"""),9.859027777777778)</f>
        <v>9.859027778</v>
      </c>
      <c r="BC53" s="1478">
        <f>IFERROR(__xludf.DUMMYFUNCTION("""COMPUTED_VALUE"""),659490.0)</f>
        <v>659490</v>
      </c>
      <c r="BD53" s="1477">
        <f>IFERROR(__xludf.DUMMYFUNCTION("""COMPUTED_VALUE"""),9.859027777777778)</f>
        <v>9.859027778</v>
      </c>
      <c r="BE53" s="1478">
        <f>IFERROR(__xludf.DUMMYFUNCTION("""COMPUTED_VALUE"""),659490.0)</f>
        <v>659490</v>
      </c>
      <c r="BF53" s="1477">
        <f>IFERROR(__xludf.DUMMYFUNCTION("""COMPUTED_VALUE"""),9.859027777777778)</f>
        <v>9.859027778</v>
      </c>
      <c r="BG53" s="1478">
        <f>IFERROR(__xludf.DUMMYFUNCTION("""COMPUTED_VALUE"""),659490.0)</f>
        <v>659490</v>
      </c>
      <c r="BH53" s="1518"/>
      <c r="BI53" s="1519"/>
      <c r="BJ53" s="1518"/>
      <c r="BK53" s="1519"/>
      <c r="BL53" s="1518"/>
      <c r="BM53" s="1519"/>
      <c r="BN53" s="1518"/>
      <c r="BO53" s="1519"/>
      <c r="BP53" s="1518"/>
      <c r="BQ53" s="1519"/>
      <c r="BR53" s="1520"/>
      <c r="BS53" s="1519"/>
      <c r="BT53" s="1520"/>
      <c r="BU53" s="1520"/>
      <c r="BV53" s="1520"/>
      <c r="BW53" s="1520"/>
      <c r="BX53" s="1520"/>
      <c r="BY53" s="1520"/>
      <c r="BZ53" s="1520"/>
      <c r="CA53" s="1520"/>
      <c r="CB53" s="1520"/>
      <c r="CC53" s="1519"/>
      <c r="CD53" s="1477">
        <f>IFERROR(__xludf.DUMMYFUNCTION("""COMPUTED_VALUE"""),38.84181712962963)</f>
        <v>38.84181713</v>
      </c>
      <c r="CE53" s="1481">
        <f>IFERROR(__xludf.DUMMYFUNCTION("""COMPUTED_VALUE"""),6.55E12)</f>
        <v>6550000000000</v>
      </c>
      <c r="CF53" s="1527"/>
      <c r="CG53" s="1560"/>
      <c r="CH53" s="1482">
        <f>IFERROR(__xludf.DUMMYFUNCTION("""COMPUTED_VALUE"""),9.859027777777778)</f>
        <v>9.859027778</v>
      </c>
      <c r="CI53" s="1483">
        <f>IFERROR(__xludf.DUMMYFUNCTION("""COMPUTED_VALUE"""),659500.0)</f>
        <v>659500</v>
      </c>
      <c r="CJ53" s="1482">
        <f>IFERROR(__xludf.DUMMYFUNCTION("""COMPUTED_VALUE"""),9.859027777777778)</f>
        <v>9.859027778</v>
      </c>
      <c r="CK53" s="1483">
        <f>IFERROR(__xludf.DUMMYFUNCTION("""COMPUTED_VALUE"""),659500.0)</f>
        <v>659500</v>
      </c>
      <c r="CL53" s="1482">
        <f>IFERROR(__xludf.DUMMYFUNCTION("""COMPUTED_VALUE"""),9.859027777777778)</f>
        <v>9.859027778</v>
      </c>
      <c r="CM53" s="1483">
        <f>IFERROR(__xludf.DUMMYFUNCTION("""COMPUTED_VALUE"""),659500.0)</f>
        <v>659500</v>
      </c>
      <c r="CN53" s="1482">
        <f>IFERROR(__xludf.DUMMYFUNCTION("""COMPUTED_VALUE"""),9.859027777777778)</f>
        <v>9.859027778</v>
      </c>
      <c r="CO53" s="1483">
        <f>IFERROR(__xludf.DUMMYFUNCTION("""COMPUTED_VALUE"""),659500.0)</f>
        <v>659500</v>
      </c>
      <c r="CP53" s="1482">
        <f>IFERROR(__xludf.DUMMYFUNCTION("""COMPUTED_VALUE"""),21.468055555555555)</f>
        <v>21.46805556</v>
      </c>
      <c r="CQ53" s="1483">
        <f>IFERROR(__xludf.DUMMYFUNCTION("""COMPUTED_VALUE"""),2400000.0)</f>
        <v>2400000</v>
      </c>
      <c r="CR53" s="1518"/>
      <c r="CS53" s="1519"/>
      <c r="CT53" s="1520"/>
      <c r="CU53" s="1519"/>
      <c r="CV53" s="1520"/>
      <c r="CW53" s="1519"/>
      <c r="CX53" s="1520"/>
      <c r="CY53" s="1519"/>
      <c r="CZ53" s="1520"/>
      <c r="DA53" s="1520"/>
      <c r="DB53" s="1520"/>
      <c r="DC53" s="1520"/>
      <c r="DD53" s="1520"/>
      <c r="DE53" s="1519"/>
      <c r="DF53" s="1518"/>
      <c r="DG53" s="1519"/>
      <c r="DH53" s="1518"/>
      <c r="DI53" s="1519"/>
      <c r="DJ53" s="1518"/>
      <c r="DK53" s="1519"/>
      <c r="DL53" s="1518"/>
      <c r="DM53" s="1519"/>
      <c r="DN53" s="1518"/>
      <c r="DO53" s="1519"/>
      <c r="DP53" s="1518"/>
      <c r="DQ53" s="1519"/>
      <c r="DR53" s="1518"/>
      <c r="DS53" s="1519"/>
      <c r="DT53" s="1518"/>
      <c r="DU53" s="1519"/>
      <c r="DV53" s="1520"/>
      <c r="DW53" s="1519"/>
      <c r="DX53" s="1518"/>
      <c r="DY53" s="1519"/>
      <c r="DZ53" s="1518"/>
      <c r="EA53" s="1519"/>
      <c r="EB53" s="1518"/>
      <c r="EC53" s="1519"/>
      <c r="ED53" s="1518"/>
      <c r="EE53" s="1519"/>
      <c r="EF53" s="1518"/>
      <c r="EG53" s="1519"/>
      <c r="EH53" s="1518"/>
      <c r="EI53" s="1519"/>
      <c r="EJ53" s="1562"/>
      <c r="EK53" s="1560"/>
      <c r="EL53" s="1562"/>
      <c r="EM53" s="1560"/>
      <c r="EN53" s="1518"/>
      <c r="EO53" s="1519"/>
      <c r="EP53" s="1518"/>
      <c r="EQ53" s="1519"/>
      <c r="ER53" s="1518"/>
      <c r="ES53" s="1519"/>
      <c r="ET53" s="1518"/>
      <c r="EU53" s="1519"/>
      <c r="EV53" s="1518"/>
      <c r="EW53" s="1519"/>
      <c r="EX53" s="1518"/>
      <c r="EY53" s="1519"/>
      <c r="EZ53" s="1518"/>
      <c r="FA53" s="1519"/>
      <c r="FB53" s="1520"/>
      <c r="FC53" s="1519"/>
      <c r="FD53" s="1520"/>
      <c r="FE53" s="1519"/>
      <c r="FF53" s="1520"/>
      <c r="FG53" s="1519"/>
      <c r="FH53" s="1520"/>
      <c r="FI53" s="1520"/>
      <c r="FJ53" s="1520"/>
      <c r="FK53" s="1519"/>
      <c r="FL53" s="1518"/>
      <c r="FM53" s="1519"/>
      <c r="FN53" s="1532"/>
      <c r="FO53" s="1520"/>
      <c r="FP53" s="1532"/>
      <c r="FQ53" s="1520"/>
      <c r="FR53" s="1532"/>
      <c r="FS53" s="1520"/>
      <c r="FT53" s="1532"/>
      <c r="FU53" s="1519"/>
      <c r="FV53" s="1532"/>
      <c r="FW53" s="1519"/>
      <c r="FX53" s="1572"/>
      <c r="FY53" s="1560"/>
      <c r="FZ53" s="1572"/>
      <c r="GA53" s="1560"/>
      <c r="GB53" s="1572"/>
      <c r="GC53" s="1560"/>
      <c r="GD53" s="1527"/>
      <c r="GE53" s="1560"/>
      <c r="GF53" s="1518"/>
      <c r="GG53" s="1519"/>
      <c r="GH53" s="1518"/>
      <c r="GI53" s="1519"/>
      <c r="GJ53" s="1518"/>
      <c r="GK53" s="1519"/>
      <c r="GL53" s="1518"/>
      <c r="GM53" s="1519"/>
      <c r="GN53" s="1520"/>
      <c r="GO53" s="1519"/>
      <c r="GP53" s="1520"/>
      <c r="GQ53" s="1519"/>
      <c r="GR53" s="1518"/>
      <c r="GS53" s="1519"/>
      <c r="GT53" s="1518"/>
      <c r="GU53" s="1519"/>
      <c r="GV53" s="1520"/>
      <c r="GW53" s="1519"/>
      <c r="GX53" s="1561"/>
      <c r="GY53" s="1527"/>
      <c r="GZ53" s="1518"/>
      <c r="HA53" s="1519"/>
      <c r="HB53" s="1501">
        <f>IFERROR(__xludf.DUMMYFUNCTION("""COMPUTED_VALUE"""),723.1229166666667)</f>
        <v>723.1229167</v>
      </c>
      <c r="HC53" s="1502">
        <f>IFERROR(__xludf.DUMMYFUNCTION("""COMPUTED_VALUE"""),6.25E12)</f>
        <v>6250000000000</v>
      </c>
      <c r="HD53" s="1518"/>
      <c r="HE53" s="1519"/>
      <c r="HF53" s="1518"/>
      <c r="HG53" s="1519"/>
      <c r="HH53" s="1518"/>
      <c r="HI53" s="1519"/>
      <c r="HJ53" s="1518"/>
      <c r="HK53" s="1519"/>
      <c r="HL53" s="1518"/>
      <c r="HM53" s="1519"/>
      <c r="HN53" s="1520"/>
      <c r="HO53" s="1519"/>
      <c r="HP53" s="1518"/>
      <c r="HQ53" s="1519"/>
      <c r="HR53" s="1518"/>
      <c r="HS53" s="1519"/>
      <c r="HT53" s="1518"/>
      <c r="HU53" s="1519"/>
      <c r="HV53" s="1518"/>
      <c r="HW53" s="1519"/>
      <c r="HX53" s="1518"/>
      <c r="HY53" s="1519"/>
      <c r="HZ53" s="1518"/>
      <c r="IA53" s="1519"/>
      <c r="IB53" s="1518"/>
      <c r="IC53" s="1519"/>
      <c r="ID53" s="1518"/>
      <c r="IE53" s="1519"/>
      <c r="IF53" s="1518"/>
      <c r="IG53" s="1519"/>
      <c r="IH53" s="1518"/>
      <c r="II53" s="1519"/>
      <c r="IJ53" s="1518"/>
      <c r="IK53" s="1519"/>
      <c r="IL53" s="1518"/>
      <c r="IM53" s="1519"/>
      <c r="IN53" s="1518"/>
      <c r="IO53" s="1519"/>
      <c r="IP53" s="1518"/>
      <c r="IQ53" s="1519"/>
      <c r="IR53" s="1518"/>
      <c r="IS53" s="1519"/>
      <c r="IT53" s="1518"/>
      <c r="IU53" s="1519"/>
      <c r="IV53" s="1518"/>
      <c r="IW53" s="1519"/>
      <c r="IX53" s="1518"/>
      <c r="IY53" s="1519"/>
      <c r="IZ53" s="1518"/>
      <c r="JA53" s="1519"/>
      <c r="JB53" s="1518"/>
      <c r="JC53" s="1519"/>
      <c r="JD53" s="1518"/>
      <c r="JE53" s="1519"/>
      <c r="JF53" s="1518"/>
      <c r="JG53" s="1519"/>
      <c r="JH53" s="1518"/>
      <c r="JI53" s="1519"/>
      <c r="JJ53" s="1562"/>
      <c r="JK53" s="1560"/>
      <c r="JL53" s="1562"/>
      <c r="JM53" s="1560"/>
      <c r="JN53" s="1562"/>
      <c r="JO53" s="1560"/>
      <c r="JP53" s="1562"/>
      <c r="JQ53" s="1560"/>
      <c r="JR53" s="1562"/>
      <c r="JS53" s="1560"/>
      <c r="JT53" s="1562"/>
      <c r="JU53" s="1560"/>
      <c r="JV53" s="1562"/>
      <c r="JW53" s="1560"/>
      <c r="JX53" s="1562"/>
      <c r="JY53" s="1527"/>
      <c r="JZ53" s="1566">
        <f>IFERROR(__xludf.DUMMYFUNCTION("""COMPUTED_VALUE"""),4.494699074)</f>
        <v>4.494699074</v>
      </c>
      <c r="KA53" s="1514">
        <f>IFERROR(__xludf.DUMMYFUNCTION("""COMPUTED_VALUE"""),7.731E10)</f>
        <v>77310000000</v>
      </c>
      <c r="KB53" s="1562"/>
      <c r="KC53" s="1527"/>
      <c r="KD53" s="1562"/>
      <c r="KE53" s="1527"/>
      <c r="KF53" s="1527"/>
      <c r="KG53" s="1527"/>
      <c r="KH53" s="1527"/>
      <c r="KI53" s="1527"/>
      <c r="KJ53" s="1527"/>
      <c r="KK53" s="1527"/>
      <c r="KL53" s="1527"/>
      <c r="KM53" s="1527"/>
      <c r="KN53" s="1527"/>
      <c r="KO53" s="1527"/>
      <c r="KP53" s="1527"/>
      <c r="KQ53" s="1527"/>
      <c r="KR53" s="1527"/>
      <c r="KS53" s="1527"/>
      <c r="KT53" s="1527"/>
      <c r="KU53" s="1527"/>
      <c r="KV53" s="1527"/>
      <c r="KW53" s="1527"/>
      <c r="KX53" s="1527"/>
      <c r="KY53" s="1527"/>
      <c r="KZ53" s="1527"/>
      <c r="LA53" s="1527"/>
      <c r="LB53" s="1527"/>
      <c r="LC53" s="1527"/>
      <c r="LD53" s="1527"/>
      <c r="LE53" s="1527"/>
      <c r="LF53" s="1527"/>
      <c r="LG53" s="1527"/>
      <c r="LH53" s="1527"/>
      <c r="LI53" s="1527"/>
      <c r="LJ53" s="1527"/>
      <c r="LK53" s="1527"/>
      <c r="LL53" s="1527"/>
      <c r="LM53" s="1527"/>
      <c r="LN53" s="1527"/>
      <c r="LO53" s="1527"/>
      <c r="LP53" s="1527"/>
      <c r="LQ53" s="1527"/>
      <c r="LR53" s="1527"/>
      <c r="LS53" s="1527"/>
      <c r="LT53" s="1527"/>
      <c r="LU53" s="1527"/>
      <c r="LV53" s="1527"/>
      <c r="LW53" s="1527"/>
      <c r="LX53" s="1527"/>
      <c r="LY53" s="1527"/>
      <c r="LZ53" s="1527"/>
      <c r="MA53" s="1527"/>
      <c r="MB53" s="1527"/>
      <c r="MC53" s="1527"/>
      <c r="MD53" s="1527"/>
      <c r="ME53" s="1527"/>
      <c r="MF53" s="1527"/>
      <c r="MG53" s="1527"/>
      <c r="MH53" s="1527"/>
      <c r="MI53" s="1527"/>
      <c r="MJ53" s="1527"/>
      <c r="MK53" s="1527"/>
      <c r="ML53" s="1527"/>
      <c r="MM53" s="1527"/>
      <c r="MN53" s="1527"/>
      <c r="MO53" s="1527"/>
      <c r="MP53" s="1527"/>
      <c r="MQ53" s="1527"/>
      <c r="MR53" s="1527"/>
      <c r="MS53" s="1527"/>
      <c r="MT53" s="1527"/>
      <c r="MU53" s="1527"/>
      <c r="MV53" s="1527"/>
      <c r="MW53" s="1527"/>
      <c r="MX53" s="1527"/>
      <c r="MY53" s="1527"/>
    </row>
    <row r="54">
      <c r="A54" s="1465">
        <f>IFERROR(__xludf.DUMMYFUNCTION("""COMPUTED_VALUE"""),52.0)</f>
        <v>52</v>
      </c>
      <c r="B54" s="1518"/>
      <c r="C54" s="1520"/>
      <c r="D54" s="1466">
        <f>IFERROR(__xludf.DUMMYFUNCTION("""COMPUTED_VALUE"""),10.333333333333334)</f>
        <v>10.33333333</v>
      </c>
      <c r="E54" s="1467">
        <f>IFERROR(__xludf.DUMMYFUNCTION("""COMPUTED_VALUE"""),696340.0)</f>
        <v>696340</v>
      </c>
      <c r="F54" s="1466">
        <f>IFERROR(__xludf.DUMMYFUNCTION("""COMPUTED_VALUE"""),10.333333333333334)</f>
        <v>10.33333333</v>
      </c>
      <c r="G54" s="1467">
        <f>IFERROR(__xludf.DUMMYFUNCTION("""COMPUTED_VALUE"""),696340.0)</f>
        <v>696340</v>
      </c>
      <c r="H54" s="1466">
        <f>IFERROR(__xludf.DUMMYFUNCTION("""COMPUTED_VALUE"""),10.333333333333334)</f>
        <v>10.33333333</v>
      </c>
      <c r="I54" s="1467">
        <f>IFERROR(__xludf.DUMMYFUNCTION("""COMPUTED_VALUE"""),696340.0)</f>
        <v>696340</v>
      </c>
      <c r="J54" s="1466">
        <f>IFERROR(__xludf.DUMMYFUNCTION("""COMPUTED_VALUE"""),10.333333333333334)</f>
        <v>10.33333333</v>
      </c>
      <c r="K54" s="1467">
        <f>IFERROR(__xludf.DUMMYFUNCTION("""COMPUTED_VALUE"""),696340.0)</f>
        <v>696340</v>
      </c>
      <c r="L54" s="1466">
        <f>IFERROR(__xludf.DUMMYFUNCTION("""COMPUTED_VALUE"""),18.613194444444446)</f>
        <v>18.61319444</v>
      </c>
      <c r="M54" s="1469">
        <f>IFERROR(__xludf.DUMMYFUNCTION("""COMPUTED_VALUE"""),2170000.0)</f>
        <v>2170000</v>
      </c>
      <c r="N54" s="1470">
        <f>IFERROR(__xludf.DUMMYFUNCTION("""COMPUTED_VALUE"""),9.214583333333334)</f>
        <v>9.214583333</v>
      </c>
      <c r="O54" s="1467">
        <f>IFERROR(__xludf.DUMMYFUNCTION("""COMPUTED_VALUE"""),2560000.0)</f>
        <v>2560000</v>
      </c>
      <c r="P54" s="1518"/>
      <c r="Q54" s="1519"/>
      <c r="R54" s="1518"/>
      <c r="S54" s="1519"/>
      <c r="T54" s="1518"/>
      <c r="U54" s="1519"/>
      <c r="V54" s="1518"/>
      <c r="W54" s="1519"/>
      <c r="X54" s="1518"/>
      <c r="Y54" s="1519"/>
      <c r="Z54" s="1518"/>
      <c r="AA54" s="1519"/>
      <c r="AB54" s="1518"/>
      <c r="AC54" s="1519"/>
      <c r="AD54" s="1466">
        <f>IFERROR(__xludf.DUMMYFUNCTION("""COMPUTED_VALUE"""),56.15694444444444)</f>
        <v>56.15694444</v>
      </c>
      <c r="AE54" s="1474">
        <f>IFERROR(__xludf.DUMMYFUNCTION("""COMPUTED_VALUE"""),6.473079899E14)</f>
        <v>647307989900000</v>
      </c>
      <c r="AF54" s="1466">
        <f>IFERROR(__xludf.DUMMYFUNCTION("""COMPUTED_VALUE"""),56.15694444444444)</f>
        <v>56.15694444</v>
      </c>
      <c r="AG54" s="1474">
        <f>IFERROR(__xludf.DUMMYFUNCTION("""COMPUTED_VALUE"""),6.473079899E14)</f>
        <v>647307989900000</v>
      </c>
      <c r="AH54" s="1466">
        <f>IFERROR(__xludf.DUMMYFUNCTION("""COMPUTED_VALUE"""),56.15694444444444)</f>
        <v>56.15694444</v>
      </c>
      <c r="AI54" s="1474">
        <f>IFERROR(__xludf.DUMMYFUNCTION("""COMPUTED_VALUE"""),6.473079899E14)</f>
        <v>647307989900000</v>
      </c>
      <c r="AJ54" s="1475">
        <f>IFERROR(__xludf.DUMMYFUNCTION("""COMPUTED_VALUE"""),10.333333333333334)</f>
        <v>10.33333333</v>
      </c>
      <c r="AK54" s="1476">
        <f>IFERROR(__xludf.DUMMYFUNCTION("""COMPUTED_VALUE"""),696340.0)</f>
        <v>696340</v>
      </c>
      <c r="AL54" s="1475">
        <f>IFERROR(__xludf.DUMMYFUNCTION("""COMPUTED_VALUE"""),10.333333333333334)</f>
        <v>10.33333333</v>
      </c>
      <c r="AM54" s="1476">
        <f>IFERROR(__xludf.DUMMYFUNCTION("""COMPUTED_VALUE"""),696340.0)</f>
        <v>696340</v>
      </c>
      <c r="AN54" s="1475">
        <f>IFERROR(__xludf.DUMMYFUNCTION("""COMPUTED_VALUE"""),10.333333333333334)</f>
        <v>10.33333333</v>
      </c>
      <c r="AO54" s="1476">
        <f>IFERROR(__xludf.DUMMYFUNCTION("""COMPUTED_VALUE"""),696340.0)</f>
        <v>696340</v>
      </c>
      <c r="AP54" s="1475">
        <f>IFERROR(__xludf.DUMMYFUNCTION("""COMPUTED_VALUE"""),10.333333333333334)</f>
        <v>10.33333333</v>
      </c>
      <c r="AQ54" s="1476">
        <f>IFERROR(__xludf.DUMMYFUNCTION("""COMPUTED_VALUE"""),696340.0)</f>
        <v>696340</v>
      </c>
      <c r="AR54" s="1475">
        <f>IFERROR(__xludf.DUMMYFUNCTION("""COMPUTED_VALUE"""),10.333333333333334)</f>
        <v>10.33333333</v>
      </c>
      <c r="AS54" s="1476">
        <f>IFERROR(__xludf.DUMMYFUNCTION("""COMPUTED_VALUE"""),696350.0)</f>
        <v>696350</v>
      </c>
      <c r="AT54" s="1520"/>
      <c r="AU54" s="1519"/>
      <c r="AV54" s="1520"/>
      <c r="AW54" s="1519"/>
      <c r="AX54" s="1518"/>
      <c r="AY54" s="1568"/>
      <c r="AZ54" s="1518"/>
      <c r="BA54" s="1518"/>
      <c r="BB54" s="1477">
        <f>IFERROR(__xludf.DUMMYFUNCTION("""COMPUTED_VALUE"""),10.333333333333334)</f>
        <v>10.33333333</v>
      </c>
      <c r="BC54" s="1478">
        <f>IFERROR(__xludf.DUMMYFUNCTION("""COMPUTED_VALUE"""),696340.0)</f>
        <v>696340</v>
      </c>
      <c r="BD54" s="1477">
        <f>IFERROR(__xludf.DUMMYFUNCTION("""COMPUTED_VALUE"""),10.333333333333334)</f>
        <v>10.33333333</v>
      </c>
      <c r="BE54" s="1478">
        <f>IFERROR(__xludf.DUMMYFUNCTION("""COMPUTED_VALUE"""),696340.0)</f>
        <v>696340</v>
      </c>
      <c r="BF54" s="1477">
        <f>IFERROR(__xludf.DUMMYFUNCTION("""COMPUTED_VALUE"""),10.333333333333334)</f>
        <v>10.33333333</v>
      </c>
      <c r="BG54" s="1478">
        <f>IFERROR(__xludf.DUMMYFUNCTION("""COMPUTED_VALUE"""),696340.0)</f>
        <v>696340</v>
      </c>
      <c r="BH54" s="1518"/>
      <c r="BI54" s="1519"/>
      <c r="BJ54" s="1518"/>
      <c r="BK54" s="1519"/>
      <c r="BL54" s="1518"/>
      <c r="BM54" s="1519"/>
      <c r="BN54" s="1518"/>
      <c r="BO54" s="1519"/>
      <c r="BP54" s="1518"/>
      <c r="BQ54" s="1519"/>
      <c r="BR54" s="1520"/>
      <c r="BS54" s="1519"/>
      <c r="BT54" s="1520"/>
      <c r="BU54" s="1520"/>
      <c r="BV54" s="1520"/>
      <c r="BW54" s="1520"/>
      <c r="BX54" s="1520"/>
      <c r="BY54" s="1520"/>
      <c r="BZ54" s="1520"/>
      <c r="CA54" s="1520"/>
      <c r="CB54" s="1520"/>
      <c r="CC54" s="1519"/>
      <c r="CD54" s="1477">
        <f>IFERROR(__xludf.DUMMYFUNCTION("""COMPUTED_VALUE"""),40.66607638888889)</f>
        <v>40.66607639</v>
      </c>
      <c r="CE54" s="1481">
        <f>IFERROR(__xludf.DUMMYFUNCTION("""COMPUTED_VALUE"""),6.93E12)</f>
        <v>6930000000000</v>
      </c>
      <c r="CF54" s="1527"/>
      <c r="CG54" s="1560"/>
      <c r="CH54" s="1482">
        <f>IFERROR(__xludf.DUMMYFUNCTION("""COMPUTED_VALUE"""),10.333333333333334)</f>
        <v>10.33333333</v>
      </c>
      <c r="CI54" s="1483">
        <f>IFERROR(__xludf.DUMMYFUNCTION("""COMPUTED_VALUE"""),696350.0)</f>
        <v>696350</v>
      </c>
      <c r="CJ54" s="1482">
        <f>IFERROR(__xludf.DUMMYFUNCTION("""COMPUTED_VALUE"""),10.333333333333334)</f>
        <v>10.33333333</v>
      </c>
      <c r="CK54" s="1483">
        <f>IFERROR(__xludf.DUMMYFUNCTION("""COMPUTED_VALUE"""),696350.0)</f>
        <v>696350</v>
      </c>
      <c r="CL54" s="1482">
        <f>IFERROR(__xludf.DUMMYFUNCTION("""COMPUTED_VALUE"""),10.333333333333334)</f>
        <v>10.33333333</v>
      </c>
      <c r="CM54" s="1483">
        <f>IFERROR(__xludf.DUMMYFUNCTION("""COMPUTED_VALUE"""),696350.0)</f>
        <v>696350</v>
      </c>
      <c r="CN54" s="1482">
        <f>IFERROR(__xludf.DUMMYFUNCTION("""COMPUTED_VALUE"""),10.333333333333334)</f>
        <v>10.33333333</v>
      </c>
      <c r="CO54" s="1483">
        <f>IFERROR(__xludf.DUMMYFUNCTION("""COMPUTED_VALUE"""),696350.0)</f>
        <v>696350</v>
      </c>
      <c r="CP54" s="1482">
        <f>IFERROR(__xludf.DUMMYFUNCTION("""COMPUTED_VALUE"""),22.593055555555555)</f>
        <v>22.59305556</v>
      </c>
      <c r="CQ54" s="1483">
        <f>IFERROR(__xludf.DUMMYFUNCTION("""COMPUTED_VALUE"""),2560000.0)</f>
        <v>2560000</v>
      </c>
      <c r="CR54" s="1518"/>
      <c r="CS54" s="1519"/>
      <c r="CT54" s="1520"/>
      <c r="CU54" s="1519"/>
      <c r="CV54" s="1520"/>
      <c r="CW54" s="1519"/>
      <c r="CX54" s="1520"/>
      <c r="CY54" s="1519"/>
      <c r="CZ54" s="1520"/>
      <c r="DA54" s="1520"/>
      <c r="DB54" s="1520"/>
      <c r="DC54" s="1520"/>
      <c r="DD54" s="1520"/>
      <c r="DE54" s="1519"/>
      <c r="DF54" s="1518"/>
      <c r="DG54" s="1519"/>
      <c r="DH54" s="1518"/>
      <c r="DI54" s="1519"/>
      <c r="DJ54" s="1518"/>
      <c r="DK54" s="1519"/>
      <c r="DL54" s="1518"/>
      <c r="DM54" s="1519"/>
      <c r="DN54" s="1518"/>
      <c r="DO54" s="1519"/>
      <c r="DP54" s="1518"/>
      <c r="DQ54" s="1519"/>
      <c r="DR54" s="1518"/>
      <c r="DS54" s="1519"/>
      <c r="DT54" s="1518"/>
      <c r="DU54" s="1519"/>
      <c r="DV54" s="1520"/>
      <c r="DW54" s="1519"/>
      <c r="DX54" s="1518"/>
      <c r="DY54" s="1519"/>
      <c r="DZ54" s="1518"/>
      <c r="EA54" s="1519"/>
      <c r="EB54" s="1518"/>
      <c r="EC54" s="1519"/>
      <c r="ED54" s="1518"/>
      <c r="EE54" s="1519"/>
      <c r="EF54" s="1518"/>
      <c r="EG54" s="1519"/>
      <c r="EH54" s="1518"/>
      <c r="EI54" s="1519"/>
      <c r="EJ54" s="1562"/>
      <c r="EK54" s="1560"/>
      <c r="EL54" s="1562"/>
      <c r="EM54" s="1560"/>
      <c r="EN54" s="1518"/>
      <c r="EO54" s="1519"/>
      <c r="EP54" s="1518"/>
      <c r="EQ54" s="1519"/>
      <c r="ER54" s="1518"/>
      <c r="ES54" s="1519"/>
      <c r="ET54" s="1518"/>
      <c r="EU54" s="1519"/>
      <c r="EV54" s="1518"/>
      <c r="EW54" s="1519"/>
      <c r="EX54" s="1518"/>
      <c r="EY54" s="1519"/>
      <c r="EZ54" s="1518"/>
      <c r="FA54" s="1519"/>
      <c r="FB54" s="1520"/>
      <c r="FC54" s="1519"/>
      <c r="FD54" s="1520"/>
      <c r="FE54" s="1519"/>
      <c r="FF54" s="1520"/>
      <c r="FG54" s="1519"/>
      <c r="FH54" s="1520"/>
      <c r="FI54" s="1520"/>
      <c r="FJ54" s="1520"/>
      <c r="FK54" s="1519"/>
      <c r="FL54" s="1518"/>
      <c r="FM54" s="1519"/>
      <c r="FN54" s="1532"/>
      <c r="FO54" s="1520"/>
      <c r="FP54" s="1532"/>
      <c r="FQ54" s="1520"/>
      <c r="FR54" s="1532"/>
      <c r="FS54" s="1520"/>
      <c r="FT54" s="1532"/>
      <c r="FU54" s="1519"/>
      <c r="FV54" s="1532"/>
      <c r="FW54" s="1519"/>
      <c r="FX54" s="1572"/>
      <c r="FY54" s="1560"/>
      <c r="FZ54" s="1572"/>
      <c r="GA54" s="1560"/>
      <c r="GB54" s="1572"/>
      <c r="GC54" s="1560"/>
      <c r="GD54" s="1527"/>
      <c r="GE54" s="1560"/>
      <c r="GF54" s="1518"/>
      <c r="GG54" s="1519"/>
      <c r="GH54" s="1518"/>
      <c r="GI54" s="1519"/>
      <c r="GJ54" s="1518"/>
      <c r="GK54" s="1519"/>
      <c r="GL54" s="1518"/>
      <c r="GM54" s="1519"/>
      <c r="GN54" s="1520"/>
      <c r="GO54" s="1519"/>
      <c r="GP54" s="1520"/>
      <c r="GQ54" s="1519"/>
      <c r="GR54" s="1518"/>
      <c r="GS54" s="1519"/>
      <c r="GT54" s="1518"/>
      <c r="GU54" s="1519"/>
      <c r="GV54" s="1520"/>
      <c r="GW54" s="1519"/>
      <c r="GX54" s="1561"/>
      <c r="GY54" s="1527"/>
      <c r="GZ54" s="1518"/>
      <c r="HA54" s="1519"/>
      <c r="HB54" s="1501">
        <f>IFERROR(__xludf.DUMMYFUNCTION("""COMPUTED_VALUE"""),774.6548611111111)</f>
        <v>774.6548611</v>
      </c>
      <c r="HC54" s="1502">
        <f>IFERROR(__xludf.DUMMYFUNCTION("""COMPUTED_VALUE"""),6.9E12)</f>
        <v>6900000000000</v>
      </c>
      <c r="HD54" s="1518"/>
      <c r="HE54" s="1519"/>
      <c r="HF54" s="1518"/>
      <c r="HG54" s="1519"/>
      <c r="HH54" s="1518"/>
      <c r="HI54" s="1519"/>
      <c r="HJ54" s="1518"/>
      <c r="HK54" s="1519"/>
      <c r="HL54" s="1518"/>
      <c r="HM54" s="1519"/>
      <c r="HN54" s="1520"/>
      <c r="HO54" s="1519"/>
      <c r="HP54" s="1518"/>
      <c r="HQ54" s="1519"/>
      <c r="HR54" s="1518"/>
      <c r="HS54" s="1519"/>
      <c r="HT54" s="1518"/>
      <c r="HU54" s="1519"/>
      <c r="HV54" s="1518"/>
      <c r="HW54" s="1519"/>
      <c r="HX54" s="1518"/>
      <c r="HY54" s="1519"/>
      <c r="HZ54" s="1518"/>
      <c r="IA54" s="1519"/>
      <c r="IB54" s="1518"/>
      <c r="IC54" s="1519"/>
      <c r="ID54" s="1518"/>
      <c r="IE54" s="1519"/>
      <c r="IF54" s="1518"/>
      <c r="IG54" s="1519"/>
      <c r="IH54" s="1518"/>
      <c r="II54" s="1519"/>
      <c r="IJ54" s="1518"/>
      <c r="IK54" s="1519"/>
      <c r="IL54" s="1518"/>
      <c r="IM54" s="1519"/>
      <c r="IN54" s="1518"/>
      <c r="IO54" s="1519"/>
      <c r="IP54" s="1518"/>
      <c r="IQ54" s="1519"/>
      <c r="IR54" s="1518"/>
      <c r="IS54" s="1519"/>
      <c r="IT54" s="1518"/>
      <c r="IU54" s="1519"/>
      <c r="IV54" s="1518"/>
      <c r="IW54" s="1519"/>
      <c r="IX54" s="1518"/>
      <c r="IY54" s="1519"/>
      <c r="IZ54" s="1518"/>
      <c r="JA54" s="1519"/>
      <c r="JB54" s="1518"/>
      <c r="JC54" s="1519"/>
      <c r="JD54" s="1518"/>
      <c r="JE54" s="1519"/>
      <c r="JF54" s="1518"/>
      <c r="JG54" s="1519"/>
      <c r="JH54" s="1518"/>
      <c r="JI54" s="1519"/>
      <c r="JJ54" s="1562"/>
      <c r="JK54" s="1560"/>
      <c r="JL54" s="1562"/>
      <c r="JM54" s="1560"/>
      <c r="JN54" s="1562"/>
      <c r="JO54" s="1560"/>
      <c r="JP54" s="1562"/>
      <c r="JQ54" s="1560"/>
      <c r="JR54" s="1562"/>
      <c r="JS54" s="1560"/>
      <c r="JT54" s="1562"/>
      <c r="JU54" s="1560"/>
      <c r="JV54" s="1562"/>
      <c r="JW54" s="1560"/>
      <c r="JX54" s="1562"/>
      <c r="JY54" s="1527"/>
      <c r="JZ54" s="1566">
        <f>IFERROR(__xludf.DUMMYFUNCTION("""COMPUTED_VALUE"""),4.582627315)</f>
        <v>4.582627315</v>
      </c>
      <c r="KA54" s="1514">
        <f>IFERROR(__xludf.DUMMYFUNCTION("""COMPUTED_VALUE"""),8.156E10)</f>
        <v>81560000000</v>
      </c>
      <c r="KB54" s="1562"/>
      <c r="KC54" s="1527"/>
      <c r="KD54" s="1562"/>
      <c r="KE54" s="1527"/>
      <c r="KF54" s="1527"/>
      <c r="KG54" s="1527"/>
      <c r="KH54" s="1527"/>
      <c r="KI54" s="1527"/>
      <c r="KJ54" s="1527"/>
      <c r="KK54" s="1527"/>
      <c r="KL54" s="1527"/>
      <c r="KM54" s="1527"/>
      <c r="KN54" s="1527"/>
      <c r="KO54" s="1527"/>
      <c r="KP54" s="1527"/>
      <c r="KQ54" s="1527"/>
      <c r="KR54" s="1527"/>
      <c r="KS54" s="1527"/>
      <c r="KT54" s="1527"/>
      <c r="KU54" s="1527"/>
      <c r="KV54" s="1527"/>
      <c r="KW54" s="1527"/>
      <c r="KX54" s="1527"/>
      <c r="KY54" s="1527"/>
      <c r="KZ54" s="1527"/>
      <c r="LA54" s="1527"/>
      <c r="LB54" s="1527"/>
      <c r="LC54" s="1527"/>
      <c r="LD54" s="1527"/>
      <c r="LE54" s="1527"/>
      <c r="LF54" s="1527"/>
      <c r="LG54" s="1527"/>
      <c r="LH54" s="1527"/>
      <c r="LI54" s="1527"/>
      <c r="LJ54" s="1527"/>
      <c r="LK54" s="1527"/>
      <c r="LL54" s="1527"/>
      <c r="LM54" s="1527"/>
      <c r="LN54" s="1527"/>
      <c r="LO54" s="1527"/>
      <c r="LP54" s="1527"/>
      <c r="LQ54" s="1527"/>
      <c r="LR54" s="1527"/>
      <c r="LS54" s="1527"/>
      <c r="LT54" s="1527"/>
      <c r="LU54" s="1527"/>
      <c r="LV54" s="1527"/>
      <c r="LW54" s="1527"/>
      <c r="LX54" s="1527"/>
      <c r="LY54" s="1527"/>
      <c r="LZ54" s="1527"/>
      <c r="MA54" s="1527"/>
      <c r="MB54" s="1527"/>
      <c r="MC54" s="1527"/>
      <c r="MD54" s="1527"/>
      <c r="ME54" s="1527"/>
      <c r="MF54" s="1527"/>
      <c r="MG54" s="1527"/>
      <c r="MH54" s="1527"/>
      <c r="MI54" s="1527"/>
      <c r="MJ54" s="1527"/>
      <c r="MK54" s="1527"/>
      <c r="ML54" s="1527"/>
      <c r="MM54" s="1527"/>
      <c r="MN54" s="1527"/>
      <c r="MO54" s="1527"/>
      <c r="MP54" s="1527"/>
      <c r="MQ54" s="1527"/>
      <c r="MR54" s="1527"/>
      <c r="MS54" s="1527"/>
      <c r="MT54" s="1527"/>
      <c r="MU54" s="1527"/>
      <c r="MV54" s="1527"/>
      <c r="MW54" s="1527"/>
      <c r="MX54" s="1527"/>
      <c r="MY54" s="1527"/>
    </row>
    <row r="55">
      <c r="A55" s="1465">
        <f>IFERROR(__xludf.DUMMYFUNCTION("""COMPUTED_VALUE"""),53.0)</f>
        <v>53</v>
      </c>
      <c r="B55" s="1518"/>
      <c r="C55" s="1520"/>
      <c r="D55" s="1466">
        <f>IFERROR(__xludf.DUMMYFUNCTION("""COMPUTED_VALUE"""),10.821527777777778)</f>
        <v>10.82152778</v>
      </c>
      <c r="E55" s="1467">
        <f>IFERROR(__xludf.DUMMYFUNCTION("""COMPUTED_VALUE"""),734490.0)</f>
        <v>734490</v>
      </c>
      <c r="F55" s="1466">
        <f>IFERROR(__xludf.DUMMYFUNCTION("""COMPUTED_VALUE"""),10.821527777777778)</f>
        <v>10.82152778</v>
      </c>
      <c r="G55" s="1467">
        <f>IFERROR(__xludf.DUMMYFUNCTION("""COMPUTED_VALUE"""),734490.0)</f>
        <v>734490</v>
      </c>
      <c r="H55" s="1466">
        <f>IFERROR(__xludf.DUMMYFUNCTION("""COMPUTED_VALUE"""),10.821527777777778)</f>
        <v>10.82152778</v>
      </c>
      <c r="I55" s="1467">
        <f>IFERROR(__xludf.DUMMYFUNCTION("""COMPUTED_VALUE"""),734490.0)</f>
        <v>734490</v>
      </c>
      <c r="J55" s="1466">
        <f>IFERROR(__xludf.DUMMYFUNCTION("""COMPUTED_VALUE"""),10.821527777777778)</f>
        <v>10.82152778</v>
      </c>
      <c r="K55" s="1467">
        <f>IFERROR(__xludf.DUMMYFUNCTION("""COMPUTED_VALUE"""),734490.0)</f>
        <v>734490</v>
      </c>
      <c r="L55" s="1466">
        <f>IFERROR(__xludf.DUMMYFUNCTION("""COMPUTED_VALUE"""),19.549305555555556)</f>
        <v>19.54930556</v>
      </c>
      <c r="M55" s="1469">
        <f>IFERROR(__xludf.DUMMYFUNCTION("""COMPUTED_VALUE"""),2290000.0)</f>
        <v>2290000</v>
      </c>
      <c r="N55" s="1470">
        <f>IFERROR(__xludf.DUMMYFUNCTION("""COMPUTED_VALUE"""),9.582638888888889)</f>
        <v>9.582638889</v>
      </c>
      <c r="O55" s="1467">
        <f>IFERROR(__xludf.DUMMYFUNCTION("""COMPUTED_VALUE"""),2720000.0)</f>
        <v>2720000</v>
      </c>
      <c r="P55" s="1518"/>
      <c r="Q55" s="1519"/>
      <c r="R55" s="1518"/>
      <c r="S55" s="1519"/>
      <c r="T55" s="1518"/>
      <c r="U55" s="1519"/>
      <c r="V55" s="1518"/>
      <c r="W55" s="1519"/>
      <c r="X55" s="1518"/>
      <c r="Y55" s="1519"/>
      <c r="Z55" s="1518"/>
      <c r="AA55" s="1519"/>
      <c r="AB55" s="1518"/>
      <c r="AC55" s="1519"/>
      <c r="AD55" s="1466">
        <f>IFERROR(__xludf.DUMMYFUNCTION("""COMPUTED_VALUE"""),57.236805555555556)</f>
        <v>57.23680556</v>
      </c>
      <c r="AE55" s="1474">
        <f>IFERROR(__xludf.DUMMYFUNCTION("""COMPUTED_VALUE"""),8.415003868E14)</f>
        <v>841500386800000</v>
      </c>
      <c r="AF55" s="1466">
        <f>IFERROR(__xludf.DUMMYFUNCTION("""COMPUTED_VALUE"""),57.236805555555556)</f>
        <v>57.23680556</v>
      </c>
      <c r="AG55" s="1474">
        <f>IFERROR(__xludf.DUMMYFUNCTION("""COMPUTED_VALUE"""),8.415003868E14)</f>
        <v>841500386800000</v>
      </c>
      <c r="AH55" s="1466">
        <f>IFERROR(__xludf.DUMMYFUNCTION("""COMPUTED_VALUE"""),57.236805555555556)</f>
        <v>57.23680556</v>
      </c>
      <c r="AI55" s="1474">
        <f>IFERROR(__xludf.DUMMYFUNCTION("""COMPUTED_VALUE"""),8.415003868E14)</f>
        <v>841500386800000</v>
      </c>
      <c r="AJ55" s="1475">
        <f>IFERROR(__xludf.DUMMYFUNCTION("""COMPUTED_VALUE"""),10.821527777777778)</f>
        <v>10.82152778</v>
      </c>
      <c r="AK55" s="1476">
        <f>IFERROR(__xludf.DUMMYFUNCTION("""COMPUTED_VALUE"""),734490.0)</f>
        <v>734490</v>
      </c>
      <c r="AL55" s="1475">
        <f>IFERROR(__xludf.DUMMYFUNCTION("""COMPUTED_VALUE"""),10.821527777777778)</f>
        <v>10.82152778</v>
      </c>
      <c r="AM55" s="1476">
        <f>IFERROR(__xludf.DUMMYFUNCTION("""COMPUTED_VALUE"""),734490.0)</f>
        <v>734490</v>
      </c>
      <c r="AN55" s="1475">
        <f>IFERROR(__xludf.DUMMYFUNCTION("""COMPUTED_VALUE"""),10.821527777777778)</f>
        <v>10.82152778</v>
      </c>
      <c r="AO55" s="1476">
        <f>IFERROR(__xludf.DUMMYFUNCTION("""COMPUTED_VALUE"""),734490.0)</f>
        <v>734490</v>
      </c>
      <c r="AP55" s="1475">
        <f>IFERROR(__xludf.DUMMYFUNCTION("""COMPUTED_VALUE"""),10.821527777777778)</f>
        <v>10.82152778</v>
      </c>
      <c r="AQ55" s="1476">
        <f>IFERROR(__xludf.DUMMYFUNCTION("""COMPUTED_VALUE"""),734490.0)</f>
        <v>734490</v>
      </c>
      <c r="AR55" s="1475">
        <f>IFERROR(__xludf.DUMMYFUNCTION("""COMPUTED_VALUE"""),10.821527777777778)</f>
        <v>10.82152778</v>
      </c>
      <c r="AS55" s="1476">
        <f>IFERROR(__xludf.DUMMYFUNCTION("""COMPUTED_VALUE"""),734500.0)</f>
        <v>734500</v>
      </c>
      <c r="AT55" s="1520"/>
      <c r="AU55" s="1519"/>
      <c r="AV55" s="1520"/>
      <c r="AW55" s="1519"/>
      <c r="AX55" s="1518"/>
      <c r="AY55" s="1568"/>
      <c r="AZ55" s="1518"/>
      <c r="BA55" s="1518"/>
      <c r="BB55" s="1477">
        <f>IFERROR(__xludf.DUMMYFUNCTION("""COMPUTED_VALUE"""),10.821527777777778)</f>
        <v>10.82152778</v>
      </c>
      <c r="BC55" s="1478">
        <f>IFERROR(__xludf.DUMMYFUNCTION("""COMPUTED_VALUE"""),734490.0)</f>
        <v>734490</v>
      </c>
      <c r="BD55" s="1477">
        <f>IFERROR(__xludf.DUMMYFUNCTION("""COMPUTED_VALUE"""),10.821527777777778)</f>
        <v>10.82152778</v>
      </c>
      <c r="BE55" s="1478">
        <f>IFERROR(__xludf.DUMMYFUNCTION("""COMPUTED_VALUE"""),734490.0)</f>
        <v>734490</v>
      </c>
      <c r="BF55" s="1477">
        <f>IFERROR(__xludf.DUMMYFUNCTION("""COMPUTED_VALUE"""),10.821527777777778)</f>
        <v>10.82152778</v>
      </c>
      <c r="BG55" s="1478">
        <f>IFERROR(__xludf.DUMMYFUNCTION("""COMPUTED_VALUE"""),734490.0)</f>
        <v>734490</v>
      </c>
      <c r="BH55" s="1518"/>
      <c r="BI55" s="1519"/>
      <c r="BJ55" s="1518"/>
      <c r="BK55" s="1519"/>
      <c r="BL55" s="1518"/>
      <c r="BM55" s="1519"/>
      <c r="BN55" s="1518"/>
      <c r="BO55" s="1519"/>
      <c r="BP55" s="1518"/>
      <c r="BQ55" s="1519"/>
      <c r="BR55" s="1520"/>
      <c r="BS55" s="1519"/>
      <c r="BT55" s="1520"/>
      <c r="BU55" s="1520"/>
      <c r="BV55" s="1520"/>
      <c r="BW55" s="1520"/>
      <c r="BX55" s="1520"/>
      <c r="BY55" s="1520"/>
      <c r="BZ55" s="1520"/>
      <c r="CA55" s="1520"/>
      <c r="CB55" s="1520"/>
      <c r="CC55" s="1519"/>
      <c r="CD55" s="1477">
        <f>IFERROR(__xludf.DUMMYFUNCTION("""COMPUTED_VALUE"""),42.54863425925926)</f>
        <v>42.54863426</v>
      </c>
      <c r="CE55" s="1481">
        <f>IFERROR(__xludf.DUMMYFUNCTION("""COMPUTED_VALUE"""),7.33E12)</f>
        <v>7330000000000</v>
      </c>
      <c r="CF55" s="1527"/>
      <c r="CG55" s="1560"/>
      <c r="CH55" s="1482">
        <f>IFERROR(__xludf.DUMMYFUNCTION("""COMPUTED_VALUE"""),10.821527777777778)</f>
        <v>10.82152778</v>
      </c>
      <c r="CI55" s="1483">
        <f>IFERROR(__xludf.DUMMYFUNCTION("""COMPUTED_VALUE"""),734500.0)</f>
        <v>734500</v>
      </c>
      <c r="CJ55" s="1482">
        <f>IFERROR(__xludf.DUMMYFUNCTION("""COMPUTED_VALUE"""),10.821527777777778)</f>
        <v>10.82152778</v>
      </c>
      <c r="CK55" s="1483">
        <f>IFERROR(__xludf.DUMMYFUNCTION("""COMPUTED_VALUE"""),734500.0)</f>
        <v>734500</v>
      </c>
      <c r="CL55" s="1482">
        <f>IFERROR(__xludf.DUMMYFUNCTION("""COMPUTED_VALUE"""),10.821527777777778)</f>
        <v>10.82152778</v>
      </c>
      <c r="CM55" s="1483">
        <f>IFERROR(__xludf.DUMMYFUNCTION("""COMPUTED_VALUE"""),734500.0)</f>
        <v>734500</v>
      </c>
      <c r="CN55" s="1482">
        <f>IFERROR(__xludf.DUMMYFUNCTION("""COMPUTED_VALUE"""),10.821527777777778)</f>
        <v>10.82152778</v>
      </c>
      <c r="CO55" s="1483">
        <f>IFERROR(__xludf.DUMMYFUNCTION("""COMPUTED_VALUE"""),734500.0)</f>
        <v>734500</v>
      </c>
      <c r="CP55" s="1482">
        <f>IFERROR(__xludf.DUMMYFUNCTION("""COMPUTED_VALUE"""),23.75347222222222)</f>
        <v>23.75347222</v>
      </c>
      <c r="CQ55" s="1483">
        <f>IFERROR(__xludf.DUMMYFUNCTION("""COMPUTED_VALUE"""),2720000.0)</f>
        <v>2720000</v>
      </c>
      <c r="CR55" s="1518"/>
      <c r="CS55" s="1519"/>
      <c r="CT55" s="1520"/>
      <c r="CU55" s="1519"/>
      <c r="CV55" s="1520"/>
      <c r="CW55" s="1519"/>
      <c r="CX55" s="1520"/>
      <c r="CY55" s="1519"/>
      <c r="CZ55" s="1520"/>
      <c r="DA55" s="1520"/>
      <c r="DB55" s="1520"/>
      <c r="DC55" s="1520"/>
      <c r="DD55" s="1520"/>
      <c r="DE55" s="1519"/>
      <c r="DF55" s="1518"/>
      <c r="DG55" s="1519"/>
      <c r="DH55" s="1518"/>
      <c r="DI55" s="1519"/>
      <c r="DJ55" s="1518"/>
      <c r="DK55" s="1519"/>
      <c r="DL55" s="1518"/>
      <c r="DM55" s="1519"/>
      <c r="DN55" s="1518"/>
      <c r="DO55" s="1519"/>
      <c r="DP55" s="1518"/>
      <c r="DQ55" s="1519"/>
      <c r="DR55" s="1518"/>
      <c r="DS55" s="1519"/>
      <c r="DT55" s="1518"/>
      <c r="DU55" s="1519"/>
      <c r="DV55" s="1520"/>
      <c r="DW55" s="1519"/>
      <c r="DX55" s="1518"/>
      <c r="DY55" s="1519"/>
      <c r="DZ55" s="1518"/>
      <c r="EA55" s="1519"/>
      <c r="EB55" s="1518"/>
      <c r="EC55" s="1519"/>
      <c r="ED55" s="1518"/>
      <c r="EE55" s="1519"/>
      <c r="EF55" s="1518"/>
      <c r="EG55" s="1519"/>
      <c r="EH55" s="1518"/>
      <c r="EI55" s="1519"/>
      <c r="EJ55" s="1562"/>
      <c r="EK55" s="1560"/>
      <c r="EL55" s="1562"/>
      <c r="EM55" s="1560"/>
      <c r="EN55" s="1518"/>
      <c r="EO55" s="1519"/>
      <c r="EP55" s="1518"/>
      <c r="EQ55" s="1519"/>
      <c r="ER55" s="1518"/>
      <c r="ES55" s="1519"/>
      <c r="ET55" s="1518"/>
      <c r="EU55" s="1519"/>
      <c r="EV55" s="1518"/>
      <c r="EW55" s="1519"/>
      <c r="EX55" s="1518"/>
      <c r="EY55" s="1519"/>
      <c r="EZ55" s="1518"/>
      <c r="FA55" s="1519"/>
      <c r="FB55" s="1520"/>
      <c r="FC55" s="1519"/>
      <c r="FD55" s="1520"/>
      <c r="FE55" s="1519"/>
      <c r="FF55" s="1520"/>
      <c r="FG55" s="1519"/>
      <c r="FH55" s="1520"/>
      <c r="FI55" s="1520"/>
      <c r="FJ55" s="1520"/>
      <c r="FK55" s="1519"/>
      <c r="FL55" s="1518"/>
      <c r="FM55" s="1519"/>
      <c r="FN55" s="1532"/>
      <c r="FO55" s="1520"/>
      <c r="FP55" s="1532"/>
      <c r="FQ55" s="1520"/>
      <c r="FR55" s="1532"/>
      <c r="FS55" s="1520"/>
      <c r="FT55" s="1532"/>
      <c r="FU55" s="1519"/>
      <c r="FV55" s="1532"/>
      <c r="FW55" s="1519"/>
      <c r="FX55" s="1572"/>
      <c r="FY55" s="1560"/>
      <c r="FZ55" s="1572"/>
      <c r="GA55" s="1560"/>
      <c r="GB55" s="1572"/>
      <c r="GC55" s="1560"/>
      <c r="GD55" s="1527"/>
      <c r="GE55" s="1560"/>
      <c r="GF55" s="1518"/>
      <c r="GG55" s="1519"/>
      <c r="GH55" s="1518"/>
      <c r="GI55" s="1519"/>
      <c r="GJ55" s="1518"/>
      <c r="GK55" s="1519"/>
      <c r="GL55" s="1518"/>
      <c r="GM55" s="1519"/>
      <c r="GN55" s="1520"/>
      <c r="GO55" s="1519"/>
      <c r="GP55" s="1520"/>
      <c r="GQ55" s="1519"/>
      <c r="GR55" s="1518"/>
      <c r="GS55" s="1519"/>
      <c r="GT55" s="1518"/>
      <c r="GU55" s="1519"/>
      <c r="GV55" s="1520"/>
      <c r="GW55" s="1519"/>
      <c r="GX55" s="1561"/>
      <c r="GY55" s="1527"/>
      <c r="GZ55" s="1518"/>
      <c r="HA55" s="1519"/>
      <c r="HB55" s="1501">
        <f>IFERROR(__xludf.DUMMYFUNCTION("""COMPUTED_VALUE"""),828.7694444444444)</f>
        <v>828.7694444</v>
      </c>
      <c r="HC55" s="1502">
        <f>IFERROR(__xludf.DUMMYFUNCTION("""COMPUTED_VALUE"""),7.6E12)</f>
        <v>7600000000000</v>
      </c>
      <c r="HD55" s="1518"/>
      <c r="HE55" s="1519"/>
      <c r="HF55" s="1518"/>
      <c r="HG55" s="1519"/>
      <c r="HH55" s="1518"/>
      <c r="HI55" s="1519"/>
      <c r="HJ55" s="1518"/>
      <c r="HK55" s="1519"/>
      <c r="HL55" s="1518"/>
      <c r="HM55" s="1519"/>
      <c r="HN55" s="1520"/>
      <c r="HO55" s="1519"/>
      <c r="HP55" s="1518"/>
      <c r="HQ55" s="1519"/>
      <c r="HR55" s="1518"/>
      <c r="HS55" s="1519"/>
      <c r="HT55" s="1518"/>
      <c r="HU55" s="1519"/>
      <c r="HV55" s="1518"/>
      <c r="HW55" s="1519"/>
      <c r="HX55" s="1518"/>
      <c r="HY55" s="1519"/>
      <c r="HZ55" s="1518"/>
      <c r="IA55" s="1519"/>
      <c r="IB55" s="1518"/>
      <c r="IC55" s="1519"/>
      <c r="ID55" s="1518"/>
      <c r="IE55" s="1519"/>
      <c r="IF55" s="1518"/>
      <c r="IG55" s="1519"/>
      <c r="IH55" s="1518"/>
      <c r="II55" s="1519"/>
      <c r="IJ55" s="1518"/>
      <c r="IK55" s="1519"/>
      <c r="IL55" s="1518"/>
      <c r="IM55" s="1519"/>
      <c r="IN55" s="1518"/>
      <c r="IO55" s="1519"/>
      <c r="IP55" s="1518"/>
      <c r="IQ55" s="1519"/>
      <c r="IR55" s="1518"/>
      <c r="IS55" s="1519"/>
      <c r="IT55" s="1518"/>
      <c r="IU55" s="1519"/>
      <c r="IV55" s="1518"/>
      <c r="IW55" s="1519"/>
      <c r="IX55" s="1518"/>
      <c r="IY55" s="1519"/>
      <c r="IZ55" s="1518"/>
      <c r="JA55" s="1519"/>
      <c r="JB55" s="1518"/>
      <c r="JC55" s="1519"/>
      <c r="JD55" s="1518"/>
      <c r="JE55" s="1519"/>
      <c r="JF55" s="1518"/>
      <c r="JG55" s="1519"/>
      <c r="JH55" s="1518"/>
      <c r="JI55" s="1519"/>
      <c r="JJ55" s="1562"/>
      <c r="JK55" s="1560"/>
      <c r="JL55" s="1562"/>
      <c r="JM55" s="1560"/>
      <c r="JN55" s="1562"/>
      <c r="JO55" s="1560"/>
      <c r="JP55" s="1562"/>
      <c r="JQ55" s="1560"/>
      <c r="JR55" s="1562"/>
      <c r="JS55" s="1560"/>
      <c r="JT55" s="1562"/>
      <c r="JU55" s="1560"/>
      <c r="JV55" s="1562"/>
      <c r="JW55" s="1560"/>
      <c r="JX55" s="1562"/>
      <c r="JY55" s="1527"/>
      <c r="JZ55" s="1566">
        <f>IFERROR(__xludf.DUMMYFUNCTION("""COMPUTED_VALUE"""),4.670115741)</f>
        <v>4.670115741</v>
      </c>
      <c r="KA55" s="1514">
        <f>IFERROR(__xludf.DUMMYFUNCTION("""COMPUTED_VALUE"""),8.595E10)</f>
        <v>85950000000</v>
      </c>
      <c r="KB55" s="1562"/>
      <c r="KC55" s="1527"/>
      <c r="KD55" s="1562"/>
      <c r="KE55" s="1527"/>
      <c r="KF55" s="1527"/>
      <c r="KG55" s="1527"/>
      <c r="KH55" s="1527"/>
      <c r="KI55" s="1527"/>
      <c r="KJ55" s="1527"/>
      <c r="KK55" s="1527"/>
      <c r="KL55" s="1527"/>
      <c r="KM55" s="1527"/>
      <c r="KN55" s="1527"/>
      <c r="KO55" s="1527"/>
      <c r="KP55" s="1527"/>
      <c r="KQ55" s="1527"/>
      <c r="KR55" s="1527"/>
      <c r="KS55" s="1527"/>
      <c r="KT55" s="1527"/>
      <c r="KU55" s="1527"/>
      <c r="KV55" s="1527"/>
      <c r="KW55" s="1527"/>
      <c r="KX55" s="1527"/>
      <c r="KY55" s="1527"/>
      <c r="KZ55" s="1527"/>
      <c r="LA55" s="1527"/>
      <c r="LB55" s="1527"/>
      <c r="LC55" s="1527"/>
      <c r="LD55" s="1527"/>
      <c r="LE55" s="1527"/>
      <c r="LF55" s="1527"/>
      <c r="LG55" s="1527"/>
      <c r="LH55" s="1527"/>
      <c r="LI55" s="1527"/>
      <c r="LJ55" s="1527"/>
      <c r="LK55" s="1527"/>
      <c r="LL55" s="1527"/>
      <c r="LM55" s="1527"/>
      <c r="LN55" s="1527"/>
      <c r="LO55" s="1527"/>
      <c r="LP55" s="1527"/>
      <c r="LQ55" s="1527"/>
      <c r="LR55" s="1527"/>
      <c r="LS55" s="1527"/>
      <c r="LT55" s="1527"/>
      <c r="LU55" s="1527"/>
      <c r="LV55" s="1527"/>
      <c r="LW55" s="1527"/>
      <c r="LX55" s="1527"/>
      <c r="LY55" s="1527"/>
      <c r="LZ55" s="1527"/>
      <c r="MA55" s="1527"/>
      <c r="MB55" s="1527"/>
      <c r="MC55" s="1527"/>
      <c r="MD55" s="1527"/>
      <c r="ME55" s="1527"/>
      <c r="MF55" s="1527"/>
      <c r="MG55" s="1527"/>
      <c r="MH55" s="1527"/>
      <c r="MI55" s="1527"/>
      <c r="MJ55" s="1527"/>
      <c r="MK55" s="1527"/>
      <c r="ML55" s="1527"/>
      <c r="MM55" s="1527"/>
      <c r="MN55" s="1527"/>
      <c r="MO55" s="1527"/>
      <c r="MP55" s="1527"/>
      <c r="MQ55" s="1527"/>
      <c r="MR55" s="1527"/>
      <c r="MS55" s="1527"/>
      <c r="MT55" s="1527"/>
      <c r="MU55" s="1527"/>
      <c r="MV55" s="1527"/>
      <c r="MW55" s="1527"/>
      <c r="MX55" s="1527"/>
      <c r="MY55" s="1527"/>
    </row>
    <row r="56">
      <c r="A56" s="1465">
        <f>IFERROR(__xludf.DUMMYFUNCTION("""COMPUTED_VALUE"""),54.0)</f>
        <v>54</v>
      </c>
      <c r="B56" s="1518"/>
      <c r="C56" s="1520"/>
      <c r="D56" s="1466">
        <f>IFERROR(__xludf.DUMMYFUNCTION("""COMPUTED_VALUE"""),11.322916666666666)</f>
        <v>11.32291667</v>
      </c>
      <c r="E56" s="1467">
        <f>IFERROR(__xludf.DUMMYFUNCTION("""COMPUTED_VALUE"""),773940.0)</f>
        <v>773940</v>
      </c>
      <c r="F56" s="1466">
        <f>IFERROR(__xludf.DUMMYFUNCTION("""COMPUTED_VALUE"""),11.322916666666666)</f>
        <v>11.32291667</v>
      </c>
      <c r="G56" s="1467">
        <f>IFERROR(__xludf.DUMMYFUNCTION("""COMPUTED_VALUE"""),773940.0)</f>
        <v>773940</v>
      </c>
      <c r="H56" s="1466">
        <f>IFERROR(__xludf.DUMMYFUNCTION("""COMPUTED_VALUE"""),11.322916666666666)</f>
        <v>11.32291667</v>
      </c>
      <c r="I56" s="1467">
        <f>IFERROR(__xludf.DUMMYFUNCTION("""COMPUTED_VALUE"""),773940.0)</f>
        <v>773940</v>
      </c>
      <c r="J56" s="1466">
        <f>IFERROR(__xludf.DUMMYFUNCTION("""COMPUTED_VALUE"""),11.322916666666666)</f>
        <v>11.32291667</v>
      </c>
      <c r="K56" s="1467">
        <f>IFERROR(__xludf.DUMMYFUNCTION("""COMPUTED_VALUE"""),773940.0)</f>
        <v>773940</v>
      </c>
      <c r="L56" s="1466">
        <f>IFERROR(__xludf.DUMMYFUNCTION("""COMPUTED_VALUE"""),20.513194444444444)</f>
        <v>20.51319444</v>
      </c>
      <c r="M56" s="1469">
        <f>IFERROR(__xludf.DUMMYFUNCTION("""COMPUTED_VALUE"""),2420000.0)</f>
        <v>2420000</v>
      </c>
      <c r="N56" s="1470">
        <f>IFERROR(__xludf.DUMMYFUNCTION("""COMPUTED_VALUE"""),9.957638888888889)</f>
        <v>9.957638889</v>
      </c>
      <c r="O56" s="1467">
        <f>IFERROR(__xludf.DUMMYFUNCTION("""COMPUTED_VALUE"""),2880000.0)</f>
        <v>2880000</v>
      </c>
      <c r="P56" s="1518"/>
      <c r="Q56" s="1519"/>
      <c r="R56" s="1518"/>
      <c r="S56" s="1519"/>
      <c r="T56" s="1518"/>
      <c r="U56" s="1519"/>
      <c r="V56" s="1518"/>
      <c r="W56" s="1519"/>
      <c r="X56" s="1518"/>
      <c r="Y56" s="1519"/>
      <c r="Z56" s="1518"/>
      <c r="AA56" s="1519"/>
      <c r="AB56" s="1518"/>
      <c r="AC56" s="1519"/>
      <c r="AD56" s="1466">
        <f>IFERROR(__xludf.DUMMYFUNCTION("""COMPUTED_VALUE"""),58.31736111111111)</f>
        <v>58.31736111</v>
      </c>
      <c r="AE56" s="1474">
        <f>IFERROR(__xludf.DUMMYFUNCTION("""COMPUTED_VALUE"""),1.093950503E15)</f>
        <v>1.09395E+15</v>
      </c>
      <c r="AF56" s="1466">
        <f>IFERROR(__xludf.DUMMYFUNCTION("""COMPUTED_VALUE"""),58.31736111111111)</f>
        <v>58.31736111</v>
      </c>
      <c r="AG56" s="1474">
        <f>IFERROR(__xludf.DUMMYFUNCTION("""COMPUTED_VALUE"""),1.093950503E15)</f>
        <v>1.09395E+15</v>
      </c>
      <c r="AH56" s="1466">
        <f>IFERROR(__xludf.DUMMYFUNCTION("""COMPUTED_VALUE"""),58.31736111111111)</f>
        <v>58.31736111</v>
      </c>
      <c r="AI56" s="1474">
        <f>IFERROR(__xludf.DUMMYFUNCTION("""COMPUTED_VALUE"""),1.093950503E15)</f>
        <v>1.09395E+15</v>
      </c>
      <c r="AJ56" s="1475">
        <f>IFERROR(__xludf.DUMMYFUNCTION("""COMPUTED_VALUE"""),11.322916666666666)</f>
        <v>11.32291667</v>
      </c>
      <c r="AK56" s="1476">
        <f>IFERROR(__xludf.DUMMYFUNCTION("""COMPUTED_VALUE"""),773940.0)</f>
        <v>773940</v>
      </c>
      <c r="AL56" s="1475">
        <f>IFERROR(__xludf.DUMMYFUNCTION("""COMPUTED_VALUE"""),11.322916666666666)</f>
        <v>11.32291667</v>
      </c>
      <c r="AM56" s="1476">
        <f>IFERROR(__xludf.DUMMYFUNCTION("""COMPUTED_VALUE"""),773940.0)</f>
        <v>773940</v>
      </c>
      <c r="AN56" s="1475">
        <f>IFERROR(__xludf.DUMMYFUNCTION("""COMPUTED_VALUE"""),11.322916666666666)</f>
        <v>11.32291667</v>
      </c>
      <c r="AO56" s="1476">
        <f>IFERROR(__xludf.DUMMYFUNCTION("""COMPUTED_VALUE"""),773940.0)</f>
        <v>773940</v>
      </c>
      <c r="AP56" s="1475">
        <f>IFERROR(__xludf.DUMMYFUNCTION("""COMPUTED_VALUE"""),11.322916666666666)</f>
        <v>11.32291667</v>
      </c>
      <c r="AQ56" s="1476">
        <f>IFERROR(__xludf.DUMMYFUNCTION("""COMPUTED_VALUE"""),773940.0)</f>
        <v>773940</v>
      </c>
      <c r="AR56" s="1475">
        <f>IFERROR(__xludf.DUMMYFUNCTION("""COMPUTED_VALUE"""),11.322916666666666)</f>
        <v>11.32291667</v>
      </c>
      <c r="AS56" s="1476">
        <f>IFERROR(__xludf.DUMMYFUNCTION("""COMPUTED_VALUE"""),773950.0)</f>
        <v>773950</v>
      </c>
      <c r="AT56" s="1520"/>
      <c r="AU56" s="1519"/>
      <c r="AV56" s="1520"/>
      <c r="AW56" s="1519"/>
      <c r="AX56" s="1518"/>
      <c r="AY56" s="1568"/>
      <c r="AZ56" s="1518"/>
      <c r="BA56" s="1518"/>
      <c r="BB56" s="1477">
        <f>IFERROR(__xludf.DUMMYFUNCTION("""COMPUTED_VALUE"""),11.322916666666666)</f>
        <v>11.32291667</v>
      </c>
      <c r="BC56" s="1478">
        <f>IFERROR(__xludf.DUMMYFUNCTION("""COMPUTED_VALUE"""),773940.0)</f>
        <v>773940</v>
      </c>
      <c r="BD56" s="1477">
        <f>IFERROR(__xludf.DUMMYFUNCTION("""COMPUTED_VALUE"""),11.322916666666666)</f>
        <v>11.32291667</v>
      </c>
      <c r="BE56" s="1478">
        <f>IFERROR(__xludf.DUMMYFUNCTION("""COMPUTED_VALUE"""),773940.0)</f>
        <v>773940</v>
      </c>
      <c r="BF56" s="1477">
        <f>IFERROR(__xludf.DUMMYFUNCTION("""COMPUTED_VALUE"""),11.322916666666666)</f>
        <v>11.32291667</v>
      </c>
      <c r="BG56" s="1478">
        <f>IFERROR(__xludf.DUMMYFUNCTION("""COMPUTED_VALUE"""),773940.0)</f>
        <v>773940</v>
      </c>
      <c r="BH56" s="1518"/>
      <c r="BI56" s="1519"/>
      <c r="BJ56" s="1518"/>
      <c r="BK56" s="1519"/>
      <c r="BL56" s="1518"/>
      <c r="BM56" s="1519"/>
      <c r="BN56" s="1518"/>
      <c r="BO56" s="1519"/>
      <c r="BP56" s="1518"/>
      <c r="BQ56" s="1519"/>
      <c r="BR56" s="1520"/>
      <c r="BS56" s="1519"/>
      <c r="BT56" s="1520"/>
      <c r="BU56" s="1520"/>
      <c r="BV56" s="1520"/>
      <c r="BW56" s="1520"/>
      <c r="BX56" s="1520"/>
      <c r="BY56" s="1520"/>
      <c r="BZ56" s="1520"/>
      <c r="CA56" s="1520"/>
      <c r="CB56" s="1520"/>
      <c r="CC56" s="1519"/>
      <c r="CD56" s="1477">
        <f>IFERROR(__xludf.DUMMYFUNCTION("""COMPUTED_VALUE"""),44.49030092592593)</f>
        <v>44.49030093</v>
      </c>
      <c r="CE56" s="1481">
        <f>IFERROR(__xludf.DUMMYFUNCTION("""COMPUTED_VALUE"""),7.74E12)</f>
        <v>7740000000000</v>
      </c>
      <c r="CF56" s="1527"/>
      <c r="CG56" s="1560"/>
      <c r="CH56" s="1482">
        <f>IFERROR(__xludf.DUMMYFUNCTION("""COMPUTED_VALUE"""),11.322916666666666)</f>
        <v>11.32291667</v>
      </c>
      <c r="CI56" s="1483">
        <f>IFERROR(__xludf.DUMMYFUNCTION("""COMPUTED_VALUE"""),773950.0)</f>
        <v>773950</v>
      </c>
      <c r="CJ56" s="1482">
        <f>IFERROR(__xludf.DUMMYFUNCTION("""COMPUTED_VALUE"""),11.322916666666666)</f>
        <v>11.32291667</v>
      </c>
      <c r="CK56" s="1483">
        <f>IFERROR(__xludf.DUMMYFUNCTION("""COMPUTED_VALUE"""),773950.0)</f>
        <v>773950</v>
      </c>
      <c r="CL56" s="1482">
        <f>IFERROR(__xludf.DUMMYFUNCTION("""COMPUTED_VALUE"""),11.322916666666666)</f>
        <v>11.32291667</v>
      </c>
      <c r="CM56" s="1483">
        <f>IFERROR(__xludf.DUMMYFUNCTION("""COMPUTED_VALUE"""),773950.0)</f>
        <v>773950</v>
      </c>
      <c r="CN56" s="1482">
        <f>IFERROR(__xludf.DUMMYFUNCTION("""COMPUTED_VALUE"""),11.322916666666666)</f>
        <v>11.32291667</v>
      </c>
      <c r="CO56" s="1483">
        <f>IFERROR(__xludf.DUMMYFUNCTION("""COMPUTED_VALUE"""),773950.0)</f>
        <v>773950</v>
      </c>
      <c r="CP56" s="1482">
        <f>IFERROR(__xludf.DUMMYFUNCTION("""COMPUTED_VALUE"""),24.950000000000003)</f>
        <v>24.95</v>
      </c>
      <c r="CQ56" s="1483">
        <f>IFERROR(__xludf.DUMMYFUNCTION("""COMPUTED_VALUE"""),2880000.0)</f>
        <v>2880000</v>
      </c>
      <c r="CR56" s="1518"/>
      <c r="CS56" s="1519"/>
      <c r="CT56" s="1520"/>
      <c r="CU56" s="1519"/>
      <c r="CV56" s="1520"/>
      <c r="CW56" s="1519"/>
      <c r="CX56" s="1520"/>
      <c r="CY56" s="1519"/>
      <c r="CZ56" s="1520"/>
      <c r="DA56" s="1520"/>
      <c r="DB56" s="1520"/>
      <c r="DC56" s="1520"/>
      <c r="DD56" s="1520"/>
      <c r="DE56" s="1519"/>
      <c r="DF56" s="1518"/>
      <c r="DG56" s="1519"/>
      <c r="DH56" s="1518"/>
      <c r="DI56" s="1519"/>
      <c r="DJ56" s="1518"/>
      <c r="DK56" s="1519"/>
      <c r="DL56" s="1518"/>
      <c r="DM56" s="1519"/>
      <c r="DN56" s="1518"/>
      <c r="DO56" s="1519"/>
      <c r="DP56" s="1518"/>
      <c r="DQ56" s="1519"/>
      <c r="DR56" s="1518"/>
      <c r="DS56" s="1519"/>
      <c r="DT56" s="1518"/>
      <c r="DU56" s="1519"/>
      <c r="DV56" s="1520"/>
      <c r="DW56" s="1519"/>
      <c r="DX56" s="1518"/>
      <c r="DY56" s="1519"/>
      <c r="DZ56" s="1518"/>
      <c r="EA56" s="1519"/>
      <c r="EB56" s="1518"/>
      <c r="EC56" s="1519"/>
      <c r="ED56" s="1518"/>
      <c r="EE56" s="1519"/>
      <c r="EF56" s="1518"/>
      <c r="EG56" s="1519"/>
      <c r="EH56" s="1518"/>
      <c r="EI56" s="1519"/>
      <c r="EJ56" s="1562"/>
      <c r="EK56" s="1560"/>
      <c r="EL56" s="1562"/>
      <c r="EM56" s="1560"/>
      <c r="EN56" s="1518"/>
      <c r="EO56" s="1519"/>
      <c r="EP56" s="1518"/>
      <c r="EQ56" s="1519"/>
      <c r="ER56" s="1518"/>
      <c r="ES56" s="1519"/>
      <c r="ET56" s="1518"/>
      <c r="EU56" s="1519"/>
      <c r="EV56" s="1518"/>
      <c r="EW56" s="1519"/>
      <c r="EX56" s="1518"/>
      <c r="EY56" s="1519"/>
      <c r="EZ56" s="1518"/>
      <c r="FA56" s="1519"/>
      <c r="FB56" s="1520"/>
      <c r="FC56" s="1519"/>
      <c r="FD56" s="1520"/>
      <c r="FE56" s="1519"/>
      <c r="FF56" s="1520"/>
      <c r="FG56" s="1519"/>
      <c r="FH56" s="1520"/>
      <c r="FI56" s="1520"/>
      <c r="FJ56" s="1520"/>
      <c r="FK56" s="1519"/>
      <c r="FL56" s="1518"/>
      <c r="FM56" s="1519"/>
      <c r="FN56" s="1532"/>
      <c r="FO56" s="1520"/>
      <c r="FP56" s="1532"/>
      <c r="FQ56" s="1520"/>
      <c r="FR56" s="1532"/>
      <c r="FS56" s="1520"/>
      <c r="FT56" s="1532"/>
      <c r="FU56" s="1519"/>
      <c r="FV56" s="1532"/>
      <c r="FW56" s="1519"/>
      <c r="FX56" s="1572"/>
      <c r="FY56" s="1560"/>
      <c r="FZ56" s="1572"/>
      <c r="GA56" s="1560"/>
      <c r="GB56" s="1572"/>
      <c r="GC56" s="1560"/>
      <c r="GD56" s="1527"/>
      <c r="GE56" s="1560"/>
      <c r="GF56" s="1518"/>
      <c r="GG56" s="1519"/>
      <c r="GH56" s="1518"/>
      <c r="GI56" s="1519"/>
      <c r="GJ56" s="1518"/>
      <c r="GK56" s="1519"/>
      <c r="GL56" s="1518"/>
      <c r="GM56" s="1519"/>
      <c r="GN56" s="1520"/>
      <c r="GO56" s="1519"/>
      <c r="GP56" s="1520"/>
      <c r="GQ56" s="1519"/>
      <c r="GR56" s="1518"/>
      <c r="GS56" s="1519"/>
      <c r="GT56" s="1518"/>
      <c r="GU56" s="1519"/>
      <c r="GV56" s="1520"/>
      <c r="GW56" s="1519"/>
      <c r="GX56" s="1561"/>
      <c r="GY56" s="1527"/>
      <c r="GZ56" s="1518"/>
      <c r="HA56" s="1519"/>
      <c r="HB56" s="1501">
        <f>IFERROR(__xludf.DUMMYFUNCTION("""COMPUTED_VALUE"""),885.5423611111111)</f>
        <v>885.5423611</v>
      </c>
      <c r="HC56" s="1502">
        <f>IFERROR(__xludf.DUMMYFUNCTION("""COMPUTED_VALUE"""),8.36E12)</f>
        <v>8360000000000</v>
      </c>
      <c r="HD56" s="1518"/>
      <c r="HE56" s="1519"/>
      <c r="HF56" s="1518"/>
      <c r="HG56" s="1519"/>
      <c r="HH56" s="1518"/>
      <c r="HI56" s="1519"/>
      <c r="HJ56" s="1518"/>
      <c r="HK56" s="1519"/>
      <c r="HL56" s="1518"/>
      <c r="HM56" s="1519"/>
      <c r="HN56" s="1520"/>
      <c r="HO56" s="1519"/>
      <c r="HP56" s="1518"/>
      <c r="HQ56" s="1519"/>
      <c r="HR56" s="1518"/>
      <c r="HS56" s="1519"/>
      <c r="HT56" s="1518"/>
      <c r="HU56" s="1519"/>
      <c r="HV56" s="1518"/>
      <c r="HW56" s="1519"/>
      <c r="HX56" s="1518"/>
      <c r="HY56" s="1519"/>
      <c r="HZ56" s="1518"/>
      <c r="IA56" s="1519"/>
      <c r="IB56" s="1518"/>
      <c r="IC56" s="1519"/>
      <c r="ID56" s="1518"/>
      <c r="IE56" s="1519"/>
      <c r="IF56" s="1518"/>
      <c r="IG56" s="1519"/>
      <c r="IH56" s="1518"/>
      <c r="II56" s="1519"/>
      <c r="IJ56" s="1518"/>
      <c r="IK56" s="1519"/>
      <c r="IL56" s="1518"/>
      <c r="IM56" s="1519"/>
      <c r="IN56" s="1518"/>
      <c r="IO56" s="1519"/>
      <c r="IP56" s="1518"/>
      <c r="IQ56" s="1519"/>
      <c r="IR56" s="1518"/>
      <c r="IS56" s="1519"/>
      <c r="IT56" s="1518"/>
      <c r="IU56" s="1519"/>
      <c r="IV56" s="1518"/>
      <c r="IW56" s="1519"/>
      <c r="IX56" s="1518"/>
      <c r="IY56" s="1519"/>
      <c r="IZ56" s="1518"/>
      <c r="JA56" s="1519"/>
      <c r="JB56" s="1518"/>
      <c r="JC56" s="1519"/>
      <c r="JD56" s="1518"/>
      <c r="JE56" s="1519"/>
      <c r="JF56" s="1518"/>
      <c r="JG56" s="1519"/>
      <c r="JH56" s="1518"/>
      <c r="JI56" s="1519"/>
      <c r="JJ56" s="1562"/>
      <c r="JK56" s="1560"/>
      <c r="JL56" s="1562"/>
      <c r="JM56" s="1560"/>
      <c r="JN56" s="1562"/>
      <c r="JO56" s="1560"/>
      <c r="JP56" s="1562"/>
      <c r="JQ56" s="1560"/>
      <c r="JR56" s="1562"/>
      <c r="JS56" s="1560"/>
      <c r="JT56" s="1562"/>
      <c r="JU56" s="1560"/>
      <c r="JV56" s="1562"/>
      <c r="JW56" s="1560"/>
      <c r="JX56" s="1562"/>
      <c r="JY56" s="1527"/>
      <c r="JZ56" s="1566">
        <f>IFERROR(__xludf.DUMMYFUNCTION("""COMPUTED_VALUE"""),4.759224537)</f>
        <v>4.759224537</v>
      </c>
      <c r="KA56" s="1514">
        <f>IFERROR(__xludf.DUMMYFUNCTION("""COMPUTED_VALUE"""),9.049E10)</f>
        <v>90490000000</v>
      </c>
      <c r="KB56" s="1562"/>
      <c r="KC56" s="1527"/>
      <c r="KD56" s="1562"/>
      <c r="KE56" s="1527"/>
      <c r="KF56" s="1527"/>
      <c r="KG56" s="1527"/>
      <c r="KH56" s="1527"/>
      <c r="KI56" s="1527"/>
      <c r="KJ56" s="1527"/>
      <c r="KK56" s="1527"/>
      <c r="KL56" s="1527"/>
      <c r="KM56" s="1527"/>
      <c r="KN56" s="1527"/>
      <c r="KO56" s="1527"/>
      <c r="KP56" s="1527"/>
      <c r="KQ56" s="1527"/>
      <c r="KR56" s="1527"/>
      <c r="KS56" s="1527"/>
      <c r="KT56" s="1527"/>
      <c r="KU56" s="1527"/>
      <c r="KV56" s="1527"/>
      <c r="KW56" s="1527"/>
      <c r="KX56" s="1527"/>
      <c r="KY56" s="1527"/>
      <c r="KZ56" s="1527"/>
      <c r="LA56" s="1527"/>
      <c r="LB56" s="1527"/>
      <c r="LC56" s="1527"/>
      <c r="LD56" s="1527"/>
      <c r="LE56" s="1527"/>
      <c r="LF56" s="1527"/>
      <c r="LG56" s="1527"/>
      <c r="LH56" s="1527"/>
      <c r="LI56" s="1527"/>
      <c r="LJ56" s="1527"/>
      <c r="LK56" s="1527"/>
      <c r="LL56" s="1527"/>
      <c r="LM56" s="1527"/>
      <c r="LN56" s="1527"/>
      <c r="LO56" s="1527"/>
      <c r="LP56" s="1527"/>
      <c r="LQ56" s="1527"/>
      <c r="LR56" s="1527"/>
      <c r="LS56" s="1527"/>
      <c r="LT56" s="1527"/>
      <c r="LU56" s="1527"/>
      <c r="LV56" s="1527"/>
      <c r="LW56" s="1527"/>
      <c r="LX56" s="1527"/>
      <c r="LY56" s="1527"/>
      <c r="LZ56" s="1527"/>
      <c r="MA56" s="1527"/>
      <c r="MB56" s="1527"/>
      <c r="MC56" s="1527"/>
      <c r="MD56" s="1527"/>
      <c r="ME56" s="1527"/>
      <c r="MF56" s="1527"/>
      <c r="MG56" s="1527"/>
      <c r="MH56" s="1527"/>
      <c r="MI56" s="1527"/>
      <c r="MJ56" s="1527"/>
      <c r="MK56" s="1527"/>
      <c r="ML56" s="1527"/>
      <c r="MM56" s="1527"/>
      <c r="MN56" s="1527"/>
      <c r="MO56" s="1527"/>
      <c r="MP56" s="1527"/>
      <c r="MQ56" s="1527"/>
      <c r="MR56" s="1527"/>
      <c r="MS56" s="1527"/>
      <c r="MT56" s="1527"/>
      <c r="MU56" s="1527"/>
      <c r="MV56" s="1527"/>
      <c r="MW56" s="1527"/>
      <c r="MX56" s="1527"/>
      <c r="MY56" s="1527"/>
    </row>
    <row r="57">
      <c r="A57" s="1465">
        <f>IFERROR(__xludf.DUMMYFUNCTION("""COMPUTED_VALUE"""),55.0)</f>
        <v>55</v>
      </c>
      <c r="B57" s="1518"/>
      <c r="C57" s="1520"/>
      <c r="D57" s="1466">
        <f>IFERROR(__xludf.DUMMYFUNCTION("""COMPUTED_VALUE"""),11.8375)</f>
        <v>11.8375</v>
      </c>
      <c r="E57" s="1467">
        <f>IFERROR(__xludf.DUMMYFUNCTION("""COMPUTED_VALUE"""),814710.0)</f>
        <v>814710</v>
      </c>
      <c r="F57" s="1466">
        <f>IFERROR(__xludf.DUMMYFUNCTION("""COMPUTED_VALUE"""),11.8375)</f>
        <v>11.8375</v>
      </c>
      <c r="G57" s="1467">
        <f>IFERROR(__xludf.DUMMYFUNCTION("""COMPUTED_VALUE"""),814710.0)</f>
        <v>814710</v>
      </c>
      <c r="H57" s="1466">
        <f>IFERROR(__xludf.DUMMYFUNCTION("""COMPUTED_VALUE"""),11.8375)</f>
        <v>11.8375</v>
      </c>
      <c r="I57" s="1467">
        <f>IFERROR(__xludf.DUMMYFUNCTION("""COMPUTED_VALUE"""),814710.0)</f>
        <v>814710</v>
      </c>
      <c r="J57" s="1466">
        <f>IFERROR(__xludf.DUMMYFUNCTION("""COMPUTED_VALUE"""),11.8375)</f>
        <v>11.8375</v>
      </c>
      <c r="K57" s="1467">
        <f>IFERROR(__xludf.DUMMYFUNCTION("""COMPUTED_VALUE"""),814710.0)</f>
        <v>814710</v>
      </c>
      <c r="L57" s="1466">
        <f>IFERROR(__xludf.DUMMYFUNCTION("""COMPUTED_VALUE"""),21.50486111111111)</f>
        <v>21.50486111</v>
      </c>
      <c r="M57" s="1469">
        <f>IFERROR(__xludf.DUMMYFUNCTION("""COMPUTED_VALUE"""),2560000.0)</f>
        <v>2560000</v>
      </c>
      <c r="N57" s="1470">
        <f>IFERROR(__xludf.DUMMYFUNCTION("""COMPUTED_VALUE"""),10.338888888888889)</f>
        <v>10.33888889</v>
      </c>
      <c r="O57" s="1467">
        <f>IFERROR(__xludf.DUMMYFUNCTION("""COMPUTED_VALUE"""),3050000.0)</f>
        <v>3050000</v>
      </c>
      <c r="P57" s="1518"/>
      <c r="Q57" s="1519"/>
      <c r="R57" s="1518"/>
      <c r="S57" s="1519"/>
      <c r="T57" s="1518"/>
      <c r="U57" s="1519"/>
      <c r="V57" s="1518"/>
      <c r="W57" s="1519"/>
      <c r="X57" s="1518"/>
      <c r="Y57" s="1519"/>
      <c r="Z57" s="1518"/>
      <c r="AA57" s="1519"/>
      <c r="AB57" s="1518"/>
      <c r="AC57" s="1519"/>
      <c r="AD57" s="1466">
        <f>IFERROR(__xludf.DUMMYFUNCTION("""COMPUTED_VALUE"""),59.397222222222226)</f>
        <v>59.39722222</v>
      </c>
      <c r="AE57" s="1474">
        <f>IFERROR(__xludf.DUMMYFUNCTION("""COMPUTED_VALUE"""),1.422135654E15)</f>
        <v>1.42214E+15</v>
      </c>
      <c r="AF57" s="1466">
        <f>IFERROR(__xludf.DUMMYFUNCTION("""COMPUTED_VALUE"""),59.397222222222226)</f>
        <v>59.39722222</v>
      </c>
      <c r="AG57" s="1474">
        <f>IFERROR(__xludf.DUMMYFUNCTION("""COMPUTED_VALUE"""),1.422135654E15)</f>
        <v>1.42214E+15</v>
      </c>
      <c r="AH57" s="1466">
        <f>IFERROR(__xludf.DUMMYFUNCTION("""COMPUTED_VALUE"""),59.397222222222226)</f>
        <v>59.39722222</v>
      </c>
      <c r="AI57" s="1474">
        <f>IFERROR(__xludf.DUMMYFUNCTION("""COMPUTED_VALUE"""),1.422135654E15)</f>
        <v>1.42214E+15</v>
      </c>
      <c r="AJ57" s="1475">
        <f>IFERROR(__xludf.DUMMYFUNCTION("""COMPUTED_VALUE"""),11.8375)</f>
        <v>11.8375</v>
      </c>
      <c r="AK57" s="1476">
        <f>IFERROR(__xludf.DUMMYFUNCTION("""COMPUTED_VALUE"""),814710.0)</f>
        <v>814710</v>
      </c>
      <c r="AL57" s="1475">
        <f>IFERROR(__xludf.DUMMYFUNCTION("""COMPUTED_VALUE"""),11.8375)</f>
        <v>11.8375</v>
      </c>
      <c r="AM57" s="1476">
        <f>IFERROR(__xludf.DUMMYFUNCTION("""COMPUTED_VALUE"""),814710.0)</f>
        <v>814710</v>
      </c>
      <c r="AN57" s="1475">
        <f>IFERROR(__xludf.DUMMYFUNCTION("""COMPUTED_VALUE"""),11.8375)</f>
        <v>11.8375</v>
      </c>
      <c r="AO57" s="1476">
        <f>IFERROR(__xludf.DUMMYFUNCTION("""COMPUTED_VALUE"""),814710.0)</f>
        <v>814710</v>
      </c>
      <c r="AP57" s="1475">
        <f>IFERROR(__xludf.DUMMYFUNCTION("""COMPUTED_VALUE"""),11.8375)</f>
        <v>11.8375</v>
      </c>
      <c r="AQ57" s="1476">
        <f>IFERROR(__xludf.DUMMYFUNCTION("""COMPUTED_VALUE"""),814710.0)</f>
        <v>814710</v>
      </c>
      <c r="AR57" s="1475">
        <f>IFERROR(__xludf.DUMMYFUNCTION("""COMPUTED_VALUE"""),11.8375)</f>
        <v>11.8375</v>
      </c>
      <c r="AS57" s="1476">
        <f>IFERROR(__xludf.DUMMYFUNCTION("""COMPUTED_VALUE"""),814720.0)</f>
        <v>814720</v>
      </c>
      <c r="AT57" s="1520"/>
      <c r="AU57" s="1519"/>
      <c r="AV57" s="1520"/>
      <c r="AW57" s="1519"/>
      <c r="AX57" s="1518"/>
      <c r="AY57" s="1568"/>
      <c r="AZ57" s="1518"/>
      <c r="BA57" s="1518"/>
      <c r="BB57" s="1477">
        <f>IFERROR(__xludf.DUMMYFUNCTION("""COMPUTED_VALUE"""),11.8375)</f>
        <v>11.8375</v>
      </c>
      <c r="BC57" s="1478">
        <f>IFERROR(__xludf.DUMMYFUNCTION("""COMPUTED_VALUE"""),814710.0)</f>
        <v>814710</v>
      </c>
      <c r="BD57" s="1477">
        <f>IFERROR(__xludf.DUMMYFUNCTION("""COMPUTED_VALUE"""),11.8375)</f>
        <v>11.8375</v>
      </c>
      <c r="BE57" s="1478">
        <f>IFERROR(__xludf.DUMMYFUNCTION("""COMPUTED_VALUE"""),814710.0)</f>
        <v>814710</v>
      </c>
      <c r="BF57" s="1477">
        <f>IFERROR(__xludf.DUMMYFUNCTION("""COMPUTED_VALUE"""),11.8375)</f>
        <v>11.8375</v>
      </c>
      <c r="BG57" s="1478">
        <f>IFERROR(__xludf.DUMMYFUNCTION("""COMPUTED_VALUE"""),814710.0)</f>
        <v>814710</v>
      </c>
      <c r="BH57" s="1518"/>
      <c r="BI57" s="1519"/>
      <c r="BJ57" s="1518"/>
      <c r="BK57" s="1519"/>
      <c r="BL57" s="1518"/>
      <c r="BM57" s="1519"/>
      <c r="BN57" s="1518"/>
      <c r="BO57" s="1519"/>
      <c r="BP57" s="1518"/>
      <c r="BQ57" s="1519"/>
      <c r="BR57" s="1520"/>
      <c r="BS57" s="1519"/>
      <c r="BT57" s="1520"/>
      <c r="BU57" s="1520"/>
      <c r="BV57" s="1520"/>
      <c r="BW57" s="1520"/>
      <c r="BX57" s="1520"/>
      <c r="BY57" s="1520"/>
      <c r="BZ57" s="1520"/>
      <c r="CA57" s="1520"/>
      <c r="CB57" s="1520"/>
      <c r="CC57" s="1519"/>
      <c r="CD57" s="1477">
        <f>IFERROR(__xludf.DUMMYFUNCTION("""COMPUTED_VALUE"""),46.49186342592593)</f>
        <v>46.49186343</v>
      </c>
      <c r="CE57" s="1481">
        <f>IFERROR(__xludf.DUMMYFUNCTION("""COMPUTED_VALUE"""),8.17E12)</f>
        <v>8170000000000</v>
      </c>
      <c r="CF57" s="1527"/>
      <c r="CG57" s="1560"/>
      <c r="CH57" s="1482">
        <f>IFERROR(__xludf.DUMMYFUNCTION("""COMPUTED_VALUE"""),11.8375)</f>
        <v>11.8375</v>
      </c>
      <c r="CI57" s="1483">
        <f>IFERROR(__xludf.DUMMYFUNCTION("""COMPUTED_VALUE"""),814720.0)</f>
        <v>814720</v>
      </c>
      <c r="CJ57" s="1482">
        <f>IFERROR(__xludf.DUMMYFUNCTION("""COMPUTED_VALUE"""),11.8375)</f>
        <v>11.8375</v>
      </c>
      <c r="CK57" s="1483">
        <f>IFERROR(__xludf.DUMMYFUNCTION("""COMPUTED_VALUE"""),814720.0)</f>
        <v>814720</v>
      </c>
      <c r="CL57" s="1482">
        <f>IFERROR(__xludf.DUMMYFUNCTION("""COMPUTED_VALUE"""),11.8375)</f>
        <v>11.8375</v>
      </c>
      <c r="CM57" s="1483">
        <f>IFERROR(__xludf.DUMMYFUNCTION("""COMPUTED_VALUE"""),814720.0)</f>
        <v>814720</v>
      </c>
      <c r="CN57" s="1482">
        <f>IFERROR(__xludf.DUMMYFUNCTION("""COMPUTED_VALUE"""),11.8375)</f>
        <v>11.8375</v>
      </c>
      <c r="CO57" s="1483">
        <f>IFERROR(__xludf.DUMMYFUNCTION("""COMPUTED_VALUE"""),814720.0)</f>
        <v>814720</v>
      </c>
      <c r="CP57" s="1482">
        <f>IFERROR(__xludf.DUMMYFUNCTION("""COMPUTED_VALUE"""),26.183333333333334)</f>
        <v>26.18333333</v>
      </c>
      <c r="CQ57" s="1483">
        <f>IFERROR(__xludf.DUMMYFUNCTION("""COMPUTED_VALUE"""),3050000.0)</f>
        <v>3050000</v>
      </c>
      <c r="CR57" s="1518"/>
      <c r="CS57" s="1519"/>
      <c r="CT57" s="1520"/>
      <c r="CU57" s="1519"/>
      <c r="CV57" s="1520"/>
      <c r="CW57" s="1519"/>
      <c r="CX57" s="1520"/>
      <c r="CY57" s="1519"/>
      <c r="CZ57" s="1520"/>
      <c r="DA57" s="1520"/>
      <c r="DB57" s="1520"/>
      <c r="DC57" s="1520"/>
      <c r="DD57" s="1520"/>
      <c r="DE57" s="1519"/>
      <c r="DF57" s="1518"/>
      <c r="DG57" s="1519"/>
      <c r="DH57" s="1518"/>
      <c r="DI57" s="1519"/>
      <c r="DJ57" s="1518"/>
      <c r="DK57" s="1519"/>
      <c r="DL57" s="1518"/>
      <c r="DM57" s="1519"/>
      <c r="DN57" s="1518"/>
      <c r="DO57" s="1519"/>
      <c r="DP57" s="1518"/>
      <c r="DQ57" s="1519"/>
      <c r="DR57" s="1518"/>
      <c r="DS57" s="1519"/>
      <c r="DT57" s="1518"/>
      <c r="DU57" s="1519"/>
      <c r="DV57" s="1520"/>
      <c r="DW57" s="1519"/>
      <c r="DX57" s="1518"/>
      <c r="DY57" s="1519"/>
      <c r="DZ57" s="1518"/>
      <c r="EA57" s="1519"/>
      <c r="EB57" s="1518"/>
      <c r="EC57" s="1519"/>
      <c r="ED57" s="1518"/>
      <c r="EE57" s="1519"/>
      <c r="EF57" s="1518"/>
      <c r="EG57" s="1519"/>
      <c r="EH57" s="1518"/>
      <c r="EI57" s="1519"/>
      <c r="EJ57" s="1562"/>
      <c r="EK57" s="1560"/>
      <c r="EL57" s="1562"/>
      <c r="EM57" s="1560"/>
      <c r="EN57" s="1518"/>
      <c r="EO57" s="1519"/>
      <c r="EP57" s="1518"/>
      <c r="EQ57" s="1519"/>
      <c r="ER57" s="1518"/>
      <c r="ES57" s="1519"/>
      <c r="ET57" s="1518"/>
      <c r="EU57" s="1519"/>
      <c r="EV57" s="1518"/>
      <c r="EW57" s="1519"/>
      <c r="EX57" s="1518"/>
      <c r="EY57" s="1519"/>
      <c r="EZ57" s="1518"/>
      <c r="FA57" s="1519"/>
      <c r="FB57" s="1520"/>
      <c r="FC57" s="1519"/>
      <c r="FD57" s="1520"/>
      <c r="FE57" s="1519"/>
      <c r="FF57" s="1520"/>
      <c r="FG57" s="1519"/>
      <c r="FH57" s="1520"/>
      <c r="FI57" s="1520"/>
      <c r="FJ57" s="1520"/>
      <c r="FK57" s="1519"/>
      <c r="FL57" s="1518"/>
      <c r="FM57" s="1519"/>
      <c r="FN57" s="1532"/>
      <c r="FO57" s="1520"/>
      <c r="FP57" s="1532"/>
      <c r="FQ57" s="1520"/>
      <c r="FR57" s="1532"/>
      <c r="FS57" s="1520"/>
      <c r="FT57" s="1532"/>
      <c r="FU57" s="1519"/>
      <c r="FV57" s="1532"/>
      <c r="FW57" s="1519"/>
      <c r="FX57" s="1572"/>
      <c r="FY57" s="1560"/>
      <c r="FZ57" s="1572"/>
      <c r="GA57" s="1560"/>
      <c r="GB57" s="1572"/>
      <c r="GC57" s="1560"/>
      <c r="GD57" s="1527"/>
      <c r="GE57" s="1560"/>
      <c r="GF57" s="1518"/>
      <c r="GG57" s="1519"/>
      <c r="GH57" s="1518"/>
      <c r="GI57" s="1519"/>
      <c r="GJ57" s="1518"/>
      <c r="GK57" s="1519"/>
      <c r="GL57" s="1518"/>
      <c r="GM57" s="1519"/>
      <c r="GN57" s="1520"/>
      <c r="GO57" s="1519"/>
      <c r="GP57" s="1520"/>
      <c r="GQ57" s="1519"/>
      <c r="GR57" s="1518"/>
      <c r="GS57" s="1519"/>
      <c r="GT57" s="1518"/>
      <c r="GU57" s="1519"/>
      <c r="GV57" s="1520"/>
      <c r="GW57" s="1519"/>
      <c r="GX57" s="1561"/>
      <c r="GY57" s="1527"/>
      <c r="GZ57" s="1518"/>
      <c r="HA57" s="1519"/>
      <c r="HB57" s="1501">
        <f>IFERROR(__xludf.DUMMYFUNCTION("""COMPUTED_VALUE"""),945.05)</f>
        <v>945.05</v>
      </c>
      <c r="HC57" s="1502">
        <f>IFERROR(__xludf.DUMMYFUNCTION("""COMPUTED_VALUE"""),9.18E12)</f>
        <v>9180000000000</v>
      </c>
      <c r="HD57" s="1518"/>
      <c r="HE57" s="1519"/>
      <c r="HF57" s="1518"/>
      <c r="HG57" s="1519"/>
      <c r="HH57" s="1518"/>
      <c r="HI57" s="1519"/>
      <c r="HJ57" s="1518"/>
      <c r="HK57" s="1519"/>
      <c r="HL57" s="1518"/>
      <c r="HM57" s="1519"/>
      <c r="HN57" s="1520"/>
      <c r="HO57" s="1519"/>
      <c r="HP57" s="1518"/>
      <c r="HQ57" s="1519"/>
      <c r="HR57" s="1518"/>
      <c r="HS57" s="1519"/>
      <c r="HT57" s="1518"/>
      <c r="HU57" s="1519"/>
      <c r="HV57" s="1518"/>
      <c r="HW57" s="1519"/>
      <c r="HX57" s="1518"/>
      <c r="HY57" s="1519"/>
      <c r="HZ57" s="1518"/>
      <c r="IA57" s="1519"/>
      <c r="IB57" s="1518"/>
      <c r="IC57" s="1519"/>
      <c r="ID57" s="1518"/>
      <c r="IE57" s="1519"/>
      <c r="IF57" s="1518"/>
      <c r="IG57" s="1519"/>
      <c r="IH57" s="1518"/>
      <c r="II57" s="1519"/>
      <c r="IJ57" s="1518"/>
      <c r="IK57" s="1519"/>
      <c r="IL57" s="1518"/>
      <c r="IM57" s="1519"/>
      <c r="IN57" s="1518"/>
      <c r="IO57" s="1519"/>
      <c r="IP57" s="1518"/>
      <c r="IQ57" s="1519"/>
      <c r="IR57" s="1518"/>
      <c r="IS57" s="1519"/>
      <c r="IT57" s="1518"/>
      <c r="IU57" s="1519"/>
      <c r="IV57" s="1518"/>
      <c r="IW57" s="1519"/>
      <c r="IX57" s="1518"/>
      <c r="IY57" s="1519"/>
      <c r="IZ57" s="1518"/>
      <c r="JA57" s="1519"/>
      <c r="JB57" s="1518"/>
      <c r="JC57" s="1519"/>
      <c r="JD57" s="1518"/>
      <c r="JE57" s="1519"/>
      <c r="JF57" s="1518"/>
      <c r="JG57" s="1519"/>
      <c r="JH57" s="1518"/>
      <c r="JI57" s="1519"/>
      <c r="JJ57" s="1562"/>
      <c r="JK57" s="1560"/>
      <c r="JL57" s="1562"/>
      <c r="JM57" s="1560"/>
      <c r="JN57" s="1562"/>
      <c r="JO57" s="1560"/>
      <c r="JP57" s="1562"/>
      <c r="JQ57" s="1560"/>
      <c r="JR57" s="1562"/>
      <c r="JS57" s="1560"/>
      <c r="JT57" s="1562"/>
      <c r="JU57" s="1560"/>
      <c r="JV57" s="1562"/>
      <c r="JW57" s="1560"/>
      <c r="JX57" s="1562"/>
      <c r="JY57" s="1527"/>
      <c r="JZ57" s="1566">
        <f>IFERROR(__xludf.DUMMYFUNCTION("""COMPUTED_VALUE"""),4.849259259)</f>
        <v>4.849259259</v>
      </c>
      <c r="KA57" s="1514">
        <f>IFERROR(__xludf.DUMMYFUNCTION("""COMPUTED_VALUE"""),9.517E10)</f>
        <v>95170000000</v>
      </c>
      <c r="KB57" s="1562"/>
      <c r="KC57" s="1527"/>
      <c r="KD57" s="1562"/>
      <c r="KE57" s="1527"/>
      <c r="KF57" s="1527"/>
      <c r="KG57" s="1527"/>
      <c r="KH57" s="1527"/>
      <c r="KI57" s="1527"/>
      <c r="KJ57" s="1527"/>
      <c r="KK57" s="1527"/>
      <c r="KL57" s="1527"/>
      <c r="KM57" s="1527"/>
      <c r="KN57" s="1527"/>
      <c r="KO57" s="1527"/>
      <c r="KP57" s="1527"/>
      <c r="KQ57" s="1527"/>
      <c r="KR57" s="1527"/>
      <c r="KS57" s="1527"/>
      <c r="KT57" s="1527"/>
      <c r="KU57" s="1527"/>
      <c r="KV57" s="1527"/>
      <c r="KW57" s="1527"/>
      <c r="KX57" s="1527"/>
      <c r="KY57" s="1527"/>
      <c r="KZ57" s="1527"/>
      <c r="LA57" s="1527"/>
      <c r="LB57" s="1527"/>
      <c r="LC57" s="1527"/>
      <c r="LD57" s="1527"/>
      <c r="LE57" s="1527"/>
      <c r="LF57" s="1527"/>
      <c r="LG57" s="1527"/>
      <c r="LH57" s="1527"/>
      <c r="LI57" s="1527"/>
      <c r="LJ57" s="1527"/>
      <c r="LK57" s="1527"/>
      <c r="LL57" s="1527"/>
      <c r="LM57" s="1527"/>
      <c r="LN57" s="1527"/>
      <c r="LO57" s="1527"/>
      <c r="LP57" s="1527"/>
      <c r="LQ57" s="1527"/>
      <c r="LR57" s="1527"/>
      <c r="LS57" s="1527"/>
      <c r="LT57" s="1527"/>
      <c r="LU57" s="1527"/>
      <c r="LV57" s="1527"/>
      <c r="LW57" s="1527"/>
      <c r="LX57" s="1527"/>
      <c r="LY57" s="1527"/>
      <c r="LZ57" s="1527"/>
      <c r="MA57" s="1527"/>
      <c r="MB57" s="1527"/>
      <c r="MC57" s="1527"/>
      <c r="MD57" s="1527"/>
      <c r="ME57" s="1527"/>
      <c r="MF57" s="1527"/>
      <c r="MG57" s="1527"/>
      <c r="MH57" s="1527"/>
      <c r="MI57" s="1527"/>
      <c r="MJ57" s="1527"/>
      <c r="MK57" s="1527"/>
      <c r="ML57" s="1527"/>
      <c r="MM57" s="1527"/>
      <c r="MN57" s="1527"/>
      <c r="MO57" s="1527"/>
      <c r="MP57" s="1527"/>
      <c r="MQ57" s="1527"/>
      <c r="MR57" s="1527"/>
      <c r="MS57" s="1527"/>
      <c r="MT57" s="1527"/>
      <c r="MU57" s="1527"/>
      <c r="MV57" s="1527"/>
      <c r="MW57" s="1527"/>
      <c r="MX57" s="1527"/>
      <c r="MY57" s="1527"/>
    </row>
    <row r="58">
      <c r="A58" s="1465">
        <f>IFERROR(__xludf.DUMMYFUNCTION("""COMPUTED_VALUE"""),56.0)</f>
        <v>56</v>
      </c>
      <c r="B58" s="1518"/>
      <c r="C58" s="1520"/>
      <c r="D58" s="1466">
        <f>IFERROR(__xludf.DUMMYFUNCTION("""COMPUTED_VALUE"""),12.365277777777777)</f>
        <v>12.36527778</v>
      </c>
      <c r="E58" s="1467">
        <f>IFERROR(__xludf.DUMMYFUNCTION("""COMPUTED_VALUE"""),856830.0)</f>
        <v>856830</v>
      </c>
      <c r="F58" s="1466">
        <f>IFERROR(__xludf.DUMMYFUNCTION("""COMPUTED_VALUE"""),12.365277777777777)</f>
        <v>12.36527778</v>
      </c>
      <c r="G58" s="1467">
        <f>IFERROR(__xludf.DUMMYFUNCTION("""COMPUTED_VALUE"""),856830.0)</f>
        <v>856830</v>
      </c>
      <c r="H58" s="1466">
        <f>IFERROR(__xludf.DUMMYFUNCTION("""COMPUTED_VALUE"""),12.365277777777777)</f>
        <v>12.36527778</v>
      </c>
      <c r="I58" s="1467">
        <f>IFERROR(__xludf.DUMMYFUNCTION("""COMPUTED_VALUE"""),856830.0)</f>
        <v>856830</v>
      </c>
      <c r="J58" s="1466">
        <f>IFERROR(__xludf.DUMMYFUNCTION("""COMPUTED_VALUE"""),12.365277777777777)</f>
        <v>12.36527778</v>
      </c>
      <c r="K58" s="1467">
        <f>IFERROR(__xludf.DUMMYFUNCTION("""COMPUTED_VALUE"""),856830.0)</f>
        <v>856830</v>
      </c>
      <c r="L58" s="1466">
        <f>IFERROR(__xludf.DUMMYFUNCTION("""COMPUTED_VALUE"""),22.52638888888889)</f>
        <v>22.52638889</v>
      </c>
      <c r="M58" s="1469">
        <f>IFERROR(__xludf.DUMMYFUNCTION("""COMPUTED_VALUE"""),2700000.0)</f>
        <v>2700000</v>
      </c>
      <c r="N58" s="1470">
        <f>IFERROR(__xludf.DUMMYFUNCTION("""COMPUTED_VALUE"""),10.72638888888889)</f>
        <v>10.72638889</v>
      </c>
      <c r="O58" s="1467">
        <f>IFERROR(__xludf.DUMMYFUNCTION("""COMPUTED_VALUE"""),3230000.0)</f>
        <v>3230000</v>
      </c>
      <c r="P58" s="1518"/>
      <c r="Q58" s="1519"/>
      <c r="R58" s="1518"/>
      <c r="S58" s="1519"/>
      <c r="T58" s="1518"/>
      <c r="U58" s="1519"/>
      <c r="V58" s="1518"/>
      <c r="W58" s="1519"/>
      <c r="X58" s="1518"/>
      <c r="Y58" s="1519"/>
      <c r="Z58" s="1518"/>
      <c r="AA58" s="1519"/>
      <c r="AB58" s="1518"/>
      <c r="AC58" s="1519"/>
      <c r="AD58" s="1466">
        <f>IFERROR(__xludf.DUMMYFUNCTION("""COMPUTED_VALUE"""),60.47708333333333)</f>
        <v>60.47708333</v>
      </c>
      <c r="AE58" s="1474">
        <f>IFERROR(__xludf.DUMMYFUNCTION("""COMPUTED_VALUE"""),1.84877635E15)</f>
        <v>1.84878E+15</v>
      </c>
      <c r="AF58" s="1466">
        <f>IFERROR(__xludf.DUMMYFUNCTION("""COMPUTED_VALUE"""),60.47708333333333)</f>
        <v>60.47708333</v>
      </c>
      <c r="AG58" s="1474">
        <f>IFERROR(__xludf.DUMMYFUNCTION("""COMPUTED_VALUE"""),1.84877635E15)</f>
        <v>1.84878E+15</v>
      </c>
      <c r="AH58" s="1466">
        <f>IFERROR(__xludf.DUMMYFUNCTION("""COMPUTED_VALUE"""),60.47708333333333)</f>
        <v>60.47708333</v>
      </c>
      <c r="AI58" s="1474">
        <f>IFERROR(__xludf.DUMMYFUNCTION("""COMPUTED_VALUE"""),1.84877635E15)</f>
        <v>1.84878E+15</v>
      </c>
      <c r="AJ58" s="1475">
        <f>IFERROR(__xludf.DUMMYFUNCTION("""COMPUTED_VALUE"""),12.365277777777777)</f>
        <v>12.36527778</v>
      </c>
      <c r="AK58" s="1476">
        <f>IFERROR(__xludf.DUMMYFUNCTION("""COMPUTED_VALUE"""),856830.0)</f>
        <v>856830</v>
      </c>
      <c r="AL58" s="1475">
        <f>IFERROR(__xludf.DUMMYFUNCTION("""COMPUTED_VALUE"""),12.365277777777777)</f>
        <v>12.36527778</v>
      </c>
      <c r="AM58" s="1476">
        <f>IFERROR(__xludf.DUMMYFUNCTION("""COMPUTED_VALUE"""),856830.0)</f>
        <v>856830</v>
      </c>
      <c r="AN58" s="1475">
        <f>IFERROR(__xludf.DUMMYFUNCTION("""COMPUTED_VALUE"""),12.365277777777777)</f>
        <v>12.36527778</v>
      </c>
      <c r="AO58" s="1476">
        <f>IFERROR(__xludf.DUMMYFUNCTION("""COMPUTED_VALUE"""),856830.0)</f>
        <v>856830</v>
      </c>
      <c r="AP58" s="1475">
        <f>IFERROR(__xludf.DUMMYFUNCTION("""COMPUTED_VALUE"""),12.365277777777777)</f>
        <v>12.36527778</v>
      </c>
      <c r="AQ58" s="1476">
        <f>IFERROR(__xludf.DUMMYFUNCTION("""COMPUTED_VALUE"""),856830.0)</f>
        <v>856830</v>
      </c>
      <c r="AR58" s="1475">
        <f>IFERROR(__xludf.DUMMYFUNCTION("""COMPUTED_VALUE"""),12.365277777777777)</f>
        <v>12.36527778</v>
      </c>
      <c r="AS58" s="1476">
        <f>IFERROR(__xludf.DUMMYFUNCTION("""COMPUTED_VALUE"""),856840.0)</f>
        <v>856840</v>
      </c>
      <c r="AT58" s="1520"/>
      <c r="AU58" s="1519"/>
      <c r="AV58" s="1520"/>
      <c r="AW58" s="1519"/>
      <c r="AX58" s="1518"/>
      <c r="AY58" s="1568"/>
      <c r="AZ58" s="1518"/>
      <c r="BA58" s="1518"/>
      <c r="BB58" s="1477">
        <f>IFERROR(__xludf.DUMMYFUNCTION("""COMPUTED_VALUE"""),12.365277777777777)</f>
        <v>12.36527778</v>
      </c>
      <c r="BC58" s="1478">
        <f>IFERROR(__xludf.DUMMYFUNCTION("""COMPUTED_VALUE"""),856830.0)</f>
        <v>856830</v>
      </c>
      <c r="BD58" s="1477">
        <f>IFERROR(__xludf.DUMMYFUNCTION("""COMPUTED_VALUE"""),12.365277777777777)</f>
        <v>12.36527778</v>
      </c>
      <c r="BE58" s="1478">
        <f>IFERROR(__xludf.DUMMYFUNCTION("""COMPUTED_VALUE"""),856830.0)</f>
        <v>856830</v>
      </c>
      <c r="BF58" s="1477">
        <f>IFERROR(__xludf.DUMMYFUNCTION("""COMPUTED_VALUE"""),12.365277777777777)</f>
        <v>12.36527778</v>
      </c>
      <c r="BG58" s="1478">
        <f>IFERROR(__xludf.DUMMYFUNCTION("""COMPUTED_VALUE"""),856830.0)</f>
        <v>856830</v>
      </c>
      <c r="BH58" s="1518"/>
      <c r="BI58" s="1519"/>
      <c r="BJ58" s="1518"/>
      <c r="BK58" s="1519"/>
      <c r="BL58" s="1518"/>
      <c r="BM58" s="1519"/>
      <c r="BN58" s="1518"/>
      <c r="BO58" s="1519"/>
      <c r="BP58" s="1518"/>
      <c r="BQ58" s="1519"/>
      <c r="BR58" s="1520"/>
      <c r="BS58" s="1519"/>
      <c r="BT58" s="1520"/>
      <c r="BU58" s="1520"/>
      <c r="BV58" s="1520"/>
      <c r="BW58" s="1520"/>
      <c r="BX58" s="1520"/>
      <c r="BY58" s="1520"/>
      <c r="BZ58" s="1520"/>
      <c r="CA58" s="1520"/>
      <c r="CB58" s="1520"/>
      <c r="CC58" s="1519"/>
      <c r="CD58" s="1477">
        <f>IFERROR(__xludf.DUMMYFUNCTION("""COMPUTED_VALUE"""),48.554097222222225)</f>
        <v>48.55409722</v>
      </c>
      <c r="CE58" s="1481">
        <f>IFERROR(__xludf.DUMMYFUNCTION("""COMPUTED_VALUE"""),8.619999999999999E12)</f>
        <v>8620000000000</v>
      </c>
      <c r="CF58" s="1527"/>
      <c r="CG58" s="1560"/>
      <c r="CH58" s="1482">
        <f>IFERROR(__xludf.DUMMYFUNCTION("""COMPUTED_VALUE"""),12.365277777777777)</f>
        <v>12.36527778</v>
      </c>
      <c r="CI58" s="1483">
        <f>IFERROR(__xludf.DUMMYFUNCTION("""COMPUTED_VALUE"""),856840.0)</f>
        <v>856840</v>
      </c>
      <c r="CJ58" s="1482">
        <f>IFERROR(__xludf.DUMMYFUNCTION("""COMPUTED_VALUE"""),12.365277777777777)</f>
        <v>12.36527778</v>
      </c>
      <c r="CK58" s="1483">
        <f>IFERROR(__xludf.DUMMYFUNCTION("""COMPUTED_VALUE"""),856840.0)</f>
        <v>856840</v>
      </c>
      <c r="CL58" s="1482">
        <f>IFERROR(__xludf.DUMMYFUNCTION("""COMPUTED_VALUE"""),12.365277777777777)</f>
        <v>12.36527778</v>
      </c>
      <c r="CM58" s="1483">
        <f>IFERROR(__xludf.DUMMYFUNCTION("""COMPUTED_VALUE"""),856840.0)</f>
        <v>856840</v>
      </c>
      <c r="CN58" s="1482">
        <f>IFERROR(__xludf.DUMMYFUNCTION("""COMPUTED_VALUE"""),12.365277777777777)</f>
        <v>12.36527778</v>
      </c>
      <c r="CO58" s="1483">
        <f>IFERROR(__xludf.DUMMYFUNCTION("""COMPUTED_VALUE"""),856840.0)</f>
        <v>856840</v>
      </c>
      <c r="CP58" s="1482">
        <f>IFERROR(__xludf.DUMMYFUNCTION("""COMPUTED_VALUE"""),27.45277777777778)</f>
        <v>27.45277778</v>
      </c>
      <c r="CQ58" s="1483">
        <f>IFERROR(__xludf.DUMMYFUNCTION("""COMPUTED_VALUE"""),3230000.0)</f>
        <v>3230000</v>
      </c>
      <c r="CR58" s="1518"/>
      <c r="CS58" s="1519"/>
      <c r="CT58" s="1520"/>
      <c r="CU58" s="1519"/>
      <c r="CV58" s="1520"/>
      <c r="CW58" s="1519"/>
      <c r="CX58" s="1520"/>
      <c r="CY58" s="1519"/>
      <c r="CZ58" s="1520"/>
      <c r="DA58" s="1520"/>
      <c r="DB58" s="1520"/>
      <c r="DC58" s="1520"/>
      <c r="DD58" s="1520"/>
      <c r="DE58" s="1519"/>
      <c r="DF58" s="1518"/>
      <c r="DG58" s="1519"/>
      <c r="DH58" s="1518"/>
      <c r="DI58" s="1519"/>
      <c r="DJ58" s="1518"/>
      <c r="DK58" s="1519"/>
      <c r="DL58" s="1518"/>
      <c r="DM58" s="1519"/>
      <c r="DN58" s="1518"/>
      <c r="DO58" s="1519"/>
      <c r="DP58" s="1518"/>
      <c r="DQ58" s="1519"/>
      <c r="DR58" s="1518"/>
      <c r="DS58" s="1519"/>
      <c r="DT58" s="1518"/>
      <c r="DU58" s="1519"/>
      <c r="DV58" s="1520"/>
      <c r="DW58" s="1519"/>
      <c r="DX58" s="1518"/>
      <c r="DY58" s="1519"/>
      <c r="DZ58" s="1518"/>
      <c r="EA58" s="1519"/>
      <c r="EB58" s="1518"/>
      <c r="EC58" s="1519"/>
      <c r="ED58" s="1518"/>
      <c r="EE58" s="1519"/>
      <c r="EF58" s="1518"/>
      <c r="EG58" s="1519"/>
      <c r="EH58" s="1518"/>
      <c r="EI58" s="1519"/>
      <c r="EJ58" s="1562"/>
      <c r="EK58" s="1560"/>
      <c r="EL58" s="1562"/>
      <c r="EM58" s="1560"/>
      <c r="EN58" s="1518"/>
      <c r="EO58" s="1519"/>
      <c r="EP58" s="1518"/>
      <c r="EQ58" s="1519"/>
      <c r="ER58" s="1518"/>
      <c r="ES58" s="1519"/>
      <c r="ET58" s="1518"/>
      <c r="EU58" s="1519"/>
      <c r="EV58" s="1518"/>
      <c r="EW58" s="1519"/>
      <c r="EX58" s="1518"/>
      <c r="EY58" s="1519"/>
      <c r="EZ58" s="1518"/>
      <c r="FA58" s="1519"/>
      <c r="FB58" s="1520"/>
      <c r="FC58" s="1519"/>
      <c r="FD58" s="1520"/>
      <c r="FE58" s="1519"/>
      <c r="FF58" s="1520"/>
      <c r="FG58" s="1519"/>
      <c r="FH58" s="1520"/>
      <c r="FI58" s="1520"/>
      <c r="FJ58" s="1520"/>
      <c r="FK58" s="1519"/>
      <c r="FL58" s="1518"/>
      <c r="FM58" s="1519"/>
      <c r="FN58" s="1532"/>
      <c r="FO58" s="1520"/>
      <c r="FP58" s="1532"/>
      <c r="FQ58" s="1520"/>
      <c r="FR58" s="1532"/>
      <c r="FS58" s="1520"/>
      <c r="FT58" s="1532"/>
      <c r="FU58" s="1519"/>
      <c r="FV58" s="1532"/>
      <c r="FW58" s="1519"/>
      <c r="FX58" s="1572"/>
      <c r="FY58" s="1560"/>
      <c r="FZ58" s="1572"/>
      <c r="GA58" s="1560"/>
      <c r="GB58" s="1572"/>
      <c r="GC58" s="1560"/>
      <c r="GD58" s="1527"/>
      <c r="GE58" s="1560"/>
      <c r="GF58" s="1518"/>
      <c r="GG58" s="1519"/>
      <c r="GH58" s="1518"/>
      <c r="GI58" s="1519"/>
      <c r="GJ58" s="1518"/>
      <c r="GK58" s="1519"/>
      <c r="GL58" s="1518"/>
      <c r="GM58" s="1519"/>
      <c r="GN58" s="1520"/>
      <c r="GO58" s="1519"/>
      <c r="GP58" s="1520"/>
      <c r="GQ58" s="1519"/>
      <c r="GR58" s="1518"/>
      <c r="GS58" s="1519"/>
      <c r="GT58" s="1518"/>
      <c r="GU58" s="1519"/>
      <c r="GV58" s="1520"/>
      <c r="GW58" s="1519"/>
      <c r="GX58" s="1561"/>
      <c r="GY58" s="1527"/>
      <c r="GZ58" s="1518"/>
      <c r="HA58" s="1519"/>
      <c r="HB58" s="1501">
        <f>IFERROR(__xludf.DUMMYFUNCTION("""COMPUTED_VALUE"""),1007.3708333333333)</f>
        <v>1007.370833</v>
      </c>
      <c r="HC58" s="1502">
        <f>IFERROR(__xludf.DUMMYFUNCTION("""COMPUTED_VALUE"""),1.007E13)</f>
        <v>10070000000000</v>
      </c>
      <c r="HD58" s="1518"/>
      <c r="HE58" s="1519"/>
      <c r="HF58" s="1518"/>
      <c r="HG58" s="1519"/>
      <c r="HH58" s="1518"/>
      <c r="HI58" s="1519"/>
      <c r="HJ58" s="1518"/>
      <c r="HK58" s="1519"/>
      <c r="HL58" s="1518"/>
      <c r="HM58" s="1519"/>
      <c r="HN58" s="1520"/>
      <c r="HO58" s="1519"/>
      <c r="HP58" s="1518"/>
      <c r="HQ58" s="1519"/>
      <c r="HR58" s="1518"/>
      <c r="HS58" s="1519"/>
      <c r="HT58" s="1518"/>
      <c r="HU58" s="1519"/>
      <c r="HV58" s="1518"/>
      <c r="HW58" s="1519"/>
      <c r="HX58" s="1518"/>
      <c r="HY58" s="1519"/>
      <c r="HZ58" s="1518"/>
      <c r="IA58" s="1519"/>
      <c r="IB58" s="1518"/>
      <c r="IC58" s="1519"/>
      <c r="ID58" s="1518"/>
      <c r="IE58" s="1519"/>
      <c r="IF58" s="1518"/>
      <c r="IG58" s="1519"/>
      <c r="IH58" s="1518"/>
      <c r="II58" s="1519"/>
      <c r="IJ58" s="1518"/>
      <c r="IK58" s="1519"/>
      <c r="IL58" s="1518"/>
      <c r="IM58" s="1519"/>
      <c r="IN58" s="1518"/>
      <c r="IO58" s="1519"/>
      <c r="IP58" s="1518"/>
      <c r="IQ58" s="1519"/>
      <c r="IR58" s="1518"/>
      <c r="IS58" s="1519"/>
      <c r="IT58" s="1518"/>
      <c r="IU58" s="1519"/>
      <c r="IV58" s="1518"/>
      <c r="IW58" s="1519"/>
      <c r="IX58" s="1518"/>
      <c r="IY58" s="1519"/>
      <c r="IZ58" s="1518"/>
      <c r="JA58" s="1519"/>
      <c r="JB58" s="1518"/>
      <c r="JC58" s="1519"/>
      <c r="JD58" s="1518"/>
      <c r="JE58" s="1519"/>
      <c r="JF58" s="1518"/>
      <c r="JG58" s="1519"/>
      <c r="JH58" s="1518"/>
      <c r="JI58" s="1519"/>
      <c r="JJ58" s="1562"/>
      <c r="JK58" s="1560"/>
      <c r="JL58" s="1562"/>
      <c r="JM58" s="1560"/>
      <c r="JN58" s="1562"/>
      <c r="JO58" s="1560"/>
      <c r="JP58" s="1562"/>
      <c r="JQ58" s="1560"/>
      <c r="JR58" s="1562"/>
      <c r="JS58" s="1560"/>
      <c r="JT58" s="1562"/>
      <c r="JU58" s="1560"/>
      <c r="JV58" s="1562"/>
      <c r="JW58" s="1560"/>
      <c r="JX58" s="1562"/>
      <c r="JY58" s="1527"/>
      <c r="JZ58" s="1566">
        <f>IFERROR(__xludf.DUMMYFUNCTION("""COMPUTED_VALUE"""),4.940231481)</f>
        <v>4.940231481</v>
      </c>
      <c r="KA58" s="1514">
        <f>IFERROR(__xludf.DUMMYFUNCTION("""COMPUTED_VALUE"""),1.0E11)</f>
        <v>100000000000</v>
      </c>
      <c r="KB58" s="1562"/>
      <c r="KC58" s="1527"/>
      <c r="KD58" s="1562"/>
      <c r="KE58" s="1527"/>
      <c r="KF58" s="1527"/>
      <c r="KG58" s="1527"/>
      <c r="KH58" s="1527"/>
      <c r="KI58" s="1527"/>
      <c r="KJ58" s="1527"/>
      <c r="KK58" s="1527"/>
      <c r="KL58" s="1527"/>
      <c r="KM58" s="1527"/>
      <c r="KN58" s="1527"/>
      <c r="KO58" s="1527"/>
      <c r="KP58" s="1527"/>
      <c r="KQ58" s="1527"/>
      <c r="KR58" s="1527"/>
      <c r="KS58" s="1527"/>
      <c r="KT58" s="1527"/>
      <c r="KU58" s="1527"/>
      <c r="KV58" s="1527"/>
      <c r="KW58" s="1527"/>
      <c r="KX58" s="1527"/>
      <c r="KY58" s="1527"/>
      <c r="KZ58" s="1527"/>
      <c r="LA58" s="1527"/>
      <c r="LB58" s="1527"/>
      <c r="LC58" s="1527"/>
      <c r="LD58" s="1527"/>
      <c r="LE58" s="1527"/>
      <c r="LF58" s="1527"/>
      <c r="LG58" s="1527"/>
      <c r="LH58" s="1527"/>
      <c r="LI58" s="1527"/>
      <c r="LJ58" s="1527"/>
      <c r="LK58" s="1527"/>
      <c r="LL58" s="1527"/>
      <c r="LM58" s="1527"/>
      <c r="LN58" s="1527"/>
      <c r="LO58" s="1527"/>
      <c r="LP58" s="1527"/>
      <c r="LQ58" s="1527"/>
      <c r="LR58" s="1527"/>
      <c r="LS58" s="1527"/>
      <c r="LT58" s="1527"/>
      <c r="LU58" s="1527"/>
      <c r="LV58" s="1527"/>
      <c r="LW58" s="1527"/>
      <c r="LX58" s="1527"/>
      <c r="LY58" s="1527"/>
      <c r="LZ58" s="1527"/>
      <c r="MA58" s="1527"/>
      <c r="MB58" s="1527"/>
      <c r="MC58" s="1527"/>
      <c r="MD58" s="1527"/>
      <c r="ME58" s="1527"/>
      <c r="MF58" s="1527"/>
      <c r="MG58" s="1527"/>
      <c r="MH58" s="1527"/>
      <c r="MI58" s="1527"/>
      <c r="MJ58" s="1527"/>
      <c r="MK58" s="1527"/>
      <c r="ML58" s="1527"/>
      <c r="MM58" s="1527"/>
      <c r="MN58" s="1527"/>
      <c r="MO58" s="1527"/>
      <c r="MP58" s="1527"/>
      <c r="MQ58" s="1527"/>
      <c r="MR58" s="1527"/>
      <c r="MS58" s="1527"/>
      <c r="MT58" s="1527"/>
      <c r="MU58" s="1527"/>
      <c r="MV58" s="1527"/>
      <c r="MW58" s="1527"/>
      <c r="MX58" s="1527"/>
      <c r="MY58" s="1527"/>
    </row>
    <row r="59">
      <c r="A59" s="1465">
        <f>IFERROR(__xludf.DUMMYFUNCTION("""COMPUTED_VALUE"""),57.0)</f>
        <v>57</v>
      </c>
      <c r="B59" s="1518"/>
      <c r="C59" s="1520"/>
      <c r="D59" s="1466">
        <f>IFERROR(__xludf.DUMMYFUNCTION("""COMPUTED_VALUE"""),12.906944444444445)</f>
        <v>12.90694444</v>
      </c>
      <c r="E59" s="1467">
        <f>IFERROR(__xludf.DUMMYFUNCTION("""COMPUTED_VALUE"""),900300.0)</f>
        <v>900300</v>
      </c>
      <c r="F59" s="1466">
        <f>IFERROR(__xludf.DUMMYFUNCTION("""COMPUTED_VALUE"""),12.906944444444445)</f>
        <v>12.90694444</v>
      </c>
      <c r="G59" s="1467">
        <f>IFERROR(__xludf.DUMMYFUNCTION("""COMPUTED_VALUE"""),900300.0)</f>
        <v>900300</v>
      </c>
      <c r="H59" s="1466">
        <f>IFERROR(__xludf.DUMMYFUNCTION("""COMPUTED_VALUE"""),12.906944444444445)</f>
        <v>12.90694444</v>
      </c>
      <c r="I59" s="1467">
        <f>IFERROR(__xludf.DUMMYFUNCTION("""COMPUTED_VALUE"""),900300.0)</f>
        <v>900300</v>
      </c>
      <c r="J59" s="1466">
        <f>IFERROR(__xludf.DUMMYFUNCTION("""COMPUTED_VALUE"""),12.906944444444445)</f>
        <v>12.90694444</v>
      </c>
      <c r="K59" s="1467">
        <f>IFERROR(__xludf.DUMMYFUNCTION("""COMPUTED_VALUE"""),900300.0)</f>
        <v>900300</v>
      </c>
      <c r="L59" s="1466">
        <f>IFERROR(__xludf.DUMMYFUNCTION("""COMPUTED_VALUE"""),23.57638888888889)</f>
        <v>23.57638889</v>
      </c>
      <c r="M59" s="1469">
        <f>IFERROR(__xludf.DUMMYFUNCTION("""COMPUTED_VALUE"""),2840000.0)</f>
        <v>2840000</v>
      </c>
      <c r="N59" s="1470">
        <f>IFERROR(__xludf.DUMMYFUNCTION("""COMPUTED_VALUE"""),11.120833333333334)</f>
        <v>11.12083333</v>
      </c>
      <c r="O59" s="1467">
        <f>IFERROR(__xludf.DUMMYFUNCTION("""COMPUTED_VALUE"""),3420000.0)</f>
        <v>3420000</v>
      </c>
      <c r="P59" s="1518"/>
      <c r="Q59" s="1519"/>
      <c r="R59" s="1518"/>
      <c r="S59" s="1519"/>
      <c r="T59" s="1518"/>
      <c r="U59" s="1519"/>
      <c r="V59" s="1518"/>
      <c r="W59" s="1519"/>
      <c r="X59" s="1518"/>
      <c r="Y59" s="1519"/>
      <c r="Z59" s="1518"/>
      <c r="AA59" s="1519"/>
      <c r="AB59" s="1518"/>
      <c r="AC59" s="1519"/>
      <c r="AD59" s="1466">
        <f>IFERROR(__xludf.DUMMYFUNCTION("""COMPUTED_VALUE"""),61.55694444444445)</f>
        <v>61.55694444</v>
      </c>
      <c r="AE59" s="1474">
        <f>IFERROR(__xludf.DUMMYFUNCTION("""COMPUTED_VALUE"""),2.403409255E15)</f>
        <v>2.40341E+15</v>
      </c>
      <c r="AF59" s="1466">
        <f>IFERROR(__xludf.DUMMYFUNCTION("""COMPUTED_VALUE"""),61.55694444444445)</f>
        <v>61.55694444</v>
      </c>
      <c r="AG59" s="1474">
        <f>IFERROR(__xludf.DUMMYFUNCTION("""COMPUTED_VALUE"""),2.403409255E15)</f>
        <v>2.40341E+15</v>
      </c>
      <c r="AH59" s="1466">
        <f>IFERROR(__xludf.DUMMYFUNCTION("""COMPUTED_VALUE"""),61.55694444444445)</f>
        <v>61.55694444</v>
      </c>
      <c r="AI59" s="1474">
        <f>IFERROR(__xludf.DUMMYFUNCTION("""COMPUTED_VALUE"""),2.403409255E15)</f>
        <v>2.40341E+15</v>
      </c>
      <c r="AJ59" s="1475">
        <f>IFERROR(__xludf.DUMMYFUNCTION("""COMPUTED_VALUE"""),12.906944444444445)</f>
        <v>12.90694444</v>
      </c>
      <c r="AK59" s="1476">
        <f>IFERROR(__xludf.DUMMYFUNCTION("""COMPUTED_VALUE"""),900300.0)</f>
        <v>900300</v>
      </c>
      <c r="AL59" s="1475">
        <f>IFERROR(__xludf.DUMMYFUNCTION("""COMPUTED_VALUE"""),12.906944444444445)</f>
        <v>12.90694444</v>
      </c>
      <c r="AM59" s="1476">
        <f>IFERROR(__xludf.DUMMYFUNCTION("""COMPUTED_VALUE"""),900300.0)</f>
        <v>900300</v>
      </c>
      <c r="AN59" s="1475">
        <f>IFERROR(__xludf.DUMMYFUNCTION("""COMPUTED_VALUE"""),12.906944444444445)</f>
        <v>12.90694444</v>
      </c>
      <c r="AO59" s="1476">
        <f>IFERROR(__xludf.DUMMYFUNCTION("""COMPUTED_VALUE"""),900300.0)</f>
        <v>900300</v>
      </c>
      <c r="AP59" s="1475">
        <f>IFERROR(__xludf.DUMMYFUNCTION("""COMPUTED_VALUE"""),12.906944444444445)</f>
        <v>12.90694444</v>
      </c>
      <c r="AQ59" s="1476">
        <f>IFERROR(__xludf.DUMMYFUNCTION("""COMPUTED_VALUE"""),900300.0)</f>
        <v>900300</v>
      </c>
      <c r="AR59" s="1475">
        <f>IFERROR(__xludf.DUMMYFUNCTION("""COMPUTED_VALUE"""),12.906944444444445)</f>
        <v>12.90694444</v>
      </c>
      <c r="AS59" s="1476">
        <f>IFERROR(__xludf.DUMMYFUNCTION("""COMPUTED_VALUE"""),900310.0)</f>
        <v>900310</v>
      </c>
      <c r="AT59" s="1520"/>
      <c r="AU59" s="1519"/>
      <c r="AV59" s="1520"/>
      <c r="AW59" s="1519"/>
      <c r="AX59" s="1518"/>
      <c r="AY59" s="1568"/>
      <c r="AZ59" s="1518"/>
      <c r="BA59" s="1518"/>
      <c r="BB59" s="1477">
        <f>IFERROR(__xludf.DUMMYFUNCTION("""COMPUTED_VALUE"""),12.906944444444445)</f>
        <v>12.90694444</v>
      </c>
      <c r="BC59" s="1478">
        <f>IFERROR(__xludf.DUMMYFUNCTION("""COMPUTED_VALUE"""),900300.0)</f>
        <v>900300</v>
      </c>
      <c r="BD59" s="1477">
        <f>IFERROR(__xludf.DUMMYFUNCTION("""COMPUTED_VALUE"""),12.906944444444445)</f>
        <v>12.90694444</v>
      </c>
      <c r="BE59" s="1478">
        <f>IFERROR(__xludf.DUMMYFUNCTION("""COMPUTED_VALUE"""),900300.0)</f>
        <v>900300</v>
      </c>
      <c r="BF59" s="1477">
        <f>IFERROR(__xludf.DUMMYFUNCTION("""COMPUTED_VALUE"""),12.906944444444445)</f>
        <v>12.90694444</v>
      </c>
      <c r="BG59" s="1478">
        <f>IFERROR(__xludf.DUMMYFUNCTION("""COMPUTED_VALUE"""),900300.0)</f>
        <v>900300</v>
      </c>
      <c r="BH59" s="1518"/>
      <c r="BI59" s="1519"/>
      <c r="BJ59" s="1518"/>
      <c r="BK59" s="1519"/>
      <c r="BL59" s="1518"/>
      <c r="BM59" s="1519"/>
      <c r="BN59" s="1518"/>
      <c r="BO59" s="1519"/>
      <c r="BP59" s="1518"/>
      <c r="BQ59" s="1519"/>
      <c r="BR59" s="1520"/>
      <c r="BS59" s="1519"/>
      <c r="BT59" s="1520"/>
      <c r="BU59" s="1520"/>
      <c r="BV59" s="1520"/>
      <c r="BW59" s="1520"/>
      <c r="BX59" s="1520"/>
      <c r="BY59" s="1520"/>
      <c r="BZ59" s="1520"/>
      <c r="CA59" s="1520"/>
      <c r="CB59" s="1520"/>
      <c r="CC59" s="1519"/>
      <c r="CD59" s="1477">
        <f>IFERROR(__xludf.DUMMYFUNCTION("""COMPUTED_VALUE"""),50.6778125)</f>
        <v>50.6778125</v>
      </c>
      <c r="CE59" s="1481">
        <f>IFERROR(__xludf.DUMMYFUNCTION("""COMPUTED_VALUE"""),9.08E12)</f>
        <v>9080000000000</v>
      </c>
      <c r="CF59" s="1527"/>
      <c r="CG59" s="1560"/>
      <c r="CH59" s="1482">
        <f>IFERROR(__xludf.DUMMYFUNCTION("""COMPUTED_VALUE"""),12.906944444444445)</f>
        <v>12.90694444</v>
      </c>
      <c r="CI59" s="1483">
        <f>IFERROR(__xludf.DUMMYFUNCTION("""COMPUTED_VALUE"""),900310.0)</f>
        <v>900310</v>
      </c>
      <c r="CJ59" s="1482">
        <f>IFERROR(__xludf.DUMMYFUNCTION("""COMPUTED_VALUE"""),12.906944444444445)</f>
        <v>12.90694444</v>
      </c>
      <c r="CK59" s="1483">
        <f>IFERROR(__xludf.DUMMYFUNCTION("""COMPUTED_VALUE"""),900310.0)</f>
        <v>900310</v>
      </c>
      <c r="CL59" s="1482">
        <f>IFERROR(__xludf.DUMMYFUNCTION("""COMPUTED_VALUE"""),12.906944444444445)</f>
        <v>12.90694444</v>
      </c>
      <c r="CM59" s="1483">
        <f>IFERROR(__xludf.DUMMYFUNCTION("""COMPUTED_VALUE"""),900310.0)</f>
        <v>900310</v>
      </c>
      <c r="CN59" s="1482">
        <f>IFERROR(__xludf.DUMMYFUNCTION("""COMPUTED_VALUE"""),12.906944444444445)</f>
        <v>12.90694444</v>
      </c>
      <c r="CO59" s="1483">
        <f>IFERROR(__xludf.DUMMYFUNCTION("""COMPUTED_VALUE"""),900310.0)</f>
        <v>900310</v>
      </c>
      <c r="CP59" s="1482">
        <f>IFERROR(__xludf.DUMMYFUNCTION("""COMPUTED_VALUE"""),28.760416666666668)</f>
        <v>28.76041667</v>
      </c>
      <c r="CQ59" s="1483">
        <f>IFERROR(__xludf.DUMMYFUNCTION("""COMPUTED_VALUE"""),3420000.0)</f>
        <v>3420000</v>
      </c>
      <c r="CR59" s="1518"/>
      <c r="CS59" s="1519"/>
      <c r="CT59" s="1520"/>
      <c r="CU59" s="1519"/>
      <c r="CV59" s="1520"/>
      <c r="CW59" s="1519"/>
      <c r="CX59" s="1520"/>
      <c r="CY59" s="1519"/>
      <c r="CZ59" s="1520"/>
      <c r="DA59" s="1520"/>
      <c r="DB59" s="1520"/>
      <c r="DC59" s="1520"/>
      <c r="DD59" s="1520"/>
      <c r="DE59" s="1519"/>
      <c r="DF59" s="1518"/>
      <c r="DG59" s="1519"/>
      <c r="DH59" s="1518"/>
      <c r="DI59" s="1519"/>
      <c r="DJ59" s="1518"/>
      <c r="DK59" s="1519"/>
      <c r="DL59" s="1518"/>
      <c r="DM59" s="1519"/>
      <c r="DN59" s="1518"/>
      <c r="DO59" s="1519"/>
      <c r="DP59" s="1518"/>
      <c r="DQ59" s="1519"/>
      <c r="DR59" s="1518"/>
      <c r="DS59" s="1519"/>
      <c r="DT59" s="1518"/>
      <c r="DU59" s="1519"/>
      <c r="DV59" s="1520"/>
      <c r="DW59" s="1519"/>
      <c r="DX59" s="1518"/>
      <c r="DY59" s="1519"/>
      <c r="DZ59" s="1518"/>
      <c r="EA59" s="1519"/>
      <c r="EB59" s="1518"/>
      <c r="EC59" s="1519"/>
      <c r="ED59" s="1518"/>
      <c r="EE59" s="1519"/>
      <c r="EF59" s="1518"/>
      <c r="EG59" s="1519"/>
      <c r="EH59" s="1518"/>
      <c r="EI59" s="1519"/>
      <c r="EJ59" s="1562"/>
      <c r="EK59" s="1560"/>
      <c r="EL59" s="1562"/>
      <c r="EM59" s="1560"/>
      <c r="EN59" s="1518"/>
      <c r="EO59" s="1519"/>
      <c r="EP59" s="1518"/>
      <c r="EQ59" s="1519"/>
      <c r="ER59" s="1518"/>
      <c r="ES59" s="1519"/>
      <c r="ET59" s="1518"/>
      <c r="EU59" s="1519"/>
      <c r="EV59" s="1518"/>
      <c r="EW59" s="1519"/>
      <c r="EX59" s="1518"/>
      <c r="EY59" s="1519"/>
      <c r="EZ59" s="1518"/>
      <c r="FA59" s="1519"/>
      <c r="FB59" s="1520"/>
      <c r="FC59" s="1519"/>
      <c r="FD59" s="1520"/>
      <c r="FE59" s="1519"/>
      <c r="FF59" s="1520"/>
      <c r="FG59" s="1519"/>
      <c r="FH59" s="1520"/>
      <c r="FI59" s="1520"/>
      <c r="FJ59" s="1520"/>
      <c r="FK59" s="1519"/>
      <c r="FL59" s="1518"/>
      <c r="FM59" s="1519"/>
      <c r="FN59" s="1532"/>
      <c r="FO59" s="1520"/>
      <c r="FP59" s="1532"/>
      <c r="FQ59" s="1520"/>
      <c r="FR59" s="1532"/>
      <c r="FS59" s="1520"/>
      <c r="FT59" s="1532"/>
      <c r="FU59" s="1519"/>
      <c r="FV59" s="1532"/>
      <c r="FW59" s="1519"/>
      <c r="FX59" s="1572"/>
      <c r="FY59" s="1560"/>
      <c r="FZ59" s="1572"/>
      <c r="GA59" s="1560"/>
      <c r="GB59" s="1572"/>
      <c r="GC59" s="1560"/>
      <c r="GD59" s="1527"/>
      <c r="GE59" s="1560"/>
      <c r="GF59" s="1518"/>
      <c r="GG59" s="1519"/>
      <c r="GH59" s="1518"/>
      <c r="GI59" s="1519"/>
      <c r="GJ59" s="1518"/>
      <c r="GK59" s="1519"/>
      <c r="GL59" s="1518"/>
      <c r="GM59" s="1519"/>
      <c r="GN59" s="1520"/>
      <c r="GO59" s="1519"/>
      <c r="GP59" s="1520"/>
      <c r="GQ59" s="1519"/>
      <c r="GR59" s="1518"/>
      <c r="GS59" s="1519"/>
      <c r="GT59" s="1518"/>
      <c r="GU59" s="1519"/>
      <c r="GV59" s="1520"/>
      <c r="GW59" s="1519"/>
      <c r="GX59" s="1561"/>
      <c r="GY59" s="1527"/>
      <c r="GZ59" s="1518"/>
      <c r="HA59" s="1519"/>
      <c r="HB59" s="1501">
        <f>IFERROR(__xludf.DUMMYFUNCTION("""COMPUTED_VALUE"""),1072.5840277777777)</f>
        <v>1072.584028</v>
      </c>
      <c r="HC59" s="1502">
        <f>IFERROR(__xludf.DUMMYFUNCTION("""COMPUTED_VALUE"""),1.101E13)</f>
        <v>11010000000000</v>
      </c>
      <c r="HD59" s="1518"/>
      <c r="HE59" s="1519"/>
      <c r="HF59" s="1518"/>
      <c r="HG59" s="1519"/>
      <c r="HH59" s="1518"/>
      <c r="HI59" s="1519"/>
      <c r="HJ59" s="1518"/>
      <c r="HK59" s="1519"/>
      <c r="HL59" s="1518"/>
      <c r="HM59" s="1519"/>
      <c r="HN59" s="1520"/>
      <c r="HO59" s="1519"/>
      <c r="HP59" s="1518"/>
      <c r="HQ59" s="1519"/>
      <c r="HR59" s="1518"/>
      <c r="HS59" s="1519"/>
      <c r="HT59" s="1518"/>
      <c r="HU59" s="1519"/>
      <c r="HV59" s="1518"/>
      <c r="HW59" s="1519"/>
      <c r="HX59" s="1518"/>
      <c r="HY59" s="1519"/>
      <c r="HZ59" s="1518"/>
      <c r="IA59" s="1519"/>
      <c r="IB59" s="1518"/>
      <c r="IC59" s="1519"/>
      <c r="ID59" s="1518"/>
      <c r="IE59" s="1519"/>
      <c r="IF59" s="1518"/>
      <c r="IG59" s="1519"/>
      <c r="IH59" s="1518"/>
      <c r="II59" s="1519"/>
      <c r="IJ59" s="1518"/>
      <c r="IK59" s="1519"/>
      <c r="IL59" s="1518"/>
      <c r="IM59" s="1519"/>
      <c r="IN59" s="1518"/>
      <c r="IO59" s="1519"/>
      <c r="IP59" s="1518"/>
      <c r="IQ59" s="1519"/>
      <c r="IR59" s="1518"/>
      <c r="IS59" s="1519"/>
      <c r="IT59" s="1518"/>
      <c r="IU59" s="1519"/>
      <c r="IV59" s="1518"/>
      <c r="IW59" s="1519"/>
      <c r="IX59" s="1518"/>
      <c r="IY59" s="1519"/>
      <c r="IZ59" s="1518"/>
      <c r="JA59" s="1519"/>
      <c r="JB59" s="1518"/>
      <c r="JC59" s="1519"/>
      <c r="JD59" s="1518"/>
      <c r="JE59" s="1519"/>
      <c r="JF59" s="1518"/>
      <c r="JG59" s="1519"/>
      <c r="JH59" s="1518"/>
      <c r="JI59" s="1519"/>
      <c r="JJ59" s="1562"/>
      <c r="JK59" s="1560"/>
      <c r="JL59" s="1562"/>
      <c r="JM59" s="1560"/>
      <c r="JN59" s="1562"/>
      <c r="JO59" s="1560"/>
      <c r="JP59" s="1562"/>
      <c r="JQ59" s="1560"/>
      <c r="JR59" s="1562"/>
      <c r="JS59" s="1560"/>
      <c r="JT59" s="1562"/>
      <c r="JU59" s="1560"/>
      <c r="JV59" s="1562"/>
      <c r="JW59" s="1560"/>
      <c r="JX59" s="1562"/>
      <c r="JY59" s="1527"/>
      <c r="JZ59" s="1566">
        <f>IFERROR(__xludf.DUMMYFUNCTION("""COMPUTED_VALUE"""),5.032118056)</f>
        <v>5.032118056</v>
      </c>
      <c r="KA59" s="1514">
        <f>IFERROR(__xludf.DUMMYFUNCTION("""COMPUTED_VALUE"""),1.0499E11)</f>
        <v>104990000000</v>
      </c>
      <c r="KB59" s="1562"/>
      <c r="KC59" s="1527"/>
      <c r="KD59" s="1562"/>
      <c r="KE59" s="1527"/>
      <c r="KF59" s="1527"/>
      <c r="KG59" s="1527"/>
      <c r="KH59" s="1527"/>
      <c r="KI59" s="1527"/>
      <c r="KJ59" s="1527"/>
      <c r="KK59" s="1527"/>
      <c r="KL59" s="1527"/>
      <c r="KM59" s="1527"/>
      <c r="KN59" s="1527"/>
      <c r="KO59" s="1527"/>
      <c r="KP59" s="1527"/>
      <c r="KQ59" s="1527"/>
      <c r="KR59" s="1527"/>
      <c r="KS59" s="1527"/>
      <c r="KT59" s="1527"/>
      <c r="KU59" s="1527"/>
      <c r="KV59" s="1527"/>
      <c r="KW59" s="1527"/>
      <c r="KX59" s="1527"/>
      <c r="KY59" s="1527"/>
      <c r="KZ59" s="1527"/>
      <c r="LA59" s="1527"/>
      <c r="LB59" s="1527"/>
      <c r="LC59" s="1527"/>
      <c r="LD59" s="1527"/>
      <c r="LE59" s="1527"/>
      <c r="LF59" s="1527"/>
      <c r="LG59" s="1527"/>
      <c r="LH59" s="1527"/>
      <c r="LI59" s="1527"/>
      <c r="LJ59" s="1527"/>
      <c r="LK59" s="1527"/>
      <c r="LL59" s="1527"/>
      <c r="LM59" s="1527"/>
      <c r="LN59" s="1527"/>
      <c r="LO59" s="1527"/>
      <c r="LP59" s="1527"/>
      <c r="LQ59" s="1527"/>
      <c r="LR59" s="1527"/>
      <c r="LS59" s="1527"/>
      <c r="LT59" s="1527"/>
      <c r="LU59" s="1527"/>
      <c r="LV59" s="1527"/>
      <c r="LW59" s="1527"/>
      <c r="LX59" s="1527"/>
      <c r="LY59" s="1527"/>
      <c r="LZ59" s="1527"/>
      <c r="MA59" s="1527"/>
      <c r="MB59" s="1527"/>
      <c r="MC59" s="1527"/>
      <c r="MD59" s="1527"/>
      <c r="ME59" s="1527"/>
      <c r="MF59" s="1527"/>
      <c r="MG59" s="1527"/>
      <c r="MH59" s="1527"/>
      <c r="MI59" s="1527"/>
      <c r="MJ59" s="1527"/>
      <c r="MK59" s="1527"/>
      <c r="ML59" s="1527"/>
      <c r="MM59" s="1527"/>
      <c r="MN59" s="1527"/>
      <c r="MO59" s="1527"/>
      <c r="MP59" s="1527"/>
      <c r="MQ59" s="1527"/>
      <c r="MR59" s="1527"/>
      <c r="MS59" s="1527"/>
      <c r="MT59" s="1527"/>
      <c r="MU59" s="1527"/>
      <c r="MV59" s="1527"/>
      <c r="MW59" s="1527"/>
      <c r="MX59" s="1527"/>
      <c r="MY59" s="1527"/>
    </row>
    <row r="60">
      <c r="A60" s="1465">
        <f>IFERROR(__xludf.DUMMYFUNCTION("""COMPUTED_VALUE"""),58.0)</f>
        <v>58</v>
      </c>
      <c r="B60" s="1518"/>
      <c r="C60" s="1520"/>
      <c r="D60" s="1466">
        <f>IFERROR(__xludf.DUMMYFUNCTION("""COMPUTED_VALUE"""),13.461805555555555)</f>
        <v>13.46180556</v>
      </c>
      <c r="E60" s="1467">
        <f>IFERROR(__xludf.DUMMYFUNCTION("""COMPUTED_VALUE"""),945160.0)</f>
        <v>945160</v>
      </c>
      <c r="F60" s="1466">
        <f>IFERROR(__xludf.DUMMYFUNCTION("""COMPUTED_VALUE"""),13.461805555555555)</f>
        <v>13.46180556</v>
      </c>
      <c r="G60" s="1467">
        <f>IFERROR(__xludf.DUMMYFUNCTION("""COMPUTED_VALUE"""),945160.0)</f>
        <v>945160</v>
      </c>
      <c r="H60" s="1466">
        <f>IFERROR(__xludf.DUMMYFUNCTION("""COMPUTED_VALUE"""),13.461805555555555)</f>
        <v>13.46180556</v>
      </c>
      <c r="I60" s="1467">
        <f>IFERROR(__xludf.DUMMYFUNCTION("""COMPUTED_VALUE"""),945160.0)</f>
        <v>945160</v>
      </c>
      <c r="J60" s="1466">
        <f>IFERROR(__xludf.DUMMYFUNCTION("""COMPUTED_VALUE"""),13.461805555555555)</f>
        <v>13.46180556</v>
      </c>
      <c r="K60" s="1467">
        <f>IFERROR(__xludf.DUMMYFUNCTION("""COMPUTED_VALUE"""),945160.0)</f>
        <v>945160</v>
      </c>
      <c r="L60" s="1466">
        <f>IFERROR(__xludf.DUMMYFUNCTION("""COMPUTED_VALUE"""),24.655555555555555)</f>
        <v>24.65555556</v>
      </c>
      <c r="M60" s="1469">
        <f>IFERROR(__xludf.DUMMYFUNCTION("""COMPUTED_VALUE"""),2990000.0)</f>
        <v>2990000</v>
      </c>
      <c r="N60" s="1470">
        <f>IFERROR(__xludf.DUMMYFUNCTION("""COMPUTED_VALUE"""),11.520833333333334)</f>
        <v>11.52083333</v>
      </c>
      <c r="O60" s="1467">
        <f>IFERROR(__xludf.DUMMYFUNCTION("""COMPUTED_VALUE"""),3610000.0)</f>
        <v>3610000</v>
      </c>
      <c r="P60" s="1518"/>
      <c r="Q60" s="1519"/>
      <c r="R60" s="1518"/>
      <c r="S60" s="1519"/>
      <c r="T60" s="1518"/>
      <c r="U60" s="1519"/>
      <c r="V60" s="1518"/>
      <c r="W60" s="1519"/>
      <c r="X60" s="1518"/>
      <c r="Y60" s="1519"/>
      <c r="Z60" s="1518"/>
      <c r="AA60" s="1519"/>
      <c r="AB60" s="1518"/>
      <c r="AC60" s="1519"/>
      <c r="AD60" s="1466">
        <f>IFERROR(__xludf.DUMMYFUNCTION("""COMPUTED_VALUE"""),62.636805555555554)</f>
        <v>62.63680556</v>
      </c>
      <c r="AE60" s="1474">
        <f>IFERROR(__xludf.DUMMYFUNCTION("""COMPUTED_VALUE"""),3.124432031E15)</f>
        <v>3.12443E+15</v>
      </c>
      <c r="AF60" s="1466">
        <f>IFERROR(__xludf.DUMMYFUNCTION("""COMPUTED_VALUE"""),62.636805555555554)</f>
        <v>62.63680556</v>
      </c>
      <c r="AG60" s="1474">
        <f>IFERROR(__xludf.DUMMYFUNCTION("""COMPUTED_VALUE"""),3.124432031E15)</f>
        <v>3.12443E+15</v>
      </c>
      <c r="AH60" s="1466">
        <f>IFERROR(__xludf.DUMMYFUNCTION("""COMPUTED_VALUE"""),62.636805555555554)</f>
        <v>62.63680556</v>
      </c>
      <c r="AI60" s="1474">
        <f>IFERROR(__xludf.DUMMYFUNCTION("""COMPUTED_VALUE"""),3.124432031E15)</f>
        <v>3.12443E+15</v>
      </c>
      <c r="AJ60" s="1475">
        <f>IFERROR(__xludf.DUMMYFUNCTION("""COMPUTED_VALUE"""),13.461805555555555)</f>
        <v>13.46180556</v>
      </c>
      <c r="AK60" s="1476">
        <f>IFERROR(__xludf.DUMMYFUNCTION("""COMPUTED_VALUE"""),945160.0)</f>
        <v>945160</v>
      </c>
      <c r="AL60" s="1475">
        <f>IFERROR(__xludf.DUMMYFUNCTION("""COMPUTED_VALUE"""),13.461805555555555)</f>
        <v>13.46180556</v>
      </c>
      <c r="AM60" s="1476">
        <f>IFERROR(__xludf.DUMMYFUNCTION("""COMPUTED_VALUE"""),945160.0)</f>
        <v>945160</v>
      </c>
      <c r="AN60" s="1475">
        <f>IFERROR(__xludf.DUMMYFUNCTION("""COMPUTED_VALUE"""),13.461805555555555)</f>
        <v>13.46180556</v>
      </c>
      <c r="AO60" s="1476">
        <f>IFERROR(__xludf.DUMMYFUNCTION("""COMPUTED_VALUE"""),945160.0)</f>
        <v>945160</v>
      </c>
      <c r="AP60" s="1475">
        <f>IFERROR(__xludf.DUMMYFUNCTION("""COMPUTED_VALUE"""),13.461805555555555)</f>
        <v>13.46180556</v>
      </c>
      <c r="AQ60" s="1476">
        <f>IFERROR(__xludf.DUMMYFUNCTION("""COMPUTED_VALUE"""),945160.0)</f>
        <v>945160</v>
      </c>
      <c r="AR60" s="1475">
        <f>IFERROR(__xludf.DUMMYFUNCTION("""COMPUTED_VALUE"""),13.461805555555555)</f>
        <v>13.46180556</v>
      </c>
      <c r="AS60" s="1476">
        <f>IFERROR(__xludf.DUMMYFUNCTION("""COMPUTED_VALUE"""),945160.0)</f>
        <v>945160</v>
      </c>
      <c r="AT60" s="1520"/>
      <c r="AU60" s="1519"/>
      <c r="AV60" s="1520"/>
      <c r="AW60" s="1519"/>
      <c r="AX60" s="1518"/>
      <c r="AY60" s="1568"/>
      <c r="AZ60" s="1518"/>
      <c r="BA60" s="1518"/>
      <c r="BB60" s="1477">
        <f>IFERROR(__xludf.DUMMYFUNCTION("""COMPUTED_VALUE"""),13.461805555555555)</f>
        <v>13.46180556</v>
      </c>
      <c r="BC60" s="1478">
        <f>IFERROR(__xludf.DUMMYFUNCTION("""COMPUTED_VALUE"""),945160.0)</f>
        <v>945160</v>
      </c>
      <c r="BD60" s="1477">
        <f>IFERROR(__xludf.DUMMYFUNCTION("""COMPUTED_VALUE"""),13.461805555555555)</f>
        <v>13.46180556</v>
      </c>
      <c r="BE60" s="1478">
        <f>IFERROR(__xludf.DUMMYFUNCTION("""COMPUTED_VALUE"""),945160.0)</f>
        <v>945160</v>
      </c>
      <c r="BF60" s="1477">
        <f>IFERROR(__xludf.DUMMYFUNCTION("""COMPUTED_VALUE"""),13.461805555555555)</f>
        <v>13.46180556</v>
      </c>
      <c r="BG60" s="1478">
        <f>IFERROR(__xludf.DUMMYFUNCTION("""COMPUTED_VALUE"""),945160.0)</f>
        <v>945160</v>
      </c>
      <c r="BH60" s="1518"/>
      <c r="BI60" s="1519"/>
      <c r="BJ60" s="1518"/>
      <c r="BK60" s="1519"/>
      <c r="BL60" s="1518"/>
      <c r="BM60" s="1519"/>
      <c r="BN60" s="1518"/>
      <c r="BO60" s="1519"/>
      <c r="BP60" s="1518"/>
      <c r="BQ60" s="1519"/>
      <c r="BR60" s="1520"/>
      <c r="BS60" s="1519"/>
      <c r="BT60" s="1520"/>
      <c r="BU60" s="1520"/>
      <c r="BV60" s="1520"/>
      <c r="BW60" s="1520"/>
      <c r="BX60" s="1520"/>
      <c r="BY60" s="1520"/>
      <c r="BZ60" s="1520"/>
      <c r="CA60" s="1520"/>
      <c r="CB60" s="1520"/>
      <c r="CC60" s="1519"/>
      <c r="CD60" s="1477">
        <f>IFERROR(__xludf.DUMMYFUNCTION("""COMPUTED_VALUE"""),52.86377314814815)</f>
        <v>52.86377315</v>
      </c>
      <c r="CE60" s="1481">
        <f>IFERROR(__xludf.DUMMYFUNCTION("""COMPUTED_VALUE"""),9.56E12)</f>
        <v>9560000000000</v>
      </c>
      <c r="CF60" s="1527"/>
      <c r="CG60" s="1560"/>
      <c r="CH60" s="1482">
        <f>IFERROR(__xludf.DUMMYFUNCTION("""COMPUTED_VALUE"""),13.461805555555555)</f>
        <v>13.46180556</v>
      </c>
      <c r="CI60" s="1483">
        <f>IFERROR(__xludf.DUMMYFUNCTION("""COMPUTED_VALUE"""),945160.0)</f>
        <v>945160</v>
      </c>
      <c r="CJ60" s="1482">
        <f>IFERROR(__xludf.DUMMYFUNCTION("""COMPUTED_VALUE"""),13.461805555555555)</f>
        <v>13.46180556</v>
      </c>
      <c r="CK60" s="1483">
        <f>IFERROR(__xludf.DUMMYFUNCTION("""COMPUTED_VALUE"""),945160.0)</f>
        <v>945160</v>
      </c>
      <c r="CL60" s="1482">
        <f>IFERROR(__xludf.DUMMYFUNCTION("""COMPUTED_VALUE"""),13.461805555555555)</f>
        <v>13.46180556</v>
      </c>
      <c r="CM60" s="1483">
        <f>IFERROR(__xludf.DUMMYFUNCTION("""COMPUTED_VALUE"""),945160.0)</f>
        <v>945160</v>
      </c>
      <c r="CN60" s="1482">
        <f>IFERROR(__xludf.DUMMYFUNCTION("""COMPUTED_VALUE"""),13.461805555555555)</f>
        <v>13.46180556</v>
      </c>
      <c r="CO60" s="1483">
        <f>IFERROR(__xludf.DUMMYFUNCTION("""COMPUTED_VALUE"""),945160.0)</f>
        <v>945160</v>
      </c>
      <c r="CP60" s="1482">
        <f>IFERROR(__xludf.DUMMYFUNCTION("""COMPUTED_VALUE"""),30.105555555555554)</f>
        <v>30.10555556</v>
      </c>
      <c r="CQ60" s="1483">
        <f>IFERROR(__xludf.DUMMYFUNCTION("""COMPUTED_VALUE"""),3610000.0)</f>
        <v>3610000</v>
      </c>
      <c r="CR60" s="1518"/>
      <c r="CS60" s="1519"/>
      <c r="CT60" s="1520"/>
      <c r="CU60" s="1519"/>
      <c r="CV60" s="1520"/>
      <c r="CW60" s="1519"/>
      <c r="CX60" s="1520"/>
      <c r="CY60" s="1519"/>
      <c r="CZ60" s="1520"/>
      <c r="DA60" s="1520"/>
      <c r="DB60" s="1520"/>
      <c r="DC60" s="1520"/>
      <c r="DD60" s="1520"/>
      <c r="DE60" s="1519"/>
      <c r="DF60" s="1518"/>
      <c r="DG60" s="1519"/>
      <c r="DH60" s="1518"/>
      <c r="DI60" s="1519"/>
      <c r="DJ60" s="1518"/>
      <c r="DK60" s="1519"/>
      <c r="DL60" s="1518"/>
      <c r="DM60" s="1519"/>
      <c r="DN60" s="1518"/>
      <c r="DO60" s="1519"/>
      <c r="DP60" s="1518"/>
      <c r="DQ60" s="1519"/>
      <c r="DR60" s="1518"/>
      <c r="DS60" s="1519"/>
      <c r="DT60" s="1518"/>
      <c r="DU60" s="1519"/>
      <c r="DV60" s="1520"/>
      <c r="DW60" s="1519"/>
      <c r="DX60" s="1518"/>
      <c r="DY60" s="1519"/>
      <c r="DZ60" s="1518"/>
      <c r="EA60" s="1519"/>
      <c r="EB60" s="1518"/>
      <c r="EC60" s="1519"/>
      <c r="ED60" s="1518"/>
      <c r="EE60" s="1519"/>
      <c r="EF60" s="1518"/>
      <c r="EG60" s="1519"/>
      <c r="EH60" s="1518"/>
      <c r="EI60" s="1519"/>
      <c r="EJ60" s="1562"/>
      <c r="EK60" s="1560"/>
      <c r="EL60" s="1562"/>
      <c r="EM60" s="1560"/>
      <c r="EN60" s="1518"/>
      <c r="EO60" s="1519"/>
      <c r="EP60" s="1518"/>
      <c r="EQ60" s="1519"/>
      <c r="ER60" s="1518"/>
      <c r="ES60" s="1519"/>
      <c r="ET60" s="1518"/>
      <c r="EU60" s="1519"/>
      <c r="EV60" s="1518"/>
      <c r="EW60" s="1519"/>
      <c r="EX60" s="1518"/>
      <c r="EY60" s="1519"/>
      <c r="EZ60" s="1518"/>
      <c r="FA60" s="1519"/>
      <c r="FB60" s="1520"/>
      <c r="FC60" s="1519"/>
      <c r="FD60" s="1520"/>
      <c r="FE60" s="1519"/>
      <c r="FF60" s="1520"/>
      <c r="FG60" s="1519"/>
      <c r="FH60" s="1520"/>
      <c r="FI60" s="1520"/>
      <c r="FJ60" s="1520"/>
      <c r="FK60" s="1519"/>
      <c r="FL60" s="1518"/>
      <c r="FM60" s="1519"/>
      <c r="FN60" s="1532"/>
      <c r="FO60" s="1520"/>
      <c r="FP60" s="1532"/>
      <c r="FQ60" s="1520"/>
      <c r="FR60" s="1532"/>
      <c r="FS60" s="1520"/>
      <c r="FT60" s="1532"/>
      <c r="FU60" s="1519"/>
      <c r="FV60" s="1532"/>
      <c r="FW60" s="1519"/>
      <c r="FX60" s="1572"/>
      <c r="FY60" s="1560"/>
      <c r="FZ60" s="1572"/>
      <c r="GA60" s="1560"/>
      <c r="GB60" s="1572"/>
      <c r="GC60" s="1560"/>
      <c r="GD60" s="1527"/>
      <c r="GE60" s="1560"/>
      <c r="GF60" s="1518"/>
      <c r="GG60" s="1519"/>
      <c r="GH60" s="1518"/>
      <c r="GI60" s="1519"/>
      <c r="GJ60" s="1518"/>
      <c r="GK60" s="1519"/>
      <c r="GL60" s="1518"/>
      <c r="GM60" s="1519"/>
      <c r="GN60" s="1520"/>
      <c r="GO60" s="1519"/>
      <c r="GP60" s="1520"/>
      <c r="GQ60" s="1519"/>
      <c r="GR60" s="1518"/>
      <c r="GS60" s="1519"/>
      <c r="GT60" s="1518"/>
      <c r="GU60" s="1519"/>
      <c r="GV60" s="1520"/>
      <c r="GW60" s="1519"/>
      <c r="GX60" s="1561"/>
      <c r="GY60" s="1527"/>
      <c r="GZ60" s="1518"/>
      <c r="HA60" s="1519"/>
      <c r="HB60" s="1501">
        <f>IFERROR(__xludf.DUMMYFUNCTION("""COMPUTED_VALUE"""),1140.767361111111)</f>
        <v>1140.767361</v>
      </c>
      <c r="HC60" s="1502">
        <f>IFERROR(__xludf.DUMMYFUNCTION("""COMPUTED_VALUE"""),1.203E13)</f>
        <v>12030000000000</v>
      </c>
      <c r="HD60" s="1518"/>
      <c r="HE60" s="1519"/>
      <c r="HF60" s="1518"/>
      <c r="HG60" s="1519"/>
      <c r="HH60" s="1518"/>
      <c r="HI60" s="1519"/>
      <c r="HJ60" s="1518"/>
      <c r="HK60" s="1519"/>
      <c r="HL60" s="1518"/>
      <c r="HM60" s="1519"/>
      <c r="HN60" s="1520"/>
      <c r="HO60" s="1519"/>
      <c r="HP60" s="1518"/>
      <c r="HQ60" s="1519"/>
      <c r="HR60" s="1518"/>
      <c r="HS60" s="1519"/>
      <c r="HT60" s="1518"/>
      <c r="HU60" s="1519"/>
      <c r="HV60" s="1518"/>
      <c r="HW60" s="1519"/>
      <c r="HX60" s="1518"/>
      <c r="HY60" s="1519"/>
      <c r="HZ60" s="1518"/>
      <c r="IA60" s="1519"/>
      <c r="IB60" s="1518"/>
      <c r="IC60" s="1519"/>
      <c r="ID60" s="1518"/>
      <c r="IE60" s="1519"/>
      <c r="IF60" s="1518"/>
      <c r="IG60" s="1519"/>
      <c r="IH60" s="1518"/>
      <c r="II60" s="1519"/>
      <c r="IJ60" s="1518"/>
      <c r="IK60" s="1519"/>
      <c r="IL60" s="1518"/>
      <c r="IM60" s="1519"/>
      <c r="IN60" s="1518"/>
      <c r="IO60" s="1519"/>
      <c r="IP60" s="1518"/>
      <c r="IQ60" s="1519"/>
      <c r="IR60" s="1518"/>
      <c r="IS60" s="1519"/>
      <c r="IT60" s="1518"/>
      <c r="IU60" s="1519"/>
      <c r="IV60" s="1518"/>
      <c r="IW60" s="1519"/>
      <c r="IX60" s="1518"/>
      <c r="IY60" s="1519"/>
      <c r="IZ60" s="1518"/>
      <c r="JA60" s="1519"/>
      <c r="JB60" s="1518"/>
      <c r="JC60" s="1519"/>
      <c r="JD60" s="1518"/>
      <c r="JE60" s="1519"/>
      <c r="JF60" s="1518"/>
      <c r="JG60" s="1519"/>
      <c r="JH60" s="1518"/>
      <c r="JI60" s="1519"/>
      <c r="JJ60" s="1562"/>
      <c r="JK60" s="1560"/>
      <c r="JL60" s="1562"/>
      <c r="JM60" s="1560"/>
      <c r="JN60" s="1562"/>
      <c r="JO60" s="1560"/>
      <c r="JP60" s="1562"/>
      <c r="JQ60" s="1560"/>
      <c r="JR60" s="1562"/>
      <c r="JS60" s="1560"/>
      <c r="JT60" s="1562"/>
      <c r="JU60" s="1560"/>
      <c r="JV60" s="1562"/>
      <c r="JW60" s="1560"/>
      <c r="JX60" s="1562"/>
      <c r="JY60" s="1527"/>
      <c r="JZ60" s="1566">
        <f>IFERROR(__xludf.DUMMYFUNCTION("""COMPUTED_VALUE"""),5.12494213)</f>
        <v>5.12494213</v>
      </c>
      <c r="KA60" s="1514">
        <f>IFERROR(__xludf.DUMMYFUNCTION("""COMPUTED_VALUE"""),1.1013E11)</f>
        <v>110130000000</v>
      </c>
      <c r="KB60" s="1562"/>
      <c r="KC60" s="1527"/>
      <c r="KD60" s="1562"/>
      <c r="KE60" s="1527"/>
      <c r="KF60" s="1527"/>
      <c r="KG60" s="1527"/>
      <c r="KH60" s="1527"/>
      <c r="KI60" s="1527"/>
      <c r="KJ60" s="1527"/>
      <c r="KK60" s="1527"/>
      <c r="KL60" s="1527"/>
      <c r="KM60" s="1527"/>
      <c r="KN60" s="1527"/>
      <c r="KO60" s="1527"/>
      <c r="KP60" s="1527"/>
      <c r="KQ60" s="1527"/>
      <c r="KR60" s="1527"/>
      <c r="KS60" s="1527"/>
      <c r="KT60" s="1527"/>
      <c r="KU60" s="1527"/>
      <c r="KV60" s="1527"/>
      <c r="KW60" s="1527"/>
      <c r="KX60" s="1527"/>
      <c r="KY60" s="1527"/>
      <c r="KZ60" s="1527"/>
      <c r="LA60" s="1527"/>
      <c r="LB60" s="1527"/>
      <c r="LC60" s="1527"/>
      <c r="LD60" s="1527"/>
      <c r="LE60" s="1527"/>
      <c r="LF60" s="1527"/>
      <c r="LG60" s="1527"/>
      <c r="LH60" s="1527"/>
      <c r="LI60" s="1527"/>
      <c r="LJ60" s="1527"/>
      <c r="LK60" s="1527"/>
      <c r="LL60" s="1527"/>
      <c r="LM60" s="1527"/>
      <c r="LN60" s="1527"/>
      <c r="LO60" s="1527"/>
      <c r="LP60" s="1527"/>
      <c r="LQ60" s="1527"/>
      <c r="LR60" s="1527"/>
      <c r="LS60" s="1527"/>
      <c r="LT60" s="1527"/>
      <c r="LU60" s="1527"/>
      <c r="LV60" s="1527"/>
      <c r="LW60" s="1527"/>
      <c r="LX60" s="1527"/>
      <c r="LY60" s="1527"/>
      <c r="LZ60" s="1527"/>
      <c r="MA60" s="1527"/>
      <c r="MB60" s="1527"/>
      <c r="MC60" s="1527"/>
      <c r="MD60" s="1527"/>
      <c r="ME60" s="1527"/>
      <c r="MF60" s="1527"/>
      <c r="MG60" s="1527"/>
      <c r="MH60" s="1527"/>
      <c r="MI60" s="1527"/>
      <c r="MJ60" s="1527"/>
      <c r="MK60" s="1527"/>
      <c r="ML60" s="1527"/>
      <c r="MM60" s="1527"/>
      <c r="MN60" s="1527"/>
      <c r="MO60" s="1527"/>
      <c r="MP60" s="1527"/>
      <c r="MQ60" s="1527"/>
      <c r="MR60" s="1527"/>
      <c r="MS60" s="1527"/>
      <c r="MT60" s="1527"/>
      <c r="MU60" s="1527"/>
      <c r="MV60" s="1527"/>
      <c r="MW60" s="1527"/>
      <c r="MX60" s="1527"/>
      <c r="MY60" s="1527"/>
    </row>
    <row r="61">
      <c r="A61" s="1465">
        <f>IFERROR(__xludf.DUMMYFUNCTION("""COMPUTED_VALUE"""),59.0)</f>
        <v>59</v>
      </c>
      <c r="B61" s="1518"/>
      <c r="C61" s="1520"/>
      <c r="D61" s="1466">
        <f>IFERROR(__xludf.DUMMYFUNCTION("""COMPUTED_VALUE"""),14.030555555555555)</f>
        <v>14.03055556</v>
      </c>
      <c r="E61" s="1467">
        <f>IFERROR(__xludf.DUMMYFUNCTION("""COMPUTED_VALUE"""),991410.0)</f>
        <v>991410</v>
      </c>
      <c r="F61" s="1466">
        <f>IFERROR(__xludf.DUMMYFUNCTION("""COMPUTED_VALUE"""),14.030555555555555)</f>
        <v>14.03055556</v>
      </c>
      <c r="G61" s="1467">
        <f>IFERROR(__xludf.DUMMYFUNCTION("""COMPUTED_VALUE"""),991410.0)</f>
        <v>991410</v>
      </c>
      <c r="H61" s="1466">
        <f>IFERROR(__xludf.DUMMYFUNCTION("""COMPUTED_VALUE"""),14.030555555555555)</f>
        <v>14.03055556</v>
      </c>
      <c r="I61" s="1467">
        <f>IFERROR(__xludf.DUMMYFUNCTION("""COMPUTED_VALUE"""),991410.0)</f>
        <v>991410</v>
      </c>
      <c r="J61" s="1466">
        <f>IFERROR(__xludf.DUMMYFUNCTION("""COMPUTED_VALUE"""),14.030555555555555)</f>
        <v>14.03055556</v>
      </c>
      <c r="K61" s="1467">
        <f>IFERROR(__xludf.DUMMYFUNCTION("""COMPUTED_VALUE"""),991410.0)</f>
        <v>991410</v>
      </c>
      <c r="L61" s="1466">
        <f>IFERROR(__xludf.DUMMYFUNCTION("""COMPUTED_VALUE"""),25.764583333333334)</f>
        <v>25.76458333</v>
      </c>
      <c r="M61" s="1469">
        <f>IFERROR(__xludf.DUMMYFUNCTION("""COMPUTED_VALUE"""),3150000.0)</f>
        <v>3150000</v>
      </c>
      <c r="N61" s="1470">
        <f>IFERROR(__xludf.DUMMYFUNCTION("""COMPUTED_VALUE"""),11.927777777777777)</f>
        <v>11.92777778</v>
      </c>
      <c r="O61" s="1467">
        <f>IFERROR(__xludf.DUMMYFUNCTION("""COMPUTED_VALUE"""),3810000.0)</f>
        <v>3810000</v>
      </c>
      <c r="P61" s="1518"/>
      <c r="Q61" s="1519"/>
      <c r="R61" s="1518"/>
      <c r="S61" s="1519"/>
      <c r="T61" s="1518"/>
      <c r="U61" s="1519"/>
      <c r="V61" s="1518"/>
      <c r="W61" s="1519"/>
      <c r="X61" s="1518"/>
      <c r="Y61" s="1519"/>
      <c r="Z61" s="1518"/>
      <c r="AA61" s="1519"/>
      <c r="AB61" s="1518"/>
      <c r="AC61" s="1519"/>
      <c r="AD61" s="1466">
        <f>IFERROR(__xludf.DUMMYFUNCTION("""COMPUTED_VALUE"""),63.71666666666667)</f>
        <v>63.71666667</v>
      </c>
      <c r="AE61" s="1474">
        <f>IFERROR(__xludf.DUMMYFUNCTION("""COMPUTED_VALUE"""),4.061761641E15)</f>
        <v>4.06176E+15</v>
      </c>
      <c r="AF61" s="1466">
        <f>IFERROR(__xludf.DUMMYFUNCTION("""COMPUTED_VALUE"""),63.71666666666667)</f>
        <v>63.71666667</v>
      </c>
      <c r="AG61" s="1474">
        <f>IFERROR(__xludf.DUMMYFUNCTION("""COMPUTED_VALUE"""),4.061761641E15)</f>
        <v>4.06176E+15</v>
      </c>
      <c r="AH61" s="1466">
        <f>IFERROR(__xludf.DUMMYFUNCTION("""COMPUTED_VALUE"""),63.71666666666667)</f>
        <v>63.71666667</v>
      </c>
      <c r="AI61" s="1474">
        <f>IFERROR(__xludf.DUMMYFUNCTION("""COMPUTED_VALUE"""),4.061761641E15)</f>
        <v>4.06176E+15</v>
      </c>
      <c r="AJ61" s="1475">
        <f>IFERROR(__xludf.DUMMYFUNCTION("""COMPUTED_VALUE"""),14.030555555555555)</f>
        <v>14.03055556</v>
      </c>
      <c r="AK61" s="1476">
        <f>IFERROR(__xludf.DUMMYFUNCTION("""COMPUTED_VALUE"""),991410.0)</f>
        <v>991410</v>
      </c>
      <c r="AL61" s="1475">
        <f>IFERROR(__xludf.DUMMYFUNCTION("""COMPUTED_VALUE"""),14.030555555555555)</f>
        <v>14.03055556</v>
      </c>
      <c r="AM61" s="1476">
        <f>IFERROR(__xludf.DUMMYFUNCTION("""COMPUTED_VALUE"""),991410.0)</f>
        <v>991410</v>
      </c>
      <c r="AN61" s="1475">
        <f>IFERROR(__xludf.DUMMYFUNCTION("""COMPUTED_VALUE"""),14.030555555555555)</f>
        <v>14.03055556</v>
      </c>
      <c r="AO61" s="1476">
        <f>IFERROR(__xludf.DUMMYFUNCTION("""COMPUTED_VALUE"""),991410.0)</f>
        <v>991410</v>
      </c>
      <c r="AP61" s="1475">
        <f>IFERROR(__xludf.DUMMYFUNCTION("""COMPUTED_VALUE"""),14.030555555555555)</f>
        <v>14.03055556</v>
      </c>
      <c r="AQ61" s="1476">
        <f>IFERROR(__xludf.DUMMYFUNCTION("""COMPUTED_VALUE"""),991410.0)</f>
        <v>991410</v>
      </c>
      <c r="AR61" s="1475">
        <f>IFERROR(__xludf.DUMMYFUNCTION("""COMPUTED_VALUE"""),14.03125)</f>
        <v>14.03125</v>
      </c>
      <c r="AS61" s="1476">
        <f>IFERROR(__xludf.DUMMYFUNCTION("""COMPUTED_VALUE"""),991420.0)</f>
        <v>991420</v>
      </c>
      <c r="AT61" s="1520"/>
      <c r="AU61" s="1519"/>
      <c r="AV61" s="1520"/>
      <c r="AW61" s="1519"/>
      <c r="AX61" s="1518"/>
      <c r="AY61" s="1568"/>
      <c r="AZ61" s="1518"/>
      <c r="BA61" s="1518"/>
      <c r="BB61" s="1477">
        <f>IFERROR(__xludf.DUMMYFUNCTION("""COMPUTED_VALUE"""),14.030555555555555)</f>
        <v>14.03055556</v>
      </c>
      <c r="BC61" s="1478">
        <f>IFERROR(__xludf.DUMMYFUNCTION("""COMPUTED_VALUE"""),991410.0)</f>
        <v>991410</v>
      </c>
      <c r="BD61" s="1477">
        <f>IFERROR(__xludf.DUMMYFUNCTION("""COMPUTED_VALUE"""),14.030555555555555)</f>
        <v>14.03055556</v>
      </c>
      <c r="BE61" s="1478">
        <f>IFERROR(__xludf.DUMMYFUNCTION("""COMPUTED_VALUE"""),991410.0)</f>
        <v>991410</v>
      </c>
      <c r="BF61" s="1477">
        <f>IFERROR(__xludf.DUMMYFUNCTION("""COMPUTED_VALUE"""),14.030555555555555)</f>
        <v>14.03055556</v>
      </c>
      <c r="BG61" s="1478">
        <f>IFERROR(__xludf.DUMMYFUNCTION("""COMPUTED_VALUE"""),991410.0)</f>
        <v>991410</v>
      </c>
      <c r="BH61" s="1518"/>
      <c r="BI61" s="1519"/>
      <c r="BJ61" s="1518"/>
      <c r="BK61" s="1519"/>
      <c r="BL61" s="1518"/>
      <c r="BM61" s="1519"/>
      <c r="BN61" s="1518"/>
      <c r="BO61" s="1519"/>
      <c r="BP61" s="1518"/>
      <c r="BQ61" s="1519"/>
      <c r="BR61" s="1520"/>
      <c r="BS61" s="1519"/>
      <c r="BT61" s="1520"/>
      <c r="BU61" s="1520"/>
      <c r="BV61" s="1520"/>
      <c r="BW61" s="1520"/>
      <c r="BX61" s="1520"/>
      <c r="BY61" s="1520"/>
      <c r="BZ61" s="1520"/>
      <c r="CA61" s="1520"/>
      <c r="CB61" s="1520"/>
      <c r="CC61" s="1519"/>
      <c r="CD61" s="1477">
        <f>IFERROR(__xludf.DUMMYFUNCTION("""COMPUTED_VALUE"""),55.11275462962963)</f>
        <v>55.11275463</v>
      </c>
      <c r="CE61" s="1481">
        <f>IFERROR(__xludf.DUMMYFUNCTION("""COMPUTED_VALUE"""),1.006E13)</f>
        <v>10060000000000</v>
      </c>
      <c r="CF61" s="1527"/>
      <c r="CG61" s="1560"/>
      <c r="CH61" s="1482">
        <f>IFERROR(__xludf.DUMMYFUNCTION("""COMPUTED_VALUE"""),14.03125)</f>
        <v>14.03125</v>
      </c>
      <c r="CI61" s="1483">
        <f>IFERROR(__xludf.DUMMYFUNCTION("""COMPUTED_VALUE"""),991420.0)</f>
        <v>991420</v>
      </c>
      <c r="CJ61" s="1482">
        <f>IFERROR(__xludf.DUMMYFUNCTION("""COMPUTED_VALUE"""),14.03125)</f>
        <v>14.03125</v>
      </c>
      <c r="CK61" s="1483">
        <f>IFERROR(__xludf.DUMMYFUNCTION("""COMPUTED_VALUE"""),991420.0)</f>
        <v>991420</v>
      </c>
      <c r="CL61" s="1482">
        <f>IFERROR(__xludf.DUMMYFUNCTION("""COMPUTED_VALUE"""),14.03125)</f>
        <v>14.03125</v>
      </c>
      <c r="CM61" s="1483">
        <f>IFERROR(__xludf.DUMMYFUNCTION("""COMPUTED_VALUE"""),991420.0)</f>
        <v>991420</v>
      </c>
      <c r="CN61" s="1482">
        <f>IFERROR(__xludf.DUMMYFUNCTION("""COMPUTED_VALUE"""),14.03125)</f>
        <v>14.03125</v>
      </c>
      <c r="CO61" s="1483">
        <f>IFERROR(__xludf.DUMMYFUNCTION("""COMPUTED_VALUE"""),991420.0)</f>
        <v>991420</v>
      </c>
      <c r="CP61" s="1482">
        <f>IFERROR(__xludf.DUMMYFUNCTION("""COMPUTED_VALUE"""),31.488194444444442)</f>
        <v>31.48819444</v>
      </c>
      <c r="CQ61" s="1483">
        <f>IFERROR(__xludf.DUMMYFUNCTION("""COMPUTED_VALUE"""),3810000.0)</f>
        <v>3810000</v>
      </c>
      <c r="CR61" s="1518"/>
      <c r="CS61" s="1519"/>
      <c r="CT61" s="1520"/>
      <c r="CU61" s="1519"/>
      <c r="CV61" s="1520"/>
      <c r="CW61" s="1519"/>
      <c r="CX61" s="1520"/>
      <c r="CY61" s="1519"/>
      <c r="CZ61" s="1520"/>
      <c r="DA61" s="1520"/>
      <c r="DB61" s="1520"/>
      <c r="DC61" s="1520"/>
      <c r="DD61" s="1520"/>
      <c r="DE61" s="1519"/>
      <c r="DF61" s="1518"/>
      <c r="DG61" s="1519"/>
      <c r="DH61" s="1518"/>
      <c r="DI61" s="1519"/>
      <c r="DJ61" s="1518"/>
      <c r="DK61" s="1519"/>
      <c r="DL61" s="1518"/>
      <c r="DM61" s="1519"/>
      <c r="DN61" s="1518"/>
      <c r="DO61" s="1519"/>
      <c r="DP61" s="1518"/>
      <c r="DQ61" s="1519"/>
      <c r="DR61" s="1518"/>
      <c r="DS61" s="1519"/>
      <c r="DT61" s="1518"/>
      <c r="DU61" s="1519"/>
      <c r="DV61" s="1520"/>
      <c r="DW61" s="1519"/>
      <c r="DX61" s="1518"/>
      <c r="DY61" s="1519"/>
      <c r="DZ61" s="1518"/>
      <c r="EA61" s="1519"/>
      <c r="EB61" s="1518"/>
      <c r="EC61" s="1519"/>
      <c r="ED61" s="1518"/>
      <c r="EE61" s="1519"/>
      <c r="EF61" s="1518"/>
      <c r="EG61" s="1519"/>
      <c r="EH61" s="1518"/>
      <c r="EI61" s="1519"/>
      <c r="EJ61" s="1562"/>
      <c r="EK61" s="1560"/>
      <c r="EL61" s="1562"/>
      <c r="EM61" s="1560"/>
      <c r="EN61" s="1518"/>
      <c r="EO61" s="1519"/>
      <c r="EP61" s="1518"/>
      <c r="EQ61" s="1519"/>
      <c r="ER61" s="1518"/>
      <c r="ES61" s="1519"/>
      <c r="ET61" s="1518"/>
      <c r="EU61" s="1519"/>
      <c r="EV61" s="1518"/>
      <c r="EW61" s="1519"/>
      <c r="EX61" s="1518"/>
      <c r="EY61" s="1519"/>
      <c r="EZ61" s="1518"/>
      <c r="FA61" s="1519"/>
      <c r="FB61" s="1520"/>
      <c r="FC61" s="1519"/>
      <c r="FD61" s="1520"/>
      <c r="FE61" s="1519"/>
      <c r="FF61" s="1520"/>
      <c r="FG61" s="1519"/>
      <c r="FH61" s="1520"/>
      <c r="FI61" s="1520"/>
      <c r="FJ61" s="1520"/>
      <c r="FK61" s="1519"/>
      <c r="FL61" s="1518"/>
      <c r="FM61" s="1519"/>
      <c r="FN61" s="1532"/>
      <c r="FO61" s="1520"/>
      <c r="FP61" s="1532"/>
      <c r="FQ61" s="1520"/>
      <c r="FR61" s="1532"/>
      <c r="FS61" s="1520"/>
      <c r="FT61" s="1532"/>
      <c r="FU61" s="1519"/>
      <c r="FV61" s="1532"/>
      <c r="FW61" s="1519"/>
      <c r="FX61" s="1572"/>
      <c r="FY61" s="1560"/>
      <c r="FZ61" s="1572"/>
      <c r="GA61" s="1560"/>
      <c r="GB61" s="1572"/>
      <c r="GC61" s="1560"/>
      <c r="GD61" s="1527"/>
      <c r="GE61" s="1560"/>
      <c r="GF61" s="1518"/>
      <c r="GG61" s="1519"/>
      <c r="GH61" s="1518"/>
      <c r="GI61" s="1519"/>
      <c r="GJ61" s="1518"/>
      <c r="GK61" s="1519"/>
      <c r="GL61" s="1518"/>
      <c r="GM61" s="1519"/>
      <c r="GN61" s="1520"/>
      <c r="GO61" s="1519"/>
      <c r="GP61" s="1520"/>
      <c r="GQ61" s="1519"/>
      <c r="GR61" s="1518"/>
      <c r="GS61" s="1519"/>
      <c r="GT61" s="1518"/>
      <c r="GU61" s="1519"/>
      <c r="GV61" s="1520"/>
      <c r="GW61" s="1519"/>
      <c r="GX61" s="1561"/>
      <c r="GY61" s="1527"/>
      <c r="GZ61" s="1518"/>
      <c r="HA61" s="1519"/>
      <c r="HB61" s="1501">
        <f>IFERROR(__xludf.DUMMYFUNCTION("""COMPUTED_VALUE"""),1212.0020833333333)</f>
        <v>1212.002083</v>
      </c>
      <c r="HC61" s="1502">
        <f>IFERROR(__xludf.DUMMYFUNCTION("""COMPUTED_VALUE"""),1.313E13)</f>
        <v>13130000000000</v>
      </c>
      <c r="HD61" s="1518"/>
      <c r="HE61" s="1519"/>
      <c r="HF61" s="1518"/>
      <c r="HG61" s="1519"/>
      <c r="HH61" s="1518"/>
      <c r="HI61" s="1519"/>
      <c r="HJ61" s="1518"/>
      <c r="HK61" s="1519"/>
      <c r="HL61" s="1518"/>
      <c r="HM61" s="1519"/>
      <c r="HN61" s="1520"/>
      <c r="HO61" s="1519"/>
      <c r="HP61" s="1518"/>
      <c r="HQ61" s="1519"/>
      <c r="HR61" s="1518"/>
      <c r="HS61" s="1519"/>
      <c r="HT61" s="1518"/>
      <c r="HU61" s="1519"/>
      <c r="HV61" s="1518"/>
      <c r="HW61" s="1519"/>
      <c r="HX61" s="1518"/>
      <c r="HY61" s="1519"/>
      <c r="HZ61" s="1518"/>
      <c r="IA61" s="1519"/>
      <c r="IB61" s="1518"/>
      <c r="IC61" s="1519"/>
      <c r="ID61" s="1518"/>
      <c r="IE61" s="1519"/>
      <c r="IF61" s="1518"/>
      <c r="IG61" s="1519"/>
      <c r="IH61" s="1518"/>
      <c r="II61" s="1519"/>
      <c r="IJ61" s="1518"/>
      <c r="IK61" s="1519"/>
      <c r="IL61" s="1518"/>
      <c r="IM61" s="1519"/>
      <c r="IN61" s="1518"/>
      <c r="IO61" s="1519"/>
      <c r="IP61" s="1518"/>
      <c r="IQ61" s="1519"/>
      <c r="IR61" s="1518"/>
      <c r="IS61" s="1519"/>
      <c r="IT61" s="1518"/>
      <c r="IU61" s="1519"/>
      <c r="IV61" s="1518"/>
      <c r="IW61" s="1519"/>
      <c r="IX61" s="1518"/>
      <c r="IY61" s="1519"/>
      <c r="IZ61" s="1518"/>
      <c r="JA61" s="1519"/>
      <c r="JB61" s="1518"/>
      <c r="JC61" s="1519"/>
      <c r="JD61" s="1518"/>
      <c r="JE61" s="1519"/>
      <c r="JF61" s="1518"/>
      <c r="JG61" s="1519"/>
      <c r="JH61" s="1518"/>
      <c r="JI61" s="1519"/>
      <c r="JJ61" s="1562"/>
      <c r="JK61" s="1560"/>
      <c r="JL61" s="1562"/>
      <c r="JM61" s="1560"/>
      <c r="JN61" s="1562"/>
      <c r="JO61" s="1560"/>
      <c r="JP61" s="1562"/>
      <c r="JQ61" s="1560"/>
      <c r="JR61" s="1562"/>
      <c r="JS61" s="1560"/>
      <c r="JT61" s="1562"/>
      <c r="JU61" s="1560"/>
      <c r="JV61" s="1562"/>
      <c r="JW61" s="1560"/>
      <c r="JX61" s="1562"/>
      <c r="JY61" s="1527"/>
      <c r="JZ61" s="1566">
        <f>IFERROR(__xludf.DUMMYFUNCTION("""COMPUTED_VALUE"""),5.21869213)</f>
        <v>5.21869213</v>
      </c>
      <c r="KA61" s="1514">
        <f>IFERROR(__xludf.DUMMYFUNCTION("""COMPUTED_VALUE"""),1.1542E11)</f>
        <v>115420000000</v>
      </c>
      <c r="KB61" s="1562"/>
      <c r="KC61" s="1527"/>
      <c r="KD61" s="1562"/>
      <c r="KE61" s="1527"/>
      <c r="KF61" s="1527"/>
      <c r="KG61" s="1527"/>
      <c r="KH61" s="1527"/>
      <c r="KI61" s="1527"/>
      <c r="KJ61" s="1527"/>
      <c r="KK61" s="1527"/>
      <c r="KL61" s="1527"/>
      <c r="KM61" s="1527"/>
      <c r="KN61" s="1527"/>
      <c r="KO61" s="1527"/>
      <c r="KP61" s="1527"/>
      <c r="KQ61" s="1527"/>
      <c r="KR61" s="1527"/>
      <c r="KS61" s="1527"/>
      <c r="KT61" s="1527"/>
      <c r="KU61" s="1527"/>
      <c r="KV61" s="1527"/>
      <c r="KW61" s="1527"/>
      <c r="KX61" s="1527"/>
      <c r="KY61" s="1527"/>
      <c r="KZ61" s="1527"/>
      <c r="LA61" s="1527"/>
      <c r="LB61" s="1527"/>
      <c r="LC61" s="1527"/>
      <c r="LD61" s="1527"/>
      <c r="LE61" s="1527"/>
      <c r="LF61" s="1527"/>
      <c r="LG61" s="1527"/>
      <c r="LH61" s="1527"/>
      <c r="LI61" s="1527"/>
      <c r="LJ61" s="1527"/>
      <c r="LK61" s="1527"/>
      <c r="LL61" s="1527"/>
      <c r="LM61" s="1527"/>
      <c r="LN61" s="1527"/>
      <c r="LO61" s="1527"/>
      <c r="LP61" s="1527"/>
      <c r="LQ61" s="1527"/>
      <c r="LR61" s="1527"/>
      <c r="LS61" s="1527"/>
      <c r="LT61" s="1527"/>
      <c r="LU61" s="1527"/>
      <c r="LV61" s="1527"/>
      <c r="LW61" s="1527"/>
      <c r="LX61" s="1527"/>
      <c r="LY61" s="1527"/>
      <c r="LZ61" s="1527"/>
      <c r="MA61" s="1527"/>
      <c r="MB61" s="1527"/>
      <c r="MC61" s="1527"/>
      <c r="MD61" s="1527"/>
      <c r="ME61" s="1527"/>
      <c r="MF61" s="1527"/>
      <c r="MG61" s="1527"/>
      <c r="MH61" s="1527"/>
      <c r="MI61" s="1527"/>
      <c r="MJ61" s="1527"/>
      <c r="MK61" s="1527"/>
      <c r="ML61" s="1527"/>
      <c r="MM61" s="1527"/>
      <c r="MN61" s="1527"/>
      <c r="MO61" s="1527"/>
      <c r="MP61" s="1527"/>
      <c r="MQ61" s="1527"/>
      <c r="MR61" s="1527"/>
      <c r="MS61" s="1527"/>
      <c r="MT61" s="1527"/>
      <c r="MU61" s="1527"/>
      <c r="MV61" s="1527"/>
      <c r="MW61" s="1527"/>
      <c r="MX61" s="1527"/>
      <c r="MY61" s="1527"/>
    </row>
    <row r="62">
      <c r="A62" s="1465">
        <f>IFERROR(__xludf.DUMMYFUNCTION("""COMPUTED_VALUE"""),60.0)</f>
        <v>60</v>
      </c>
      <c r="B62" s="1533"/>
      <c r="C62" s="1541"/>
      <c r="D62" s="1471">
        <f>IFERROR(__xludf.DUMMYFUNCTION("""COMPUTED_VALUE"""),14.613194444444444)</f>
        <v>14.61319444</v>
      </c>
      <c r="E62" s="1472">
        <f>IFERROR(__xludf.DUMMYFUNCTION("""COMPUTED_VALUE"""),1040000.0)</f>
        <v>1040000</v>
      </c>
      <c r="F62" s="1471">
        <f>IFERROR(__xludf.DUMMYFUNCTION("""COMPUTED_VALUE"""),14.613194444444444)</f>
        <v>14.61319444</v>
      </c>
      <c r="G62" s="1472">
        <f>IFERROR(__xludf.DUMMYFUNCTION("""COMPUTED_VALUE"""),1040000.0)</f>
        <v>1040000</v>
      </c>
      <c r="H62" s="1471">
        <f>IFERROR(__xludf.DUMMYFUNCTION("""COMPUTED_VALUE"""),14.613194444444444)</f>
        <v>14.61319444</v>
      </c>
      <c r="I62" s="1472">
        <f>IFERROR(__xludf.DUMMYFUNCTION("""COMPUTED_VALUE"""),1040000.0)</f>
        <v>1040000</v>
      </c>
      <c r="J62" s="1471">
        <f>IFERROR(__xludf.DUMMYFUNCTION("""COMPUTED_VALUE"""),14.613194444444444)</f>
        <v>14.61319444</v>
      </c>
      <c r="K62" s="1472">
        <f>IFERROR(__xludf.DUMMYFUNCTION("""COMPUTED_VALUE"""),1040000.0)</f>
        <v>1040000</v>
      </c>
      <c r="L62" s="1471">
        <f>IFERROR(__xludf.DUMMYFUNCTION("""COMPUTED_VALUE"""),26.90277777777778)</f>
        <v>26.90277778</v>
      </c>
      <c r="M62" s="1536">
        <f>IFERROR(__xludf.DUMMYFUNCTION("""COMPUTED_VALUE"""),3310000.0)</f>
        <v>3310000</v>
      </c>
      <c r="N62" s="1537">
        <f>IFERROR(__xludf.DUMMYFUNCTION("""COMPUTED_VALUE"""),12.340972222222222)</f>
        <v>12.34097222</v>
      </c>
      <c r="O62" s="1472">
        <f>IFERROR(__xludf.DUMMYFUNCTION("""COMPUTED_VALUE"""),4020000.0)</f>
        <v>4020000</v>
      </c>
      <c r="P62" s="1533"/>
      <c r="Q62" s="1534"/>
      <c r="R62" s="1533"/>
      <c r="S62" s="1534"/>
      <c r="T62" s="1533"/>
      <c r="U62" s="1534"/>
      <c r="V62" s="1533"/>
      <c r="W62" s="1534"/>
      <c r="X62" s="1533"/>
      <c r="Y62" s="1534"/>
      <c r="Z62" s="1533"/>
      <c r="AA62" s="1534"/>
      <c r="AB62" s="1533"/>
      <c r="AC62" s="1534"/>
      <c r="AD62" s="1471">
        <f>IFERROR(__xludf.DUMMYFUNCTION("""COMPUTED_VALUE"""),64.79652777777778)</f>
        <v>64.79652778</v>
      </c>
      <c r="AE62" s="1538">
        <f>IFERROR(__xludf.DUMMYFUNCTION("""COMPUTED_VALUE"""),5.280290133E15)</f>
        <v>5.28029E+15</v>
      </c>
      <c r="AF62" s="1471">
        <f>IFERROR(__xludf.DUMMYFUNCTION("""COMPUTED_VALUE"""),64.79652777777778)</f>
        <v>64.79652778</v>
      </c>
      <c r="AG62" s="1538">
        <f>IFERROR(__xludf.DUMMYFUNCTION("""COMPUTED_VALUE"""),5.280290133E15)</f>
        <v>5.28029E+15</v>
      </c>
      <c r="AH62" s="1471">
        <f>IFERROR(__xludf.DUMMYFUNCTION("""COMPUTED_VALUE"""),64.79652777777778)</f>
        <v>64.79652778</v>
      </c>
      <c r="AI62" s="1538">
        <f>IFERROR(__xludf.DUMMYFUNCTION("""COMPUTED_VALUE"""),5.280290133E15)</f>
        <v>5.28029E+15</v>
      </c>
      <c r="AJ62" s="1539">
        <f>IFERROR(__xludf.DUMMYFUNCTION("""COMPUTED_VALUE"""),14.613194444444444)</f>
        <v>14.61319444</v>
      </c>
      <c r="AK62" s="1540">
        <f>IFERROR(__xludf.DUMMYFUNCTION("""COMPUTED_VALUE"""),1040000.0)</f>
        <v>1040000</v>
      </c>
      <c r="AL62" s="1539">
        <f>IFERROR(__xludf.DUMMYFUNCTION("""COMPUTED_VALUE"""),14.613194444444444)</f>
        <v>14.61319444</v>
      </c>
      <c r="AM62" s="1540">
        <f>IFERROR(__xludf.DUMMYFUNCTION("""COMPUTED_VALUE"""),1040000.0)</f>
        <v>1040000</v>
      </c>
      <c r="AN62" s="1539">
        <f>IFERROR(__xludf.DUMMYFUNCTION("""COMPUTED_VALUE"""),14.613194444444444)</f>
        <v>14.61319444</v>
      </c>
      <c r="AO62" s="1540">
        <f>IFERROR(__xludf.DUMMYFUNCTION("""COMPUTED_VALUE"""),1040000.0)</f>
        <v>1040000</v>
      </c>
      <c r="AP62" s="1539">
        <f>IFERROR(__xludf.DUMMYFUNCTION("""COMPUTED_VALUE"""),14.613194444444444)</f>
        <v>14.61319444</v>
      </c>
      <c r="AQ62" s="1540">
        <f>IFERROR(__xludf.DUMMYFUNCTION("""COMPUTED_VALUE"""),1040000.0)</f>
        <v>1040000</v>
      </c>
      <c r="AR62" s="1539">
        <f>IFERROR(__xludf.DUMMYFUNCTION("""COMPUTED_VALUE"""),14.613888888888889)</f>
        <v>14.61388889</v>
      </c>
      <c r="AS62" s="1540">
        <f>IFERROR(__xludf.DUMMYFUNCTION("""COMPUTED_VALUE"""),1040000.0)</f>
        <v>1040000</v>
      </c>
      <c r="AT62" s="1541"/>
      <c r="AU62" s="1534"/>
      <c r="AV62" s="1541"/>
      <c r="AW62" s="1534"/>
      <c r="AX62" s="1533"/>
      <c r="AY62" s="1569"/>
      <c r="AZ62" s="1533"/>
      <c r="BA62" s="1533"/>
      <c r="BB62" s="1479">
        <f>IFERROR(__xludf.DUMMYFUNCTION("""COMPUTED_VALUE"""),14.613194444444444)</f>
        <v>14.61319444</v>
      </c>
      <c r="BC62" s="1480">
        <f>IFERROR(__xludf.DUMMYFUNCTION("""COMPUTED_VALUE"""),1040000.0)</f>
        <v>1040000</v>
      </c>
      <c r="BD62" s="1479">
        <f>IFERROR(__xludf.DUMMYFUNCTION("""COMPUTED_VALUE"""),14.613194444444444)</f>
        <v>14.61319444</v>
      </c>
      <c r="BE62" s="1480">
        <f>IFERROR(__xludf.DUMMYFUNCTION("""COMPUTED_VALUE"""),1040000.0)</f>
        <v>1040000</v>
      </c>
      <c r="BF62" s="1479">
        <f>IFERROR(__xludf.DUMMYFUNCTION("""COMPUTED_VALUE"""),14.613194444444444)</f>
        <v>14.61319444</v>
      </c>
      <c r="BG62" s="1480">
        <f>IFERROR(__xludf.DUMMYFUNCTION("""COMPUTED_VALUE"""),1040000.0)</f>
        <v>1040000</v>
      </c>
      <c r="BH62" s="1533"/>
      <c r="BI62" s="1534"/>
      <c r="BJ62" s="1533"/>
      <c r="BK62" s="1534"/>
      <c r="BL62" s="1533"/>
      <c r="BM62" s="1534"/>
      <c r="BN62" s="1533"/>
      <c r="BO62" s="1534"/>
      <c r="BP62" s="1533"/>
      <c r="BQ62" s="1534"/>
      <c r="BR62" s="1541"/>
      <c r="BS62" s="1534"/>
      <c r="BT62" s="1541"/>
      <c r="BU62" s="1541"/>
      <c r="BV62" s="1541"/>
      <c r="BW62" s="1541"/>
      <c r="BX62" s="1541"/>
      <c r="BY62" s="1541"/>
      <c r="BZ62" s="1541"/>
      <c r="CA62" s="1541"/>
      <c r="CB62" s="1541"/>
      <c r="CC62" s="1534"/>
      <c r="CD62" s="1477">
        <f>IFERROR(__xludf.DUMMYFUNCTION("""COMPUTED_VALUE"""),57.42553240740741)</f>
        <v>57.42553241</v>
      </c>
      <c r="CE62" s="1481">
        <f>IFERROR(__xludf.DUMMYFUNCTION("""COMPUTED_VALUE"""),1.057E13)</f>
        <v>10570000000000</v>
      </c>
      <c r="CF62" s="1550"/>
      <c r="CG62" s="1564"/>
      <c r="CH62" s="1484">
        <f>IFERROR(__xludf.DUMMYFUNCTION("""COMPUTED_VALUE"""),14.613888888888889)</f>
        <v>14.61388889</v>
      </c>
      <c r="CI62" s="1485">
        <f>IFERROR(__xludf.DUMMYFUNCTION("""COMPUTED_VALUE"""),1040000.0)</f>
        <v>1040000</v>
      </c>
      <c r="CJ62" s="1484">
        <f>IFERROR(__xludf.DUMMYFUNCTION("""COMPUTED_VALUE"""),14.613888888888889)</f>
        <v>14.61388889</v>
      </c>
      <c r="CK62" s="1485">
        <f>IFERROR(__xludf.DUMMYFUNCTION("""COMPUTED_VALUE"""),1040000.0)</f>
        <v>1040000</v>
      </c>
      <c r="CL62" s="1484">
        <f>IFERROR(__xludf.DUMMYFUNCTION("""COMPUTED_VALUE"""),14.613888888888889)</f>
        <v>14.61388889</v>
      </c>
      <c r="CM62" s="1485">
        <f>IFERROR(__xludf.DUMMYFUNCTION("""COMPUTED_VALUE"""),1040000.0)</f>
        <v>1040000</v>
      </c>
      <c r="CN62" s="1484">
        <f>IFERROR(__xludf.DUMMYFUNCTION("""COMPUTED_VALUE"""),14.613888888888889)</f>
        <v>14.61388889</v>
      </c>
      <c r="CO62" s="1485">
        <f>IFERROR(__xludf.DUMMYFUNCTION("""COMPUTED_VALUE"""),1040000.0)</f>
        <v>1040000</v>
      </c>
      <c r="CP62" s="1484">
        <f>IFERROR(__xludf.DUMMYFUNCTION("""COMPUTED_VALUE"""),32.90972222222222)</f>
        <v>32.90972222</v>
      </c>
      <c r="CQ62" s="1485">
        <f>IFERROR(__xludf.DUMMYFUNCTION("""COMPUTED_VALUE"""),4020000.0)</f>
        <v>4020000</v>
      </c>
      <c r="CR62" s="1533"/>
      <c r="CS62" s="1534"/>
      <c r="CT62" s="1541"/>
      <c r="CU62" s="1534"/>
      <c r="CV62" s="1541"/>
      <c r="CW62" s="1534"/>
      <c r="CX62" s="1541"/>
      <c r="CY62" s="1534"/>
      <c r="CZ62" s="1541"/>
      <c r="DA62" s="1541"/>
      <c r="DB62" s="1541"/>
      <c r="DC62" s="1541"/>
      <c r="DD62" s="1541"/>
      <c r="DE62" s="1534"/>
      <c r="DF62" s="1533"/>
      <c r="DG62" s="1534"/>
      <c r="DH62" s="1533"/>
      <c r="DI62" s="1534"/>
      <c r="DJ62" s="1533"/>
      <c r="DK62" s="1534"/>
      <c r="DL62" s="1533"/>
      <c r="DM62" s="1534"/>
      <c r="DN62" s="1533"/>
      <c r="DO62" s="1534"/>
      <c r="DP62" s="1533"/>
      <c r="DQ62" s="1534"/>
      <c r="DR62" s="1533"/>
      <c r="DS62" s="1534"/>
      <c r="DT62" s="1533"/>
      <c r="DU62" s="1534"/>
      <c r="DV62" s="1541"/>
      <c r="DW62" s="1534"/>
      <c r="DX62" s="1533"/>
      <c r="DY62" s="1534"/>
      <c r="DZ62" s="1533"/>
      <c r="EA62" s="1534"/>
      <c r="EB62" s="1533"/>
      <c r="EC62" s="1534"/>
      <c r="ED62" s="1533"/>
      <c r="EE62" s="1534"/>
      <c r="EF62" s="1533"/>
      <c r="EG62" s="1534"/>
      <c r="EH62" s="1533"/>
      <c r="EI62" s="1534"/>
      <c r="EJ62" s="1565"/>
      <c r="EK62" s="1564"/>
      <c r="EL62" s="1565"/>
      <c r="EM62" s="1564"/>
      <c r="EN62" s="1533"/>
      <c r="EO62" s="1534"/>
      <c r="EP62" s="1533"/>
      <c r="EQ62" s="1534"/>
      <c r="ER62" s="1533"/>
      <c r="ES62" s="1534"/>
      <c r="ET62" s="1533"/>
      <c r="EU62" s="1534"/>
      <c r="EV62" s="1533"/>
      <c r="EW62" s="1534"/>
      <c r="EX62" s="1533"/>
      <c r="EY62" s="1534"/>
      <c r="EZ62" s="1533"/>
      <c r="FA62" s="1534"/>
      <c r="FB62" s="1541"/>
      <c r="FC62" s="1534"/>
      <c r="FD62" s="1541"/>
      <c r="FE62" s="1534"/>
      <c r="FF62" s="1541"/>
      <c r="FG62" s="1534"/>
      <c r="FH62" s="1541"/>
      <c r="FI62" s="1541"/>
      <c r="FJ62" s="1541"/>
      <c r="FK62" s="1534"/>
      <c r="FL62" s="1533"/>
      <c r="FM62" s="1534"/>
      <c r="FN62" s="1545"/>
      <c r="FO62" s="1541"/>
      <c r="FP62" s="1545"/>
      <c r="FQ62" s="1541"/>
      <c r="FR62" s="1545"/>
      <c r="FS62" s="1541"/>
      <c r="FT62" s="1545"/>
      <c r="FU62" s="1534"/>
      <c r="FV62" s="1545"/>
      <c r="FW62" s="1534"/>
      <c r="FX62" s="1574"/>
      <c r="FY62" s="1564"/>
      <c r="FZ62" s="1574"/>
      <c r="GA62" s="1564"/>
      <c r="GB62" s="1574"/>
      <c r="GC62" s="1564"/>
      <c r="GD62" s="1550"/>
      <c r="GE62" s="1564"/>
      <c r="GF62" s="1533"/>
      <c r="GG62" s="1534"/>
      <c r="GH62" s="1533"/>
      <c r="GI62" s="1534"/>
      <c r="GJ62" s="1533"/>
      <c r="GK62" s="1534"/>
      <c r="GL62" s="1533"/>
      <c r="GM62" s="1534"/>
      <c r="GN62" s="1541"/>
      <c r="GO62" s="1534"/>
      <c r="GP62" s="1541"/>
      <c r="GQ62" s="1534"/>
      <c r="GR62" s="1533"/>
      <c r="GS62" s="1534"/>
      <c r="GT62" s="1533"/>
      <c r="GU62" s="1534"/>
      <c r="GV62" s="1541"/>
      <c r="GW62" s="1534"/>
      <c r="GX62" s="1549"/>
      <c r="GY62" s="1550"/>
      <c r="GZ62" s="1533"/>
      <c r="HA62" s="1534"/>
      <c r="HB62" s="1551">
        <f>IFERROR(__xludf.DUMMYFUNCTION("""COMPUTED_VALUE"""),1286.3680555555557)</f>
        <v>1286.368056</v>
      </c>
      <c r="HC62" s="1552">
        <f>IFERROR(__xludf.DUMMYFUNCTION("""COMPUTED_VALUE"""),1.43E13)</f>
        <v>14300000000000</v>
      </c>
      <c r="HD62" s="1533"/>
      <c r="HE62" s="1534"/>
      <c r="HF62" s="1533"/>
      <c r="HG62" s="1534"/>
      <c r="HH62" s="1533"/>
      <c r="HI62" s="1534"/>
      <c r="HJ62" s="1533"/>
      <c r="HK62" s="1534"/>
      <c r="HL62" s="1533"/>
      <c r="HM62" s="1534"/>
      <c r="HN62" s="1541"/>
      <c r="HO62" s="1534"/>
      <c r="HP62" s="1533"/>
      <c r="HQ62" s="1534"/>
      <c r="HR62" s="1533"/>
      <c r="HS62" s="1534"/>
      <c r="HT62" s="1533"/>
      <c r="HU62" s="1534"/>
      <c r="HV62" s="1533"/>
      <c r="HW62" s="1534"/>
      <c r="HX62" s="1533"/>
      <c r="HY62" s="1534"/>
      <c r="HZ62" s="1533"/>
      <c r="IA62" s="1534"/>
      <c r="IB62" s="1533"/>
      <c r="IC62" s="1534"/>
      <c r="ID62" s="1533"/>
      <c r="IE62" s="1534"/>
      <c r="IF62" s="1533"/>
      <c r="IG62" s="1534"/>
      <c r="IH62" s="1533"/>
      <c r="II62" s="1534"/>
      <c r="IJ62" s="1533"/>
      <c r="IK62" s="1534"/>
      <c r="IL62" s="1533"/>
      <c r="IM62" s="1534"/>
      <c r="IN62" s="1533"/>
      <c r="IO62" s="1534"/>
      <c r="IP62" s="1533"/>
      <c r="IQ62" s="1534"/>
      <c r="IR62" s="1533"/>
      <c r="IS62" s="1534"/>
      <c r="IT62" s="1533"/>
      <c r="IU62" s="1534"/>
      <c r="IV62" s="1533"/>
      <c r="IW62" s="1534"/>
      <c r="IX62" s="1533"/>
      <c r="IY62" s="1534"/>
      <c r="IZ62" s="1533"/>
      <c r="JA62" s="1534"/>
      <c r="JB62" s="1533"/>
      <c r="JC62" s="1534"/>
      <c r="JD62" s="1533"/>
      <c r="JE62" s="1534"/>
      <c r="JF62" s="1533"/>
      <c r="JG62" s="1534"/>
      <c r="JH62" s="1533"/>
      <c r="JI62" s="1534"/>
      <c r="JJ62" s="1565"/>
      <c r="JK62" s="1564"/>
      <c r="JL62" s="1565"/>
      <c r="JM62" s="1564"/>
      <c r="JN62" s="1565"/>
      <c r="JO62" s="1564"/>
      <c r="JP62" s="1565"/>
      <c r="JQ62" s="1564"/>
      <c r="JR62" s="1565"/>
      <c r="JS62" s="1564"/>
      <c r="JT62" s="1565"/>
      <c r="JU62" s="1564"/>
      <c r="JV62" s="1565"/>
      <c r="JW62" s="1564"/>
      <c r="JX62" s="1562"/>
      <c r="JY62" s="1527"/>
      <c r="JZ62" s="1566">
        <f>IFERROR(__xludf.DUMMYFUNCTION("""COMPUTED_VALUE"""),5.313368056)</f>
        <v>5.313368056</v>
      </c>
      <c r="KA62" s="1514">
        <f>IFERROR(__xludf.DUMMYFUNCTION("""COMPUTED_VALUE"""),1.2088E11)</f>
        <v>120880000000</v>
      </c>
      <c r="KB62" s="1562"/>
      <c r="KC62" s="1527"/>
      <c r="KD62" s="1562"/>
      <c r="KE62" s="1527"/>
      <c r="KF62" s="1527"/>
      <c r="KG62" s="1527"/>
      <c r="KH62" s="1527"/>
      <c r="KI62" s="1527"/>
      <c r="KJ62" s="1527"/>
      <c r="KK62" s="1527"/>
      <c r="KL62" s="1527"/>
      <c r="KM62" s="1527"/>
      <c r="KN62" s="1527"/>
      <c r="KO62" s="1527"/>
      <c r="KP62" s="1527"/>
      <c r="KQ62" s="1527"/>
      <c r="KR62" s="1527"/>
      <c r="KS62" s="1527"/>
      <c r="KT62" s="1527"/>
      <c r="KU62" s="1527"/>
      <c r="KV62" s="1527"/>
      <c r="KW62" s="1527"/>
      <c r="KX62" s="1527"/>
      <c r="KY62" s="1527"/>
      <c r="KZ62" s="1527"/>
      <c r="LA62" s="1527"/>
      <c r="LB62" s="1527"/>
      <c r="LC62" s="1527"/>
      <c r="LD62" s="1527"/>
      <c r="LE62" s="1527"/>
      <c r="LF62" s="1527"/>
      <c r="LG62" s="1527"/>
      <c r="LH62" s="1527"/>
      <c r="LI62" s="1527"/>
      <c r="LJ62" s="1527"/>
      <c r="LK62" s="1527"/>
      <c r="LL62" s="1550"/>
      <c r="LM62" s="1550"/>
      <c r="LN62" s="1527"/>
      <c r="LO62" s="1527"/>
      <c r="LP62" s="1527"/>
      <c r="LQ62" s="1527"/>
      <c r="LR62" s="1527"/>
      <c r="LS62" s="1527"/>
      <c r="LT62" s="1527"/>
      <c r="LU62" s="1527"/>
      <c r="LV62" s="1527"/>
      <c r="LW62" s="1527"/>
      <c r="LX62" s="1527"/>
      <c r="LY62" s="1527"/>
      <c r="LZ62" s="1527"/>
      <c r="MA62" s="1527"/>
      <c r="MB62" s="1527"/>
      <c r="MC62" s="1527"/>
      <c r="MD62" s="1527"/>
      <c r="ME62" s="1527"/>
      <c r="MF62" s="1527"/>
      <c r="MG62" s="1527"/>
      <c r="MH62" s="1527"/>
      <c r="MI62" s="1527"/>
      <c r="MJ62" s="1527"/>
      <c r="MK62" s="1527"/>
      <c r="ML62" s="1527"/>
      <c r="MM62" s="1527"/>
      <c r="MN62" s="1527"/>
      <c r="MO62" s="1527"/>
      <c r="MP62" s="1527"/>
      <c r="MQ62" s="1527"/>
      <c r="MR62" s="1527"/>
      <c r="MS62" s="1527"/>
      <c r="MT62" s="1527"/>
      <c r="MU62" s="1527"/>
      <c r="MV62" s="1527"/>
      <c r="MW62" s="1527"/>
      <c r="MX62" s="1527"/>
      <c r="MY62" s="1527"/>
    </row>
    <row r="63">
      <c r="A63" s="1465">
        <f>IFERROR(__xludf.DUMMYFUNCTION("""COMPUTED_VALUE"""),61.0)</f>
        <v>61</v>
      </c>
      <c r="B63" s="1518"/>
      <c r="C63" s="1520"/>
      <c r="D63" s="1466">
        <f>IFERROR(__xludf.DUMMYFUNCTION("""COMPUTED_VALUE"""),15.210416666666667)</f>
        <v>15.21041667</v>
      </c>
      <c r="E63" s="1467">
        <f>IFERROR(__xludf.DUMMYFUNCTION("""COMPUTED_VALUE"""),1090000.0)</f>
        <v>1090000</v>
      </c>
      <c r="F63" s="1466">
        <f>IFERROR(__xludf.DUMMYFUNCTION("""COMPUTED_VALUE"""),15.210416666666667)</f>
        <v>15.21041667</v>
      </c>
      <c r="G63" s="1467">
        <f>IFERROR(__xludf.DUMMYFUNCTION("""COMPUTED_VALUE"""),1090000.0)</f>
        <v>1090000</v>
      </c>
      <c r="H63" s="1466">
        <f>IFERROR(__xludf.DUMMYFUNCTION("""COMPUTED_VALUE"""),15.210416666666667)</f>
        <v>15.21041667</v>
      </c>
      <c r="I63" s="1467">
        <f>IFERROR(__xludf.DUMMYFUNCTION("""COMPUTED_VALUE"""),1090000.0)</f>
        <v>1090000</v>
      </c>
      <c r="J63" s="1466">
        <f>IFERROR(__xludf.DUMMYFUNCTION("""COMPUTED_VALUE"""),15.210416666666667)</f>
        <v>15.21041667</v>
      </c>
      <c r="K63" s="1467">
        <f>IFERROR(__xludf.DUMMYFUNCTION("""COMPUTED_VALUE"""),1090000.0)</f>
        <v>1090000</v>
      </c>
      <c r="L63" s="1466">
        <f>IFERROR(__xludf.DUMMYFUNCTION("""COMPUTED_VALUE"""),28.072222222222223)</f>
        <v>28.07222222</v>
      </c>
      <c r="M63" s="1469">
        <f>IFERROR(__xludf.DUMMYFUNCTION("""COMPUTED_VALUE"""),3470000.0)</f>
        <v>3470000</v>
      </c>
      <c r="N63" s="1470">
        <f>IFERROR(__xludf.DUMMYFUNCTION("""COMPUTED_VALUE"""),12.759722222222223)</f>
        <v>12.75972222</v>
      </c>
      <c r="O63" s="1467">
        <f>IFERROR(__xludf.DUMMYFUNCTION("""COMPUTED_VALUE"""),4230000.0)</f>
        <v>4230000</v>
      </c>
      <c r="P63" s="1518"/>
      <c r="Q63" s="1519"/>
      <c r="R63" s="1518"/>
      <c r="S63" s="1519"/>
      <c r="T63" s="1518"/>
      <c r="U63" s="1519"/>
      <c r="V63" s="1518"/>
      <c r="W63" s="1519"/>
      <c r="X63" s="1518"/>
      <c r="Y63" s="1519"/>
      <c r="Z63" s="1518"/>
      <c r="AA63" s="1519"/>
      <c r="AB63" s="1518"/>
      <c r="AC63" s="1519"/>
      <c r="AD63" s="1466">
        <f>IFERROR(__xludf.DUMMYFUNCTION("""COMPUTED_VALUE"""),65.87638888888888)</f>
        <v>65.87638889</v>
      </c>
      <c r="AE63" s="1474">
        <f>IFERROR(__xludf.DUMMYFUNCTION("""COMPUTED_VALUE"""),6.864377173E15)</f>
        <v>6.86438E+15</v>
      </c>
      <c r="AF63" s="1466">
        <f>IFERROR(__xludf.DUMMYFUNCTION("""COMPUTED_VALUE"""),65.87638888888888)</f>
        <v>65.87638889</v>
      </c>
      <c r="AG63" s="1474">
        <f>IFERROR(__xludf.DUMMYFUNCTION("""COMPUTED_VALUE"""),6.864377173E15)</f>
        <v>6.86438E+15</v>
      </c>
      <c r="AH63" s="1466">
        <f>IFERROR(__xludf.DUMMYFUNCTION("""COMPUTED_VALUE"""),65.87638888888888)</f>
        <v>65.87638889</v>
      </c>
      <c r="AI63" s="1474">
        <f>IFERROR(__xludf.DUMMYFUNCTION("""COMPUTED_VALUE"""),6.864377173E15)</f>
        <v>6.86438E+15</v>
      </c>
      <c r="AJ63" s="1475">
        <f>IFERROR(__xludf.DUMMYFUNCTION("""COMPUTED_VALUE"""),15.210416666666667)</f>
        <v>15.21041667</v>
      </c>
      <c r="AK63" s="1476">
        <f>IFERROR(__xludf.DUMMYFUNCTION("""COMPUTED_VALUE"""),1090000.0)</f>
        <v>1090000</v>
      </c>
      <c r="AL63" s="1475">
        <f>IFERROR(__xludf.DUMMYFUNCTION("""COMPUTED_VALUE"""),15.210416666666667)</f>
        <v>15.21041667</v>
      </c>
      <c r="AM63" s="1476">
        <f>IFERROR(__xludf.DUMMYFUNCTION("""COMPUTED_VALUE"""),1090000.0)</f>
        <v>1090000</v>
      </c>
      <c r="AN63" s="1475">
        <f>IFERROR(__xludf.DUMMYFUNCTION("""COMPUTED_VALUE"""),15.210416666666667)</f>
        <v>15.21041667</v>
      </c>
      <c r="AO63" s="1476">
        <f>IFERROR(__xludf.DUMMYFUNCTION("""COMPUTED_VALUE"""),1090000.0)</f>
        <v>1090000</v>
      </c>
      <c r="AP63" s="1475">
        <f>IFERROR(__xludf.DUMMYFUNCTION("""COMPUTED_VALUE"""),15.210416666666667)</f>
        <v>15.21041667</v>
      </c>
      <c r="AQ63" s="1476">
        <f>IFERROR(__xludf.DUMMYFUNCTION("""COMPUTED_VALUE"""),1090000.0)</f>
        <v>1090000</v>
      </c>
      <c r="AR63" s="1475">
        <f>IFERROR(__xludf.DUMMYFUNCTION("""COMPUTED_VALUE"""),15.210416666666667)</f>
        <v>15.21041667</v>
      </c>
      <c r="AS63" s="1476">
        <f>IFERROR(__xludf.DUMMYFUNCTION("""COMPUTED_VALUE"""),1090000.0)</f>
        <v>1090000</v>
      </c>
      <c r="AT63" s="1520"/>
      <c r="AU63" s="1519"/>
      <c r="AV63" s="1520"/>
      <c r="AW63" s="1519"/>
      <c r="AX63" s="1518"/>
      <c r="AY63" s="1568"/>
      <c r="AZ63" s="1518"/>
      <c r="BA63" s="1518"/>
      <c r="BB63" s="1477">
        <f>IFERROR(__xludf.DUMMYFUNCTION("""COMPUTED_VALUE"""),15.210416666666667)</f>
        <v>15.21041667</v>
      </c>
      <c r="BC63" s="1478">
        <f>IFERROR(__xludf.DUMMYFUNCTION("""COMPUTED_VALUE"""),1090000.0)</f>
        <v>1090000</v>
      </c>
      <c r="BD63" s="1477">
        <f>IFERROR(__xludf.DUMMYFUNCTION("""COMPUTED_VALUE"""),15.210416666666667)</f>
        <v>15.21041667</v>
      </c>
      <c r="BE63" s="1478">
        <f>IFERROR(__xludf.DUMMYFUNCTION("""COMPUTED_VALUE"""),1090000.0)</f>
        <v>1090000</v>
      </c>
      <c r="BF63" s="1477">
        <f>IFERROR(__xludf.DUMMYFUNCTION("""COMPUTED_VALUE"""),15.210416666666667)</f>
        <v>15.21041667</v>
      </c>
      <c r="BG63" s="1478">
        <f>IFERROR(__xludf.DUMMYFUNCTION("""COMPUTED_VALUE"""),1090000.0)</f>
        <v>1090000</v>
      </c>
      <c r="BH63" s="1518"/>
      <c r="BI63" s="1519"/>
      <c r="BJ63" s="1518"/>
      <c r="BK63" s="1519"/>
      <c r="BL63" s="1518"/>
      <c r="BM63" s="1519"/>
      <c r="BN63" s="1518"/>
      <c r="BO63" s="1519"/>
      <c r="BP63" s="1518"/>
      <c r="BQ63" s="1519"/>
      <c r="BR63" s="1520"/>
      <c r="BS63" s="1519"/>
      <c r="BT63" s="1520"/>
      <c r="BU63" s="1520"/>
      <c r="BV63" s="1520"/>
      <c r="BW63" s="1520"/>
      <c r="BX63" s="1520"/>
      <c r="BY63" s="1520"/>
      <c r="BZ63" s="1520"/>
      <c r="CA63" s="1520"/>
      <c r="CB63" s="1520"/>
      <c r="CC63" s="1519"/>
      <c r="CD63" s="1520"/>
      <c r="CE63" s="1520"/>
      <c r="CF63" s="1527"/>
      <c r="CG63" s="1560"/>
      <c r="CH63" s="1482">
        <f>IFERROR(__xludf.DUMMYFUNCTION("""COMPUTED_VALUE"""),15.210416666666667)</f>
        <v>15.21041667</v>
      </c>
      <c r="CI63" s="1483">
        <f>IFERROR(__xludf.DUMMYFUNCTION("""COMPUTED_VALUE"""),1090000.0)</f>
        <v>1090000</v>
      </c>
      <c r="CJ63" s="1482">
        <f>IFERROR(__xludf.DUMMYFUNCTION("""COMPUTED_VALUE"""),15.210416666666667)</f>
        <v>15.21041667</v>
      </c>
      <c r="CK63" s="1483">
        <f>IFERROR(__xludf.DUMMYFUNCTION("""COMPUTED_VALUE"""),1090000.0)</f>
        <v>1090000</v>
      </c>
      <c r="CL63" s="1482">
        <f>IFERROR(__xludf.DUMMYFUNCTION("""COMPUTED_VALUE"""),15.210416666666667)</f>
        <v>15.21041667</v>
      </c>
      <c r="CM63" s="1483">
        <f>IFERROR(__xludf.DUMMYFUNCTION("""COMPUTED_VALUE"""),1090000.0)</f>
        <v>1090000</v>
      </c>
      <c r="CN63" s="1482">
        <f>IFERROR(__xludf.DUMMYFUNCTION("""COMPUTED_VALUE"""),15.210416666666667)</f>
        <v>15.21041667</v>
      </c>
      <c r="CO63" s="1483">
        <f>IFERROR(__xludf.DUMMYFUNCTION("""COMPUTED_VALUE"""),1090000.0)</f>
        <v>1090000</v>
      </c>
      <c r="CP63" s="1482">
        <f>IFERROR(__xludf.DUMMYFUNCTION("""COMPUTED_VALUE"""),34.37083333333334)</f>
        <v>34.37083333</v>
      </c>
      <c r="CQ63" s="1483">
        <f>IFERROR(__xludf.DUMMYFUNCTION("""COMPUTED_VALUE"""),4230000.0)</f>
        <v>4230000</v>
      </c>
      <c r="CR63" s="1518"/>
      <c r="CS63" s="1519"/>
      <c r="CT63" s="1520"/>
      <c r="CU63" s="1519"/>
      <c r="CV63" s="1520"/>
      <c r="CW63" s="1519"/>
      <c r="CX63" s="1520"/>
      <c r="CY63" s="1519"/>
      <c r="CZ63" s="1520"/>
      <c r="DA63" s="1520"/>
      <c r="DB63" s="1520"/>
      <c r="DC63" s="1520"/>
      <c r="DD63" s="1520"/>
      <c r="DE63" s="1519"/>
      <c r="DF63" s="1518"/>
      <c r="DG63" s="1519"/>
      <c r="DH63" s="1518"/>
      <c r="DI63" s="1519"/>
      <c r="DJ63" s="1518"/>
      <c r="DK63" s="1519"/>
      <c r="DL63" s="1518"/>
      <c r="DM63" s="1519"/>
      <c r="DN63" s="1518"/>
      <c r="DO63" s="1519"/>
      <c r="DP63" s="1518"/>
      <c r="DQ63" s="1519"/>
      <c r="DR63" s="1518"/>
      <c r="DS63" s="1519"/>
      <c r="DT63" s="1518"/>
      <c r="DU63" s="1519"/>
      <c r="DV63" s="1520"/>
      <c r="DW63" s="1519"/>
      <c r="DX63" s="1518"/>
      <c r="DY63" s="1519"/>
      <c r="DZ63" s="1518"/>
      <c r="EA63" s="1519"/>
      <c r="EB63" s="1518"/>
      <c r="EC63" s="1519"/>
      <c r="ED63" s="1518"/>
      <c r="EE63" s="1519"/>
      <c r="EF63" s="1518"/>
      <c r="EG63" s="1519"/>
      <c r="EH63" s="1518"/>
      <c r="EI63" s="1519"/>
      <c r="EJ63" s="1562"/>
      <c r="EK63" s="1560"/>
      <c r="EL63" s="1562"/>
      <c r="EM63" s="1560"/>
      <c r="EN63" s="1518"/>
      <c r="EO63" s="1519"/>
      <c r="EP63" s="1518"/>
      <c r="EQ63" s="1519"/>
      <c r="ER63" s="1518"/>
      <c r="ES63" s="1519"/>
      <c r="ET63" s="1518"/>
      <c r="EU63" s="1519"/>
      <c r="EV63" s="1518"/>
      <c r="EW63" s="1519"/>
      <c r="EX63" s="1518"/>
      <c r="EY63" s="1519"/>
      <c r="EZ63" s="1518"/>
      <c r="FA63" s="1519"/>
      <c r="FB63" s="1520"/>
      <c r="FC63" s="1519"/>
      <c r="FD63" s="1520"/>
      <c r="FE63" s="1519"/>
      <c r="FF63" s="1520"/>
      <c r="FG63" s="1519"/>
      <c r="FH63" s="1520"/>
      <c r="FI63" s="1520"/>
      <c r="FJ63" s="1520"/>
      <c r="FK63" s="1519"/>
      <c r="FL63" s="1518"/>
      <c r="FM63" s="1519"/>
      <c r="FN63" s="1532"/>
      <c r="FO63" s="1520"/>
      <c r="FP63" s="1532"/>
      <c r="FQ63" s="1520"/>
      <c r="FR63" s="1532"/>
      <c r="FS63" s="1520"/>
      <c r="FT63" s="1532"/>
      <c r="FU63" s="1519"/>
      <c r="FV63" s="1532"/>
      <c r="FW63" s="1519"/>
      <c r="FX63" s="1572"/>
      <c r="FY63" s="1560"/>
      <c r="FZ63" s="1572"/>
      <c r="GA63" s="1560"/>
      <c r="GB63" s="1572"/>
      <c r="GC63" s="1560"/>
      <c r="GD63" s="1527"/>
      <c r="GE63" s="1560"/>
      <c r="GF63" s="1518"/>
      <c r="GG63" s="1519"/>
      <c r="GH63" s="1518"/>
      <c r="GI63" s="1519"/>
      <c r="GJ63" s="1518"/>
      <c r="GK63" s="1519"/>
      <c r="GL63" s="1518"/>
      <c r="GM63" s="1519"/>
      <c r="GN63" s="1520"/>
      <c r="GO63" s="1519"/>
      <c r="GP63" s="1520"/>
      <c r="GQ63" s="1519"/>
      <c r="GR63" s="1518"/>
      <c r="GS63" s="1519"/>
      <c r="GT63" s="1518"/>
      <c r="GU63" s="1519"/>
      <c r="GV63" s="1520"/>
      <c r="GW63" s="1519"/>
      <c r="GX63" s="1561"/>
      <c r="GY63" s="1527"/>
      <c r="GZ63" s="1518"/>
      <c r="HA63" s="1519"/>
      <c r="HB63" s="1501">
        <f>IFERROR(__xludf.DUMMYFUNCTION("""COMPUTED_VALUE"""),1363.9465277777779)</f>
        <v>1363.946528</v>
      </c>
      <c r="HC63" s="1502">
        <f>IFERROR(__xludf.DUMMYFUNCTION("""COMPUTED_VALUE"""),1.555E13)</f>
        <v>15550000000000</v>
      </c>
      <c r="HD63" s="1518"/>
      <c r="HE63" s="1519"/>
      <c r="HF63" s="1518"/>
      <c r="HG63" s="1519"/>
      <c r="HH63" s="1518"/>
      <c r="HI63" s="1519"/>
      <c r="HJ63" s="1518"/>
      <c r="HK63" s="1519"/>
      <c r="HL63" s="1518"/>
      <c r="HM63" s="1519"/>
      <c r="HN63" s="1520"/>
      <c r="HO63" s="1519"/>
      <c r="HP63" s="1518"/>
      <c r="HQ63" s="1519"/>
      <c r="HR63" s="1518"/>
      <c r="HS63" s="1519"/>
      <c r="HT63" s="1518"/>
      <c r="HU63" s="1519"/>
      <c r="HV63" s="1518"/>
      <c r="HW63" s="1519"/>
      <c r="HX63" s="1518"/>
      <c r="HY63" s="1519"/>
      <c r="HZ63" s="1518"/>
      <c r="IA63" s="1519"/>
      <c r="IB63" s="1518"/>
      <c r="IC63" s="1519"/>
      <c r="ID63" s="1518"/>
      <c r="IE63" s="1519"/>
      <c r="IF63" s="1518"/>
      <c r="IG63" s="1519"/>
      <c r="IH63" s="1518"/>
      <c r="II63" s="1519"/>
      <c r="IJ63" s="1518"/>
      <c r="IK63" s="1519"/>
      <c r="IL63" s="1518"/>
      <c r="IM63" s="1519"/>
      <c r="IN63" s="1518"/>
      <c r="IO63" s="1519"/>
      <c r="IP63" s="1518"/>
      <c r="IQ63" s="1519"/>
      <c r="IR63" s="1518"/>
      <c r="IS63" s="1519"/>
      <c r="IT63" s="1518"/>
      <c r="IU63" s="1519"/>
      <c r="IV63" s="1518"/>
      <c r="IW63" s="1519"/>
      <c r="IX63" s="1518"/>
      <c r="IY63" s="1519"/>
      <c r="IZ63" s="1518"/>
      <c r="JA63" s="1519"/>
      <c r="JB63" s="1518"/>
      <c r="JC63" s="1519"/>
      <c r="JD63" s="1518"/>
      <c r="JE63" s="1519"/>
      <c r="JF63" s="1518"/>
      <c r="JG63" s="1519"/>
      <c r="JH63" s="1518"/>
      <c r="JI63" s="1519"/>
      <c r="JJ63" s="1562"/>
      <c r="JK63" s="1560"/>
      <c r="JL63" s="1562"/>
      <c r="JM63" s="1560"/>
      <c r="JN63" s="1562"/>
      <c r="JO63" s="1560"/>
      <c r="JP63" s="1562"/>
      <c r="JQ63" s="1560"/>
      <c r="JR63" s="1562"/>
      <c r="JS63" s="1560"/>
      <c r="JT63" s="1562"/>
      <c r="JU63" s="1560"/>
      <c r="JV63" s="1562"/>
      <c r="JW63" s="1560"/>
      <c r="JX63" s="1562"/>
      <c r="JY63" s="1527"/>
      <c r="JZ63" s="1566">
        <f>IFERROR(__xludf.DUMMYFUNCTION("""COMPUTED_VALUE"""),5.408958333)</f>
        <v>5.408958333</v>
      </c>
      <c r="KA63" s="1514">
        <f>IFERROR(__xludf.DUMMYFUNCTION("""COMPUTED_VALUE"""),1.2649E11)</f>
        <v>126490000000</v>
      </c>
      <c r="KB63" s="1562"/>
      <c r="KC63" s="1527"/>
      <c r="KD63" s="1562"/>
      <c r="KE63" s="1527"/>
      <c r="KF63" s="1527"/>
      <c r="KG63" s="1527"/>
      <c r="KH63" s="1527"/>
      <c r="KI63" s="1527"/>
      <c r="KJ63" s="1527"/>
      <c r="KK63" s="1527"/>
      <c r="KL63" s="1527"/>
      <c r="KM63" s="1527"/>
      <c r="KN63" s="1527"/>
      <c r="KO63" s="1527"/>
      <c r="KP63" s="1527"/>
      <c r="KQ63" s="1527"/>
      <c r="KR63" s="1527"/>
      <c r="KS63" s="1527"/>
      <c r="KT63" s="1527"/>
      <c r="KU63" s="1527"/>
      <c r="KV63" s="1527"/>
      <c r="KW63" s="1527"/>
      <c r="KX63" s="1527"/>
      <c r="KY63" s="1527"/>
      <c r="KZ63" s="1527"/>
      <c r="LA63" s="1527"/>
      <c r="LB63" s="1527"/>
      <c r="LC63" s="1527"/>
      <c r="LD63" s="1527"/>
      <c r="LE63" s="1527"/>
      <c r="LF63" s="1527"/>
      <c r="LG63" s="1527"/>
      <c r="LH63" s="1527"/>
      <c r="LI63" s="1527"/>
      <c r="LJ63" s="1527"/>
      <c r="LK63" s="1527"/>
      <c r="LL63" s="1527"/>
      <c r="LM63" s="1527"/>
      <c r="LN63" s="1527"/>
      <c r="LO63" s="1527"/>
      <c r="LP63" s="1527"/>
      <c r="LQ63" s="1527"/>
      <c r="LR63" s="1527"/>
      <c r="LS63" s="1527"/>
      <c r="LT63" s="1527"/>
      <c r="LU63" s="1527"/>
      <c r="LV63" s="1527"/>
      <c r="LW63" s="1527"/>
      <c r="LX63" s="1527"/>
      <c r="LY63" s="1527"/>
      <c r="LZ63" s="1527"/>
      <c r="MA63" s="1527"/>
      <c r="MB63" s="1527"/>
      <c r="MC63" s="1527"/>
      <c r="MD63" s="1527"/>
      <c r="ME63" s="1527"/>
      <c r="MF63" s="1527"/>
      <c r="MG63" s="1527"/>
      <c r="MH63" s="1527"/>
      <c r="MI63" s="1527"/>
      <c r="MJ63" s="1527"/>
      <c r="MK63" s="1527"/>
      <c r="ML63" s="1527"/>
      <c r="MM63" s="1527"/>
      <c r="MN63" s="1527"/>
      <c r="MO63" s="1527"/>
      <c r="MP63" s="1527"/>
      <c r="MQ63" s="1527"/>
      <c r="MR63" s="1527"/>
      <c r="MS63" s="1527"/>
      <c r="MT63" s="1527"/>
      <c r="MU63" s="1527"/>
      <c r="MV63" s="1527"/>
      <c r="MW63" s="1527"/>
      <c r="MX63" s="1527"/>
      <c r="MY63" s="1527"/>
    </row>
    <row r="64">
      <c r="A64" s="1465">
        <f>IFERROR(__xludf.DUMMYFUNCTION("""COMPUTED_VALUE"""),62.0)</f>
        <v>62</v>
      </c>
      <c r="B64" s="1518"/>
      <c r="C64" s="1520"/>
      <c r="D64" s="1466">
        <f>IFERROR(__xludf.DUMMYFUNCTION("""COMPUTED_VALUE"""),15.820833333333333)</f>
        <v>15.82083333</v>
      </c>
      <c r="E64" s="1467">
        <f>IFERROR(__xludf.DUMMYFUNCTION("""COMPUTED_VALUE"""),1140000.0)</f>
        <v>1140000</v>
      </c>
      <c r="F64" s="1466">
        <f>IFERROR(__xludf.DUMMYFUNCTION("""COMPUTED_VALUE"""),15.820833333333333)</f>
        <v>15.82083333</v>
      </c>
      <c r="G64" s="1467">
        <f>IFERROR(__xludf.DUMMYFUNCTION("""COMPUTED_VALUE"""),1140000.0)</f>
        <v>1140000</v>
      </c>
      <c r="H64" s="1466">
        <f>IFERROR(__xludf.DUMMYFUNCTION("""COMPUTED_VALUE"""),15.820833333333333)</f>
        <v>15.82083333</v>
      </c>
      <c r="I64" s="1467">
        <f>IFERROR(__xludf.DUMMYFUNCTION("""COMPUTED_VALUE"""),1140000.0)</f>
        <v>1140000</v>
      </c>
      <c r="J64" s="1466">
        <f>IFERROR(__xludf.DUMMYFUNCTION("""COMPUTED_VALUE"""),15.820833333333333)</f>
        <v>15.82083333</v>
      </c>
      <c r="K64" s="1467">
        <f>IFERROR(__xludf.DUMMYFUNCTION("""COMPUTED_VALUE"""),1140000.0)</f>
        <v>1140000</v>
      </c>
      <c r="L64" s="1466">
        <f>IFERROR(__xludf.DUMMYFUNCTION("""COMPUTED_VALUE"""),29.271527777777777)</f>
        <v>29.27152778</v>
      </c>
      <c r="M64" s="1469">
        <f>IFERROR(__xludf.DUMMYFUNCTION("""COMPUTED_VALUE"""),3640000.0)</f>
        <v>3640000</v>
      </c>
      <c r="N64" s="1470">
        <f>IFERROR(__xludf.DUMMYFUNCTION("""COMPUTED_VALUE"""),13.185416666666667)</f>
        <v>13.18541667</v>
      </c>
      <c r="O64" s="1467">
        <f>IFERROR(__xludf.DUMMYFUNCTION("""COMPUTED_VALUE"""),4450000.0)</f>
        <v>4450000</v>
      </c>
      <c r="P64" s="1518"/>
      <c r="Q64" s="1519"/>
      <c r="R64" s="1518"/>
      <c r="S64" s="1519"/>
      <c r="T64" s="1518"/>
      <c r="U64" s="1519"/>
      <c r="V64" s="1518"/>
      <c r="W64" s="1519"/>
      <c r="X64" s="1518"/>
      <c r="Y64" s="1519"/>
      <c r="Z64" s="1518"/>
      <c r="AA64" s="1519"/>
      <c r="AB64" s="1518"/>
      <c r="AC64" s="1519"/>
      <c r="AD64" s="1466">
        <f>IFERROR(__xludf.DUMMYFUNCTION("""COMPUTED_VALUE"""),66.95694444444445)</f>
        <v>66.95694444</v>
      </c>
      <c r="AE64" s="1474">
        <f>IFERROR(__xludf.DUMMYFUNCTION("""COMPUTED_VALUE"""),8.923690324999999E15)</f>
        <v>8.92369E+15</v>
      </c>
      <c r="AF64" s="1466">
        <f>IFERROR(__xludf.DUMMYFUNCTION("""COMPUTED_VALUE"""),66.95694444444445)</f>
        <v>66.95694444</v>
      </c>
      <c r="AG64" s="1474">
        <f>IFERROR(__xludf.DUMMYFUNCTION("""COMPUTED_VALUE"""),8.923690324999999E15)</f>
        <v>8.92369E+15</v>
      </c>
      <c r="AH64" s="1466">
        <f>IFERROR(__xludf.DUMMYFUNCTION("""COMPUTED_VALUE"""),66.95694444444445)</f>
        <v>66.95694444</v>
      </c>
      <c r="AI64" s="1474">
        <f>IFERROR(__xludf.DUMMYFUNCTION("""COMPUTED_VALUE"""),8.923690324999999E15)</f>
        <v>8.92369E+15</v>
      </c>
      <c r="AJ64" s="1475">
        <f>IFERROR(__xludf.DUMMYFUNCTION("""COMPUTED_VALUE"""),15.820833333333333)</f>
        <v>15.82083333</v>
      </c>
      <c r="AK64" s="1476">
        <f>IFERROR(__xludf.DUMMYFUNCTION("""COMPUTED_VALUE"""),1140000.0)</f>
        <v>1140000</v>
      </c>
      <c r="AL64" s="1475">
        <f>IFERROR(__xludf.DUMMYFUNCTION("""COMPUTED_VALUE"""),15.820833333333333)</f>
        <v>15.82083333</v>
      </c>
      <c r="AM64" s="1476">
        <f>IFERROR(__xludf.DUMMYFUNCTION("""COMPUTED_VALUE"""),1140000.0)</f>
        <v>1140000</v>
      </c>
      <c r="AN64" s="1475">
        <f>IFERROR(__xludf.DUMMYFUNCTION("""COMPUTED_VALUE"""),15.820833333333333)</f>
        <v>15.82083333</v>
      </c>
      <c r="AO64" s="1476">
        <f>IFERROR(__xludf.DUMMYFUNCTION("""COMPUTED_VALUE"""),1140000.0)</f>
        <v>1140000</v>
      </c>
      <c r="AP64" s="1475">
        <f>IFERROR(__xludf.DUMMYFUNCTION("""COMPUTED_VALUE"""),15.820833333333333)</f>
        <v>15.82083333</v>
      </c>
      <c r="AQ64" s="1476">
        <f>IFERROR(__xludf.DUMMYFUNCTION("""COMPUTED_VALUE"""),1140000.0)</f>
        <v>1140000</v>
      </c>
      <c r="AR64" s="1475">
        <f>IFERROR(__xludf.DUMMYFUNCTION("""COMPUTED_VALUE"""),15.820833333333333)</f>
        <v>15.82083333</v>
      </c>
      <c r="AS64" s="1476">
        <f>IFERROR(__xludf.DUMMYFUNCTION("""COMPUTED_VALUE"""),1140000.0)</f>
        <v>1140000</v>
      </c>
      <c r="AT64" s="1520"/>
      <c r="AU64" s="1519"/>
      <c r="AV64" s="1520"/>
      <c r="AW64" s="1519"/>
      <c r="AX64" s="1518"/>
      <c r="AY64" s="1568"/>
      <c r="AZ64" s="1518"/>
      <c r="BA64" s="1518"/>
      <c r="BB64" s="1477">
        <f>IFERROR(__xludf.DUMMYFUNCTION("""COMPUTED_VALUE"""),15.820833333333333)</f>
        <v>15.82083333</v>
      </c>
      <c r="BC64" s="1478">
        <f>IFERROR(__xludf.DUMMYFUNCTION("""COMPUTED_VALUE"""),1140000.0)</f>
        <v>1140000</v>
      </c>
      <c r="BD64" s="1477">
        <f>IFERROR(__xludf.DUMMYFUNCTION("""COMPUTED_VALUE"""),15.820833333333333)</f>
        <v>15.82083333</v>
      </c>
      <c r="BE64" s="1478">
        <f>IFERROR(__xludf.DUMMYFUNCTION("""COMPUTED_VALUE"""),1140000.0)</f>
        <v>1140000</v>
      </c>
      <c r="BF64" s="1477">
        <f>IFERROR(__xludf.DUMMYFUNCTION("""COMPUTED_VALUE"""),15.820833333333333)</f>
        <v>15.82083333</v>
      </c>
      <c r="BG64" s="1478">
        <f>IFERROR(__xludf.DUMMYFUNCTION("""COMPUTED_VALUE"""),1140000.0)</f>
        <v>1140000</v>
      </c>
      <c r="BH64" s="1518"/>
      <c r="BI64" s="1519"/>
      <c r="BJ64" s="1518"/>
      <c r="BK64" s="1519"/>
      <c r="BL64" s="1518"/>
      <c r="BM64" s="1519"/>
      <c r="BN64" s="1518"/>
      <c r="BO64" s="1519"/>
      <c r="BP64" s="1518"/>
      <c r="BQ64" s="1519"/>
      <c r="BR64" s="1520"/>
      <c r="BS64" s="1519"/>
      <c r="BT64" s="1520"/>
      <c r="BU64" s="1520"/>
      <c r="BV64" s="1520"/>
      <c r="BW64" s="1520"/>
      <c r="BX64" s="1520"/>
      <c r="BY64" s="1520"/>
      <c r="BZ64" s="1520"/>
      <c r="CA64" s="1520"/>
      <c r="CB64" s="1520"/>
      <c r="CC64" s="1519"/>
      <c r="CD64" s="1520"/>
      <c r="CE64" s="1520"/>
      <c r="CF64" s="1527"/>
      <c r="CG64" s="1560"/>
      <c r="CH64" s="1482">
        <f>IFERROR(__xludf.DUMMYFUNCTION("""COMPUTED_VALUE"""),15.820833333333333)</f>
        <v>15.82083333</v>
      </c>
      <c r="CI64" s="1483">
        <f>IFERROR(__xludf.DUMMYFUNCTION("""COMPUTED_VALUE"""),1140000.0)</f>
        <v>1140000</v>
      </c>
      <c r="CJ64" s="1482">
        <f>IFERROR(__xludf.DUMMYFUNCTION("""COMPUTED_VALUE"""),15.820833333333333)</f>
        <v>15.82083333</v>
      </c>
      <c r="CK64" s="1483">
        <f>IFERROR(__xludf.DUMMYFUNCTION("""COMPUTED_VALUE"""),1140000.0)</f>
        <v>1140000</v>
      </c>
      <c r="CL64" s="1482">
        <f>IFERROR(__xludf.DUMMYFUNCTION("""COMPUTED_VALUE"""),15.820833333333333)</f>
        <v>15.82083333</v>
      </c>
      <c r="CM64" s="1483">
        <f>IFERROR(__xludf.DUMMYFUNCTION("""COMPUTED_VALUE"""),1140000.0)</f>
        <v>1140000</v>
      </c>
      <c r="CN64" s="1482">
        <f>IFERROR(__xludf.DUMMYFUNCTION("""COMPUTED_VALUE"""),15.820833333333333)</f>
        <v>15.82083333</v>
      </c>
      <c r="CO64" s="1483">
        <f>IFERROR(__xludf.DUMMYFUNCTION("""COMPUTED_VALUE"""),1140000.0)</f>
        <v>1140000</v>
      </c>
      <c r="CP64" s="1482">
        <f>IFERROR(__xludf.DUMMYFUNCTION("""COMPUTED_VALUE"""),35.87013888888889)</f>
        <v>35.87013889</v>
      </c>
      <c r="CQ64" s="1483">
        <f>IFERROR(__xludf.DUMMYFUNCTION("""COMPUTED_VALUE"""),4450000.0)</f>
        <v>4450000</v>
      </c>
      <c r="CR64" s="1518"/>
      <c r="CS64" s="1519"/>
      <c r="CT64" s="1520"/>
      <c r="CU64" s="1519"/>
      <c r="CV64" s="1520"/>
      <c r="CW64" s="1519"/>
      <c r="CX64" s="1520"/>
      <c r="CY64" s="1519"/>
      <c r="CZ64" s="1520"/>
      <c r="DA64" s="1520"/>
      <c r="DB64" s="1520"/>
      <c r="DC64" s="1520"/>
      <c r="DD64" s="1520"/>
      <c r="DE64" s="1519"/>
      <c r="DF64" s="1518"/>
      <c r="DG64" s="1519"/>
      <c r="DH64" s="1518"/>
      <c r="DI64" s="1519"/>
      <c r="DJ64" s="1518"/>
      <c r="DK64" s="1519"/>
      <c r="DL64" s="1518"/>
      <c r="DM64" s="1519"/>
      <c r="DN64" s="1518"/>
      <c r="DO64" s="1519"/>
      <c r="DP64" s="1518"/>
      <c r="DQ64" s="1519"/>
      <c r="DR64" s="1518"/>
      <c r="DS64" s="1519"/>
      <c r="DT64" s="1518"/>
      <c r="DU64" s="1519"/>
      <c r="DV64" s="1520"/>
      <c r="DW64" s="1519"/>
      <c r="DX64" s="1518"/>
      <c r="DY64" s="1519"/>
      <c r="DZ64" s="1518"/>
      <c r="EA64" s="1519"/>
      <c r="EB64" s="1518"/>
      <c r="EC64" s="1519"/>
      <c r="ED64" s="1518"/>
      <c r="EE64" s="1519"/>
      <c r="EF64" s="1518"/>
      <c r="EG64" s="1519"/>
      <c r="EH64" s="1518"/>
      <c r="EI64" s="1519"/>
      <c r="EJ64" s="1562"/>
      <c r="EK64" s="1560"/>
      <c r="EL64" s="1562"/>
      <c r="EM64" s="1560"/>
      <c r="EN64" s="1518"/>
      <c r="EO64" s="1519"/>
      <c r="EP64" s="1518"/>
      <c r="EQ64" s="1519"/>
      <c r="ER64" s="1518"/>
      <c r="ES64" s="1519"/>
      <c r="ET64" s="1518"/>
      <c r="EU64" s="1519"/>
      <c r="EV64" s="1518"/>
      <c r="EW64" s="1519"/>
      <c r="EX64" s="1518"/>
      <c r="EY64" s="1519"/>
      <c r="EZ64" s="1518"/>
      <c r="FA64" s="1519"/>
      <c r="FB64" s="1520"/>
      <c r="FC64" s="1519"/>
      <c r="FD64" s="1520"/>
      <c r="FE64" s="1519"/>
      <c r="FF64" s="1520"/>
      <c r="FG64" s="1519"/>
      <c r="FH64" s="1520"/>
      <c r="FI64" s="1520"/>
      <c r="FJ64" s="1520"/>
      <c r="FK64" s="1519"/>
      <c r="FL64" s="1518"/>
      <c r="FM64" s="1519"/>
      <c r="FN64" s="1532"/>
      <c r="FO64" s="1520"/>
      <c r="FP64" s="1532"/>
      <c r="FQ64" s="1520"/>
      <c r="FR64" s="1532"/>
      <c r="FS64" s="1520"/>
      <c r="FT64" s="1532"/>
      <c r="FU64" s="1519"/>
      <c r="FV64" s="1532"/>
      <c r="FW64" s="1519"/>
      <c r="FX64" s="1572"/>
      <c r="FY64" s="1560"/>
      <c r="FZ64" s="1572"/>
      <c r="GA64" s="1560"/>
      <c r="GB64" s="1572"/>
      <c r="GC64" s="1560"/>
      <c r="GD64" s="1527"/>
      <c r="GE64" s="1560"/>
      <c r="GF64" s="1518"/>
      <c r="GG64" s="1519"/>
      <c r="GH64" s="1518"/>
      <c r="GI64" s="1519"/>
      <c r="GJ64" s="1518"/>
      <c r="GK64" s="1519"/>
      <c r="GL64" s="1518"/>
      <c r="GM64" s="1519"/>
      <c r="GN64" s="1520"/>
      <c r="GO64" s="1519"/>
      <c r="GP64" s="1520"/>
      <c r="GQ64" s="1519"/>
      <c r="GR64" s="1518"/>
      <c r="GS64" s="1519"/>
      <c r="GT64" s="1518"/>
      <c r="GU64" s="1519"/>
      <c r="GV64" s="1520"/>
      <c r="GW64" s="1519"/>
      <c r="GX64" s="1561"/>
      <c r="GY64" s="1527"/>
      <c r="GZ64" s="1518"/>
      <c r="HA64" s="1519"/>
      <c r="HB64" s="1501">
        <f>IFERROR(__xludf.DUMMYFUNCTION("""COMPUTED_VALUE"""),1444.8201388888888)</f>
        <v>1444.820139</v>
      </c>
      <c r="HC64" s="1502">
        <f>IFERROR(__xludf.DUMMYFUNCTION("""COMPUTED_VALUE"""),1.689E13)</f>
        <v>16890000000000</v>
      </c>
      <c r="HD64" s="1518"/>
      <c r="HE64" s="1519"/>
      <c r="HF64" s="1518"/>
      <c r="HG64" s="1519"/>
      <c r="HH64" s="1518"/>
      <c r="HI64" s="1519"/>
      <c r="HJ64" s="1518"/>
      <c r="HK64" s="1519"/>
      <c r="HL64" s="1518"/>
      <c r="HM64" s="1519"/>
      <c r="HN64" s="1520"/>
      <c r="HO64" s="1519"/>
      <c r="HP64" s="1518"/>
      <c r="HQ64" s="1519"/>
      <c r="HR64" s="1518"/>
      <c r="HS64" s="1519"/>
      <c r="HT64" s="1518"/>
      <c r="HU64" s="1519"/>
      <c r="HV64" s="1518"/>
      <c r="HW64" s="1519"/>
      <c r="HX64" s="1518"/>
      <c r="HY64" s="1519"/>
      <c r="HZ64" s="1518"/>
      <c r="IA64" s="1519"/>
      <c r="IB64" s="1518"/>
      <c r="IC64" s="1519"/>
      <c r="ID64" s="1518"/>
      <c r="IE64" s="1519"/>
      <c r="IF64" s="1518"/>
      <c r="IG64" s="1519"/>
      <c r="IH64" s="1518"/>
      <c r="II64" s="1519"/>
      <c r="IJ64" s="1518"/>
      <c r="IK64" s="1519"/>
      <c r="IL64" s="1518"/>
      <c r="IM64" s="1519"/>
      <c r="IN64" s="1518"/>
      <c r="IO64" s="1519"/>
      <c r="IP64" s="1518"/>
      <c r="IQ64" s="1519"/>
      <c r="IR64" s="1518"/>
      <c r="IS64" s="1519"/>
      <c r="IT64" s="1518"/>
      <c r="IU64" s="1519"/>
      <c r="IV64" s="1518"/>
      <c r="IW64" s="1519"/>
      <c r="IX64" s="1518"/>
      <c r="IY64" s="1519"/>
      <c r="IZ64" s="1518"/>
      <c r="JA64" s="1519"/>
      <c r="JB64" s="1518"/>
      <c r="JC64" s="1519"/>
      <c r="JD64" s="1518"/>
      <c r="JE64" s="1519"/>
      <c r="JF64" s="1518"/>
      <c r="JG64" s="1519"/>
      <c r="JH64" s="1518"/>
      <c r="JI64" s="1519"/>
      <c r="JJ64" s="1562"/>
      <c r="JK64" s="1560"/>
      <c r="JL64" s="1562"/>
      <c r="JM64" s="1560"/>
      <c r="JN64" s="1562"/>
      <c r="JO64" s="1560"/>
      <c r="JP64" s="1562"/>
      <c r="JQ64" s="1560"/>
      <c r="JR64" s="1562"/>
      <c r="JS64" s="1560"/>
      <c r="JT64" s="1562"/>
      <c r="JU64" s="1560"/>
      <c r="JV64" s="1562"/>
      <c r="JW64" s="1560"/>
      <c r="JX64" s="1562"/>
      <c r="JY64" s="1527"/>
      <c r="JZ64" s="1566">
        <f>IFERROR(__xludf.DUMMYFUNCTION("""COMPUTED_VALUE"""),5.505462963)</f>
        <v>5.505462963</v>
      </c>
      <c r="KA64" s="1514">
        <f>IFERROR(__xludf.DUMMYFUNCTION("""COMPUTED_VALUE"""),1.3226E11)</f>
        <v>132260000000</v>
      </c>
      <c r="KB64" s="1562"/>
      <c r="KC64" s="1527"/>
      <c r="KD64" s="1562"/>
      <c r="KE64" s="1527"/>
      <c r="KF64" s="1527"/>
      <c r="KG64" s="1527"/>
      <c r="KH64" s="1527"/>
      <c r="KI64" s="1527"/>
      <c r="KJ64" s="1527"/>
      <c r="KK64" s="1527"/>
      <c r="KL64" s="1527"/>
      <c r="KM64" s="1527"/>
      <c r="KN64" s="1527"/>
      <c r="KO64" s="1527"/>
      <c r="KP64" s="1527"/>
      <c r="KQ64" s="1527"/>
      <c r="KR64" s="1527"/>
      <c r="KS64" s="1527"/>
      <c r="KT64" s="1527"/>
      <c r="KU64" s="1527"/>
      <c r="KV64" s="1527"/>
      <c r="KW64" s="1527"/>
      <c r="KX64" s="1527"/>
      <c r="KY64" s="1527"/>
      <c r="KZ64" s="1527"/>
      <c r="LA64" s="1527"/>
      <c r="LB64" s="1527"/>
      <c r="LC64" s="1527"/>
      <c r="LD64" s="1527"/>
      <c r="LE64" s="1527"/>
      <c r="LF64" s="1527"/>
      <c r="LG64" s="1527"/>
      <c r="LH64" s="1527"/>
      <c r="LI64" s="1527"/>
      <c r="LJ64" s="1527"/>
      <c r="LK64" s="1527"/>
      <c r="LL64" s="1527"/>
      <c r="LM64" s="1527"/>
      <c r="LN64" s="1527"/>
      <c r="LO64" s="1527"/>
      <c r="LP64" s="1527"/>
      <c r="LQ64" s="1527"/>
      <c r="LR64" s="1527"/>
      <c r="LS64" s="1527"/>
      <c r="LT64" s="1527"/>
      <c r="LU64" s="1527"/>
      <c r="LV64" s="1527"/>
      <c r="LW64" s="1527"/>
      <c r="LX64" s="1527"/>
      <c r="LY64" s="1527"/>
      <c r="LZ64" s="1527"/>
      <c r="MA64" s="1527"/>
      <c r="MB64" s="1527"/>
      <c r="MC64" s="1527"/>
      <c r="MD64" s="1527"/>
      <c r="ME64" s="1527"/>
      <c r="MF64" s="1527"/>
      <c r="MG64" s="1527"/>
      <c r="MH64" s="1527"/>
      <c r="MI64" s="1527"/>
      <c r="MJ64" s="1527"/>
      <c r="MK64" s="1527"/>
      <c r="ML64" s="1527"/>
      <c r="MM64" s="1527"/>
      <c r="MN64" s="1527"/>
      <c r="MO64" s="1527"/>
      <c r="MP64" s="1527"/>
      <c r="MQ64" s="1527"/>
      <c r="MR64" s="1527"/>
      <c r="MS64" s="1527"/>
      <c r="MT64" s="1527"/>
      <c r="MU64" s="1527"/>
      <c r="MV64" s="1527"/>
      <c r="MW64" s="1527"/>
      <c r="MX64" s="1527"/>
      <c r="MY64" s="1527"/>
    </row>
    <row r="65">
      <c r="A65" s="1465">
        <f>IFERROR(__xludf.DUMMYFUNCTION("""COMPUTED_VALUE"""),63.0)</f>
        <v>63</v>
      </c>
      <c r="B65" s="1518"/>
      <c r="C65" s="1520"/>
      <c r="D65" s="1466">
        <f>IFERROR(__xludf.DUMMYFUNCTION("""COMPUTED_VALUE"""),16.445138888888888)</f>
        <v>16.44513889</v>
      </c>
      <c r="E65" s="1467">
        <f>IFERROR(__xludf.DUMMYFUNCTION("""COMPUTED_VALUE"""),1190000.0)</f>
        <v>1190000</v>
      </c>
      <c r="F65" s="1466">
        <f>IFERROR(__xludf.DUMMYFUNCTION("""COMPUTED_VALUE"""),16.445138888888888)</f>
        <v>16.44513889</v>
      </c>
      <c r="G65" s="1467">
        <f>IFERROR(__xludf.DUMMYFUNCTION("""COMPUTED_VALUE"""),1190000.0)</f>
        <v>1190000</v>
      </c>
      <c r="H65" s="1466">
        <f>IFERROR(__xludf.DUMMYFUNCTION("""COMPUTED_VALUE"""),16.445138888888888)</f>
        <v>16.44513889</v>
      </c>
      <c r="I65" s="1467">
        <f>IFERROR(__xludf.DUMMYFUNCTION("""COMPUTED_VALUE"""),1190000.0)</f>
        <v>1190000</v>
      </c>
      <c r="J65" s="1466">
        <f>IFERROR(__xludf.DUMMYFUNCTION("""COMPUTED_VALUE"""),16.445138888888888)</f>
        <v>16.44513889</v>
      </c>
      <c r="K65" s="1467">
        <f>IFERROR(__xludf.DUMMYFUNCTION("""COMPUTED_VALUE"""),1190000.0)</f>
        <v>1190000</v>
      </c>
      <c r="L65" s="1466">
        <f>IFERROR(__xludf.DUMMYFUNCTION("""COMPUTED_VALUE"""),30.50138888888889)</f>
        <v>30.50138889</v>
      </c>
      <c r="M65" s="1469">
        <f>IFERROR(__xludf.DUMMYFUNCTION("""COMPUTED_VALUE"""),3810000.0)</f>
        <v>3810000</v>
      </c>
      <c r="N65" s="1470">
        <f>IFERROR(__xludf.DUMMYFUNCTION("""COMPUTED_VALUE"""),13.616666666666667)</f>
        <v>13.61666667</v>
      </c>
      <c r="O65" s="1467">
        <f>IFERROR(__xludf.DUMMYFUNCTION("""COMPUTED_VALUE"""),4680000.0)</f>
        <v>4680000</v>
      </c>
      <c r="P65" s="1518"/>
      <c r="Q65" s="1519"/>
      <c r="R65" s="1518"/>
      <c r="S65" s="1519"/>
      <c r="T65" s="1518"/>
      <c r="U65" s="1519"/>
      <c r="V65" s="1518"/>
      <c r="W65" s="1519"/>
      <c r="X65" s="1518"/>
      <c r="Y65" s="1519"/>
      <c r="Z65" s="1518"/>
      <c r="AA65" s="1519"/>
      <c r="AB65" s="1518"/>
      <c r="AC65" s="1519"/>
      <c r="AD65" s="1466">
        <f>IFERROR(__xludf.DUMMYFUNCTION("""COMPUTED_VALUE"""),68.03680555555556)</f>
        <v>68.03680556</v>
      </c>
      <c r="AE65" s="1474">
        <f>IFERROR(__xludf.DUMMYFUNCTION("""COMPUTED_VALUE"""),1.160079742E16)</f>
        <v>1.16008E+16</v>
      </c>
      <c r="AF65" s="1466">
        <f>IFERROR(__xludf.DUMMYFUNCTION("""COMPUTED_VALUE"""),68.03680555555556)</f>
        <v>68.03680556</v>
      </c>
      <c r="AG65" s="1474">
        <f>IFERROR(__xludf.DUMMYFUNCTION("""COMPUTED_VALUE"""),1.160079742E16)</f>
        <v>1.16008E+16</v>
      </c>
      <c r="AH65" s="1466">
        <f>IFERROR(__xludf.DUMMYFUNCTION("""COMPUTED_VALUE"""),68.03680555555556)</f>
        <v>68.03680556</v>
      </c>
      <c r="AI65" s="1474">
        <f>IFERROR(__xludf.DUMMYFUNCTION("""COMPUTED_VALUE"""),1.160079742E16)</f>
        <v>1.16008E+16</v>
      </c>
      <c r="AJ65" s="1475">
        <f>IFERROR(__xludf.DUMMYFUNCTION("""COMPUTED_VALUE"""),16.445138888888888)</f>
        <v>16.44513889</v>
      </c>
      <c r="AK65" s="1476">
        <f>IFERROR(__xludf.DUMMYFUNCTION("""COMPUTED_VALUE"""),1190000.0)</f>
        <v>1190000</v>
      </c>
      <c r="AL65" s="1475">
        <f>IFERROR(__xludf.DUMMYFUNCTION("""COMPUTED_VALUE"""),16.445138888888888)</f>
        <v>16.44513889</v>
      </c>
      <c r="AM65" s="1476">
        <f>IFERROR(__xludf.DUMMYFUNCTION("""COMPUTED_VALUE"""),1190000.0)</f>
        <v>1190000</v>
      </c>
      <c r="AN65" s="1475">
        <f>IFERROR(__xludf.DUMMYFUNCTION("""COMPUTED_VALUE"""),16.445138888888888)</f>
        <v>16.44513889</v>
      </c>
      <c r="AO65" s="1476">
        <f>IFERROR(__xludf.DUMMYFUNCTION("""COMPUTED_VALUE"""),1190000.0)</f>
        <v>1190000</v>
      </c>
      <c r="AP65" s="1475">
        <f>IFERROR(__xludf.DUMMYFUNCTION("""COMPUTED_VALUE"""),16.445138888888888)</f>
        <v>16.44513889</v>
      </c>
      <c r="AQ65" s="1476">
        <f>IFERROR(__xludf.DUMMYFUNCTION("""COMPUTED_VALUE"""),1190000.0)</f>
        <v>1190000</v>
      </c>
      <c r="AR65" s="1475">
        <f>IFERROR(__xludf.DUMMYFUNCTION("""COMPUTED_VALUE"""),16.445138888888888)</f>
        <v>16.44513889</v>
      </c>
      <c r="AS65" s="1476">
        <f>IFERROR(__xludf.DUMMYFUNCTION("""COMPUTED_VALUE"""),1190000.0)</f>
        <v>1190000</v>
      </c>
      <c r="AT65" s="1520"/>
      <c r="AU65" s="1519"/>
      <c r="AV65" s="1520"/>
      <c r="AW65" s="1519"/>
      <c r="AX65" s="1518"/>
      <c r="AY65" s="1568"/>
      <c r="AZ65" s="1518"/>
      <c r="BA65" s="1518"/>
      <c r="BB65" s="1477">
        <f>IFERROR(__xludf.DUMMYFUNCTION("""COMPUTED_VALUE"""),16.445138888888888)</f>
        <v>16.44513889</v>
      </c>
      <c r="BC65" s="1478">
        <f>IFERROR(__xludf.DUMMYFUNCTION("""COMPUTED_VALUE"""),1190000.0)</f>
        <v>1190000</v>
      </c>
      <c r="BD65" s="1477">
        <f>IFERROR(__xludf.DUMMYFUNCTION("""COMPUTED_VALUE"""),16.445138888888888)</f>
        <v>16.44513889</v>
      </c>
      <c r="BE65" s="1478">
        <f>IFERROR(__xludf.DUMMYFUNCTION("""COMPUTED_VALUE"""),1190000.0)</f>
        <v>1190000</v>
      </c>
      <c r="BF65" s="1477">
        <f>IFERROR(__xludf.DUMMYFUNCTION("""COMPUTED_VALUE"""),16.445138888888888)</f>
        <v>16.44513889</v>
      </c>
      <c r="BG65" s="1478">
        <f>IFERROR(__xludf.DUMMYFUNCTION("""COMPUTED_VALUE"""),1190000.0)</f>
        <v>1190000</v>
      </c>
      <c r="BH65" s="1518"/>
      <c r="BI65" s="1519"/>
      <c r="BJ65" s="1518"/>
      <c r="BK65" s="1519"/>
      <c r="BL65" s="1518"/>
      <c r="BM65" s="1519"/>
      <c r="BN65" s="1518"/>
      <c r="BO65" s="1519"/>
      <c r="BP65" s="1518"/>
      <c r="BQ65" s="1519"/>
      <c r="BR65" s="1520"/>
      <c r="BS65" s="1519"/>
      <c r="BT65" s="1520"/>
      <c r="BU65" s="1520"/>
      <c r="BV65" s="1520"/>
      <c r="BW65" s="1520"/>
      <c r="BX65" s="1520"/>
      <c r="BY65" s="1520"/>
      <c r="BZ65" s="1520"/>
      <c r="CA65" s="1520"/>
      <c r="CB65" s="1520"/>
      <c r="CC65" s="1519"/>
      <c r="CD65" s="1520"/>
      <c r="CE65" s="1520"/>
      <c r="CF65" s="1527"/>
      <c r="CG65" s="1560"/>
      <c r="CH65" s="1482">
        <f>IFERROR(__xludf.DUMMYFUNCTION("""COMPUTED_VALUE"""),16.445138888888888)</f>
        <v>16.44513889</v>
      </c>
      <c r="CI65" s="1483">
        <f>IFERROR(__xludf.DUMMYFUNCTION("""COMPUTED_VALUE"""),1190000.0)</f>
        <v>1190000</v>
      </c>
      <c r="CJ65" s="1482">
        <f>IFERROR(__xludf.DUMMYFUNCTION("""COMPUTED_VALUE"""),16.445138888888888)</f>
        <v>16.44513889</v>
      </c>
      <c r="CK65" s="1483">
        <f>IFERROR(__xludf.DUMMYFUNCTION("""COMPUTED_VALUE"""),1190000.0)</f>
        <v>1190000</v>
      </c>
      <c r="CL65" s="1482">
        <f>IFERROR(__xludf.DUMMYFUNCTION("""COMPUTED_VALUE"""),16.445138888888888)</f>
        <v>16.44513889</v>
      </c>
      <c r="CM65" s="1483">
        <f>IFERROR(__xludf.DUMMYFUNCTION("""COMPUTED_VALUE"""),1190000.0)</f>
        <v>1190000</v>
      </c>
      <c r="CN65" s="1482">
        <f>IFERROR(__xludf.DUMMYFUNCTION("""COMPUTED_VALUE"""),16.445138888888888)</f>
        <v>16.44513889</v>
      </c>
      <c r="CO65" s="1483">
        <f>IFERROR(__xludf.DUMMYFUNCTION("""COMPUTED_VALUE"""),1190000.0)</f>
        <v>1190000</v>
      </c>
      <c r="CP65" s="1482">
        <f>IFERROR(__xludf.DUMMYFUNCTION("""COMPUTED_VALUE"""),37.40972222222222)</f>
        <v>37.40972222</v>
      </c>
      <c r="CQ65" s="1483">
        <f>IFERROR(__xludf.DUMMYFUNCTION("""COMPUTED_VALUE"""),4680000.0)</f>
        <v>4680000</v>
      </c>
      <c r="CR65" s="1518"/>
      <c r="CS65" s="1519"/>
      <c r="CT65" s="1520"/>
      <c r="CU65" s="1519"/>
      <c r="CV65" s="1520"/>
      <c r="CW65" s="1519"/>
      <c r="CX65" s="1520"/>
      <c r="CY65" s="1519"/>
      <c r="CZ65" s="1520"/>
      <c r="DA65" s="1520"/>
      <c r="DB65" s="1520"/>
      <c r="DC65" s="1520"/>
      <c r="DD65" s="1520"/>
      <c r="DE65" s="1519"/>
      <c r="DF65" s="1518"/>
      <c r="DG65" s="1519"/>
      <c r="DH65" s="1518"/>
      <c r="DI65" s="1519"/>
      <c r="DJ65" s="1518"/>
      <c r="DK65" s="1519"/>
      <c r="DL65" s="1518"/>
      <c r="DM65" s="1519"/>
      <c r="DN65" s="1518"/>
      <c r="DO65" s="1519"/>
      <c r="DP65" s="1518"/>
      <c r="DQ65" s="1519"/>
      <c r="DR65" s="1518"/>
      <c r="DS65" s="1519"/>
      <c r="DT65" s="1518"/>
      <c r="DU65" s="1519"/>
      <c r="DV65" s="1520"/>
      <c r="DW65" s="1519"/>
      <c r="DX65" s="1518"/>
      <c r="DY65" s="1519"/>
      <c r="DZ65" s="1518"/>
      <c r="EA65" s="1519"/>
      <c r="EB65" s="1518"/>
      <c r="EC65" s="1519"/>
      <c r="ED65" s="1518"/>
      <c r="EE65" s="1519"/>
      <c r="EF65" s="1518"/>
      <c r="EG65" s="1519"/>
      <c r="EH65" s="1518"/>
      <c r="EI65" s="1519"/>
      <c r="EJ65" s="1562"/>
      <c r="EK65" s="1560"/>
      <c r="EL65" s="1562"/>
      <c r="EM65" s="1560"/>
      <c r="EN65" s="1518"/>
      <c r="EO65" s="1519"/>
      <c r="EP65" s="1518"/>
      <c r="EQ65" s="1519"/>
      <c r="ER65" s="1518"/>
      <c r="ES65" s="1519"/>
      <c r="ET65" s="1518"/>
      <c r="EU65" s="1519"/>
      <c r="EV65" s="1518"/>
      <c r="EW65" s="1519"/>
      <c r="EX65" s="1518"/>
      <c r="EY65" s="1519"/>
      <c r="EZ65" s="1518"/>
      <c r="FA65" s="1519"/>
      <c r="FB65" s="1520"/>
      <c r="FC65" s="1519"/>
      <c r="FD65" s="1520"/>
      <c r="FE65" s="1519"/>
      <c r="FF65" s="1520"/>
      <c r="FG65" s="1519"/>
      <c r="FH65" s="1520"/>
      <c r="FI65" s="1520"/>
      <c r="FJ65" s="1520"/>
      <c r="FK65" s="1519"/>
      <c r="FL65" s="1518"/>
      <c r="FM65" s="1519"/>
      <c r="FN65" s="1532"/>
      <c r="FO65" s="1520"/>
      <c r="FP65" s="1532"/>
      <c r="FQ65" s="1520"/>
      <c r="FR65" s="1532"/>
      <c r="FS65" s="1520"/>
      <c r="FT65" s="1532"/>
      <c r="FU65" s="1519"/>
      <c r="FV65" s="1532"/>
      <c r="FW65" s="1519"/>
      <c r="FX65" s="1572"/>
      <c r="FY65" s="1560"/>
      <c r="FZ65" s="1572"/>
      <c r="GA65" s="1560"/>
      <c r="GB65" s="1572"/>
      <c r="GC65" s="1560"/>
      <c r="GD65" s="1527"/>
      <c r="GE65" s="1560"/>
      <c r="GF65" s="1518"/>
      <c r="GG65" s="1519"/>
      <c r="GH65" s="1518"/>
      <c r="GI65" s="1519"/>
      <c r="GJ65" s="1518"/>
      <c r="GK65" s="1519"/>
      <c r="GL65" s="1518"/>
      <c r="GM65" s="1519"/>
      <c r="GN65" s="1520"/>
      <c r="GO65" s="1519"/>
      <c r="GP65" s="1520"/>
      <c r="GQ65" s="1519"/>
      <c r="GR65" s="1518"/>
      <c r="GS65" s="1519"/>
      <c r="GT65" s="1518"/>
      <c r="GU65" s="1519"/>
      <c r="GV65" s="1520"/>
      <c r="GW65" s="1519"/>
      <c r="GX65" s="1561"/>
      <c r="GY65" s="1527"/>
      <c r="GZ65" s="1518"/>
      <c r="HA65" s="1519"/>
      <c r="HB65" s="1501">
        <f>IFERROR(__xludf.DUMMYFUNCTION("""COMPUTED_VALUE"""),1529.0708333333334)</f>
        <v>1529.070833</v>
      </c>
      <c r="HC65" s="1502">
        <f>IFERROR(__xludf.DUMMYFUNCTION("""COMPUTED_VALUE"""),1.832E13)</f>
        <v>18320000000000</v>
      </c>
      <c r="HD65" s="1518"/>
      <c r="HE65" s="1519"/>
      <c r="HF65" s="1518"/>
      <c r="HG65" s="1519"/>
      <c r="HH65" s="1518"/>
      <c r="HI65" s="1519"/>
      <c r="HJ65" s="1518"/>
      <c r="HK65" s="1519"/>
      <c r="HL65" s="1518"/>
      <c r="HM65" s="1519"/>
      <c r="HN65" s="1520"/>
      <c r="HO65" s="1519"/>
      <c r="HP65" s="1518"/>
      <c r="HQ65" s="1519"/>
      <c r="HR65" s="1518"/>
      <c r="HS65" s="1519"/>
      <c r="HT65" s="1518"/>
      <c r="HU65" s="1519"/>
      <c r="HV65" s="1518"/>
      <c r="HW65" s="1519"/>
      <c r="HX65" s="1518"/>
      <c r="HY65" s="1519"/>
      <c r="HZ65" s="1518"/>
      <c r="IA65" s="1519"/>
      <c r="IB65" s="1518"/>
      <c r="IC65" s="1519"/>
      <c r="ID65" s="1518"/>
      <c r="IE65" s="1519"/>
      <c r="IF65" s="1518"/>
      <c r="IG65" s="1519"/>
      <c r="IH65" s="1518"/>
      <c r="II65" s="1519"/>
      <c r="IJ65" s="1518"/>
      <c r="IK65" s="1519"/>
      <c r="IL65" s="1518"/>
      <c r="IM65" s="1519"/>
      <c r="IN65" s="1518"/>
      <c r="IO65" s="1519"/>
      <c r="IP65" s="1518"/>
      <c r="IQ65" s="1519"/>
      <c r="IR65" s="1518"/>
      <c r="IS65" s="1519"/>
      <c r="IT65" s="1518"/>
      <c r="IU65" s="1519"/>
      <c r="IV65" s="1518"/>
      <c r="IW65" s="1519"/>
      <c r="IX65" s="1518"/>
      <c r="IY65" s="1519"/>
      <c r="IZ65" s="1518"/>
      <c r="JA65" s="1519"/>
      <c r="JB65" s="1518"/>
      <c r="JC65" s="1519"/>
      <c r="JD65" s="1518"/>
      <c r="JE65" s="1519"/>
      <c r="JF65" s="1518"/>
      <c r="JG65" s="1519"/>
      <c r="JH65" s="1518"/>
      <c r="JI65" s="1519"/>
      <c r="JJ65" s="1562"/>
      <c r="JK65" s="1560"/>
      <c r="JL65" s="1562"/>
      <c r="JM65" s="1560"/>
      <c r="JN65" s="1562"/>
      <c r="JO65" s="1560"/>
      <c r="JP65" s="1562"/>
      <c r="JQ65" s="1560"/>
      <c r="JR65" s="1562"/>
      <c r="JS65" s="1560"/>
      <c r="JT65" s="1562"/>
      <c r="JU65" s="1560"/>
      <c r="JV65" s="1562"/>
      <c r="JW65" s="1560"/>
      <c r="JX65" s="1562"/>
      <c r="JY65" s="1527"/>
      <c r="JZ65" s="1566">
        <f>IFERROR(__xludf.DUMMYFUNCTION("""COMPUTED_VALUE"""),5.602893519)</f>
        <v>5.602893519</v>
      </c>
      <c r="KA65" s="1514">
        <f>IFERROR(__xludf.DUMMYFUNCTION("""COMPUTED_VALUE"""),1.382E11)</f>
        <v>138200000000</v>
      </c>
      <c r="KB65" s="1562"/>
      <c r="KC65" s="1527"/>
      <c r="KD65" s="1562"/>
      <c r="KE65" s="1527"/>
      <c r="KF65" s="1527"/>
      <c r="KG65" s="1527"/>
      <c r="KH65" s="1527"/>
      <c r="KI65" s="1527"/>
      <c r="KJ65" s="1527"/>
      <c r="KK65" s="1527"/>
      <c r="KL65" s="1527"/>
      <c r="KM65" s="1527"/>
      <c r="KN65" s="1527"/>
      <c r="KO65" s="1527"/>
      <c r="KP65" s="1527"/>
      <c r="KQ65" s="1527"/>
      <c r="KR65" s="1527"/>
      <c r="KS65" s="1527"/>
      <c r="KT65" s="1527"/>
      <c r="KU65" s="1527"/>
      <c r="KV65" s="1527"/>
      <c r="KW65" s="1527"/>
      <c r="KX65" s="1527"/>
      <c r="KY65" s="1527"/>
      <c r="KZ65" s="1527"/>
      <c r="LA65" s="1527"/>
      <c r="LB65" s="1527"/>
      <c r="LC65" s="1527"/>
      <c r="LD65" s="1527"/>
      <c r="LE65" s="1527"/>
      <c r="LF65" s="1527"/>
      <c r="LG65" s="1527"/>
      <c r="LH65" s="1527"/>
      <c r="LI65" s="1527"/>
      <c r="LJ65" s="1527"/>
      <c r="LK65" s="1527"/>
      <c r="LL65" s="1527"/>
      <c r="LM65" s="1527"/>
      <c r="LN65" s="1527"/>
      <c r="LO65" s="1527"/>
      <c r="LP65" s="1527"/>
      <c r="LQ65" s="1527"/>
      <c r="LR65" s="1527"/>
      <c r="LS65" s="1527"/>
      <c r="LT65" s="1527"/>
      <c r="LU65" s="1527"/>
      <c r="LV65" s="1527"/>
      <c r="LW65" s="1527"/>
      <c r="LX65" s="1527"/>
      <c r="LY65" s="1527"/>
      <c r="LZ65" s="1527"/>
      <c r="MA65" s="1527"/>
      <c r="MB65" s="1527"/>
      <c r="MC65" s="1527"/>
      <c r="MD65" s="1527"/>
      <c r="ME65" s="1527"/>
      <c r="MF65" s="1527"/>
      <c r="MG65" s="1527"/>
      <c r="MH65" s="1527"/>
      <c r="MI65" s="1527"/>
      <c r="MJ65" s="1527"/>
      <c r="MK65" s="1527"/>
      <c r="ML65" s="1527"/>
      <c r="MM65" s="1527"/>
      <c r="MN65" s="1527"/>
      <c r="MO65" s="1527"/>
      <c r="MP65" s="1527"/>
      <c r="MQ65" s="1527"/>
      <c r="MR65" s="1527"/>
      <c r="MS65" s="1527"/>
      <c r="MT65" s="1527"/>
      <c r="MU65" s="1527"/>
      <c r="MV65" s="1527"/>
      <c r="MW65" s="1527"/>
      <c r="MX65" s="1527"/>
      <c r="MY65" s="1527"/>
    </row>
    <row r="66">
      <c r="A66" s="1465">
        <f>IFERROR(__xludf.DUMMYFUNCTION("""COMPUTED_VALUE"""),64.0)</f>
        <v>64</v>
      </c>
      <c r="B66" s="1518"/>
      <c r="C66" s="1520"/>
      <c r="D66" s="1466">
        <f>IFERROR(__xludf.DUMMYFUNCTION("""COMPUTED_VALUE"""),17.084027777777777)</f>
        <v>17.08402778</v>
      </c>
      <c r="E66" s="1467">
        <f>IFERROR(__xludf.DUMMYFUNCTION("""COMPUTED_VALUE"""),1240000.0)</f>
        <v>1240000</v>
      </c>
      <c r="F66" s="1466">
        <f>IFERROR(__xludf.DUMMYFUNCTION("""COMPUTED_VALUE"""),17.084027777777777)</f>
        <v>17.08402778</v>
      </c>
      <c r="G66" s="1467">
        <f>IFERROR(__xludf.DUMMYFUNCTION("""COMPUTED_VALUE"""),1240000.0)</f>
        <v>1240000</v>
      </c>
      <c r="H66" s="1466">
        <f>IFERROR(__xludf.DUMMYFUNCTION("""COMPUTED_VALUE"""),17.084027777777777)</f>
        <v>17.08402778</v>
      </c>
      <c r="I66" s="1467">
        <f>IFERROR(__xludf.DUMMYFUNCTION("""COMPUTED_VALUE"""),1240000.0)</f>
        <v>1240000</v>
      </c>
      <c r="J66" s="1466">
        <f>IFERROR(__xludf.DUMMYFUNCTION("""COMPUTED_VALUE"""),17.084027777777777)</f>
        <v>17.08402778</v>
      </c>
      <c r="K66" s="1467">
        <f>IFERROR(__xludf.DUMMYFUNCTION("""COMPUTED_VALUE"""),1240000.0)</f>
        <v>1240000</v>
      </c>
      <c r="L66" s="1466">
        <f>IFERROR(__xludf.DUMMYFUNCTION("""COMPUTED_VALUE"""),31.7625)</f>
        <v>31.7625</v>
      </c>
      <c r="M66" s="1469">
        <f>IFERROR(__xludf.DUMMYFUNCTION("""COMPUTED_VALUE"""),3990000.0)</f>
        <v>3990000</v>
      </c>
      <c r="N66" s="1470">
        <f>IFERROR(__xludf.DUMMYFUNCTION("""COMPUTED_VALUE"""),14.054166666666667)</f>
        <v>14.05416667</v>
      </c>
      <c r="O66" s="1467">
        <f>IFERROR(__xludf.DUMMYFUNCTION("""COMPUTED_VALUE"""),4920000.0)</f>
        <v>4920000</v>
      </c>
      <c r="P66" s="1518"/>
      <c r="Q66" s="1519"/>
      <c r="R66" s="1518"/>
      <c r="S66" s="1519"/>
      <c r="T66" s="1518"/>
      <c r="U66" s="1519"/>
      <c r="V66" s="1518"/>
      <c r="W66" s="1519"/>
      <c r="X66" s="1518"/>
      <c r="Y66" s="1519"/>
      <c r="Z66" s="1518"/>
      <c r="AA66" s="1519"/>
      <c r="AB66" s="1518"/>
      <c r="AC66" s="1519"/>
      <c r="AD66" s="1466">
        <f>IFERROR(__xludf.DUMMYFUNCTION("""COMPUTED_VALUE"""),69.11666666666666)</f>
        <v>69.11666667</v>
      </c>
      <c r="AE66" s="1474">
        <f>IFERROR(__xludf.DUMMYFUNCTION("""COMPUTED_VALUE"""),1.508103665E16)</f>
        <v>1.5081E+16</v>
      </c>
      <c r="AF66" s="1466">
        <f>IFERROR(__xludf.DUMMYFUNCTION("""COMPUTED_VALUE"""),69.11666666666666)</f>
        <v>69.11666667</v>
      </c>
      <c r="AG66" s="1474">
        <f>IFERROR(__xludf.DUMMYFUNCTION("""COMPUTED_VALUE"""),1.508103665E16)</f>
        <v>1.5081E+16</v>
      </c>
      <c r="AH66" s="1466">
        <f>IFERROR(__xludf.DUMMYFUNCTION("""COMPUTED_VALUE"""),69.11666666666666)</f>
        <v>69.11666667</v>
      </c>
      <c r="AI66" s="1474">
        <f>IFERROR(__xludf.DUMMYFUNCTION("""COMPUTED_VALUE"""),1.508103665E16)</f>
        <v>1.5081E+16</v>
      </c>
      <c r="AJ66" s="1475">
        <f>IFERROR(__xludf.DUMMYFUNCTION("""COMPUTED_VALUE"""),17.084027777777777)</f>
        <v>17.08402778</v>
      </c>
      <c r="AK66" s="1476">
        <f>IFERROR(__xludf.DUMMYFUNCTION("""COMPUTED_VALUE"""),1240000.0)</f>
        <v>1240000</v>
      </c>
      <c r="AL66" s="1475">
        <f>IFERROR(__xludf.DUMMYFUNCTION("""COMPUTED_VALUE"""),17.084027777777777)</f>
        <v>17.08402778</v>
      </c>
      <c r="AM66" s="1476">
        <f>IFERROR(__xludf.DUMMYFUNCTION("""COMPUTED_VALUE"""),1240000.0)</f>
        <v>1240000</v>
      </c>
      <c r="AN66" s="1475">
        <f>IFERROR(__xludf.DUMMYFUNCTION("""COMPUTED_VALUE"""),17.084027777777777)</f>
        <v>17.08402778</v>
      </c>
      <c r="AO66" s="1476">
        <f>IFERROR(__xludf.DUMMYFUNCTION("""COMPUTED_VALUE"""),1240000.0)</f>
        <v>1240000</v>
      </c>
      <c r="AP66" s="1475">
        <f>IFERROR(__xludf.DUMMYFUNCTION("""COMPUTED_VALUE"""),17.084027777777777)</f>
        <v>17.08402778</v>
      </c>
      <c r="AQ66" s="1476">
        <f>IFERROR(__xludf.DUMMYFUNCTION("""COMPUTED_VALUE"""),1240000.0)</f>
        <v>1240000</v>
      </c>
      <c r="AR66" s="1475">
        <f>IFERROR(__xludf.DUMMYFUNCTION("""COMPUTED_VALUE"""),17.084027777777777)</f>
        <v>17.08402778</v>
      </c>
      <c r="AS66" s="1476">
        <f>IFERROR(__xludf.DUMMYFUNCTION("""COMPUTED_VALUE"""),1240000.0)</f>
        <v>1240000</v>
      </c>
      <c r="AT66" s="1520"/>
      <c r="AU66" s="1519"/>
      <c r="AV66" s="1520"/>
      <c r="AW66" s="1519"/>
      <c r="AX66" s="1518"/>
      <c r="AY66" s="1568"/>
      <c r="AZ66" s="1518"/>
      <c r="BA66" s="1518"/>
      <c r="BB66" s="1477">
        <f>IFERROR(__xludf.DUMMYFUNCTION("""COMPUTED_VALUE"""),17.084027777777777)</f>
        <v>17.08402778</v>
      </c>
      <c r="BC66" s="1478">
        <f>IFERROR(__xludf.DUMMYFUNCTION("""COMPUTED_VALUE"""),1240000.0)</f>
        <v>1240000</v>
      </c>
      <c r="BD66" s="1477">
        <f>IFERROR(__xludf.DUMMYFUNCTION("""COMPUTED_VALUE"""),17.084027777777777)</f>
        <v>17.08402778</v>
      </c>
      <c r="BE66" s="1478">
        <f>IFERROR(__xludf.DUMMYFUNCTION("""COMPUTED_VALUE"""),1240000.0)</f>
        <v>1240000</v>
      </c>
      <c r="BF66" s="1477">
        <f>IFERROR(__xludf.DUMMYFUNCTION("""COMPUTED_VALUE"""),17.084027777777777)</f>
        <v>17.08402778</v>
      </c>
      <c r="BG66" s="1478">
        <f>IFERROR(__xludf.DUMMYFUNCTION("""COMPUTED_VALUE"""),1240000.0)</f>
        <v>1240000</v>
      </c>
      <c r="BH66" s="1518"/>
      <c r="BI66" s="1519"/>
      <c r="BJ66" s="1518"/>
      <c r="BK66" s="1519"/>
      <c r="BL66" s="1518"/>
      <c r="BM66" s="1519"/>
      <c r="BN66" s="1518"/>
      <c r="BO66" s="1519"/>
      <c r="BP66" s="1518"/>
      <c r="BQ66" s="1519"/>
      <c r="BR66" s="1520"/>
      <c r="BS66" s="1519"/>
      <c r="BT66" s="1520"/>
      <c r="BU66" s="1520"/>
      <c r="BV66" s="1520"/>
      <c r="BW66" s="1520"/>
      <c r="BX66" s="1520"/>
      <c r="BY66" s="1520"/>
      <c r="BZ66" s="1520"/>
      <c r="CA66" s="1520"/>
      <c r="CB66" s="1520"/>
      <c r="CC66" s="1519"/>
      <c r="CD66" s="1520"/>
      <c r="CE66" s="1520"/>
      <c r="CF66" s="1527"/>
      <c r="CG66" s="1560"/>
      <c r="CH66" s="1482">
        <f>IFERROR(__xludf.DUMMYFUNCTION("""COMPUTED_VALUE"""),17.084027777777777)</f>
        <v>17.08402778</v>
      </c>
      <c r="CI66" s="1483">
        <f>IFERROR(__xludf.DUMMYFUNCTION("""COMPUTED_VALUE"""),1240000.0)</f>
        <v>1240000</v>
      </c>
      <c r="CJ66" s="1482">
        <f>IFERROR(__xludf.DUMMYFUNCTION("""COMPUTED_VALUE"""),17.084027777777777)</f>
        <v>17.08402778</v>
      </c>
      <c r="CK66" s="1483">
        <f>IFERROR(__xludf.DUMMYFUNCTION("""COMPUTED_VALUE"""),1240000.0)</f>
        <v>1240000</v>
      </c>
      <c r="CL66" s="1482">
        <f>IFERROR(__xludf.DUMMYFUNCTION("""COMPUTED_VALUE"""),17.084027777777777)</f>
        <v>17.08402778</v>
      </c>
      <c r="CM66" s="1483">
        <f>IFERROR(__xludf.DUMMYFUNCTION("""COMPUTED_VALUE"""),1240000.0)</f>
        <v>1240000</v>
      </c>
      <c r="CN66" s="1482">
        <f>IFERROR(__xludf.DUMMYFUNCTION("""COMPUTED_VALUE"""),17.084027777777777)</f>
        <v>17.08402778</v>
      </c>
      <c r="CO66" s="1483">
        <f>IFERROR(__xludf.DUMMYFUNCTION("""COMPUTED_VALUE"""),1240000.0)</f>
        <v>1240000</v>
      </c>
      <c r="CP66" s="1482">
        <f>IFERROR(__xludf.DUMMYFUNCTION("""COMPUTED_VALUE"""),38.989583333333336)</f>
        <v>38.98958333</v>
      </c>
      <c r="CQ66" s="1483">
        <f>IFERROR(__xludf.DUMMYFUNCTION("""COMPUTED_VALUE"""),4920000.0)</f>
        <v>4920000</v>
      </c>
      <c r="CR66" s="1518"/>
      <c r="CS66" s="1519"/>
      <c r="CT66" s="1520"/>
      <c r="CU66" s="1519"/>
      <c r="CV66" s="1520"/>
      <c r="CW66" s="1519"/>
      <c r="CX66" s="1520"/>
      <c r="CY66" s="1519"/>
      <c r="CZ66" s="1520"/>
      <c r="DA66" s="1520"/>
      <c r="DB66" s="1520"/>
      <c r="DC66" s="1520"/>
      <c r="DD66" s="1520"/>
      <c r="DE66" s="1519"/>
      <c r="DF66" s="1518"/>
      <c r="DG66" s="1519"/>
      <c r="DH66" s="1518"/>
      <c r="DI66" s="1519"/>
      <c r="DJ66" s="1518"/>
      <c r="DK66" s="1519"/>
      <c r="DL66" s="1518"/>
      <c r="DM66" s="1519"/>
      <c r="DN66" s="1518"/>
      <c r="DO66" s="1519"/>
      <c r="DP66" s="1518"/>
      <c r="DQ66" s="1519"/>
      <c r="DR66" s="1518"/>
      <c r="DS66" s="1519"/>
      <c r="DT66" s="1518"/>
      <c r="DU66" s="1519"/>
      <c r="DV66" s="1520"/>
      <c r="DW66" s="1519"/>
      <c r="DX66" s="1518"/>
      <c r="DY66" s="1519"/>
      <c r="DZ66" s="1518"/>
      <c r="EA66" s="1519"/>
      <c r="EB66" s="1518"/>
      <c r="EC66" s="1519"/>
      <c r="ED66" s="1518"/>
      <c r="EE66" s="1519"/>
      <c r="EF66" s="1518"/>
      <c r="EG66" s="1519"/>
      <c r="EH66" s="1518"/>
      <c r="EI66" s="1519"/>
      <c r="EJ66" s="1562"/>
      <c r="EK66" s="1560"/>
      <c r="EL66" s="1562"/>
      <c r="EM66" s="1560"/>
      <c r="EN66" s="1518"/>
      <c r="EO66" s="1519"/>
      <c r="EP66" s="1518"/>
      <c r="EQ66" s="1519"/>
      <c r="ER66" s="1518"/>
      <c r="ES66" s="1519"/>
      <c r="ET66" s="1518"/>
      <c r="EU66" s="1519"/>
      <c r="EV66" s="1518"/>
      <c r="EW66" s="1519"/>
      <c r="EX66" s="1518"/>
      <c r="EY66" s="1519"/>
      <c r="EZ66" s="1518"/>
      <c r="FA66" s="1519"/>
      <c r="FB66" s="1520"/>
      <c r="FC66" s="1519"/>
      <c r="FD66" s="1520"/>
      <c r="FE66" s="1519"/>
      <c r="FF66" s="1520"/>
      <c r="FG66" s="1519"/>
      <c r="FH66" s="1520"/>
      <c r="FI66" s="1520"/>
      <c r="FJ66" s="1520"/>
      <c r="FK66" s="1519"/>
      <c r="FL66" s="1518"/>
      <c r="FM66" s="1519"/>
      <c r="FN66" s="1532"/>
      <c r="FO66" s="1520"/>
      <c r="FP66" s="1532"/>
      <c r="FQ66" s="1520"/>
      <c r="FR66" s="1532"/>
      <c r="FS66" s="1520"/>
      <c r="FT66" s="1532"/>
      <c r="FU66" s="1519"/>
      <c r="FV66" s="1532"/>
      <c r="FW66" s="1519"/>
      <c r="FX66" s="1572"/>
      <c r="FY66" s="1560"/>
      <c r="FZ66" s="1572"/>
      <c r="GA66" s="1560"/>
      <c r="GB66" s="1572"/>
      <c r="GC66" s="1560"/>
      <c r="GD66" s="1527"/>
      <c r="GE66" s="1560"/>
      <c r="GF66" s="1518"/>
      <c r="GG66" s="1519"/>
      <c r="GH66" s="1518"/>
      <c r="GI66" s="1519"/>
      <c r="GJ66" s="1518"/>
      <c r="GK66" s="1519"/>
      <c r="GL66" s="1518"/>
      <c r="GM66" s="1519"/>
      <c r="GN66" s="1520"/>
      <c r="GO66" s="1519"/>
      <c r="GP66" s="1520"/>
      <c r="GQ66" s="1519"/>
      <c r="GR66" s="1518"/>
      <c r="GS66" s="1519"/>
      <c r="GT66" s="1518"/>
      <c r="GU66" s="1519"/>
      <c r="GV66" s="1520"/>
      <c r="GW66" s="1519"/>
      <c r="GX66" s="1561"/>
      <c r="GY66" s="1527"/>
      <c r="GZ66" s="1518"/>
      <c r="HA66" s="1519"/>
      <c r="HB66" s="1501">
        <f>IFERROR(__xludf.DUMMYFUNCTION("""COMPUTED_VALUE"""),1616.7826388888889)</f>
        <v>1616.782639</v>
      </c>
      <c r="HC66" s="1502">
        <f>IFERROR(__xludf.DUMMYFUNCTION("""COMPUTED_VALUE"""),1.985E13)</f>
        <v>19850000000000</v>
      </c>
      <c r="HD66" s="1518"/>
      <c r="HE66" s="1519"/>
      <c r="HF66" s="1518"/>
      <c r="HG66" s="1519"/>
      <c r="HH66" s="1518"/>
      <c r="HI66" s="1519"/>
      <c r="HJ66" s="1518"/>
      <c r="HK66" s="1519"/>
      <c r="HL66" s="1518"/>
      <c r="HM66" s="1519"/>
      <c r="HN66" s="1520"/>
      <c r="HO66" s="1519"/>
      <c r="HP66" s="1518"/>
      <c r="HQ66" s="1519"/>
      <c r="HR66" s="1518"/>
      <c r="HS66" s="1519"/>
      <c r="HT66" s="1518"/>
      <c r="HU66" s="1519"/>
      <c r="HV66" s="1518"/>
      <c r="HW66" s="1519"/>
      <c r="HX66" s="1518"/>
      <c r="HY66" s="1519"/>
      <c r="HZ66" s="1518"/>
      <c r="IA66" s="1519"/>
      <c r="IB66" s="1518"/>
      <c r="IC66" s="1519"/>
      <c r="ID66" s="1518"/>
      <c r="IE66" s="1519"/>
      <c r="IF66" s="1518"/>
      <c r="IG66" s="1519"/>
      <c r="IH66" s="1518"/>
      <c r="II66" s="1519"/>
      <c r="IJ66" s="1518"/>
      <c r="IK66" s="1519"/>
      <c r="IL66" s="1518"/>
      <c r="IM66" s="1519"/>
      <c r="IN66" s="1518"/>
      <c r="IO66" s="1519"/>
      <c r="IP66" s="1518"/>
      <c r="IQ66" s="1519"/>
      <c r="IR66" s="1518"/>
      <c r="IS66" s="1519"/>
      <c r="IT66" s="1518"/>
      <c r="IU66" s="1519"/>
      <c r="IV66" s="1518"/>
      <c r="IW66" s="1519"/>
      <c r="IX66" s="1518"/>
      <c r="IY66" s="1519"/>
      <c r="IZ66" s="1518"/>
      <c r="JA66" s="1519"/>
      <c r="JB66" s="1518"/>
      <c r="JC66" s="1519"/>
      <c r="JD66" s="1518"/>
      <c r="JE66" s="1519"/>
      <c r="JF66" s="1518"/>
      <c r="JG66" s="1519"/>
      <c r="JH66" s="1518"/>
      <c r="JI66" s="1519"/>
      <c r="JJ66" s="1562"/>
      <c r="JK66" s="1560"/>
      <c r="JL66" s="1562"/>
      <c r="JM66" s="1560"/>
      <c r="JN66" s="1562"/>
      <c r="JO66" s="1560"/>
      <c r="JP66" s="1562"/>
      <c r="JQ66" s="1560"/>
      <c r="JR66" s="1562"/>
      <c r="JS66" s="1560"/>
      <c r="JT66" s="1562"/>
      <c r="JU66" s="1560"/>
      <c r="JV66" s="1562"/>
      <c r="JW66" s="1560"/>
      <c r="JX66" s="1562"/>
      <c r="JY66" s="1527"/>
      <c r="JZ66" s="1566">
        <f>IFERROR(__xludf.DUMMYFUNCTION("""COMPUTED_VALUE"""),5.70125)</f>
        <v>5.70125</v>
      </c>
      <c r="KA66" s="1514">
        <f>IFERROR(__xludf.DUMMYFUNCTION("""COMPUTED_VALUE"""),1.443E11)</f>
        <v>144300000000</v>
      </c>
      <c r="KB66" s="1562"/>
      <c r="KC66" s="1527"/>
      <c r="KD66" s="1562"/>
      <c r="KE66" s="1527"/>
      <c r="KF66" s="1527"/>
      <c r="KG66" s="1527"/>
      <c r="KH66" s="1527"/>
      <c r="KI66" s="1527"/>
      <c r="KJ66" s="1527"/>
      <c r="KK66" s="1527"/>
      <c r="KL66" s="1527"/>
      <c r="KM66" s="1527"/>
      <c r="KN66" s="1527"/>
      <c r="KO66" s="1527"/>
      <c r="KP66" s="1527"/>
      <c r="KQ66" s="1527"/>
      <c r="KR66" s="1527"/>
      <c r="KS66" s="1527"/>
      <c r="KT66" s="1527"/>
      <c r="KU66" s="1527"/>
      <c r="KV66" s="1527"/>
      <c r="KW66" s="1527"/>
      <c r="KX66" s="1527"/>
      <c r="KY66" s="1527"/>
      <c r="KZ66" s="1527"/>
      <c r="LA66" s="1527"/>
      <c r="LB66" s="1527"/>
      <c r="LC66" s="1527"/>
      <c r="LD66" s="1527"/>
      <c r="LE66" s="1527"/>
      <c r="LF66" s="1527"/>
      <c r="LG66" s="1527"/>
      <c r="LH66" s="1527"/>
      <c r="LI66" s="1527"/>
      <c r="LJ66" s="1527"/>
      <c r="LK66" s="1527"/>
      <c r="LL66" s="1527"/>
      <c r="LM66" s="1527"/>
      <c r="LN66" s="1527"/>
      <c r="LO66" s="1527"/>
      <c r="LP66" s="1527"/>
      <c r="LQ66" s="1527"/>
      <c r="LR66" s="1527"/>
      <c r="LS66" s="1527"/>
      <c r="LT66" s="1527"/>
      <c r="LU66" s="1527"/>
      <c r="LV66" s="1527"/>
      <c r="LW66" s="1527"/>
      <c r="LX66" s="1527"/>
      <c r="LY66" s="1527"/>
      <c r="LZ66" s="1527"/>
      <c r="MA66" s="1527"/>
      <c r="MB66" s="1527"/>
      <c r="MC66" s="1527"/>
      <c r="MD66" s="1527"/>
      <c r="ME66" s="1527"/>
      <c r="MF66" s="1527"/>
      <c r="MG66" s="1527"/>
      <c r="MH66" s="1527"/>
      <c r="MI66" s="1527"/>
      <c r="MJ66" s="1527"/>
      <c r="MK66" s="1527"/>
      <c r="ML66" s="1527"/>
      <c r="MM66" s="1527"/>
      <c r="MN66" s="1527"/>
      <c r="MO66" s="1527"/>
      <c r="MP66" s="1527"/>
      <c r="MQ66" s="1527"/>
      <c r="MR66" s="1527"/>
      <c r="MS66" s="1527"/>
      <c r="MT66" s="1527"/>
      <c r="MU66" s="1527"/>
      <c r="MV66" s="1527"/>
      <c r="MW66" s="1527"/>
      <c r="MX66" s="1527"/>
      <c r="MY66" s="1527"/>
    </row>
    <row r="67">
      <c r="A67" s="1465">
        <f>IFERROR(__xludf.DUMMYFUNCTION("""COMPUTED_VALUE"""),65.0)</f>
        <v>65</v>
      </c>
      <c r="B67" s="1518"/>
      <c r="C67" s="1520"/>
      <c r="D67" s="1466">
        <f>IFERROR(__xludf.DUMMYFUNCTION("""COMPUTED_VALUE"""),17.7375)</f>
        <v>17.7375</v>
      </c>
      <c r="E67" s="1467">
        <f>IFERROR(__xludf.DUMMYFUNCTION("""COMPUTED_VALUE"""),1300000.0)</f>
        <v>1300000</v>
      </c>
      <c r="F67" s="1466">
        <f>IFERROR(__xludf.DUMMYFUNCTION("""COMPUTED_VALUE"""),17.7375)</f>
        <v>17.7375</v>
      </c>
      <c r="G67" s="1467">
        <f>IFERROR(__xludf.DUMMYFUNCTION("""COMPUTED_VALUE"""),1300000.0)</f>
        <v>1300000</v>
      </c>
      <c r="H67" s="1466">
        <f>IFERROR(__xludf.DUMMYFUNCTION("""COMPUTED_VALUE"""),17.7375)</f>
        <v>17.7375</v>
      </c>
      <c r="I67" s="1467">
        <f>IFERROR(__xludf.DUMMYFUNCTION("""COMPUTED_VALUE"""),1300000.0)</f>
        <v>1300000</v>
      </c>
      <c r="J67" s="1466">
        <f>IFERROR(__xludf.DUMMYFUNCTION("""COMPUTED_VALUE"""),17.7375)</f>
        <v>17.7375</v>
      </c>
      <c r="K67" s="1467">
        <f>IFERROR(__xludf.DUMMYFUNCTION("""COMPUTED_VALUE"""),1300000.0)</f>
        <v>1300000</v>
      </c>
      <c r="L67" s="1466">
        <f>IFERROR(__xludf.DUMMYFUNCTION("""COMPUTED_VALUE"""),33.05486111111111)</f>
        <v>33.05486111</v>
      </c>
      <c r="M67" s="1469">
        <f>IFERROR(__xludf.DUMMYFUNCTION("""COMPUTED_VALUE"""),4180000.0)</f>
        <v>4180000</v>
      </c>
      <c r="N67" s="1470">
        <f>IFERROR(__xludf.DUMMYFUNCTION("""COMPUTED_VALUE"""),14.497916666666667)</f>
        <v>14.49791667</v>
      </c>
      <c r="O67" s="1467">
        <f>IFERROR(__xludf.DUMMYFUNCTION("""COMPUTED_VALUE"""),5170000.0)</f>
        <v>5170000</v>
      </c>
      <c r="P67" s="1518"/>
      <c r="Q67" s="1519"/>
      <c r="R67" s="1518"/>
      <c r="S67" s="1519"/>
      <c r="T67" s="1518"/>
      <c r="U67" s="1519"/>
      <c r="V67" s="1518"/>
      <c r="W67" s="1519"/>
      <c r="X67" s="1518"/>
      <c r="Y67" s="1519"/>
      <c r="Z67" s="1518"/>
      <c r="AA67" s="1519"/>
      <c r="AB67" s="1518"/>
      <c r="AC67" s="1519"/>
      <c r="AD67" s="1466">
        <f>IFERROR(__xludf.DUMMYFUNCTION("""COMPUTED_VALUE"""),70.19652777777777)</f>
        <v>70.19652778</v>
      </c>
      <c r="AE67" s="1474">
        <f>IFERROR(__xludf.DUMMYFUNCTION("""COMPUTED_VALUE"""),1.960534764E16)</f>
        <v>1.96053E+16</v>
      </c>
      <c r="AF67" s="1466">
        <f>IFERROR(__xludf.DUMMYFUNCTION("""COMPUTED_VALUE"""),70.19652777777777)</f>
        <v>70.19652778</v>
      </c>
      <c r="AG67" s="1474">
        <f>IFERROR(__xludf.DUMMYFUNCTION("""COMPUTED_VALUE"""),1.960534764E16)</f>
        <v>1.96053E+16</v>
      </c>
      <c r="AH67" s="1466">
        <f>IFERROR(__xludf.DUMMYFUNCTION("""COMPUTED_VALUE"""),70.19652777777777)</f>
        <v>70.19652778</v>
      </c>
      <c r="AI67" s="1474">
        <f>IFERROR(__xludf.DUMMYFUNCTION("""COMPUTED_VALUE"""),1.960534764E16)</f>
        <v>1.96053E+16</v>
      </c>
      <c r="AJ67" s="1475">
        <f>IFERROR(__xludf.DUMMYFUNCTION("""COMPUTED_VALUE"""),17.7375)</f>
        <v>17.7375</v>
      </c>
      <c r="AK67" s="1476">
        <f>IFERROR(__xludf.DUMMYFUNCTION("""COMPUTED_VALUE"""),1300000.0)</f>
        <v>1300000</v>
      </c>
      <c r="AL67" s="1475">
        <f>IFERROR(__xludf.DUMMYFUNCTION("""COMPUTED_VALUE"""),17.7375)</f>
        <v>17.7375</v>
      </c>
      <c r="AM67" s="1476">
        <f>IFERROR(__xludf.DUMMYFUNCTION("""COMPUTED_VALUE"""),1300000.0)</f>
        <v>1300000</v>
      </c>
      <c r="AN67" s="1475">
        <f>IFERROR(__xludf.DUMMYFUNCTION("""COMPUTED_VALUE"""),17.7375)</f>
        <v>17.7375</v>
      </c>
      <c r="AO67" s="1476">
        <f>IFERROR(__xludf.DUMMYFUNCTION("""COMPUTED_VALUE"""),1300000.0)</f>
        <v>1300000</v>
      </c>
      <c r="AP67" s="1475">
        <f>IFERROR(__xludf.DUMMYFUNCTION("""COMPUTED_VALUE"""),17.7375)</f>
        <v>17.7375</v>
      </c>
      <c r="AQ67" s="1476">
        <f>IFERROR(__xludf.DUMMYFUNCTION("""COMPUTED_VALUE"""),1300000.0)</f>
        <v>1300000</v>
      </c>
      <c r="AR67" s="1475">
        <f>IFERROR(__xludf.DUMMYFUNCTION("""COMPUTED_VALUE"""),17.7375)</f>
        <v>17.7375</v>
      </c>
      <c r="AS67" s="1476">
        <f>IFERROR(__xludf.DUMMYFUNCTION("""COMPUTED_VALUE"""),1300000.0)</f>
        <v>1300000</v>
      </c>
      <c r="AT67" s="1520"/>
      <c r="AU67" s="1519"/>
      <c r="AV67" s="1520"/>
      <c r="AW67" s="1519"/>
      <c r="AX67" s="1518"/>
      <c r="AY67" s="1568"/>
      <c r="AZ67" s="1518"/>
      <c r="BA67" s="1518"/>
      <c r="BB67" s="1477">
        <f>IFERROR(__xludf.DUMMYFUNCTION("""COMPUTED_VALUE"""),17.7375)</f>
        <v>17.7375</v>
      </c>
      <c r="BC67" s="1478">
        <f>IFERROR(__xludf.DUMMYFUNCTION("""COMPUTED_VALUE"""),1300000.0)</f>
        <v>1300000</v>
      </c>
      <c r="BD67" s="1477">
        <f>IFERROR(__xludf.DUMMYFUNCTION("""COMPUTED_VALUE"""),17.7375)</f>
        <v>17.7375</v>
      </c>
      <c r="BE67" s="1478">
        <f>IFERROR(__xludf.DUMMYFUNCTION("""COMPUTED_VALUE"""),1300000.0)</f>
        <v>1300000</v>
      </c>
      <c r="BF67" s="1477">
        <f>IFERROR(__xludf.DUMMYFUNCTION("""COMPUTED_VALUE"""),17.7375)</f>
        <v>17.7375</v>
      </c>
      <c r="BG67" s="1478">
        <f>IFERROR(__xludf.DUMMYFUNCTION("""COMPUTED_VALUE"""),1300000.0)</f>
        <v>1300000</v>
      </c>
      <c r="BH67" s="1518"/>
      <c r="BI67" s="1519"/>
      <c r="BJ67" s="1518"/>
      <c r="BK67" s="1519"/>
      <c r="BL67" s="1518"/>
      <c r="BM67" s="1519"/>
      <c r="BN67" s="1518"/>
      <c r="BO67" s="1519"/>
      <c r="BP67" s="1518"/>
      <c r="BQ67" s="1519"/>
      <c r="BR67" s="1520"/>
      <c r="BS67" s="1519"/>
      <c r="BT67" s="1520"/>
      <c r="BU67" s="1520"/>
      <c r="BV67" s="1520"/>
      <c r="BW67" s="1520"/>
      <c r="BX67" s="1520"/>
      <c r="BY67" s="1520"/>
      <c r="BZ67" s="1520"/>
      <c r="CA67" s="1520"/>
      <c r="CB67" s="1520"/>
      <c r="CC67" s="1519"/>
      <c r="CD67" s="1520"/>
      <c r="CE67" s="1520"/>
      <c r="CF67" s="1527"/>
      <c r="CG67" s="1560"/>
      <c r="CH67" s="1482">
        <f>IFERROR(__xludf.DUMMYFUNCTION("""COMPUTED_VALUE"""),17.7375)</f>
        <v>17.7375</v>
      </c>
      <c r="CI67" s="1483">
        <f>IFERROR(__xludf.DUMMYFUNCTION("""COMPUTED_VALUE"""),1300000.0)</f>
        <v>1300000</v>
      </c>
      <c r="CJ67" s="1482">
        <f>IFERROR(__xludf.DUMMYFUNCTION("""COMPUTED_VALUE"""),17.7375)</f>
        <v>17.7375</v>
      </c>
      <c r="CK67" s="1483">
        <f>IFERROR(__xludf.DUMMYFUNCTION("""COMPUTED_VALUE"""),1300000.0)</f>
        <v>1300000</v>
      </c>
      <c r="CL67" s="1482">
        <f>IFERROR(__xludf.DUMMYFUNCTION("""COMPUTED_VALUE"""),17.7375)</f>
        <v>17.7375</v>
      </c>
      <c r="CM67" s="1483">
        <f>IFERROR(__xludf.DUMMYFUNCTION("""COMPUTED_VALUE"""),1300000.0)</f>
        <v>1300000</v>
      </c>
      <c r="CN67" s="1482">
        <f>IFERROR(__xludf.DUMMYFUNCTION("""COMPUTED_VALUE"""),17.7375)</f>
        <v>17.7375</v>
      </c>
      <c r="CO67" s="1483">
        <f>IFERROR(__xludf.DUMMYFUNCTION("""COMPUTED_VALUE"""),1300000.0)</f>
        <v>1300000</v>
      </c>
      <c r="CP67" s="1482">
        <f>IFERROR(__xludf.DUMMYFUNCTION("""COMPUTED_VALUE"""),40.609722222222224)</f>
        <v>40.60972222</v>
      </c>
      <c r="CQ67" s="1483">
        <f>IFERROR(__xludf.DUMMYFUNCTION("""COMPUTED_VALUE"""),5170000.0)</f>
        <v>5170000</v>
      </c>
      <c r="CR67" s="1518"/>
      <c r="CS67" s="1519"/>
      <c r="CT67" s="1520"/>
      <c r="CU67" s="1519"/>
      <c r="CV67" s="1520"/>
      <c r="CW67" s="1519"/>
      <c r="CX67" s="1520"/>
      <c r="CY67" s="1519"/>
      <c r="CZ67" s="1520"/>
      <c r="DA67" s="1520"/>
      <c r="DB67" s="1520"/>
      <c r="DC67" s="1520"/>
      <c r="DD67" s="1520"/>
      <c r="DE67" s="1519"/>
      <c r="DF67" s="1518"/>
      <c r="DG67" s="1519"/>
      <c r="DH67" s="1518"/>
      <c r="DI67" s="1519"/>
      <c r="DJ67" s="1518"/>
      <c r="DK67" s="1519"/>
      <c r="DL67" s="1518"/>
      <c r="DM67" s="1519"/>
      <c r="DN67" s="1518"/>
      <c r="DO67" s="1519"/>
      <c r="DP67" s="1518"/>
      <c r="DQ67" s="1519"/>
      <c r="DR67" s="1518"/>
      <c r="DS67" s="1519"/>
      <c r="DT67" s="1518"/>
      <c r="DU67" s="1519"/>
      <c r="DV67" s="1520"/>
      <c r="DW67" s="1519"/>
      <c r="DX67" s="1518"/>
      <c r="DY67" s="1519"/>
      <c r="DZ67" s="1518"/>
      <c r="EA67" s="1519"/>
      <c r="EB67" s="1518"/>
      <c r="EC67" s="1519"/>
      <c r="ED67" s="1518"/>
      <c r="EE67" s="1519"/>
      <c r="EF67" s="1518"/>
      <c r="EG67" s="1519"/>
      <c r="EH67" s="1518"/>
      <c r="EI67" s="1519"/>
      <c r="EJ67" s="1562"/>
      <c r="EK67" s="1560"/>
      <c r="EL67" s="1562"/>
      <c r="EM67" s="1560"/>
      <c r="EN67" s="1518"/>
      <c r="EO67" s="1519"/>
      <c r="EP67" s="1518"/>
      <c r="EQ67" s="1519"/>
      <c r="ER67" s="1518"/>
      <c r="ES67" s="1519"/>
      <c r="ET67" s="1518"/>
      <c r="EU67" s="1519"/>
      <c r="EV67" s="1518"/>
      <c r="EW67" s="1519"/>
      <c r="EX67" s="1518"/>
      <c r="EY67" s="1519"/>
      <c r="EZ67" s="1518"/>
      <c r="FA67" s="1519"/>
      <c r="FB67" s="1520"/>
      <c r="FC67" s="1519"/>
      <c r="FD67" s="1520"/>
      <c r="FE67" s="1519"/>
      <c r="FF67" s="1520"/>
      <c r="FG67" s="1519"/>
      <c r="FH67" s="1520"/>
      <c r="FI67" s="1520"/>
      <c r="FJ67" s="1520"/>
      <c r="FK67" s="1519"/>
      <c r="FL67" s="1518"/>
      <c r="FM67" s="1519"/>
      <c r="FN67" s="1532"/>
      <c r="FO67" s="1520"/>
      <c r="FP67" s="1532"/>
      <c r="FQ67" s="1520"/>
      <c r="FR67" s="1532"/>
      <c r="FS67" s="1520"/>
      <c r="FT67" s="1532"/>
      <c r="FU67" s="1519"/>
      <c r="FV67" s="1532"/>
      <c r="FW67" s="1519"/>
      <c r="FX67" s="1572"/>
      <c r="FY67" s="1560"/>
      <c r="FZ67" s="1572"/>
      <c r="GA67" s="1560"/>
      <c r="GB67" s="1572"/>
      <c r="GC67" s="1560"/>
      <c r="GD67" s="1527"/>
      <c r="GE67" s="1560"/>
      <c r="GF67" s="1518"/>
      <c r="GG67" s="1519"/>
      <c r="GH67" s="1518"/>
      <c r="GI67" s="1519"/>
      <c r="GJ67" s="1518"/>
      <c r="GK67" s="1519"/>
      <c r="GL67" s="1518"/>
      <c r="GM67" s="1519"/>
      <c r="GN67" s="1520"/>
      <c r="GO67" s="1519"/>
      <c r="GP67" s="1520"/>
      <c r="GQ67" s="1519"/>
      <c r="GR67" s="1518"/>
      <c r="GS67" s="1519"/>
      <c r="GT67" s="1518"/>
      <c r="GU67" s="1519"/>
      <c r="GV67" s="1520"/>
      <c r="GW67" s="1519"/>
      <c r="GX67" s="1561"/>
      <c r="GY67" s="1527"/>
      <c r="GZ67" s="1518"/>
      <c r="HA67" s="1519"/>
      <c r="HB67" s="1501">
        <f>IFERROR(__xludf.DUMMYFUNCTION("""COMPUTED_VALUE"""),1708.0395833333334)</f>
        <v>1708.039583</v>
      </c>
      <c r="HC67" s="1502">
        <f>IFERROR(__xludf.DUMMYFUNCTION("""COMPUTED_VALUE"""),2.147E13)</f>
        <v>21470000000000</v>
      </c>
      <c r="HD67" s="1518"/>
      <c r="HE67" s="1519"/>
      <c r="HF67" s="1518"/>
      <c r="HG67" s="1519"/>
      <c r="HH67" s="1518"/>
      <c r="HI67" s="1519"/>
      <c r="HJ67" s="1518"/>
      <c r="HK67" s="1519"/>
      <c r="HL67" s="1518"/>
      <c r="HM67" s="1519"/>
      <c r="HN67" s="1520"/>
      <c r="HO67" s="1519"/>
      <c r="HP67" s="1518"/>
      <c r="HQ67" s="1519"/>
      <c r="HR67" s="1518"/>
      <c r="HS67" s="1519"/>
      <c r="HT67" s="1518"/>
      <c r="HU67" s="1519"/>
      <c r="HV67" s="1518"/>
      <c r="HW67" s="1519"/>
      <c r="HX67" s="1518"/>
      <c r="HY67" s="1519"/>
      <c r="HZ67" s="1518"/>
      <c r="IA67" s="1519"/>
      <c r="IB67" s="1518"/>
      <c r="IC67" s="1519"/>
      <c r="ID67" s="1518"/>
      <c r="IE67" s="1519"/>
      <c r="IF67" s="1518"/>
      <c r="IG67" s="1519"/>
      <c r="IH67" s="1518"/>
      <c r="II67" s="1519"/>
      <c r="IJ67" s="1518"/>
      <c r="IK67" s="1519"/>
      <c r="IL67" s="1518"/>
      <c r="IM67" s="1519"/>
      <c r="IN67" s="1518"/>
      <c r="IO67" s="1519"/>
      <c r="IP67" s="1518"/>
      <c r="IQ67" s="1519"/>
      <c r="IR67" s="1518"/>
      <c r="IS67" s="1519"/>
      <c r="IT67" s="1518"/>
      <c r="IU67" s="1519"/>
      <c r="IV67" s="1518"/>
      <c r="IW67" s="1519"/>
      <c r="IX67" s="1518"/>
      <c r="IY67" s="1519"/>
      <c r="IZ67" s="1518"/>
      <c r="JA67" s="1519"/>
      <c r="JB67" s="1518"/>
      <c r="JC67" s="1519"/>
      <c r="JD67" s="1518"/>
      <c r="JE67" s="1519"/>
      <c r="JF67" s="1518"/>
      <c r="JG67" s="1519"/>
      <c r="JH67" s="1518"/>
      <c r="JI67" s="1519"/>
      <c r="JJ67" s="1562"/>
      <c r="JK67" s="1560"/>
      <c r="JL67" s="1562"/>
      <c r="JM67" s="1560"/>
      <c r="JN67" s="1562"/>
      <c r="JO67" s="1560"/>
      <c r="JP67" s="1562"/>
      <c r="JQ67" s="1560"/>
      <c r="JR67" s="1562"/>
      <c r="JS67" s="1560"/>
      <c r="JT67" s="1562"/>
      <c r="JU67" s="1560"/>
      <c r="JV67" s="1562"/>
      <c r="JW67" s="1560"/>
      <c r="JX67" s="1562"/>
      <c r="JY67" s="1527"/>
      <c r="JZ67" s="1566">
        <f>IFERROR(__xludf.DUMMYFUNCTION("""COMPUTED_VALUE"""),5.800520833)</f>
        <v>5.800520833</v>
      </c>
      <c r="KA67" s="1514">
        <f>IFERROR(__xludf.DUMMYFUNCTION("""COMPUTED_VALUE"""),1.5056E11)</f>
        <v>150560000000</v>
      </c>
      <c r="KB67" s="1562"/>
      <c r="KC67" s="1527"/>
      <c r="KD67" s="1562"/>
      <c r="KE67" s="1527"/>
      <c r="KF67" s="1527"/>
      <c r="KG67" s="1527"/>
      <c r="KH67" s="1527"/>
      <c r="KI67" s="1527"/>
      <c r="KJ67" s="1527"/>
      <c r="KK67" s="1527"/>
      <c r="KL67" s="1527"/>
      <c r="KM67" s="1527"/>
      <c r="KN67" s="1527"/>
      <c r="KO67" s="1527"/>
      <c r="KP67" s="1527"/>
      <c r="KQ67" s="1527"/>
      <c r="KR67" s="1527"/>
      <c r="KS67" s="1527"/>
      <c r="KT67" s="1527"/>
      <c r="KU67" s="1527"/>
      <c r="KV67" s="1527"/>
      <c r="KW67" s="1527"/>
      <c r="KX67" s="1527"/>
      <c r="KY67" s="1527"/>
      <c r="KZ67" s="1527"/>
      <c r="LA67" s="1527"/>
      <c r="LB67" s="1527"/>
      <c r="LC67" s="1527"/>
      <c r="LD67" s="1527"/>
      <c r="LE67" s="1527"/>
      <c r="LF67" s="1527"/>
      <c r="LG67" s="1527"/>
      <c r="LH67" s="1527"/>
      <c r="LI67" s="1527"/>
      <c r="LJ67" s="1527"/>
      <c r="LK67" s="1527"/>
      <c r="LL67" s="1527"/>
      <c r="LM67" s="1527"/>
      <c r="LN67" s="1527"/>
      <c r="LO67" s="1527"/>
      <c r="LP67" s="1527"/>
      <c r="LQ67" s="1527"/>
      <c r="LR67" s="1527"/>
      <c r="LS67" s="1527"/>
      <c r="LT67" s="1527"/>
      <c r="LU67" s="1527"/>
      <c r="LV67" s="1527"/>
      <c r="LW67" s="1527"/>
      <c r="LX67" s="1527"/>
      <c r="LY67" s="1527"/>
      <c r="LZ67" s="1527"/>
      <c r="MA67" s="1527"/>
      <c r="MB67" s="1527"/>
      <c r="MC67" s="1527"/>
      <c r="MD67" s="1527"/>
      <c r="ME67" s="1527"/>
      <c r="MF67" s="1527"/>
      <c r="MG67" s="1527"/>
      <c r="MH67" s="1527"/>
      <c r="MI67" s="1527"/>
      <c r="MJ67" s="1527"/>
      <c r="MK67" s="1527"/>
      <c r="ML67" s="1527"/>
      <c r="MM67" s="1527"/>
      <c r="MN67" s="1527"/>
      <c r="MO67" s="1527"/>
      <c r="MP67" s="1527"/>
      <c r="MQ67" s="1527"/>
      <c r="MR67" s="1527"/>
      <c r="MS67" s="1527"/>
      <c r="MT67" s="1527"/>
      <c r="MU67" s="1527"/>
      <c r="MV67" s="1527"/>
      <c r="MW67" s="1527"/>
      <c r="MX67" s="1527"/>
      <c r="MY67" s="1527"/>
    </row>
    <row r="68">
      <c r="A68" s="1465">
        <f>IFERROR(__xludf.DUMMYFUNCTION("""COMPUTED_VALUE"""),66.0)</f>
        <v>66</v>
      </c>
      <c r="B68" s="1518"/>
      <c r="C68" s="1520"/>
      <c r="D68" s="1466">
        <f>IFERROR(__xludf.DUMMYFUNCTION("""COMPUTED_VALUE"""),18.40486111111111)</f>
        <v>18.40486111</v>
      </c>
      <c r="E68" s="1467">
        <f>IFERROR(__xludf.DUMMYFUNCTION("""COMPUTED_VALUE"""),1360000.0)</f>
        <v>1360000</v>
      </c>
      <c r="F68" s="1466">
        <f>IFERROR(__xludf.DUMMYFUNCTION("""COMPUTED_VALUE"""),18.40486111111111)</f>
        <v>18.40486111</v>
      </c>
      <c r="G68" s="1467">
        <f>IFERROR(__xludf.DUMMYFUNCTION("""COMPUTED_VALUE"""),1360000.0)</f>
        <v>1360000</v>
      </c>
      <c r="H68" s="1466">
        <f>IFERROR(__xludf.DUMMYFUNCTION("""COMPUTED_VALUE"""),18.40486111111111)</f>
        <v>18.40486111</v>
      </c>
      <c r="I68" s="1467">
        <f>IFERROR(__xludf.DUMMYFUNCTION("""COMPUTED_VALUE"""),1360000.0)</f>
        <v>1360000</v>
      </c>
      <c r="J68" s="1466">
        <f>IFERROR(__xludf.DUMMYFUNCTION("""COMPUTED_VALUE"""),18.40486111111111)</f>
        <v>18.40486111</v>
      </c>
      <c r="K68" s="1467">
        <f>IFERROR(__xludf.DUMMYFUNCTION("""COMPUTED_VALUE"""),1360000.0)</f>
        <v>1360000</v>
      </c>
      <c r="L68" s="1466">
        <f>IFERROR(__xludf.DUMMYFUNCTION("""COMPUTED_VALUE"""),34.37847222222222)</f>
        <v>34.37847222</v>
      </c>
      <c r="M68" s="1469">
        <f>IFERROR(__xludf.DUMMYFUNCTION("""COMPUTED_VALUE"""),4360000.0)</f>
        <v>4360000</v>
      </c>
      <c r="N68" s="1470">
        <f>IFERROR(__xludf.DUMMYFUNCTION("""COMPUTED_VALUE"""),14.947222222222223)</f>
        <v>14.94722222</v>
      </c>
      <c r="O68" s="1467">
        <f>IFERROR(__xludf.DUMMYFUNCTION("""COMPUTED_VALUE"""),5420000.0)</f>
        <v>5420000</v>
      </c>
      <c r="P68" s="1518"/>
      <c r="Q68" s="1519"/>
      <c r="R68" s="1518"/>
      <c r="S68" s="1519"/>
      <c r="T68" s="1518"/>
      <c r="U68" s="1519"/>
      <c r="V68" s="1518"/>
      <c r="W68" s="1519"/>
      <c r="X68" s="1518"/>
      <c r="Y68" s="1519"/>
      <c r="Z68" s="1518"/>
      <c r="AA68" s="1519"/>
      <c r="AB68" s="1518"/>
      <c r="AC68" s="1519"/>
      <c r="AD68" s="1466">
        <f>IFERROR(__xludf.DUMMYFUNCTION("""COMPUTED_VALUE"""),71.27638888888889)</f>
        <v>71.27638889</v>
      </c>
      <c r="AE68" s="1474">
        <f>IFERROR(__xludf.DUMMYFUNCTION("""COMPUTED_VALUE"""),2.548695194E16)</f>
        <v>2.5487E+16</v>
      </c>
      <c r="AF68" s="1466">
        <f>IFERROR(__xludf.DUMMYFUNCTION("""COMPUTED_VALUE"""),71.27638888888889)</f>
        <v>71.27638889</v>
      </c>
      <c r="AG68" s="1474">
        <f>IFERROR(__xludf.DUMMYFUNCTION("""COMPUTED_VALUE"""),2.548695194E16)</f>
        <v>2.5487E+16</v>
      </c>
      <c r="AH68" s="1466">
        <f>IFERROR(__xludf.DUMMYFUNCTION("""COMPUTED_VALUE"""),71.27638888888889)</f>
        <v>71.27638889</v>
      </c>
      <c r="AI68" s="1474">
        <f>IFERROR(__xludf.DUMMYFUNCTION("""COMPUTED_VALUE"""),2.548695194E16)</f>
        <v>2.5487E+16</v>
      </c>
      <c r="AJ68" s="1475">
        <f>IFERROR(__xludf.DUMMYFUNCTION("""COMPUTED_VALUE"""),18.40486111111111)</f>
        <v>18.40486111</v>
      </c>
      <c r="AK68" s="1476">
        <f>IFERROR(__xludf.DUMMYFUNCTION("""COMPUTED_VALUE"""),1360000.0)</f>
        <v>1360000</v>
      </c>
      <c r="AL68" s="1475">
        <f>IFERROR(__xludf.DUMMYFUNCTION("""COMPUTED_VALUE"""),18.40486111111111)</f>
        <v>18.40486111</v>
      </c>
      <c r="AM68" s="1476">
        <f>IFERROR(__xludf.DUMMYFUNCTION("""COMPUTED_VALUE"""),1360000.0)</f>
        <v>1360000</v>
      </c>
      <c r="AN68" s="1475">
        <f>IFERROR(__xludf.DUMMYFUNCTION("""COMPUTED_VALUE"""),18.40486111111111)</f>
        <v>18.40486111</v>
      </c>
      <c r="AO68" s="1476">
        <f>IFERROR(__xludf.DUMMYFUNCTION("""COMPUTED_VALUE"""),1360000.0)</f>
        <v>1360000</v>
      </c>
      <c r="AP68" s="1475">
        <f>IFERROR(__xludf.DUMMYFUNCTION("""COMPUTED_VALUE"""),18.40486111111111)</f>
        <v>18.40486111</v>
      </c>
      <c r="AQ68" s="1476">
        <f>IFERROR(__xludf.DUMMYFUNCTION("""COMPUTED_VALUE"""),1360000.0)</f>
        <v>1360000</v>
      </c>
      <c r="AR68" s="1475">
        <f>IFERROR(__xludf.DUMMYFUNCTION("""COMPUTED_VALUE"""),18.40486111111111)</f>
        <v>18.40486111</v>
      </c>
      <c r="AS68" s="1476">
        <f>IFERROR(__xludf.DUMMYFUNCTION("""COMPUTED_VALUE"""),1360000.0)</f>
        <v>1360000</v>
      </c>
      <c r="AT68" s="1520"/>
      <c r="AU68" s="1519"/>
      <c r="AV68" s="1520"/>
      <c r="AW68" s="1519"/>
      <c r="AX68" s="1518"/>
      <c r="AY68" s="1568"/>
      <c r="AZ68" s="1518"/>
      <c r="BA68" s="1518"/>
      <c r="BB68" s="1477">
        <f>IFERROR(__xludf.DUMMYFUNCTION("""COMPUTED_VALUE"""),18.40486111111111)</f>
        <v>18.40486111</v>
      </c>
      <c r="BC68" s="1478">
        <f>IFERROR(__xludf.DUMMYFUNCTION("""COMPUTED_VALUE"""),1360000.0)</f>
        <v>1360000</v>
      </c>
      <c r="BD68" s="1477">
        <f>IFERROR(__xludf.DUMMYFUNCTION("""COMPUTED_VALUE"""),18.40486111111111)</f>
        <v>18.40486111</v>
      </c>
      <c r="BE68" s="1478">
        <f>IFERROR(__xludf.DUMMYFUNCTION("""COMPUTED_VALUE"""),1360000.0)</f>
        <v>1360000</v>
      </c>
      <c r="BF68" s="1477">
        <f>IFERROR(__xludf.DUMMYFUNCTION("""COMPUTED_VALUE"""),18.40486111111111)</f>
        <v>18.40486111</v>
      </c>
      <c r="BG68" s="1478">
        <f>IFERROR(__xludf.DUMMYFUNCTION("""COMPUTED_VALUE"""),1360000.0)</f>
        <v>1360000</v>
      </c>
      <c r="BH68" s="1518"/>
      <c r="BI68" s="1519"/>
      <c r="BJ68" s="1518"/>
      <c r="BK68" s="1519"/>
      <c r="BL68" s="1518"/>
      <c r="BM68" s="1519"/>
      <c r="BN68" s="1518"/>
      <c r="BO68" s="1519"/>
      <c r="BP68" s="1518"/>
      <c r="BQ68" s="1519"/>
      <c r="BR68" s="1520"/>
      <c r="BS68" s="1519"/>
      <c r="BT68" s="1520"/>
      <c r="BU68" s="1520"/>
      <c r="BV68" s="1520"/>
      <c r="BW68" s="1520"/>
      <c r="BX68" s="1520"/>
      <c r="BY68" s="1520"/>
      <c r="BZ68" s="1520"/>
      <c r="CA68" s="1520"/>
      <c r="CB68" s="1520"/>
      <c r="CC68" s="1519"/>
      <c r="CD68" s="1520"/>
      <c r="CE68" s="1520"/>
      <c r="CF68" s="1527"/>
      <c r="CG68" s="1560"/>
      <c r="CH68" s="1482">
        <f>IFERROR(__xludf.DUMMYFUNCTION("""COMPUTED_VALUE"""),18.40486111111111)</f>
        <v>18.40486111</v>
      </c>
      <c r="CI68" s="1483">
        <f>IFERROR(__xludf.DUMMYFUNCTION("""COMPUTED_VALUE"""),1360000.0)</f>
        <v>1360000</v>
      </c>
      <c r="CJ68" s="1482">
        <f>IFERROR(__xludf.DUMMYFUNCTION("""COMPUTED_VALUE"""),18.40486111111111)</f>
        <v>18.40486111</v>
      </c>
      <c r="CK68" s="1483">
        <f>IFERROR(__xludf.DUMMYFUNCTION("""COMPUTED_VALUE"""),1360000.0)</f>
        <v>1360000</v>
      </c>
      <c r="CL68" s="1482">
        <f>IFERROR(__xludf.DUMMYFUNCTION("""COMPUTED_VALUE"""),18.40486111111111)</f>
        <v>18.40486111</v>
      </c>
      <c r="CM68" s="1483">
        <f>IFERROR(__xludf.DUMMYFUNCTION("""COMPUTED_VALUE"""),1360000.0)</f>
        <v>1360000</v>
      </c>
      <c r="CN68" s="1482">
        <f>IFERROR(__xludf.DUMMYFUNCTION("""COMPUTED_VALUE"""),18.40486111111111)</f>
        <v>18.40486111</v>
      </c>
      <c r="CO68" s="1483">
        <f>IFERROR(__xludf.DUMMYFUNCTION("""COMPUTED_VALUE"""),1360000.0)</f>
        <v>1360000</v>
      </c>
      <c r="CP68" s="1482">
        <f>IFERROR(__xludf.DUMMYFUNCTION("""COMPUTED_VALUE"""),42.270833333333336)</f>
        <v>42.27083333</v>
      </c>
      <c r="CQ68" s="1483">
        <f>IFERROR(__xludf.DUMMYFUNCTION("""COMPUTED_VALUE"""),5420000.0)</f>
        <v>5420000</v>
      </c>
      <c r="CR68" s="1518"/>
      <c r="CS68" s="1519"/>
      <c r="CT68" s="1520"/>
      <c r="CU68" s="1519"/>
      <c r="CV68" s="1520"/>
      <c r="CW68" s="1519"/>
      <c r="CX68" s="1520"/>
      <c r="CY68" s="1519"/>
      <c r="CZ68" s="1520"/>
      <c r="DA68" s="1520"/>
      <c r="DB68" s="1520"/>
      <c r="DC68" s="1520"/>
      <c r="DD68" s="1520"/>
      <c r="DE68" s="1519"/>
      <c r="DF68" s="1518"/>
      <c r="DG68" s="1519"/>
      <c r="DH68" s="1518"/>
      <c r="DI68" s="1519"/>
      <c r="DJ68" s="1518"/>
      <c r="DK68" s="1519"/>
      <c r="DL68" s="1518"/>
      <c r="DM68" s="1519"/>
      <c r="DN68" s="1518"/>
      <c r="DO68" s="1519"/>
      <c r="DP68" s="1518"/>
      <c r="DQ68" s="1519"/>
      <c r="DR68" s="1518"/>
      <c r="DS68" s="1519"/>
      <c r="DT68" s="1518"/>
      <c r="DU68" s="1519"/>
      <c r="DV68" s="1520"/>
      <c r="DW68" s="1519"/>
      <c r="DX68" s="1518"/>
      <c r="DY68" s="1519"/>
      <c r="DZ68" s="1518"/>
      <c r="EA68" s="1519"/>
      <c r="EB68" s="1518"/>
      <c r="EC68" s="1519"/>
      <c r="ED68" s="1518"/>
      <c r="EE68" s="1519"/>
      <c r="EF68" s="1518"/>
      <c r="EG68" s="1519"/>
      <c r="EH68" s="1518"/>
      <c r="EI68" s="1519"/>
      <c r="EJ68" s="1562"/>
      <c r="EK68" s="1560"/>
      <c r="EL68" s="1562"/>
      <c r="EM68" s="1560"/>
      <c r="EN68" s="1518"/>
      <c r="EO68" s="1519"/>
      <c r="EP68" s="1518"/>
      <c r="EQ68" s="1519"/>
      <c r="ER68" s="1518"/>
      <c r="ES68" s="1519"/>
      <c r="ET68" s="1518"/>
      <c r="EU68" s="1519"/>
      <c r="EV68" s="1518"/>
      <c r="EW68" s="1519"/>
      <c r="EX68" s="1518"/>
      <c r="EY68" s="1519"/>
      <c r="EZ68" s="1518"/>
      <c r="FA68" s="1519"/>
      <c r="FB68" s="1520"/>
      <c r="FC68" s="1519"/>
      <c r="FD68" s="1520"/>
      <c r="FE68" s="1519"/>
      <c r="FF68" s="1520"/>
      <c r="FG68" s="1519"/>
      <c r="FH68" s="1520"/>
      <c r="FI68" s="1520"/>
      <c r="FJ68" s="1520"/>
      <c r="FK68" s="1519"/>
      <c r="FL68" s="1518"/>
      <c r="FM68" s="1519"/>
      <c r="FN68" s="1532"/>
      <c r="FO68" s="1520"/>
      <c r="FP68" s="1532"/>
      <c r="FQ68" s="1520"/>
      <c r="FR68" s="1532"/>
      <c r="FS68" s="1520"/>
      <c r="FT68" s="1532"/>
      <c r="FU68" s="1519"/>
      <c r="FV68" s="1532"/>
      <c r="FW68" s="1519"/>
      <c r="FX68" s="1572"/>
      <c r="FY68" s="1560"/>
      <c r="FZ68" s="1572"/>
      <c r="GA68" s="1560"/>
      <c r="GB68" s="1572"/>
      <c r="GC68" s="1560"/>
      <c r="GD68" s="1527"/>
      <c r="GE68" s="1560"/>
      <c r="GF68" s="1518"/>
      <c r="GG68" s="1519"/>
      <c r="GH68" s="1518"/>
      <c r="GI68" s="1519"/>
      <c r="GJ68" s="1518"/>
      <c r="GK68" s="1519"/>
      <c r="GL68" s="1518"/>
      <c r="GM68" s="1519"/>
      <c r="GN68" s="1520"/>
      <c r="GO68" s="1519"/>
      <c r="GP68" s="1520"/>
      <c r="GQ68" s="1519"/>
      <c r="GR68" s="1518"/>
      <c r="GS68" s="1519"/>
      <c r="GT68" s="1518"/>
      <c r="GU68" s="1519"/>
      <c r="GV68" s="1520"/>
      <c r="GW68" s="1519"/>
      <c r="GX68" s="1561"/>
      <c r="GY68" s="1527"/>
      <c r="GZ68" s="1518"/>
      <c r="HA68" s="1519"/>
      <c r="HB68" s="1501">
        <f>IFERROR(__xludf.DUMMYFUNCTION("""COMPUTED_VALUE"""),1802.9256944444444)</f>
        <v>1802.925694</v>
      </c>
      <c r="HC68" s="1502">
        <f>IFERROR(__xludf.DUMMYFUNCTION("""COMPUTED_VALUE"""),2.321E13)</f>
        <v>23210000000000</v>
      </c>
      <c r="HD68" s="1518"/>
      <c r="HE68" s="1519"/>
      <c r="HF68" s="1518"/>
      <c r="HG68" s="1519"/>
      <c r="HH68" s="1518"/>
      <c r="HI68" s="1519"/>
      <c r="HJ68" s="1518"/>
      <c r="HK68" s="1519"/>
      <c r="HL68" s="1518"/>
      <c r="HM68" s="1519"/>
      <c r="HN68" s="1520"/>
      <c r="HO68" s="1519"/>
      <c r="HP68" s="1518"/>
      <c r="HQ68" s="1519"/>
      <c r="HR68" s="1518"/>
      <c r="HS68" s="1519"/>
      <c r="HT68" s="1518"/>
      <c r="HU68" s="1519"/>
      <c r="HV68" s="1518"/>
      <c r="HW68" s="1519"/>
      <c r="HX68" s="1518"/>
      <c r="HY68" s="1519"/>
      <c r="HZ68" s="1518"/>
      <c r="IA68" s="1519"/>
      <c r="IB68" s="1518"/>
      <c r="IC68" s="1519"/>
      <c r="ID68" s="1518"/>
      <c r="IE68" s="1519"/>
      <c r="IF68" s="1518"/>
      <c r="IG68" s="1519"/>
      <c r="IH68" s="1518"/>
      <c r="II68" s="1519"/>
      <c r="IJ68" s="1518"/>
      <c r="IK68" s="1519"/>
      <c r="IL68" s="1518"/>
      <c r="IM68" s="1519"/>
      <c r="IN68" s="1518"/>
      <c r="IO68" s="1519"/>
      <c r="IP68" s="1518"/>
      <c r="IQ68" s="1519"/>
      <c r="IR68" s="1518"/>
      <c r="IS68" s="1519"/>
      <c r="IT68" s="1518"/>
      <c r="IU68" s="1519"/>
      <c r="IV68" s="1518"/>
      <c r="IW68" s="1519"/>
      <c r="IX68" s="1518"/>
      <c r="IY68" s="1519"/>
      <c r="IZ68" s="1518"/>
      <c r="JA68" s="1519"/>
      <c r="JB68" s="1518"/>
      <c r="JC68" s="1519"/>
      <c r="JD68" s="1518"/>
      <c r="JE68" s="1519"/>
      <c r="JF68" s="1518"/>
      <c r="JG68" s="1519"/>
      <c r="JH68" s="1518"/>
      <c r="JI68" s="1519"/>
      <c r="JJ68" s="1562"/>
      <c r="JK68" s="1560"/>
      <c r="JL68" s="1562"/>
      <c r="JM68" s="1560"/>
      <c r="JN68" s="1562"/>
      <c r="JO68" s="1560"/>
      <c r="JP68" s="1562"/>
      <c r="JQ68" s="1560"/>
      <c r="JR68" s="1562"/>
      <c r="JS68" s="1560"/>
      <c r="JT68" s="1562"/>
      <c r="JU68" s="1560"/>
      <c r="JV68" s="1562"/>
      <c r="JW68" s="1560"/>
      <c r="JX68" s="1562"/>
      <c r="JY68" s="1527"/>
      <c r="JZ68" s="1566">
        <f>IFERROR(__xludf.DUMMYFUNCTION("""COMPUTED_VALUE"""),5.90068287)</f>
        <v>5.90068287</v>
      </c>
      <c r="KA68" s="1514">
        <f>IFERROR(__xludf.DUMMYFUNCTION("""COMPUTED_VALUE"""),1.57E11)</f>
        <v>157000000000</v>
      </c>
      <c r="KB68" s="1562"/>
      <c r="KC68" s="1527"/>
      <c r="KD68" s="1562"/>
      <c r="KE68" s="1527"/>
      <c r="KF68" s="1527"/>
      <c r="KG68" s="1527"/>
      <c r="KH68" s="1527"/>
      <c r="KI68" s="1527"/>
      <c r="KJ68" s="1527"/>
      <c r="KK68" s="1527"/>
      <c r="KL68" s="1527"/>
      <c r="KM68" s="1527"/>
      <c r="KN68" s="1527"/>
      <c r="KO68" s="1527"/>
      <c r="KP68" s="1527"/>
      <c r="KQ68" s="1527"/>
      <c r="KR68" s="1527"/>
      <c r="KS68" s="1527"/>
      <c r="KT68" s="1527"/>
      <c r="KU68" s="1527"/>
      <c r="KV68" s="1527"/>
      <c r="KW68" s="1527"/>
      <c r="KX68" s="1527"/>
      <c r="KY68" s="1527"/>
      <c r="KZ68" s="1527"/>
      <c r="LA68" s="1527"/>
      <c r="LB68" s="1527"/>
      <c r="LC68" s="1527"/>
      <c r="LD68" s="1527"/>
      <c r="LE68" s="1527"/>
      <c r="LF68" s="1527"/>
      <c r="LG68" s="1527"/>
      <c r="LH68" s="1527"/>
      <c r="LI68" s="1527"/>
      <c r="LJ68" s="1527"/>
      <c r="LK68" s="1527"/>
      <c r="LL68" s="1527"/>
      <c r="LM68" s="1527"/>
      <c r="LN68" s="1527"/>
      <c r="LO68" s="1527"/>
      <c r="LP68" s="1527"/>
      <c r="LQ68" s="1527"/>
      <c r="LR68" s="1527"/>
      <c r="LS68" s="1527"/>
      <c r="LT68" s="1527"/>
      <c r="LU68" s="1527"/>
      <c r="LV68" s="1527"/>
      <c r="LW68" s="1527"/>
      <c r="LX68" s="1527"/>
      <c r="LY68" s="1527"/>
      <c r="LZ68" s="1527"/>
      <c r="MA68" s="1527"/>
      <c r="MB68" s="1527"/>
      <c r="MC68" s="1527"/>
      <c r="MD68" s="1527"/>
      <c r="ME68" s="1527"/>
      <c r="MF68" s="1527"/>
      <c r="MG68" s="1527"/>
      <c r="MH68" s="1527"/>
      <c r="MI68" s="1527"/>
      <c r="MJ68" s="1527"/>
      <c r="MK68" s="1527"/>
      <c r="ML68" s="1527"/>
      <c r="MM68" s="1527"/>
      <c r="MN68" s="1527"/>
      <c r="MO68" s="1527"/>
      <c r="MP68" s="1527"/>
      <c r="MQ68" s="1527"/>
      <c r="MR68" s="1527"/>
      <c r="MS68" s="1527"/>
      <c r="MT68" s="1527"/>
      <c r="MU68" s="1527"/>
      <c r="MV68" s="1527"/>
      <c r="MW68" s="1527"/>
      <c r="MX68" s="1527"/>
      <c r="MY68" s="1527"/>
    </row>
    <row r="69">
      <c r="A69" s="1465">
        <f>IFERROR(__xludf.DUMMYFUNCTION("""COMPUTED_VALUE"""),67.0)</f>
        <v>67</v>
      </c>
      <c r="B69" s="1518"/>
      <c r="C69" s="1520"/>
      <c r="D69" s="1466">
        <f>IFERROR(__xludf.DUMMYFUNCTION("""COMPUTED_VALUE"""),19.086805555555557)</f>
        <v>19.08680556</v>
      </c>
      <c r="E69" s="1467">
        <f>IFERROR(__xludf.DUMMYFUNCTION("""COMPUTED_VALUE"""),1410000.0)</f>
        <v>1410000</v>
      </c>
      <c r="F69" s="1466">
        <f>IFERROR(__xludf.DUMMYFUNCTION("""COMPUTED_VALUE"""),19.086805555555557)</f>
        <v>19.08680556</v>
      </c>
      <c r="G69" s="1467">
        <f>IFERROR(__xludf.DUMMYFUNCTION("""COMPUTED_VALUE"""),1410000.0)</f>
        <v>1410000</v>
      </c>
      <c r="H69" s="1466">
        <f>IFERROR(__xludf.DUMMYFUNCTION("""COMPUTED_VALUE"""),19.086805555555557)</f>
        <v>19.08680556</v>
      </c>
      <c r="I69" s="1467">
        <f>IFERROR(__xludf.DUMMYFUNCTION("""COMPUTED_VALUE"""),1410000.0)</f>
        <v>1410000</v>
      </c>
      <c r="J69" s="1466">
        <f>IFERROR(__xludf.DUMMYFUNCTION("""COMPUTED_VALUE"""),19.086805555555557)</f>
        <v>19.08680556</v>
      </c>
      <c r="K69" s="1467">
        <f>IFERROR(__xludf.DUMMYFUNCTION("""COMPUTED_VALUE"""),1410000.0)</f>
        <v>1410000</v>
      </c>
      <c r="L69" s="1466">
        <f>IFERROR(__xludf.DUMMYFUNCTION("""COMPUTED_VALUE"""),35.734722222222224)</f>
        <v>35.73472222</v>
      </c>
      <c r="M69" s="1469">
        <f>IFERROR(__xludf.DUMMYFUNCTION("""COMPUTED_VALUE"""),4560000.0)</f>
        <v>4560000</v>
      </c>
      <c r="N69" s="1470">
        <f>IFERROR(__xludf.DUMMYFUNCTION("""COMPUTED_VALUE"""),15.402777777777779)</f>
        <v>15.40277778</v>
      </c>
      <c r="O69" s="1467">
        <f>IFERROR(__xludf.DUMMYFUNCTION("""COMPUTED_VALUE"""),5680000.0)</f>
        <v>5680000</v>
      </c>
      <c r="P69" s="1518"/>
      <c r="Q69" s="1519"/>
      <c r="R69" s="1518"/>
      <c r="S69" s="1519"/>
      <c r="T69" s="1518"/>
      <c r="U69" s="1519"/>
      <c r="V69" s="1518"/>
      <c r="W69" s="1519"/>
      <c r="X69" s="1518"/>
      <c r="Y69" s="1519"/>
      <c r="Z69" s="1518"/>
      <c r="AA69" s="1519"/>
      <c r="AB69" s="1518"/>
      <c r="AC69" s="1519"/>
      <c r="AD69" s="1466">
        <f>IFERROR(__xludf.DUMMYFUNCTION("""COMPUTED_VALUE"""),72.35625)</f>
        <v>72.35625</v>
      </c>
      <c r="AE69" s="1474">
        <f>IFERROR(__xludf.DUMMYFUNCTION("""COMPUTED_VALUE"""),3.313303752E16)</f>
        <v>3.3133E+16</v>
      </c>
      <c r="AF69" s="1466">
        <f>IFERROR(__xludf.DUMMYFUNCTION("""COMPUTED_VALUE"""),72.35625)</f>
        <v>72.35625</v>
      </c>
      <c r="AG69" s="1474">
        <f>IFERROR(__xludf.DUMMYFUNCTION("""COMPUTED_VALUE"""),3.313303752E16)</f>
        <v>3.3133E+16</v>
      </c>
      <c r="AH69" s="1466">
        <f>IFERROR(__xludf.DUMMYFUNCTION("""COMPUTED_VALUE"""),72.35625)</f>
        <v>72.35625</v>
      </c>
      <c r="AI69" s="1474">
        <f>IFERROR(__xludf.DUMMYFUNCTION("""COMPUTED_VALUE"""),3.313303752E16)</f>
        <v>3.3133E+16</v>
      </c>
      <c r="AJ69" s="1475">
        <f>IFERROR(__xludf.DUMMYFUNCTION("""COMPUTED_VALUE"""),19.086805555555557)</f>
        <v>19.08680556</v>
      </c>
      <c r="AK69" s="1476">
        <f>IFERROR(__xludf.DUMMYFUNCTION("""COMPUTED_VALUE"""),1410000.0)</f>
        <v>1410000</v>
      </c>
      <c r="AL69" s="1475">
        <f>IFERROR(__xludf.DUMMYFUNCTION("""COMPUTED_VALUE"""),19.086805555555557)</f>
        <v>19.08680556</v>
      </c>
      <c r="AM69" s="1476">
        <f>IFERROR(__xludf.DUMMYFUNCTION("""COMPUTED_VALUE"""),1410000.0)</f>
        <v>1410000</v>
      </c>
      <c r="AN69" s="1475">
        <f>IFERROR(__xludf.DUMMYFUNCTION("""COMPUTED_VALUE"""),19.086805555555557)</f>
        <v>19.08680556</v>
      </c>
      <c r="AO69" s="1476">
        <f>IFERROR(__xludf.DUMMYFUNCTION("""COMPUTED_VALUE"""),1410000.0)</f>
        <v>1410000</v>
      </c>
      <c r="AP69" s="1475">
        <f>IFERROR(__xludf.DUMMYFUNCTION("""COMPUTED_VALUE"""),19.086805555555557)</f>
        <v>19.08680556</v>
      </c>
      <c r="AQ69" s="1476">
        <f>IFERROR(__xludf.DUMMYFUNCTION("""COMPUTED_VALUE"""),1410000.0)</f>
        <v>1410000</v>
      </c>
      <c r="AR69" s="1475">
        <f>IFERROR(__xludf.DUMMYFUNCTION("""COMPUTED_VALUE"""),19.086805555555557)</f>
        <v>19.08680556</v>
      </c>
      <c r="AS69" s="1476">
        <f>IFERROR(__xludf.DUMMYFUNCTION("""COMPUTED_VALUE"""),1410000.0)</f>
        <v>1410000</v>
      </c>
      <c r="AT69" s="1520"/>
      <c r="AU69" s="1519"/>
      <c r="AV69" s="1520"/>
      <c r="AW69" s="1519"/>
      <c r="AX69" s="1518"/>
      <c r="AY69" s="1568"/>
      <c r="AZ69" s="1518"/>
      <c r="BA69" s="1518"/>
      <c r="BB69" s="1477">
        <f>IFERROR(__xludf.DUMMYFUNCTION("""COMPUTED_VALUE"""),19.086805555555557)</f>
        <v>19.08680556</v>
      </c>
      <c r="BC69" s="1478">
        <f>IFERROR(__xludf.DUMMYFUNCTION("""COMPUTED_VALUE"""),1410000.0)</f>
        <v>1410000</v>
      </c>
      <c r="BD69" s="1477">
        <f>IFERROR(__xludf.DUMMYFUNCTION("""COMPUTED_VALUE"""),19.086805555555557)</f>
        <v>19.08680556</v>
      </c>
      <c r="BE69" s="1478">
        <f>IFERROR(__xludf.DUMMYFUNCTION("""COMPUTED_VALUE"""),1410000.0)</f>
        <v>1410000</v>
      </c>
      <c r="BF69" s="1477">
        <f>IFERROR(__xludf.DUMMYFUNCTION("""COMPUTED_VALUE"""),19.086805555555557)</f>
        <v>19.08680556</v>
      </c>
      <c r="BG69" s="1478">
        <f>IFERROR(__xludf.DUMMYFUNCTION("""COMPUTED_VALUE"""),1410000.0)</f>
        <v>1410000</v>
      </c>
      <c r="BH69" s="1518"/>
      <c r="BI69" s="1519"/>
      <c r="BJ69" s="1518"/>
      <c r="BK69" s="1519"/>
      <c r="BL69" s="1518"/>
      <c r="BM69" s="1519"/>
      <c r="BN69" s="1518"/>
      <c r="BO69" s="1519"/>
      <c r="BP69" s="1518"/>
      <c r="BQ69" s="1519"/>
      <c r="BR69" s="1520"/>
      <c r="BS69" s="1519"/>
      <c r="BT69" s="1520"/>
      <c r="BU69" s="1520"/>
      <c r="BV69" s="1520"/>
      <c r="BW69" s="1520"/>
      <c r="BX69" s="1520"/>
      <c r="BY69" s="1520"/>
      <c r="BZ69" s="1520"/>
      <c r="CA69" s="1520"/>
      <c r="CB69" s="1520"/>
      <c r="CC69" s="1519"/>
      <c r="CD69" s="1520"/>
      <c r="CE69" s="1520"/>
      <c r="CF69" s="1527"/>
      <c r="CG69" s="1560"/>
      <c r="CH69" s="1482">
        <f>IFERROR(__xludf.DUMMYFUNCTION("""COMPUTED_VALUE"""),19.086805555555557)</f>
        <v>19.08680556</v>
      </c>
      <c r="CI69" s="1483">
        <f>IFERROR(__xludf.DUMMYFUNCTION("""COMPUTED_VALUE"""),1410000.0)</f>
        <v>1410000</v>
      </c>
      <c r="CJ69" s="1482">
        <f>IFERROR(__xludf.DUMMYFUNCTION("""COMPUTED_VALUE"""),19.086805555555557)</f>
        <v>19.08680556</v>
      </c>
      <c r="CK69" s="1483">
        <f>IFERROR(__xludf.DUMMYFUNCTION("""COMPUTED_VALUE"""),1410000.0)</f>
        <v>1410000</v>
      </c>
      <c r="CL69" s="1482">
        <f>IFERROR(__xludf.DUMMYFUNCTION("""COMPUTED_VALUE"""),19.086805555555557)</f>
        <v>19.08680556</v>
      </c>
      <c r="CM69" s="1483">
        <f>IFERROR(__xludf.DUMMYFUNCTION("""COMPUTED_VALUE"""),1410000.0)</f>
        <v>1410000</v>
      </c>
      <c r="CN69" s="1482">
        <f>IFERROR(__xludf.DUMMYFUNCTION("""COMPUTED_VALUE"""),19.086805555555557)</f>
        <v>19.08680556</v>
      </c>
      <c r="CO69" s="1483">
        <f>IFERROR(__xludf.DUMMYFUNCTION("""COMPUTED_VALUE"""),1410000.0)</f>
        <v>1410000</v>
      </c>
      <c r="CP69" s="1482">
        <f>IFERROR(__xludf.DUMMYFUNCTION("""COMPUTED_VALUE"""),43.97291666666667)</f>
        <v>43.97291667</v>
      </c>
      <c r="CQ69" s="1483">
        <f>IFERROR(__xludf.DUMMYFUNCTION("""COMPUTED_VALUE"""),5680000.0)</f>
        <v>5680000</v>
      </c>
      <c r="CR69" s="1518"/>
      <c r="CS69" s="1519"/>
      <c r="CT69" s="1520"/>
      <c r="CU69" s="1519"/>
      <c r="CV69" s="1520"/>
      <c r="CW69" s="1519"/>
      <c r="CX69" s="1520"/>
      <c r="CY69" s="1519"/>
      <c r="CZ69" s="1520"/>
      <c r="DA69" s="1520"/>
      <c r="DB69" s="1520"/>
      <c r="DC69" s="1520"/>
      <c r="DD69" s="1520"/>
      <c r="DE69" s="1519"/>
      <c r="DF69" s="1518"/>
      <c r="DG69" s="1519"/>
      <c r="DH69" s="1518"/>
      <c r="DI69" s="1519"/>
      <c r="DJ69" s="1518"/>
      <c r="DK69" s="1519"/>
      <c r="DL69" s="1518"/>
      <c r="DM69" s="1519"/>
      <c r="DN69" s="1518"/>
      <c r="DO69" s="1519"/>
      <c r="DP69" s="1518"/>
      <c r="DQ69" s="1519"/>
      <c r="DR69" s="1518"/>
      <c r="DS69" s="1519"/>
      <c r="DT69" s="1518"/>
      <c r="DU69" s="1519"/>
      <c r="DV69" s="1520"/>
      <c r="DW69" s="1519"/>
      <c r="DX69" s="1518"/>
      <c r="DY69" s="1519"/>
      <c r="DZ69" s="1518"/>
      <c r="EA69" s="1519"/>
      <c r="EB69" s="1518"/>
      <c r="EC69" s="1519"/>
      <c r="ED69" s="1518"/>
      <c r="EE69" s="1519"/>
      <c r="EF69" s="1518"/>
      <c r="EG69" s="1519"/>
      <c r="EH69" s="1518"/>
      <c r="EI69" s="1519"/>
      <c r="EJ69" s="1562"/>
      <c r="EK69" s="1560"/>
      <c r="EL69" s="1562"/>
      <c r="EM69" s="1560"/>
      <c r="EN69" s="1518"/>
      <c r="EO69" s="1519"/>
      <c r="EP69" s="1518"/>
      <c r="EQ69" s="1519"/>
      <c r="ER69" s="1518"/>
      <c r="ES69" s="1519"/>
      <c r="ET69" s="1518"/>
      <c r="EU69" s="1519"/>
      <c r="EV69" s="1518"/>
      <c r="EW69" s="1519"/>
      <c r="EX69" s="1518"/>
      <c r="EY69" s="1519"/>
      <c r="EZ69" s="1518"/>
      <c r="FA69" s="1519"/>
      <c r="FB69" s="1520"/>
      <c r="FC69" s="1519"/>
      <c r="FD69" s="1520"/>
      <c r="FE69" s="1519"/>
      <c r="FF69" s="1520"/>
      <c r="FG69" s="1519"/>
      <c r="FH69" s="1520"/>
      <c r="FI69" s="1520"/>
      <c r="FJ69" s="1520"/>
      <c r="FK69" s="1519"/>
      <c r="FL69" s="1518"/>
      <c r="FM69" s="1519"/>
      <c r="FN69" s="1532"/>
      <c r="FO69" s="1520"/>
      <c r="FP69" s="1532"/>
      <c r="FQ69" s="1520"/>
      <c r="FR69" s="1532"/>
      <c r="FS69" s="1520"/>
      <c r="FT69" s="1532"/>
      <c r="FU69" s="1519"/>
      <c r="FV69" s="1532"/>
      <c r="FW69" s="1519"/>
      <c r="FX69" s="1572"/>
      <c r="FY69" s="1560"/>
      <c r="FZ69" s="1572"/>
      <c r="GA69" s="1560"/>
      <c r="GB69" s="1572"/>
      <c r="GC69" s="1560"/>
      <c r="GD69" s="1527"/>
      <c r="GE69" s="1560"/>
      <c r="GF69" s="1518"/>
      <c r="GG69" s="1519"/>
      <c r="GH69" s="1518"/>
      <c r="GI69" s="1519"/>
      <c r="GJ69" s="1518"/>
      <c r="GK69" s="1519"/>
      <c r="GL69" s="1518"/>
      <c r="GM69" s="1519"/>
      <c r="GN69" s="1520"/>
      <c r="GO69" s="1519"/>
      <c r="GP69" s="1520"/>
      <c r="GQ69" s="1519"/>
      <c r="GR69" s="1518"/>
      <c r="GS69" s="1519"/>
      <c r="GT69" s="1518"/>
      <c r="GU69" s="1519"/>
      <c r="GV69" s="1520"/>
      <c r="GW69" s="1519"/>
      <c r="GX69" s="1561"/>
      <c r="GY69" s="1527"/>
      <c r="GZ69" s="1518"/>
      <c r="HA69" s="1519"/>
      <c r="HB69" s="1501">
        <f>IFERROR(__xludf.DUMMYFUNCTION("""COMPUTED_VALUE"""),1901.5270833333334)</f>
        <v>1901.527083</v>
      </c>
      <c r="HC69" s="1502">
        <f>IFERROR(__xludf.DUMMYFUNCTION("""COMPUTED_VALUE"""),2.505E13)</f>
        <v>25050000000000</v>
      </c>
      <c r="HD69" s="1518"/>
      <c r="HE69" s="1519"/>
      <c r="HF69" s="1518"/>
      <c r="HG69" s="1519"/>
      <c r="HH69" s="1518"/>
      <c r="HI69" s="1519"/>
      <c r="HJ69" s="1518"/>
      <c r="HK69" s="1519"/>
      <c r="HL69" s="1518"/>
      <c r="HM69" s="1519"/>
      <c r="HN69" s="1520"/>
      <c r="HO69" s="1519"/>
      <c r="HP69" s="1518"/>
      <c r="HQ69" s="1519"/>
      <c r="HR69" s="1518"/>
      <c r="HS69" s="1519"/>
      <c r="HT69" s="1518"/>
      <c r="HU69" s="1519"/>
      <c r="HV69" s="1518"/>
      <c r="HW69" s="1519"/>
      <c r="HX69" s="1518"/>
      <c r="HY69" s="1519"/>
      <c r="HZ69" s="1518"/>
      <c r="IA69" s="1519"/>
      <c r="IB69" s="1518"/>
      <c r="IC69" s="1519"/>
      <c r="ID69" s="1518"/>
      <c r="IE69" s="1519"/>
      <c r="IF69" s="1518"/>
      <c r="IG69" s="1519"/>
      <c r="IH69" s="1518"/>
      <c r="II69" s="1519"/>
      <c r="IJ69" s="1518"/>
      <c r="IK69" s="1519"/>
      <c r="IL69" s="1518"/>
      <c r="IM69" s="1519"/>
      <c r="IN69" s="1518"/>
      <c r="IO69" s="1519"/>
      <c r="IP69" s="1518"/>
      <c r="IQ69" s="1519"/>
      <c r="IR69" s="1518"/>
      <c r="IS69" s="1519"/>
      <c r="IT69" s="1518"/>
      <c r="IU69" s="1519"/>
      <c r="IV69" s="1518"/>
      <c r="IW69" s="1519"/>
      <c r="IX69" s="1518"/>
      <c r="IY69" s="1519"/>
      <c r="IZ69" s="1518"/>
      <c r="JA69" s="1519"/>
      <c r="JB69" s="1518"/>
      <c r="JC69" s="1519"/>
      <c r="JD69" s="1518"/>
      <c r="JE69" s="1519"/>
      <c r="JF69" s="1518"/>
      <c r="JG69" s="1519"/>
      <c r="JH69" s="1518"/>
      <c r="JI69" s="1519"/>
      <c r="JJ69" s="1562"/>
      <c r="JK69" s="1560"/>
      <c r="JL69" s="1562"/>
      <c r="JM69" s="1560"/>
      <c r="JN69" s="1562"/>
      <c r="JO69" s="1560"/>
      <c r="JP69" s="1562"/>
      <c r="JQ69" s="1560"/>
      <c r="JR69" s="1562"/>
      <c r="JS69" s="1560"/>
      <c r="JT69" s="1562"/>
      <c r="JU69" s="1560"/>
      <c r="JV69" s="1562"/>
      <c r="JW69" s="1560"/>
      <c r="JX69" s="1562"/>
      <c r="JY69" s="1527"/>
      <c r="JZ69" s="1566">
        <f>IFERROR(__xludf.DUMMYFUNCTION("""COMPUTED_VALUE"""),6.001770833)</f>
        <v>6.001770833</v>
      </c>
      <c r="KA69" s="1514">
        <f>IFERROR(__xludf.DUMMYFUNCTION("""COMPUTED_VALUE"""),1.6361E11)</f>
        <v>163610000000</v>
      </c>
      <c r="KB69" s="1562"/>
      <c r="KC69" s="1527"/>
      <c r="KD69" s="1562"/>
      <c r="KE69" s="1527"/>
      <c r="KF69" s="1527"/>
      <c r="KG69" s="1527"/>
      <c r="KH69" s="1527"/>
      <c r="KI69" s="1527"/>
      <c r="KJ69" s="1527"/>
      <c r="KK69" s="1527"/>
      <c r="KL69" s="1527"/>
      <c r="KM69" s="1527"/>
      <c r="KN69" s="1527"/>
      <c r="KO69" s="1527"/>
      <c r="KP69" s="1527"/>
      <c r="KQ69" s="1527"/>
      <c r="KR69" s="1527"/>
      <c r="KS69" s="1527"/>
      <c r="KT69" s="1527"/>
      <c r="KU69" s="1527"/>
      <c r="KV69" s="1527"/>
      <c r="KW69" s="1527"/>
      <c r="KX69" s="1527"/>
      <c r="KY69" s="1527"/>
      <c r="KZ69" s="1527"/>
      <c r="LA69" s="1527"/>
      <c r="LB69" s="1527"/>
      <c r="LC69" s="1527"/>
      <c r="LD69" s="1527"/>
      <c r="LE69" s="1527"/>
      <c r="LF69" s="1527"/>
      <c r="LG69" s="1527"/>
      <c r="LH69" s="1527"/>
      <c r="LI69" s="1527"/>
      <c r="LJ69" s="1527"/>
      <c r="LK69" s="1527"/>
      <c r="LL69" s="1527"/>
      <c r="LM69" s="1527"/>
      <c r="LN69" s="1527"/>
      <c r="LO69" s="1527"/>
      <c r="LP69" s="1527"/>
      <c r="LQ69" s="1527"/>
      <c r="LR69" s="1527"/>
      <c r="LS69" s="1527"/>
      <c r="LT69" s="1527"/>
      <c r="LU69" s="1527"/>
      <c r="LV69" s="1527"/>
      <c r="LW69" s="1527"/>
      <c r="LX69" s="1527"/>
      <c r="LY69" s="1527"/>
      <c r="LZ69" s="1527"/>
      <c r="MA69" s="1527"/>
      <c r="MB69" s="1527"/>
      <c r="MC69" s="1527"/>
      <c r="MD69" s="1527"/>
      <c r="ME69" s="1527"/>
      <c r="MF69" s="1527"/>
      <c r="MG69" s="1527"/>
      <c r="MH69" s="1527"/>
      <c r="MI69" s="1527"/>
      <c r="MJ69" s="1527"/>
      <c r="MK69" s="1527"/>
      <c r="ML69" s="1527"/>
      <c r="MM69" s="1527"/>
      <c r="MN69" s="1527"/>
      <c r="MO69" s="1527"/>
      <c r="MP69" s="1527"/>
      <c r="MQ69" s="1527"/>
      <c r="MR69" s="1527"/>
      <c r="MS69" s="1527"/>
      <c r="MT69" s="1527"/>
      <c r="MU69" s="1527"/>
      <c r="MV69" s="1527"/>
      <c r="MW69" s="1527"/>
      <c r="MX69" s="1527"/>
      <c r="MY69" s="1527"/>
    </row>
    <row r="70">
      <c r="A70" s="1465">
        <f>IFERROR(__xludf.DUMMYFUNCTION("""COMPUTED_VALUE"""),68.0)</f>
        <v>68</v>
      </c>
      <c r="B70" s="1518"/>
      <c r="C70" s="1520"/>
      <c r="D70" s="1466">
        <f>IFERROR(__xludf.DUMMYFUNCTION("""COMPUTED_VALUE"""),19.783333333333335)</f>
        <v>19.78333333</v>
      </c>
      <c r="E70" s="1467">
        <f>IFERROR(__xludf.DUMMYFUNCTION("""COMPUTED_VALUE"""),1470000.0)</f>
        <v>1470000</v>
      </c>
      <c r="F70" s="1466">
        <f>IFERROR(__xludf.DUMMYFUNCTION("""COMPUTED_VALUE"""),19.783333333333335)</f>
        <v>19.78333333</v>
      </c>
      <c r="G70" s="1467">
        <f>IFERROR(__xludf.DUMMYFUNCTION("""COMPUTED_VALUE"""),1470000.0)</f>
        <v>1470000</v>
      </c>
      <c r="H70" s="1466">
        <f>IFERROR(__xludf.DUMMYFUNCTION("""COMPUTED_VALUE"""),19.783333333333335)</f>
        <v>19.78333333</v>
      </c>
      <c r="I70" s="1467">
        <f>IFERROR(__xludf.DUMMYFUNCTION("""COMPUTED_VALUE"""),1470000.0)</f>
        <v>1470000</v>
      </c>
      <c r="J70" s="1466">
        <f>IFERROR(__xludf.DUMMYFUNCTION("""COMPUTED_VALUE"""),19.783333333333335)</f>
        <v>19.78333333</v>
      </c>
      <c r="K70" s="1467">
        <f>IFERROR(__xludf.DUMMYFUNCTION("""COMPUTED_VALUE"""),1470000.0)</f>
        <v>1470000</v>
      </c>
      <c r="L70" s="1466">
        <f>IFERROR(__xludf.DUMMYFUNCTION("""COMPUTED_VALUE"""),37.12222222222222)</f>
        <v>37.12222222</v>
      </c>
      <c r="M70" s="1469">
        <f>IFERROR(__xludf.DUMMYFUNCTION("""COMPUTED_VALUE"""),4760000.0)</f>
        <v>4760000</v>
      </c>
      <c r="N70" s="1470">
        <f>IFERROR(__xludf.DUMMYFUNCTION("""COMPUTED_VALUE"""),15.863888888888889)</f>
        <v>15.86388889</v>
      </c>
      <c r="O70" s="1467">
        <f>IFERROR(__xludf.DUMMYFUNCTION("""COMPUTED_VALUE"""),5960000.0)</f>
        <v>5960000</v>
      </c>
      <c r="P70" s="1518"/>
      <c r="Q70" s="1519"/>
      <c r="R70" s="1518"/>
      <c r="S70" s="1519"/>
      <c r="T70" s="1518"/>
      <c r="U70" s="1519"/>
      <c r="V70" s="1518"/>
      <c r="W70" s="1519"/>
      <c r="X70" s="1518"/>
      <c r="Y70" s="1519"/>
      <c r="Z70" s="1518"/>
      <c r="AA70" s="1519"/>
      <c r="AB70" s="1518"/>
      <c r="AC70" s="1519"/>
      <c r="AD70" s="1466">
        <f>IFERROR(__xludf.DUMMYFUNCTION("""COMPUTED_VALUE"""),73.43611111111112)</f>
        <v>73.43611111</v>
      </c>
      <c r="AE70" s="1474">
        <f>IFERROR(__xludf.DUMMYFUNCTION("""COMPUTED_VALUE"""),4.307294877E16)</f>
        <v>4.30729E+16</v>
      </c>
      <c r="AF70" s="1466">
        <f>IFERROR(__xludf.DUMMYFUNCTION("""COMPUTED_VALUE"""),73.43611111111112)</f>
        <v>73.43611111</v>
      </c>
      <c r="AG70" s="1474">
        <f>IFERROR(__xludf.DUMMYFUNCTION("""COMPUTED_VALUE"""),4.307294877E16)</f>
        <v>4.30729E+16</v>
      </c>
      <c r="AH70" s="1466">
        <f>IFERROR(__xludf.DUMMYFUNCTION("""COMPUTED_VALUE"""),73.43611111111112)</f>
        <v>73.43611111</v>
      </c>
      <c r="AI70" s="1474">
        <f>IFERROR(__xludf.DUMMYFUNCTION("""COMPUTED_VALUE"""),4.307294877E16)</f>
        <v>4.30729E+16</v>
      </c>
      <c r="AJ70" s="1475">
        <f>IFERROR(__xludf.DUMMYFUNCTION("""COMPUTED_VALUE"""),19.783333333333335)</f>
        <v>19.78333333</v>
      </c>
      <c r="AK70" s="1476">
        <f>IFERROR(__xludf.DUMMYFUNCTION("""COMPUTED_VALUE"""),1470000.0)</f>
        <v>1470000</v>
      </c>
      <c r="AL70" s="1475">
        <f>IFERROR(__xludf.DUMMYFUNCTION("""COMPUTED_VALUE"""),19.783333333333335)</f>
        <v>19.78333333</v>
      </c>
      <c r="AM70" s="1476">
        <f>IFERROR(__xludf.DUMMYFUNCTION("""COMPUTED_VALUE"""),1470000.0)</f>
        <v>1470000</v>
      </c>
      <c r="AN70" s="1475">
        <f>IFERROR(__xludf.DUMMYFUNCTION("""COMPUTED_VALUE"""),19.783333333333335)</f>
        <v>19.78333333</v>
      </c>
      <c r="AO70" s="1476">
        <f>IFERROR(__xludf.DUMMYFUNCTION("""COMPUTED_VALUE"""),1470000.0)</f>
        <v>1470000</v>
      </c>
      <c r="AP70" s="1475">
        <f>IFERROR(__xludf.DUMMYFUNCTION("""COMPUTED_VALUE"""),19.783333333333335)</f>
        <v>19.78333333</v>
      </c>
      <c r="AQ70" s="1476">
        <f>IFERROR(__xludf.DUMMYFUNCTION("""COMPUTED_VALUE"""),1470000.0)</f>
        <v>1470000</v>
      </c>
      <c r="AR70" s="1475">
        <f>IFERROR(__xludf.DUMMYFUNCTION("""COMPUTED_VALUE"""),19.783333333333335)</f>
        <v>19.78333333</v>
      </c>
      <c r="AS70" s="1476">
        <f>IFERROR(__xludf.DUMMYFUNCTION("""COMPUTED_VALUE"""),1470000.0)</f>
        <v>1470000</v>
      </c>
      <c r="AT70" s="1520"/>
      <c r="AU70" s="1519"/>
      <c r="AV70" s="1520"/>
      <c r="AW70" s="1519"/>
      <c r="AX70" s="1518"/>
      <c r="AY70" s="1568"/>
      <c r="AZ70" s="1518"/>
      <c r="BA70" s="1518"/>
      <c r="BB70" s="1477">
        <f>IFERROR(__xludf.DUMMYFUNCTION("""COMPUTED_VALUE"""),19.783333333333335)</f>
        <v>19.78333333</v>
      </c>
      <c r="BC70" s="1478">
        <f>IFERROR(__xludf.DUMMYFUNCTION("""COMPUTED_VALUE"""),1470000.0)</f>
        <v>1470000</v>
      </c>
      <c r="BD70" s="1477">
        <f>IFERROR(__xludf.DUMMYFUNCTION("""COMPUTED_VALUE"""),19.783333333333335)</f>
        <v>19.78333333</v>
      </c>
      <c r="BE70" s="1478">
        <f>IFERROR(__xludf.DUMMYFUNCTION("""COMPUTED_VALUE"""),1470000.0)</f>
        <v>1470000</v>
      </c>
      <c r="BF70" s="1477">
        <f>IFERROR(__xludf.DUMMYFUNCTION("""COMPUTED_VALUE"""),19.783333333333335)</f>
        <v>19.78333333</v>
      </c>
      <c r="BG70" s="1478">
        <f>IFERROR(__xludf.DUMMYFUNCTION("""COMPUTED_VALUE"""),1470000.0)</f>
        <v>1470000</v>
      </c>
      <c r="BH70" s="1518"/>
      <c r="BI70" s="1519"/>
      <c r="BJ70" s="1518"/>
      <c r="BK70" s="1519"/>
      <c r="BL70" s="1518"/>
      <c r="BM70" s="1519"/>
      <c r="BN70" s="1518"/>
      <c r="BO70" s="1519"/>
      <c r="BP70" s="1518"/>
      <c r="BQ70" s="1519"/>
      <c r="BR70" s="1520"/>
      <c r="BS70" s="1519"/>
      <c r="BT70" s="1520"/>
      <c r="BU70" s="1520"/>
      <c r="BV70" s="1520"/>
      <c r="BW70" s="1520"/>
      <c r="BX70" s="1520"/>
      <c r="BY70" s="1520"/>
      <c r="BZ70" s="1520"/>
      <c r="CA70" s="1520"/>
      <c r="CB70" s="1520"/>
      <c r="CC70" s="1519"/>
      <c r="CD70" s="1520"/>
      <c r="CE70" s="1520"/>
      <c r="CF70" s="1527"/>
      <c r="CG70" s="1560"/>
      <c r="CH70" s="1482">
        <f>IFERROR(__xludf.DUMMYFUNCTION("""COMPUTED_VALUE"""),19.783333333333335)</f>
        <v>19.78333333</v>
      </c>
      <c r="CI70" s="1483">
        <f>IFERROR(__xludf.DUMMYFUNCTION("""COMPUTED_VALUE"""),1470000.0)</f>
        <v>1470000</v>
      </c>
      <c r="CJ70" s="1482">
        <f>IFERROR(__xludf.DUMMYFUNCTION("""COMPUTED_VALUE"""),19.783333333333335)</f>
        <v>19.78333333</v>
      </c>
      <c r="CK70" s="1483">
        <f>IFERROR(__xludf.DUMMYFUNCTION("""COMPUTED_VALUE"""),1470000.0)</f>
        <v>1470000</v>
      </c>
      <c r="CL70" s="1482">
        <f>IFERROR(__xludf.DUMMYFUNCTION("""COMPUTED_VALUE"""),19.783333333333335)</f>
        <v>19.78333333</v>
      </c>
      <c r="CM70" s="1483">
        <f>IFERROR(__xludf.DUMMYFUNCTION("""COMPUTED_VALUE"""),1470000.0)</f>
        <v>1470000</v>
      </c>
      <c r="CN70" s="1482">
        <f>IFERROR(__xludf.DUMMYFUNCTION("""COMPUTED_VALUE"""),19.783333333333335)</f>
        <v>19.78333333</v>
      </c>
      <c r="CO70" s="1483">
        <f>IFERROR(__xludf.DUMMYFUNCTION("""COMPUTED_VALUE"""),1470000.0)</f>
        <v>1470000</v>
      </c>
      <c r="CP70" s="1482">
        <f>IFERROR(__xludf.DUMMYFUNCTION("""COMPUTED_VALUE"""),45.71666666666667)</f>
        <v>45.71666667</v>
      </c>
      <c r="CQ70" s="1483">
        <f>IFERROR(__xludf.DUMMYFUNCTION("""COMPUTED_VALUE"""),5960000.0)</f>
        <v>5960000</v>
      </c>
      <c r="CR70" s="1518"/>
      <c r="CS70" s="1519"/>
      <c r="CT70" s="1520"/>
      <c r="CU70" s="1519"/>
      <c r="CV70" s="1520"/>
      <c r="CW70" s="1519"/>
      <c r="CX70" s="1520"/>
      <c r="CY70" s="1519"/>
      <c r="CZ70" s="1520"/>
      <c r="DA70" s="1520"/>
      <c r="DB70" s="1520"/>
      <c r="DC70" s="1520"/>
      <c r="DD70" s="1520"/>
      <c r="DE70" s="1519"/>
      <c r="DF70" s="1518"/>
      <c r="DG70" s="1519"/>
      <c r="DH70" s="1518"/>
      <c r="DI70" s="1519"/>
      <c r="DJ70" s="1518"/>
      <c r="DK70" s="1519"/>
      <c r="DL70" s="1518"/>
      <c r="DM70" s="1519"/>
      <c r="DN70" s="1518"/>
      <c r="DO70" s="1519"/>
      <c r="DP70" s="1518"/>
      <c r="DQ70" s="1519"/>
      <c r="DR70" s="1518"/>
      <c r="DS70" s="1519"/>
      <c r="DT70" s="1518"/>
      <c r="DU70" s="1519"/>
      <c r="DV70" s="1520"/>
      <c r="DW70" s="1519"/>
      <c r="DX70" s="1518"/>
      <c r="DY70" s="1519"/>
      <c r="DZ70" s="1518"/>
      <c r="EA70" s="1519"/>
      <c r="EB70" s="1518"/>
      <c r="EC70" s="1519"/>
      <c r="ED70" s="1518"/>
      <c r="EE70" s="1519"/>
      <c r="EF70" s="1518"/>
      <c r="EG70" s="1519"/>
      <c r="EH70" s="1518"/>
      <c r="EI70" s="1519"/>
      <c r="EJ70" s="1562"/>
      <c r="EK70" s="1560"/>
      <c r="EL70" s="1562"/>
      <c r="EM70" s="1560"/>
      <c r="EN70" s="1518"/>
      <c r="EO70" s="1519"/>
      <c r="EP70" s="1518"/>
      <c r="EQ70" s="1519"/>
      <c r="ER70" s="1518"/>
      <c r="ES70" s="1519"/>
      <c r="ET70" s="1518"/>
      <c r="EU70" s="1519"/>
      <c r="EV70" s="1518"/>
      <c r="EW70" s="1519"/>
      <c r="EX70" s="1518"/>
      <c r="EY70" s="1519"/>
      <c r="EZ70" s="1518"/>
      <c r="FA70" s="1519"/>
      <c r="FB70" s="1520"/>
      <c r="FC70" s="1519"/>
      <c r="FD70" s="1520"/>
      <c r="FE70" s="1519"/>
      <c r="FF70" s="1520"/>
      <c r="FG70" s="1519"/>
      <c r="FH70" s="1520"/>
      <c r="FI70" s="1520"/>
      <c r="FJ70" s="1520"/>
      <c r="FK70" s="1519"/>
      <c r="FL70" s="1518"/>
      <c r="FM70" s="1519"/>
      <c r="FN70" s="1532"/>
      <c r="FO70" s="1520"/>
      <c r="FP70" s="1532"/>
      <c r="FQ70" s="1520"/>
      <c r="FR70" s="1532"/>
      <c r="FS70" s="1520"/>
      <c r="FT70" s="1532"/>
      <c r="FU70" s="1519"/>
      <c r="FV70" s="1532"/>
      <c r="FW70" s="1519"/>
      <c r="FX70" s="1572"/>
      <c r="FY70" s="1560"/>
      <c r="FZ70" s="1572"/>
      <c r="GA70" s="1560"/>
      <c r="GB70" s="1572"/>
      <c r="GC70" s="1560"/>
      <c r="GD70" s="1527"/>
      <c r="GE70" s="1560"/>
      <c r="GF70" s="1518"/>
      <c r="GG70" s="1519"/>
      <c r="GH70" s="1518"/>
      <c r="GI70" s="1519"/>
      <c r="GJ70" s="1518"/>
      <c r="GK70" s="1519"/>
      <c r="GL70" s="1518"/>
      <c r="GM70" s="1519"/>
      <c r="GN70" s="1520"/>
      <c r="GO70" s="1519"/>
      <c r="GP70" s="1520"/>
      <c r="GQ70" s="1519"/>
      <c r="GR70" s="1518"/>
      <c r="GS70" s="1519"/>
      <c r="GT70" s="1518"/>
      <c r="GU70" s="1519"/>
      <c r="GV70" s="1520"/>
      <c r="GW70" s="1519"/>
      <c r="GX70" s="1561"/>
      <c r="GY70" s="1527"/>
      <c r="GZ70" s="1518"/>
      <c r="HA70" s="1519"/>
      <c r="HB70" s="1501">
        <f>IFERROR(__xludf.DUMMYFUNCTION("""COMPUTED_VALUE"""),2003.9166666666667)</f>
        <v>2003.916667</v>
      </c>
      <c r="HC70" s="1502">
        <f>IFERROR(__xludf.DUMMYFUNCTION("""COMPUTED_VALUE"""),2.7E13)</f>
        <v>27000000000000</v>
      </c>
      <c r="HD70" s="1518"/>
      <c r="HE70" s="1519"/>
      <c r="HF70" s="1518"/>
      <c r="HG70" s="1519"/>
      <c r="HH70" s="1518"/>
      <c r="HI70" s="1519"/>
      <c r="HJ70" s="1518"/>
      <c r="HK70" s="1519"/>
      <c r="HL70" s="1518"/>
      <c r="HM70" s="1519"/>
      <c r="HN70" s="1520"/>
      <c r="HO70" s="1519"/>
      <c r="HP70" s="1518"/>
      <c r="HQ70" s="1519"/>
      <c r="HR70" s="1518"/>
      <c r="HS70" s="1519"/>
      <c r="HT70" s="1518"/>
      <c r="HU70" s="1519"/>
      <c r="HV70" s="1518"/>
      <c r="HW70" s="1519"/>
      <c r="HX70" s="1518"/>
      <c r="HY70" s="1519"/>
      <c r="HZ70" s="1518"/>
      <c r="IA70" s="1519"/>
      <c r="IB70" s="1518"/>
      <c r="IC70" s="1519"/>
      <c r="ID70" s="1518"/>
      <c r="IE70" s="1519"/>
      <c r="IF70" s="1518"/>
      <c r="IG70" s="1519"/>
      <c r="IH70" s="1518"/>
      <c r="II70" s="1519"/>
      <c r="IJ70" s="1518"/>
      <c r="IK70" s="1519"/>
      <c r="IL70" s="1518"/>
      <c r="IM70" s="1519"/>
      <c r="IN70" s="1518"/>
      <c r="IO70" s="1519"/>
      <c r="IP70" s="1518"/>
      <c r="IQ70" s="1519"/>
      <c r="IR70" s="1518"/>
      <c r="IS70" s="1519"/>
      <c r="IT70" s="1518"/>
      <c r="IU70" s="1519"/>
      <c r="IV70" s="1518"/>
      <c r="IW70" s="1519"/>
      <c r="IX70" s="1518"/>
      <c r="IY70" s="1519"/>
      <c r="IZ70" s="1518"/>
      <c r="JA70" s="1519"/>
      <c r="JB70" s="1518"/>
      <c r="JC70" s="1519"/>
      <c r="JD70" s="1518"/>
      <c r="JE70" s="1519"/>
      <c r="JF70" s="1518"/>
      <c r="JG70" s="1519"/>
      <c r="JH70" s="1518"/>
      <c r="JI70" s="1519"/>
      <c r="JJ70" s="1562"/>
      <c r="JK70" s="1560"/>
      <c r="JL70" s="1562"/>
      <c r="JM70" s="1560"/>
      <c r="JN70" s="1562"/>
      <c r="JO70" s="1560"/>
      <c r="JP70" s="1562"/>
      <c r="JQ70" s="1560"/>
      <c r="JR70" s="1562"/>
      <c r="JS70" s="1560"/>
      <c r="JT70" s="1562"/>
      <c r="JU70" s="1560"/>
      <c r="JV70" s="1562"/>
      <c r="JW70" s="1560"/>
      <c r="JX70" s="1562"/>
      <c r="JY70" s="1527"/>
      <c r="JZ70" s="1566">
        <f>IFERROR(__xludf.DUMMYFUNCTION("""COMPUTED_VALUE"""),6.103773148)</f>
        <v>6.103773148</v>
      </c>
      <c r="KA70" s="1514">
        <f>IFERROR(__xludf.DUMMYFUNCTION("""COMPUTED_VALUE"""),1.7039E11)</f>
        <v>170390000000</v>
      </c>
      <c r="KB70" s="1562"/>
      <c r="KC70" s="1527"/>
      <c r="KD70" s="1562"/>
      <c r="KE70" s="1527"/>
      <c r="KF70" s="1527"/>
      <c r="KG70" s="1527"/>
      <c r="KH70" s="1527"/>
      <c r="KI70" s="1527"/>
      <c r="KJ70" s="1527"/>
      <c r="KK70" s="1527"/>
      <c r="KL70" s="1527"/>
      <c r="KM70" s="1527"/>
      <c r="KN70" s="1527"/>
      <c r="KO70" s="1527"/>
      <c r="KP70" s="1527"/>
      <c r="KQ70" s="1527"/>
      <c r="KR70" s="1527"/>
      <c r="KS70" s="1527"/>
      <c r="KT70" s="1527"/>
      <c r="KU70" s="1527"/>
      <c r="KV70" s="1527"/>
      <c r="KW70" s="1527"/>
      <c r="KX70" s="1527"/>
      <c r="KY70" s="1527"/>
      <c r="KZ70" s="1527"/>
      <c r="LA70" s="1527"/>
      <c r="LB70" s="1527"/>
      <c r="LC70" s="1527"/>
      <c r="LD70" s="1527"/>
      <c r="LE70" s="1527"/>
      <c r="LF70" s="1527"/>
      <c r="LG70" s="1527"/>
      <c r="LH70" s="1527"/>
      <c r="LI70" s="1527"/>
      <c r="LJ70" s="1527"/>
      <c r="LK70" s="1527"/>
      <c r="LL70" s="1527"/>
      <c r="LM70" s="1527"/>
      <c r="LN70" s="1527"/>
      <c r="LO70" s="1527"/>
      <c r="LP70" s="1527"/>
      <c r="LQ70" s="1527"/>
      <c r="LR70" s="1527"/>
      <c r="LS70" s="1527"/>
      <c r="LT70" s="1527"/>
      <c r="LU70" s="1527"/>
      <c r="LV70" s="1527"/>
      <c r="LW70" s="1527"/>
      <c r="LX70" s="1527"/>
      <c r="LY70" s="1527"/>
      <c r="LZ70" s="1527"/>
      <c r="MA70" s="1527"/>
      <c r="MB70" s="1527"/>
      <c r="MC70" s="1527"/>
      <c r="MD70" s="1527"/>
      <c r="ME70" s="1527"/>
      <c r="MF70" s="1527"/>
      <c r="MG70" s="1527"/>
      <c r="MH70" s="1527"/>
      <c r="MI70" s="1527"/>
      <c r="MJ70" s="1527"/>
      <c r="MK70" s="1527"/>
      <c r="ML70" s="1527"/>
      <c r="MM70" s="1527"/>
      <c r="MN70" s="1527"/>
      <c r="MO70" s="1527"/>
      <c r="MP70" s="1527"/>
      <c r="MQ70" s="1527"/>
      <c r="MR70" s="1527"/>
      <c r="MS70" s="1527"/>
      <c r="MT70" s="1527"/>
      <c r="MU70" s="1527"/>
      <c r="MV70" s="1527"/>
      <c r="MW70" s="1527"/>
      <c r="MX70" s="1527"/>
      <c r="MY70" s="1527"/>
    </row>
    <row r="71">
      <c r="A71" s="1465">
        <f>IFERROR(__xludf.DUMMYFUNCTION("""COMPUTED_VALUE"""),69.0)</f>
        <v>69</v>
      </c>
      <c r="B71" s="1518"/>
      <c r="C71" s="1520"/>
      <c r="D71" s="1466">
        <f>IFERROR(__xludf.DUMMYFUNCTION("""COMPUTED_VALUE"""),20.494444444444444)</f>
        <v>20.49444444</v>
      </c>
      <c r="E71" s="1467">
        <f>IFERROR(__xludf.DUMMYFUNCTION("""COMPUTED_VALUE"""),1530000.0)</f>
        <v>1530000</v>
      </c>
      <c r="F71" s="1466">
        <f>IFERROR(__xludf.DUMMYFUNCTION("""COMPUTED_VALUE"""),20.494444444444444)</f>
        <v>20.49444444</v>
      </c>
      <c r="G71" s="1467">
        <f>IFERROR(__xludf.DUMMYFUNCTION("""COMPUTED_VALUE"""),1530000.0)</f>
        <v>1530000</v>
      </c>
      <c r="H71" s="1466">
        <f>IFERROR(__xludf.DUMMYFUNCTION("""COMPUTED_VALUE"""),20.494444444444444)</f>
        <v>20.49444444</v>
      </c>
      <c r="I71" s="1467">
        <f>IFERROR(__xludf.DUMMYFUNCTION("""COMPUTED_VALUE"""),1530000.0)</f>
        <v>1530000</v>
      </c>
      <c r="J71" s="1466">
        <f>IFERROR(__xludf.DUMMYFUNCTION("""COMPUTED_VALUE"""),20.494444444444444)</f>
        <v>20.49444444</v>
      </c>
      <c r="K71" s="1467">
        <f>IFERROR(__xludf.DUMMYFUNCTION("""COMPUTED_VALUE"""),1530000.0)</f>
        <v>1530000</v>
      </c>
      <c r="L71" s="1466">
        <f>IFERROR(__xludf.DUMMYFUNCTION("""COMPUTED_VALUE"""),38.54236111111111)</f>
        <v>38.54236111</v>
      </c>
      <c r="M71" s="1469">
        <f>IFERROR(__xludf.DUMMYFUNCTION("""COMPUTED_VALUE"""),4960000.0)</f>
        <v>4960000</v>
      </c>
      <c r="N71" s="1470">
        <f>IFERROR(__xludf.DUMMYFUNCTION("""COMPUTED_VALUE"""),16.33125)</f>
        <v>16.33125</v>
      </c>
      <c r="O71" s="1467">
        <f>IFERROR(__xludf.DUMMYFUNCTION("""COMPUTED_VALUE"""),6240000.0)</f>
        <v>6240000</v>
      </c>
      <c r="P71" s="1518"/>
      <c r="Q71" s="1519"/>
      <c r="R71" s="1518"/>
      <c r="S71" s="1519"/>
      <c r="T71" s="1518"/>
      <c r="U71" s="1519"/>
      <c r="V71" s="1518"/>
      <c r="W71" s="1519"/>
      <c r="X71" s="1518"/>
      <c r="Y71" s="1519"/>
      <c r="Z71" s="1518"/>
      <c r="AA71" s="1519"/>
      <c r="AB71" s="1518"/>
      <c r="AC71" s="1519"/>
      <c r="AD71" s="1466">
        <f>IFERROR(__xludf.DUMMYFUNCTION("""COMPUTED_VALUE"""),74.51666666666667)</f>
        <v>74.51666667</v>
      </c>
      <c r="AE71" s="1474">
        <f>IFERROR(__xludf.DUMMYFUNCTION("""COMPUTED_VALUE"""),5.59948334E16)</f>
        <v>5.59948E+16</v>
      </c>
      <c r="AF71" s="1466">
        <f>IFERROR(__xludf.DUMMYFUNCTION("""COMPUTED_VALUE"""),74.51666666666667)</f>
        <v>74.51666667</v>
      </c>
      <c r="AG71" s="1474">
        <f>IFERROR(__xludf.DUMMYFUNCTION("""COMPUTED_VALUE"""),5.59948334E16)</f>
        <v>5.59948E+16</v>
      </c>
      <c r="AH71" s="1466">
        <f>IFERROR(__xludf.DUMMYFUNCTION("""COMPUTED_VALUE"""),74.51666666666667)</f>
        <v>74.51666667</v>
      </c>
      <c r="AI71" s="1474">
        <f>IFERROR(__xludf.DUMMYFUNCTION("""COMPUTED_VALUE"""),5.59948334E16)</f>
        <v>5.59948E+16</v>
      </c>
      <c r="AJ71" s="1475">
        <f>IFERROR(__xludf.DUMMYFUNCTION("""COMPUTED_VALUE"""),20.494444444444444)</f>
        <v>20.49444444</v>
      </c>
      <c r="AK71" s="1476">
        <f>IFERROR(__xludf.DUMMYFUNCTION("""COMPUTED_VALUE"""),1530000.0)</f>
        <v>1530000</v>
      </c>
      <c r="AL71" s="1475">
        <f>IFERROR(__xludf.DUMMYFUNCTION("""COMPUTED_VALUE"""),20.494444444444444)</f>
        <v>20.49444444</v>
      </c>
      <c r="AM71" s="1476">
        <f>IFERROR(__xludf.DUMMYFUNCTION("""COMPUTED_VALUE"""),1530000.0)</f>
        <v>1530000</v>
      </c>
      <c r="AN71" s="1475">
        <f>IFERROR(__xludf.DUMMYFUNCTION("""COMPUTED_VALUE"""),20.494444444444444)</f>
        <v>20.49444444</v>
      </c>
      <c r="AO71" s="1476">
        <f>IFERROR(__xludf.DUMMYFUNCTION("""COMPUTED_VALUE"""),1530000.0)</f>
        <v>1530000</v>
      </c>
      <c r="AP71" s="1475">
        <f>IFERROR(__xludf.DUMMYFUNCTION("""COMPUTED_VALUE"""),20.494444444444444)</f>
        <v>20.49444444</v>
      </c>
      <c r="AQ71" s="1476">
        <f>IFERROR(__xludf.DUMMYFUNCTION("""COMPUTED_VALUE"""),1530000.0)</f>
        <v>1530000</v>
      </c>
      <c r="AR71" s="1475">
        <f>IFERROR(__xludf.DUMMYFUNCTION("""COMPUTED_VALUE"""),20.494444444444444)</f>
        <v>20.49444444</v>
      </c>
      <c r="AS71" s="1476">
        <f>IFERROR(__xludf.DUMMYFUNCTION("""COMPUTED_VALUE"""),1530000.0)</f>
        <v>1530000</v>
      </c>
      <c r="AT71" s="1520"/>
      <c r="AU71" s="1519"/>
      <c r="AV71" s="1520"/>
      <c r="AW71" s="1519"/>
      <c r="AX71" s="1518"/>
      <c r="AY71" s="1568"/>
      <c r="AZ71" s="1518"/>
      <c r="BA71" s="1518"/>
      <c r="BB71" s="1477">
        <f>IFERROR(__xludf.DUMMYFUNCTION("""COMPUTED_VALUE"""),20.494444444444444)</f>
        <v>20.49444444</v>
      </c>
      <c r="BC71" s="1478">
        <f>IFERROR(__xludf.DUMMYFUNCTION("""COMPUTED_VALUE"""),1530000.0)</f>
        <v>1530000</v>
      </c>
      <c r="BD71" s="1477">
        <f>IFERROR(__xludf.DUMMYFUNCTION("""COMPUTED_VALUE"""),20.494444444444444)</f>
        <v>20.49444444</v>
      </c>
      <c r="BE71" s="1478">
        <f>IFERROR(__xludf.DUMMYFUNCTION("""COMPUTED_VALUE"""),1530000.0)</f>
        <v>1530000</v>
      </c>
      <c r="BF71" s="1477">
        <f>IFERROR(__xludf.DUMMYFUNCTION("""COMPUTED_VALUE"""),20.494444444444444)</f>
        <v>20.49444444</v>
      </c>
      <c r="BG71" s="1478">
        <f>IFERROR(__xludf.DUMMYFUNCTION("""COMPUTED_VALUE"""),1530000.0)</f>
        <v>1530000</v>
      </c>
      <c r="BH71" s="1518"/>
      <c r="BI71" s="1519"/>
      <c r="BJ71" s="1518"/>
      <c r="BK71" s="1519"/>
      <c r="BL71" s="1518"/>
      <c r="BM71" s="1519"/>
      <c r="BN71" s="1518"/>
      <c r="BO71" s="1519"/>
      <c r="BP71" s="1518"/>
      <c r="BQ71" s="1519"/>
      <c r="BR71" s="1520"/>
      <c r="BS71" s="1519"/>
      <c r="BT71" s="1520"/>
      <c r="BU71" s="1520"/>
      <c r="BV71" s="1520"/>
      <c r="BW71" s="1520"/>
      <c r="BX71" s="1520"/>
      <c r="BY71" s="1520"/>
      <c r="BZ71" s="1520"/>
      <c r="CA71" s="1520"/>
      <c r="CB71" s="1520"/>
      <c r="CC71" s="1519"/>
      <c r="CD71" s="1520"/>
      <c r="CE71" s="1520"/>
      <c r="CF71" s="1527"/>
      <c r="CG71" s="1560"/>
      <c r="CH71" s="1482">
        <f>IFERROR(__xludf.DUMMYFUNCTION("""COMPUTED_VALUE"""),20.494444444444444)</f>
        <v>20.49444444</v>
      </c>
      <c r="CI71" s="1483">
        <f>IFERROR(__xludf.DUMMYFUNCTION("""COMPUTED_VALUE"""),1530000.0)</f>
        <v>1530000</v>
      </c>
      <c r="CJ71" s="1482">
        <f>IFERROR(__xludf.DUMMYFUNCTION("""COMPUTED_VALUE"""),20.494444444444444)</f>
        <v>20.49444444</v>
      </c>
      <c r="CK71" s="1483">
        <f>IFERROR(__xludf.DUMMYFUNCTION("""COMPUTED_VALUE"""),1530000.0)</f>
        <v>1530000</v>
      </c>
      <c r="CL71" s="1482">
        <f>IFERROR(__xludf.DUMMYFUNCTION("""COMPUTED_VALUE"""),20.494444444444444)</f>
        <v>20.49444444</v>
      </c>
      <c r="CM71" s="1483">
        <f>IFERROR(__xludf.DUMMYFUNCTION("""COMPUTED_VALUE"""),1530000.0)</f>
        <v>1530000</v>
      </c>
      <c r="CN71" s="1482">
        <f>IFERROR(__xludf.DUMMYFUNCTION("""COMPUTED_VALUE"""),20.494444444444444)</f>
        <v>20.49444444</v>
      </c>
      <c r="CO71" s="1483">
        <f>IFERROR(__xludf.DUMMYFUNCTION("""COMPUTED_VALUE"""),1530000.0)</f>
        <v>1530000</v>
      </c>
      <c r="CP71" s="1482">
        <f>IFERROR(__xludf.DUMMYFUNCTION("""COMPUTED_VALUE"""),47.50277777777778)</f>
        <v>47.50277778</v>
      </c>
      <c r="CQ71" s="1483">
        <f>IFERROR(__xludf.DUMMYFUNCTION("""COMPUTED_VALUE"""),6240000.0)</f>
        <v>6240000</v>
      </c>
      <c r="CR71" s="1518"/>
      <c r="CS71" s="1519"/>
      <c r="CT71" s="1520"/>
      <c r="CU71" s="1519"/>
      <c r="CV71" s="1520"/>
      <c r="CW71" s="1519"/>
      <c r="CX71" s="1520"/>
      <c r="CY71" s="1519"/>
      <c r="CZ71" s="1520"/>
      <c r="DA71" s="1520"/>
      <c r="DB71" s="1520"/>
      <c r="DC71" s="1520"/>
      <c r="DD71" s="1520"/>
      <c r="DE71" s="1519"/>
      <c r="DF71" s="1518"/>
      <c r="DG71" s="1519"/>
      <c r="DH71" s="1518"/>
      <c r="DI71" s="1519"/>
      <c r="DJ71" s="1518"/>
      <c r="DK71" s="1519"/>
      <c r="DL71" s="1518"/>
      <c r="DM71" s="1519"/>
      <c r="DN71" s="1518"/>
      <c r="DO71" s="1519"/>
      <c r="DP71" s="1518"/>
      <c r="DQ71" s="1519"/>
      <c r="DR71" s="1518"/>
      <c r="DS71" s="1519"/>
      <c r="DT71" s="1518"/>
      <c r="DU71" s="1519"/>
      <c r="DV71" s="1520"/>
      <c r="DW71" s="1519"/>
      <c r="DX71" s="1518"/>
      <c r="DY71" s="1519"/>
      <c r="DZ71" s="1518"/>
      <c r="EA71" s="1519"/>
      <c r="EB71" s="1518"/>
      <c r="EC71" s="1519"/>
      <c r="ED71" s="1518"/>
      <c r="EE71" s="1519"/>
      <c r="EF71" s="1518"/>
      <c r="EG71" s="1519"/>
      <c r="EH71" s="1518"/>
      <c r="EI71" s="1519"/>
      <c r="EJ71" s="1562"/>
      <c r="EK71" s="1560"/>
      <c r="EL71" s="1562"/>
      <c r="EM71" s="1560"/>
      <c r="EN71" s="1518"/>
      <c r="EO71" s="1519"/>
      <c r="EP71" s="1518"/>
      <c r="EQ71" s="1519"/>
      <c r="ER71" s="1518"/>
      <c r="ES71" s="1519"/>
      <c r="ET71" s="1518"/>
      <c r="EU71" s="1519"/>
      <c r="EV71" s="1518"/>
      <c r="EW71" s="1519"/>
      <c r="EX71" s="1518"/>
      <c r="EY71" s="1519"/>
      <c r="EZ71" s="1518"/>
      <c r="FA71" s="1519"/>
      <c r="FB71" s="1520"/>
      <c r="FC71" s="1519"/>
      <c r="FD71" s="1520"/>
      <c r="FE71" s="1519"/>
      <c r="FF71" s="1520"/>
      <c r="FG71" s="1519"/>
      <c r="FH71" s="1520"/>
      <c r="FI71" s="1520"/>
      <c r="FJ71" s="1520"/>
      <c r="FK71" s="1519"/>
      <c r="FL71" s="1518"/>
      <c r="FM71" s="1519"/>
      <c r="FN71" s="1532"/>
      <c r="FO71" s="1520"/>
      <c r="FP71" s="1532"/>
      <c r="FQ71" s="1520"/>
      <c r="FR71" s="1532"/>
      <c r="FS71" s="1520"/>
      <c r="FT71" s="1532"/>
      <c r="FU71" s="1519"/>
      <c r="FV71" s="1532"/>
      <c r="FW71" s="1519"/>
      <c r="FX71" s="1572"/>
      <c r="FY71" s="1560"/>
      <c r="FZ71" s="1572"/>
      <c r="GA71" s="1560"/>
      <c r="GB71" s="1572"/>
      <c r="GC71" s="1560"/>
      <c r="GD71" s="1527"/>
      <c r="GE71" s="1560"/>
      <c r="GF71" s="1518"/>
      <c r="GG71" s="1519"/>
      <c r="GH71" s="1518"/>
      <c r="GI71" s="1519"/>
      <c r="GJ71" s="1518"/>
      <c r="GK71" s="1519"/>
      <c r="GL71" s="1518"/>
      <c r="GM71" s="1519"/>
      <c r="GN71" s="1520"/>
      <c r="GO71" s="1519"/>
      <c r="GP71" s="1520"/>
      <c r="GQ71" s="1519"/>
      <c r="GR71" s="1518"/>
      <c r="GS71" s="1519"/>
      <c r="GT71" s="1518"/>
      <c r="GU71" s="1519"/>
      <c r="GV71" s="1520"/>
      <c r="GW71" s="1519"/>
      <c r="GX71" s="1561"/>
      <c r="GY71" s="1527"/>
      <c r="GZ71" s="1518"/>
      <c r="HA71" s="1519"/>
      <c r="HB71" s="1501">
        <f>IFERROR(__xludf.DUMMYFUNCTION("""COMPUTED_VALUE"""),2110.2208333333333)</f>
        <v>2110.220833</v>
      </c>
      <c r="HC71" s="1502">
        <f>IFERROR(__xludf.DUMMYFUNCTION("""COMPUTED_VALUE"""),2.908E13)</f>
        <v>29080000000000</v>
      </c>
      <c r="HD71" s="1518"/>
      <c r="HE71" s="1519"/>
      <c r="HF71" s="1518"/>
      <c r="HG71" s="1519"/>
      <c r="HH71" s="1518"/>
      <c r="HI71" s="1519"/>
      <c r="HJ71" s="1518"/>
      <c r="HK71" s="1519"/>
      <c r="HL71" s="1518"/>
      <c r="HM71" s="1519"/>
      <c r="HN71" s="1520"/>
      <c r="HO71" s="1519"/>
      <c r="HP71" s="1518"/>
      <c r="HQ71" s="1519"/>
      <c r="HR71" s="1518"/>
      <c r="HS71" s="1519"/>
      <c r="HT71" s="1518"/>
      <c r="HU71" s="1519"/>
      <c r="HV71" s="1518"/>
      <c r="HW71" s="1519"/>
      <c r="HX71" s="1518"/>
      <c r="HY71" s="1519"/>
      <c r="HZ71" s="1518"/>
      <c r="IA71" s="1519"/>
      <c r="IB71" s="1518"/>
      <c r="IC71" s="1519"/>
      <c r="ID71" s="1518"/>
      <c r="IE71" s="1519"/>
      <c r="IF71" s="1518"/>
      <c r="IG71" s="1519"/>
      <c r="IH71" s="1518"/>
      <c r="II71" s="1519"/>
      <c r="IJ71" s="1518"/>
      <c r="IK71" s="1519"/>
      <c r="IL71" s="1518"/>
      <c r="IM71" s="1519"/>
      <c r="IN71" s="1518"/>
      <c r="IO71" s="1519"/>
      <c r="IP71" s="1518"/>
      <c r="IQ71" s="1519"/>
      <c r="IR71" s="1518"/>
      <c r="IS71" s="1519"/>
      <c r="IT71" s="1518"/>
      <c r="IU71" s="1519"/>
      <c r="IV71" s="1518"/>
      <c r="IW71" s="1519"/>
      <c r="IX71" s="1518"/>
      <c r="IY71" s="1519"/>
      <c r="IZ71" s="1518"/>
      <c r="JA71" s="1519"/>
      <c r="JB71" s="1518"/>
      <c r="JC71" s="1519"/>
      <c r="JD71" s="1518"/>
      <c r="JE71" s="1519"/>
      <c r="JF71" s="1518"/>
      <c r="JG71" s="1519"/>
      <c r="JH71" s="1518"/>
      <c r="JI71" s="1519"/>
      <c r="JJ71" s="1562"/>
      <c r="JK71" s="1560"/>
      <c r="JL71" s="1562"/>
      <c r="JM71" s="1560"/>
      <c r="JN71" s="1562"/>
      <c r="JO71" s="1560"/>
      <c r="JP71" s="1562"/>
      <c r="JQ71" s="1560"/>
      <c r="JR71" s="1562"/>
      <c r="JS71" s="1560"/>
      <c r="JT71" s="1562"/>
      <c r="JU71" s="1560"/>
      <c r="JV71" s="1562"/>
      <c r="JW71" s="1560"/>
      <c r="JX71" s="1562"/>
      <c r="JY71" s="1527"/>
      <c r="JZ71" s="1566">
        <f>IFERROR(__xludf.DUMMYFUNCTION("""COMPUTED_VALUE"""),6.206689815)</f>
        <v>6.206689815</v>
      </c>
      <c r="KA71" s="1514">
        <f>IFERROR(__xludf.DUMMYFUNCTION("""COMPUTED_VALUE"""),1.7734E11)</f>
        <v>177340000000</v>
      </c>
      <c r="KB71" s="1562"/>
      <c r="KC71" s="1527"/>
      <c r="KD71" s="1562"/>
      <c r="KE71" s="1527"/>
      <c r="KF71" s="1527"/>
      <c r="KG71" s="1527"/>
      <c r="KH71" s="1527"/>
      <c r="KI71" s="1527"/>
      <c r="KJ71" s="1527"/>
      <c r="KK71" s="1527"/>
      <c r="KL71" s="1527"/>
      <c r="KM71" s="1527"/>
      <c r="KN71" s="1527"/>
      <c r="KO71" s="1527"/>
      <c r="KP71" s="1527"/>
      <c r="KQ71" s="1527"/>
      <c r="KR71" s="1527"/>
      <c r="KS71" s="1527"/>
      <c r="KT71" s="1527"/>
      <c r="KU71" s="1527"/>
      <c r="KV71" s="1527"/>
      <c r="KW71" s="1527"/>
      <c r="KX71" s="1527"/>
      <c r="KY71" s="1527"/>
      <c r="KZ71" s="1527"/>
      <c r="LA71" s="1527"/>
      <c r="LB71" s="1527"/>
      <c r="LC71" s="1527"/>
      <c r="LD71" s="1527"/>
      <c r="LE71" s="1527"/>
      <c r="LF71" s="1527"/>
      <c r="LG71" s="1527"/>
      <c r="LH71" s="1527"/>
      <c r="LI71" s="1527"/>
      <c r="LJ71" s="1527"/>
      <c r="LK71" s="1527"/>
      <c r="LL71" s="1527"/>
      <c r="LM71" s="1527"/>
      <c r="LN71" s="1527"/>
      <c r="LO71" s="1527"/>
      <c r="LP71" s="1527"/>
      <c r="LQ71" s="1527"/>
      <c r="LR71" s="1527"/>
      <c r="LS71" s="1527"/>
      <c r="LT71" s="1527"/>
      <c r="LU71" s="1527"/>
      <c r="LV71" s="1527"/>
      <c r="LW71" s="1527"/>
      <c r="LX71" s="1527"/>
      <c r="LY71" s="1527"/>
      <c r="LZ71" s="1527"/>
      <c r="MA71" s="1527"/>
      <c r="MB71" s="1527"/>
      <c r="MC71" s="1527"/>
      <c r="MD71" s="1527"/>
      <c r="ME71" s="1527"/>
      <c r="MF71" s="1527"/>
      <c r="MG71" s="1527"/>
      <c r="MH71" s="1527"/>
      <c r="MI71" s="1527"/>
      <c r="MJ71" s="1527"/>
      <c r="MK71" s="1527"/>
      <c r="ML71" s="1527"/>
      <c r="MM71" s="1527"/>
      <c r="MN71" s="1527"/>
      <c r="MO71" s="1527"/>
      <c r="MP71" s="1527"/>
      <c r="MQ71" s="1527"/>
      <c r="MR71" s="1527"/>
      <c r="MS71" s="1527"/>
      <c r="MT71" s="1527"/>
      <c r="MU71" s="1527"/>
      <c r="MV71" s="1527"/>
      <c r="MW71" s="1527"/>
      <c r="MX71" s="1527"/>
      <c r="MY71" s="1527"/>
    </row>
    <row r="72">
      <c r="A72" s="1465">
        <f>IFERROR(__xludf.DUMMYFUNCTION("""COMPUTED_VALUE"""),70.0)</f>
        <v>70</v>
      </c>
      <c r="B72" s="1533"/>
      <c r="C72" s="1541"/>
      <c r="D72" s="1471">
        <f>IFERROR(__xludf.DUMMYFUNCTION("""COMPUTED_VALUE"""),21.22013888888889)</f>
        <v>21.22013889</v>
      </c>
      <c r="E72" s="1472">
        <f>IFERROR(__xludf.DUMMYFUNCTION("""COMPUTED_VALUE"""),1600000.0)</f>
        <v>1600000</v>
      </c>
      <c r="F72" s="1471">
        <f>IFERROR(__xludf.DUMMYFUNCTION("""COMPUTED_VALUE"""),21.22013888888889)</f>
        <v>21.22013889</v>
      </c>
      <c r="G72" s="1472">
        <f>IFERROR(__xludf.DUMMYFUNCTION("""COMPUTED_VALUE"""),1600000.0)</f>
        <v>1600000</v>
      </c>
      <c r="H72" s="1471">
        <f>IFERROR(__xludf.DUMMYFUNCTION("""COMPUTED_VALUE"""),21.22013888888889)</f>
        <v>21.22013889</v>
      </c>
      <c r="I72" s="1472">
        <f>IFERROR(__xludf.DUMMYFUNCTION("""COMPUTED_VALUE"""),1600000.0)</f>
        <v>1600000</v>
      </c>
      <c r="J72" s="1471">
        <f>IFERROR(__xludf.DUMMYFUNCTION("""COMPUTED_VALUE"""),21.22013888888889)</f>
        <v>21.22013889</v>
      </c>
      <c r="K72" s="1472">
        <f>IFERROR(__xludf.DUMMYFUNCTION("""COMPUTED_VALUE"""),1600000.0)</f>
        <v>1600000</v>
      </c>
      <c r="L72" s="1471">
        <f>IFERROR(__xludf.DUMMYFUNCTION("""COMPUTED_VALUE"""),39.99513888888889)</f>
        <v>39.99513889</v>
      </c>
      <c r="M72" s="1536">
        <f>IFERROR(__xludf.DUMMYFUNCTION("""COMPUTED_VALUE"""),5170000.0)</f>
        <v>5170000</v>
      </c>
      <c r="N72" s="1537">
        <f>IFERROR(__xludf.DUMMYFUNCTION("""COMPUTED_VALUE"""),16.804166666666667)</f>
        <v>16.80416667</v>
      </c>
      <c r="O72" s="1472">
        <f>IFERROR(__xludf.DUMMYFUNCTION("""COMPUTED_VALUE"""),6520000.0)</f>
        <v>6520000</v>
      </c>
      <c r="P72" s="1533"/>
      <c r="Q72" s="1534"/>
      <c r="R72" s="1533"/>
      <c r="S72" s="1534"/>
      <c r="T72" s="1533"/>
      <c r="U72" s="1534"/>
      <c r="V72" s="1533"/>
      <c r="W72" s="1534"/>
      <c r="X72" s="1533"/>
      <c r="Y72" s="1534"/>
      <c r="Z72" s="1533"/>
      <c r="AA72" s="1534"/>
      <c r="AB72" s="1533"/>
      <c r="AC72" s="1534"/>
      <c r="AD72" s="1471">
        <f>IFERROR(__xludf.DUMMYFUNCTION("""COMPUTED_VALUE"""),75.59652777777778)</f>
        <v>75.59652778</v>
      </c>
      <c r="AE72" s="1538">
        <f>IFERROR(__xludf.DUMMYFUNCTION("""COMPUTED_VALUE"""),7.279328342E16)</f>
        <v>7.27933E+16</v>
      </c>
      <c r="AF72" s="1471">
        <f>IFERROR(__xludf.DUMMYFUNCTION("""COMPUTED_VALUE"""),75.59652777777778)</f>
        <v>75.59652778</v>
      </c>
      <c r="AG72" s="1538">
        <f>IFERROR(__xludf.DUMMYFUNCTION("""COMPUTED_VALUE"""),7.279328342E16)</f>
        <v>7.27933E+16</v>
      </c>
      <c r="AH72" s="1471">
        <f>IFERROR(__xludf.DUMMYFUNCTION("""COMPUTED_VALUE"""),75.59652777777778)</f>
        <v>75.59652778</v>
      </c>
      <c r="AI72" s="1538">
        <f>IFERROR(__xludf.DUMMYFUNCTION("""COMPUTED_VALUE"""),7.279328342E16)</f>
        <v>7.27933E+16</v>
      </c>
      <c r="AJ72" s="1539">
        <f>IFERROR(__xludf.DUMMYFUNCTION("""COMPUTED_VALUE"""),21.22013888888889)</f>
        <v>21.22013889</v>
      </c>
      <c r="AK72" s="1540">
        <f>IFERROR(__xludf.DUMMYFUNCTION("""COMPUTED_VALUE"""),1600000.0)</f>
        <v>1600000</v>
      </c>
      <c r="AL72" s="1539">
        <f>IFERROR(__xludf.DUMMYFUNCTION("""COMPUTED_VALUE"""),21.22013888888889)</f>
        <v>21.22013889</v>
      </c>
      <c r="AM72" s="1540">
        <f>IFERROR(__xludf.DUMMYFUNCTION("""COMPUTED_VALUE"""),1600000.0)</f>
        <v>1600000</v>
      </c>
      <c r="AN72" s="1539">
        <f>IFERROR(__xludf.DUMMYFUNCTION("""COMPUTED_VALUE"""),21.22013888888889)</f>
        <v>21.22013889</v>
      </c>
      <c r="AO72" s="1540">
        <f>IFERROR(__xludf.DUMMYFUNCTION("""COMPUTED_VALUE"""),1600000.0)</f>
        <v>1600000</v>
      </c>
      <c r="AP72" s="1539">
        <f>IFERROR(__xludf.DUMMYFUNCTION("""COMPUTED_VALUE"""),21.22013888888889)</f>
        <v>21.22013889</v>
      </c>
      <c r="AQ72" s="1540">
        <f>IFERROR(__xludf.DUMMYFUNCTION("""COMPUTED_VALUE"""),1600000.0)</f>
        <v>1600000</v>
      </c>
      <c r="AR72" s="1539">
        <f>IFERROR(__xludf.DUMMYFUNCTION("""COMPUTED_VALUE"""),21.22013888888889)</f>
        <v>21.22013889</v>
      </c>
      <c r="AS72" s="1540">
        <f>IFERROR(__xludf.DUMMYFUNCTION("""COMPUTED_VALUE"""),1600000.0)</f>
        <v>1600000</v>
      </c>
      <c r="AT72" s="1541"/>
      <c r="AU72" s="1534"/>
      <c r="AV72" s="1541"/>
      <c r="AW72" s="1534"/>
      <c r="AX72" s="1533"/>
      <c r="AY72" s="1569"/>
      <c r="AZ72" s="1533"/>
      <c r="BA72" s="1533"/>
      <c r="BB72" s="1479">
        <f>IFERROR(__xludf.DUMMYFUNCTION("""COMPUTED_VALUE"""),21.22013888888889)</f>
        <v>21.22013889</v>
      </c>
      <c r="BC72" s="1480">
        <f>IFERROR(__xludf.DUMMYFUNCTION("""COMPUTED_VALUE"""),1600000.0)</f>
        <v>1600000</v>
      </c>
      <c r="BD72" s="1479">
        <f>IFERROR(__xludf.DUMMYFUNCTION("""COMPUTED_VALUE"""),21.22013888888889)</f>
        <v>21.22013889</v>
      </c>
      <c r="BE72" s="1480">
        <f>IFERROR(__xludf.DUMMYFUNCTION("""COMPUTED_VALUE"""),1600000.0)</f>
        <v>1600000</v>
      </c>
      <c r="BF72" s="1479">
        <f>IFERROR(__xludf.DUMMYFUNCTION("""COMPUTED_VALUE"""),21.22013888888889)</f>
        <v>21.22013889</v>
      </c>
      <c r="BG72" s="1480">
        <f>IFERROR(__xludf.DUMMYFUNCTION("""COMPUTED_VALUE"""),1600000.0)</f>
        <v>1600000</v>
      </c>
      <c r="BH72" s="1533"/>
      <c r="BI72" s="1534"/>
      <c r="BJ72" s="1533"/>
      <c r="BK72" s="1534"/>
      <c r="BL72" s="1533"/>
      <c r="BM72" s="1534"/>
      <c r="BN72" s="1533"/>
      <c r="BO72" s="1534"/>
      <c r="BP72" s="1533"/>
      <c r="BQ72" s="1534"/>
      <c r="BR72" s="1541"/>
      <c r="BS72" s="1534"/>
      <c r="BT72" s="1541"/>
      <c r="BU72" s="1541"/>
      <c r="BV72" s="1541"/>
      <c r="BW72" s="1541"/>
      <c r="BX72" s="1541"/>
      <c r="BY72" s="1541"/>
      <c r="BZ72" s="1541"/>
      <c r="CA72" s="1541"/>
      <c r="CB72" s="1541"/>
      <c r="CC72" s="1534"/>
      <c r="CD72" s="1541"/>
      <c r="CE72" s="1541"/>
      <c r="CF72" s="1550"/>
      <c r="CG72" s="1564"/>
      <c r="CH72" s="1484">
        <f>IFERROR(__xludf.DUMMYFUNCTION("""COMPUTED_VALUE"""),21.22013888888889)</f>
        <v>21.22013889</v>
      </c>
      <c r="CI72" s="1485">
        <f>IFERROR(__xludf.DUMMYFUNCTION("""COMPUTED_VALUE"""),1600000.0)</f>
        <v>1600000</v>
      </c>
      <c r="CJ72" s="1484">
        <f>IFERROR(__xludf.DUMMYFUNCTION("""COMPUTED_VALUE"""),21.22013888888889)</f>
        <v>21.22013889</v>
      </c>
      <c r="CK72" s="1485">
        <f>IFERROR(__xludf.DUMMYFUNCTION("""COMPUTED_VALUE"""),1600000.0)</f>
        <v>1600000</v>
      </c>
      <c r="CL72" s="1484">
        <f>IFERROR(__xludf.DUMMYFUNCTION("""COMPUTED_VALUE"""),21.22013888888889)</f>
        <v>21.22013889</v>
      </c>
      <c r="CM72" s="1485">
        <f>IFERROR(__xludf.DUMMYFUNCTION("""COMPUTED_VALUE"""),1600000.0)</f>
        <v>1600000</v>
      </c>
      <c r="CN72" s="1484">
        <f>IFERROR(__xludf.DUMMYFUNCTION("""COMPUTED_VALUE"""),21.22013888888889)</f>
        <v>21.22013889</v>
      </c>
      <c r="CO72" s="1485">
        <f>IFERROR(__xludf.DUMMYFUNCTION("""COMPUTED_VALUE"""),1600000.0)</f>
        <v>1600000</v>
      </c>
      <c r="CP72" s="1484">
        <f>IFERROR(__xludf.DUMMYFUNCTION("""COMPUTED_VALUE"""),49.33125)</f>
        <v>49.33125</v>
      </c>
      <c r="CQ72" s="1485">
        <f>IFERROR(__xludf.DUMMYFUNCTION("""COMPUTED_VALUE"""),6520000.0)</f>
        <v>6520000</v>
      </c>
      <c r="CR72" s="1533"/>
      <c r="CS72" s="1534"/>
      <c r="CT72" s="1541"/>
      <c r="CU72" s="1534"/>
      <c r="CV72" s="1541"/>
      <c r="CW72" s="1534"/>
      <c r="CX72" s="1541"/>
      <c r="CY72" s="1534"/>
      <c r="CZ72" s="1541"/>
      <c r="DA72" s="1541"/>
      <c r="DB72" s="1541"/>
      <c r="DC72" s="1541"/>
      <c r="DD72" s="1541"/>
      <c r="DE72" s="1534"/>
      <c r="DF72" s="1533"/>
      <c r="DG72" s="1534"/>
      <c r="DH72" s="1533"/>
      <c r="DI72" s="1534"/>
      <c r="DJ72" s="1533"/>
      <c r="DK72" s="1534"/>
      <c r="DL72" s="1533"/>
      <c r="DM72" s="1534"/>
      <c r="DN72" s="1533"/>
      <c r="DO72" s="1534"/>
      <c r="DP72" s="1533"/>
      <c r="DQ72" s="1534"/>
      <c r="DR72" s="1533"/>
      <c r="DS72" s="1534"/>
      <c r="DT72" s="1533"/>
      <c r="DU72" s="1534"/>
      <c r="DV72" s="1541"/>
      <c r="DW72" s="1534"/>
      <c r="DX72" s="1533"/>
      <c r="DY72" s="1534"/>
      <c r="DZ72" s="1533"/>
      <c r="EA72" s="1534"/>
      <c r="EB72" s="1533"/>
      <c r="EC72" s="1534"/>
      <c r="ED72" s="1533"/>
      <c r="EE72" s="1534"/>
      <c r="EF72" s="1533"/>
      <c r="EG72" s="1534"/>
      <c r="EH72" s="1533"/>
      <c r="EI72" s="1534"/>
      <c r="EJ72" s="1565"/>
      <c r="EK72" s="1564"/>
      <c r="EL72" s="1565"/>
      <c r="EM72" s="1564"/>
      <c r="EN72" s="1533"/>
      <c r="EO72" s="1534"/>
      <c r="EP72" s="1533"/>
      <c r="EQ72" s="1534"/>
      <c r="ER72" s="1533"/>
      <c r="ES72" s="1534"/>
      <c r="ET72" s="1533"/>
      <c r="EU72" s="1534"/>
      <c r="EV72" s="1533"/>
      <c r="EW72" s="1534"/>
      <c r="EX72" s="1533"/>
      <c r="EY72" s="1534"/>
      <c r="EZ72" s="1533"/>
      <c r="FA72" s="1534"/>
      <c r="FB72" s="1541"/>
      <c r="FC72" s="1534"/>
      <c r="FD72" s="1541"/>
      <c r="FE72" s="1534"/>
      <c r="FF72" s="1541"/>
      <c r="FG72" s="1534"/>
      <c r="FH72" s="1541"/>
      <c r="FI72" s="1541"/>
      <c r="FJ72" s="1541"/>
      <c r="FK72" s="1534"/>
      <c r="FL72" s="1533"/>
      <c r="FM72" s="1534"/>
      <c r="FN72" s="1545"/>
      <c r="FO72" s="1541"/>
      <c r="FP72" s="1545"/>
      <c r="FQ72" s="1541"/>
      <c r="FR72" s="1545"/>
      <c r="FS72" s="1541"/>
      <c r="FT72" s="1545"/>
      <c r="FU72" s="1534"/>
      <c r="FV72" s="1545"/>
      <c r="FW72" s="1534"/>
      <c r="FX72" s="1574"/>
      <c r="FY72" s="1564"/>
      <c r="FZ72" s="1574"/>
      <c r="GA72" s="1564"/>
      <c r="GB72" s="1574"/>
      <c r="GC72" s="1564"/>
      <c r="GD72" s="1550"/>
      <c r="GE72" s="1564"/>
      <c r="GF72" s="1533"/>
      <c r="GG72" s="1534"/>
      <c r="GH72" s="1533"/>
      <c r="GI72" s="1534"/>
      <c r="GJ72" s="1533"/>
      <c r="GK72" s="1534"/>
      <c r="GL72" s="1533"/>
      <c r="GM72" s="1534"/>
      <c r="GN72" s="1541"/>
      <c r="GO72" s="1534"/>
      <c r="GP72" s="1541"/>
      <c r="GQ72" s="1534"/>
      <c r="GR72" s="1533"/>
      <c r="GS72" s="1534"/>
      <c r="GT72" s="1533"/>
      <c r="GU72" s="1534"/>
      <c r="GV72" s="1541"/>
      <c r="GW72" s="1534"/>
      <c r="GX72" s="1549"/>
      <c r="GY72" s="1550"/>
      <c r="GZ72" s="1533"/>
      <c r="HA72" s="1534"/>
      <c r="HB72" s="1551">
        <f>IFERROR(__xludf.DUMMYFUNCTION("""COMPUTED_VALUE"""),2220.4861111111113)</f>
        <v>2220.486111</v>
      </c>
      <c r="HC72" s="1552">
        <f>IFERROR(__xludf.DUMMYFUNCTION("""COMPUTED_VALUE"""),3.128E13)</f>
        <v>31280000000000</v>
      </c>
      <c r="HD72" s="1533"/>
      <c r="HE72" s="1534"/>
      <c r="HF72" s="1533"/>
      <c r="HG72" s="1534"/>
      <c r="HH72" s="1533"/>
      <c r="HI72" s="1534"/>
      <c r="HJ72" s="1533"/>
      <c r="HK72" s="1534"/>
      <c r="HL72" s="1533"/>
      <c r="HM72" s="1534"/>
      <c r="HN72" s="1541"/>
      <c r="HO72" s="1534"/>
      <c r="HP72" s="1533"/>
      <c r="HQ72" s="1534"/>
      <c r="HR72" s="1533"/>
      <c r="HS72" s="1534"/>
      <c r="HT72" s="1533"/>
      <c r="HU72" s="1534"/>
      <c r="HV72" s="1533"/>
      <c r="HW72" s="1534"/>
      <c r="HX72" s="1533"/>
      <c r="HY72" s="1534"/>
      <c r="HZ72" s="1533"/>
      <c r="IA72" s="1534"/>
      <c r="IB72" s="1533"/>
      <c r="IC72" s="1534"/>
      <c r="ID72" s="1533"/>
      <c r="IE72" s="1534"/>
      <c r="IF72" s="1533"/>
      <c r="IG72" s="1534"/>
      <c r="IH72" s="1533"/>
      <c r="II72" s="1534"/>
      <c r="IJ72" s="1533"/>
      <c r="IK72" s="1534"/>
      <c r="IL72" s="1533"/>
      <c r="IM72" s="1534"/>
      <c r="IN72" s="1533"/>
      <c r="IO72" s="1534"/>
      <c r="IP72" s="1533"/>
      <c r="IQ72" s="1534"/>
      <c r="IR72" s="1533"/>
      <c r="IS72" s="1534"/>
      <c r="IT72" s="1533"/>
      <c r="IU72" s="1534"/>
      <c r="IV72" s="1533"/>
      <c r="IW72" s="1534"/>
      <c r="IX72" s="1533"/>
      <c r="IY72" s="1534"/>
      <c r="IZ72" s="1533"/>
      <c r="JA72" s="1534"/>
      <c r="JB72" s="1533"/>
      <c r="JC72" s="1534"/>
      <c r="JD72" s="1533"/>
      <c r="JE72" s="1534"/>
      <c r="JF72" s="1533"/>
      <c r="JG72" s="1534"/>
      <c r="JH72" s="1533"/>
      <c r="JI72" s="1534"/>
      <c r="JJ72" s="1565"/>
      <c r="JK72" s="1564"/>
      <c r="JL72" s="1565"/>
      <c r="JM72" s="1564"/>
      <c r="JN72" s="1565"/>
      <c r="JO72" s="1564"/>
      <c r="JP72" s="1565"/>
      <c r="JQ72" s="1564"/>
      <c r="JR72" s="1565"/>
      <c r="JS72" s="1564"/>
      <c r="JT72" s="1565"/>
      <c r="JU72" s="1564"/>
      <c r="JV72" s="1565"/>
      <c r="JW72" s="1564"/>
      <c r="JX72" s="1562"/>
      <c r="JY72" s="1527"/>
      <c r="JZ72" s="1566">
        <f>IFERROR(__xludf.DUMMYFUNCTION("""COMPUTED_VALUE"""),6.310509259)</f>
        <v>6.310509259</v>
      </c>
      <c r="KA72" s="1514">
        <f>IFERROR(__xludf.DUMMYFUNCTION("""COMPUTED_VALUE"""),1.8447E11)</f>
        <v>184470000000</v>
      </c>
      <c r="KB72" s="1562"/>
      <c r="KC72" s="1527"/>
      <c r="KD72" s="1562"/>
      <c r="KE72" s="1527"/>
      <c r="KF72" s="1527"/>
      <c r="KG72" s="1527"/>
      <c r="KH72" s="1527"/>
      <c r="KI72" s="1527"/>
      <c r="KJ72" s="1527"/>
      <c r="KK72" s="1527"/>
      <c r="KL72" s="1527"/>
      <c r="KM72" s="1527"/>
      <c r="KN72" s="1527"/>
      <c r="KO72" s="1527"/>
      <c r="KP72" s="1527"/>
      <c r="KQ72" s="1527"/>
      <c r="KR72" s="1527"/>
      <c r="KS72" s="1527"/>
      <c r="KT72" s="1527"/>
      <c r="KU72" s="1527"/>
      <c r="KV72" s="1527"/>
      <c r="KW72" s="1527"/>
      <c r="KX72" s="1527"/>
      <c r="KY72" s="1527"/>
      <c r="KZ72" s="1527"/>
      <c r="LA72" s="1527"/>
      <c r="LB72" s="1527"/>
      <c r="LC72" s="1527"/>
      <c r="LD72" s="1527"/>
      <c r="LE72" s="1527"/>
      <c r="LF72" s="1527"/>
      <c r="LG72" s="1527"/>
      <c r="LH72" s="1527"/>
      <c r="LI72" s="1527"/>
      <c r="LJ72" s="1527"/>
      <c r="LK72" s="1527"/>
      <c r="LL72" s="1550"/>
      <c r="LM72" s="1550"/>
      <c r="LN72" s="1527"/>
      <c r="LO72" s="1527"/>
      <c r="LP72" s="1527"/>
      <c r="LQ72" s="1527"/>
      <c r="LR72" s="1527"/>
      <c r="LS72" s="1527"/>
      <c r="LT72" s="1527"/>
      <c r="LU72" s="1527"/>
      <c r="LV72" s="1527"/>
      <c r="LW72" s="1527"/>
      <c r="LX72" s="1527"/>
      <c r="LY72" s="1527"/>
      <c r="LZ72" s="1527"/>
      <c r="MA72" s="1527"/>
      <c r="MB72" s="1527"/>
      <c r="MC72" s="1527"/>
      <c r="MD72" s="1527"/>
      <c r="ME72" s="1527"/>
      <c r="MF72" s="1527"/>
      <c r="MG72" s="1527"/>
      <c r="MH72" s="1527"/>
      <c r="MI72" s="1527"/>
      <c r="MJ72" s="1527"/>
      <c r="MK72" s="1527"/>
      <c r="ML72" s="1527"/>
      <c r="MM72" s="1527"/>
      <c r="MN72" s="1527"/>
      <c r="MO72" s="1527"/>
      <c r="MP72" s="1527"/>
      <c r="MQ72" s="1527"/>
      <c r="MR72" s="1527"/>
      <c r="MS72" s="1527"/>
      <c r="MT72" s="1527"/>
      <c r="MU72" s="1527"/>
      <c r="MV72" s="1527"/>
      <c r="MW72" s="1527"/>
      <c r="MX72" s="1527"/>
      <c r="MY72" s="1527"/>
    </row>
    <row r="73">
      <c r="A73" s="1465">
        <f>IFERROR(__xludf.DUMMYFUNCTION("""COMPUTED_VALUE"""),71.0)</f>
        <v>71</v>
      </c>
      <c r="B73" s="1518"/>
      <c r="C73" s="1520"/>
      <c r="D73" s="1466">
        <f>IFERROR(__xludf.DUMMYFUNCTION("""COMPUTED_VALUE"""),21.961111111111112)</f>
        <v>21.96111111</v>
      </c>
      <c r="E73" s="1467">
        <f>IFERROR(__xludf.DUMMYFUNCTION("""COMPUTED_VALUE"""),1660000.0)</f>
        <v>1660000</v>
      </c>
      <c r="F73" s="1466">
        <f>IFERROR(__xludf.DUMMYFUNCTION("""COMPUTED_VALUE"""),21.961111111111112)</f>
        <v>21.96111111</v>
      </c>
      <c r="G73" s="1467">
        <f>IFERROR(__xludf.DUMMYFUNCTION("""COMPUTED_VALUE"""),1660000.0)</f>
        <v>1660000</v>
      </c>
      <c r="H73" s="1466">
        <f>IFERROR(__xludf.DUMMYFUNCTION("""COMPUTED_VALUE"""),21.961111111111112)</f>
        <v>21.96111111</v>
      </c>
      <c r="I73" s="1467">
        <f>IFERROR(__xludf.DUMMYFUNCTION("""COMPUTED_VALUE"""),1660000.0)</f>
        <v>1660000</v>
      </c>
      <c r="J73" s="1466">
        <f>IFERROR(__xludf.DUMMYFUNCTION("""COMPUTED_VALUE"""),21.961111111111112)</f>
        <v>21.96111111</v>
      </c>
      <c r="K73" s="1467">
        <f>IFERROR(__xludf.DUMMYFUNCTION("""COMPUTED_VALUE"""),1660000.0)</f>
        <v>1660000</v>
      </c>
      <c r="L73" s="1466">
        <f>IFERROR(__xludf.DUMMYFUNCTION("""COMPUTED_VALUE"""),41.480555555555554)</f>
        <v>41.48055556</v>
      </c>
      <c r="M73" s="1469">
        <f>IFERROR(__xludf.DUMMYFUNCTION("""COMPUTED_VALUE"""),5390000.0)</f>
        <v>5390000</v>
      </c>
      <c r="N73" s="1470">
        <f>IFERROR(__xludf.DUMMYFUNCTION("""COMPUTED_VALUE"""),17.283333333333335)</f>
        <v>17.28333333</v>
      </c>
      <c r="O73" s="1467">
        <f>IFERROR(__xludf.DUMMYFUNCTION("""COMPUTED_VALUE"""),6820000.0)</f>
        <v>6820000</v>
      </c>
      <c r="P73" s="1518"/>
      <c r="Q73" s="1519"/>
      <c r="R73" s="1518"/>
      <c r="S73" s="1519"/>
      <c r="T73" s="1518"/>
      <c r="U73" s="1519"/>
      <c r="V73" s="1518"/>
      <c r="W73" s="1519"/>
      <c r="X73" s="1518"/>
      <c r="Y73" s="1519"/>
      <c r="Z73" s="1518"/>
      <c r="AA73" s="1519"/>
      <c r="AB73" s="1518"/>
      <c r="AC73" s="1519"/>
      <c r="AD73" s="1466">
        <f>IFERROR(__xludf.DUMMYFUNCTION("""COMPUTED_VALUE"""),76.6763888888889)</f>
        <v>76.67638889</v>
      </c>
      <c r="AE73" s="1474">
        <f>IFERROR(__xludf.DUMMYFUNCTION("""COMPUTED_VALUE"""),9.463126845E16)</f>
        <v>9.46313E+16</v>
      </c>
      <c r="AF73" s="1466">
        <f>IFERROR(__xludf.DUMMYFUNCTION("""COMPUTED_VALUE"""),76.6763888888889)</f>
        <v>76.67638889</v>
      </c>
      <c r="AG73" s="1474">
        <f>IFERROR(__xludf.DUMMYFUNCTION("""COMPUTED_VALUE"""),9.463126845E16)</f>
        <v>9.46313E+16</v>
      </c>
      <c r="AH73" s="1466">
        <f>IFERROR(__xludf.DUMMYFUNCTION("""COMPUTED_VALUE"""),76.6763888888889)</f>
        <v>76.67638889</v>
      </c>
      <c r="AI73" s="1474">
        <f>IFERROR(__xludf.DUMMYFUNCTION("""COMPUTED_VALUE"""),9.463126845E16)</f>
        <v>9.46313E+16</v>
      </c>
      <c r="AJ73" s="1475">
        <f>IFERROR(__xludf.DUMMYFUNCTION("""COMPUTED_VALUE"""),21.961111111111112)</f>
        <v>21.96111111</v>
      </c>
      <c r="AK73" s="1476">
        <f>IFERROR(__xludf.DUMMYFUNCTION("""COMPUTED_VALUE"""),1660000.0)</f>
        <v>1660000</v>
      </c>
      <c r="AL73" s="1475">
        <f>IFERROR(__xludf.DUMMYFUNCTION("""COMPUTED_VALUE"""),21.961111111111112)</f>
        <v>21.96111111</v>
      </c>
      <c r="AM73" s="1476">
        <f>IFERROR(__xludf.DUMMYFUNCTION("""COMPUTED_VALUE"""),1660000.0)</f>
        <v>1660000</v>
      </c>
      <c r="AN73" s="1475">
        <f>IFERROR(__xludf.DUMMYFUNCTION("""COMPUTED_VALUE"""),21.961111111111112)</f>
        <v>21.96111111</v>
      </c>
      <c r="AO73" s="1476">
        <f>IFERROR(__xludf.DUMMYFUNCTION("""COMPUTED_VALUE"""),1660000.0)</f>
        <v>1660000</v>
      </c>
      <c r="AP73" s="1475">
        <f>IFERROR(__xludf.DUMMYFUNCTION("""COMPUTED_VALUE"""),21.961111111111112)</f>
        <v>21.96111111</v>
      </c>
      <c r="AQ73" s="1476">
        <f>IFERROR(__xludf.DUMMYFUNCTION("""COMPUTED_VALUE"""),1660000.0)</f>
        <v>1660000</v>
      </c>
      <c r="AR73" s="1475">
        <f>IFERROR(__xludf.DUMMYFUNCTION("""COMPUTED_VALUE"""),21.961111111111112)</f>
        <v>21.96111111</v>
      </c>
      <c r="AS73" s="1476">
        <f>IFERROR(__xludf.DUMMYFUNCTION("""COMPUTED_VALUE"""),1660000.0)</f>
        <v>1660000</v>
      </c>
      <c r="AT73" s="1520"/>
      <c r="AU73" s="1519"/>
      <c r="AV73" s="1520"/>
      <c r="AW73" s="1519"/>
      <c r="AX73" s="1518"/>
      <c r="AY73" s="1568"/>
      <c r="AZ73" s="1518"/>
      <c r="BA73" s="1518"/>
      <c r="BB73" s="1477">
        <f>IFERROR(__xludf.DUMMYFUNCTION("""COMPUTED_VALUE"""),21.961111111111112)</f>
        <v>21.96111111</v>
      </c>
      <c r="BC73" s="1478">
        <f>IFERROR(__xludf.DUMMYFUNCTION("""COMPUTED_VALUE"""),1660000.0)</f>
        <v>1660000</v>
      </c>
      <c r="BD73" s="1477">
        <f>IFERROR(__xludf.DUMMYFUNCTION("""COMPUTED_VALUE"""),21.961111111111112)</f>
        <v>21.96111111</v>
      </c>
      <c r="BE73" s="1478">
        <f>IFERROR(__xludf.DUMMYFUNCTION("""COMPUTED_VALUE"""),1660000.0)</f>
        <v>1660000</v>
      </c>
      <c r="BF73" s="1477">
        <f>IFERROR(__xludf.DUMMYFUNCTION("""COMPUTED_VALUE"""),21.961111111111112)</f>
        <v>21.96111111</v>
      </c>
      <c r="BG73" s="1478">
        <f>IFERROR(__xludf.DUMMYFUNCTION("""COMPUTED_VALUE"""),1660000.0)</f>
        <v>1660000</v>
      </c>
      <c r="BH73" s="1518"/>
      <c r="BI73" s="1519"/>
      <c r="BJ73" s="1518"/>
      <c r="BK73" s="1519"/>
      <c r="BL73" s="1518"/>
      <c r="BM73" s="1519"/>
      <c r="BN73" s="1518"/>
      <c r="BO73" s="1519"/>
      <c r="BP73" s="1518"/>
      <c r="BQ73" s="1519"/>
      <c r="BR73" s="1520"/>
      <c r="BS73" s="1519"/>
      <c r="BT73" s="1520"/>
      <c r="BU73" s="1520"/>
      <c r="BV73" s="1520"/>
      <c r="BW73" s="1520"/>
      <c r="BX73" s="1520"/>
      <c r="BY73" s="1520"/>
      <c r="BZ73" s="1520"/>
      <c r="CA73" s="1520"/>
      <c r="CB73" s="1520"/>
      <c r="CC73" s="1519"/>
      <c r="CD73" s="1520"/>
      <c r="CE73" s="1520"/>
      <c r="CF73" s="1527"/>
      <c r="CG73" s="1560"/>
      <c r="CH73" s="1482">
        <f>IFERROR(__xludf.DUMMYFUNCTION("""COMPUTED_VALUE"""),21.961111111111112)</f>
        <v>21.96111111</v>
      </c>
      <c r="CI73" s="1483">
        <f>IFERROR(__xludf.DUMMYFUNCTION("""COMPUTED_VALUE"""),1660000.0)</f>
        <v>1660000</v>
      </c>
      <c r="CJ73" s="1482">
        <f>IFERROR(__xludf.DUMMYFUNCTION("""COMPUTED_VALUE"""),21.961111111111112)</f>
        <v>21.96111111</v>
      </c>
      <c r="CK73" s="1483">
        <f>IFERROR(__xludf.DUMMYFUNCTION("""COMPUTED_VALUE"""),1660000.0)</f>
        <v>1660000</v>
      </c>
      <c r="CL73" s="1482">
        <f>IFERROR(__xludf.DUMMYFUNCTION("""COMPUTED_VALUE"""),21.961111111111112)</f>
        <v>21.96111111</v>
      </c>
      <c r="CM73" s="1483">
        <f>IFERROR(__xludf.DUMMYFUNCTION("""COMPUTED_VALUE"""),1660000.0)</f>
        <v>1660000</v>
      </c>
      <c r="CN73" s="1482">
        <f>IFERROR(__xludf.DUMMYFUNCTION("""COMPUTED_VALUE"""),21.961111111111112)</f>
        <v>21.96111111</v>
      </c>
      <c r="CO73" s="1483">
        <f>IFERROR(__xludf.DUMMYFUNCTION("""COMPUTED_VALUE"""),1660000.0)</f>
        <v>1660000</v>
      </c>
      <c r="CP73" s="1482">
        <f>IFERROR(__xludf.DUMMYFUNCTION("""COMPUTED_VALUE"""),51.202083333333334)</f>
        <v>51.20208333</v>
      </c>
      <c r="CQ73" s="1483">
        <f>IFERROR(__xludf.DUMMYFUNCTION("""COMPUTED_VALUE"""),6820000.0)</f>
        <v>6820000</v>
      </c>
      <c r="CR73" s="1518"/>
      <c r="CS73" s="1519"/>
      <c r="CT73" s="1520"/>
      <c r="CU73" s="1519"/>
      <c r="CV73" s="1520"/>
      <c r="CW73" s="1519"/>
      <c r="CX73" s="1520"/>
      <c r="CY73" s="1519"/>
      <c r="CZ73" s="1520"/>
      <c r="DA73" s="1520"/>
      <c r="DB73" s="1520"/>
      <c r="DC73" s="1520"/>
      <c r="DD73" s="1520"/>
      <c r="DE73" s="1519"/>
      <c r="DF73" s="1518"/>
      <c r="DG73" s="1519"/>
      <c r="DH73" s="1518"/>
      <c r="DI73" s="1519"/>
      <c r="DJ73" s="1518"/>
      <c r="DK73" s="1519"/>
      <c r="DL73" s="1518"/>
      <c r="DM73" s="1519"/>
      <c r="DN73" s="1518"/>
      <c r="DO73" s="1519"/>
      <c r="DP73" s="1518"/>
      <c r="DQ73" s="1519"/>
      <c r="DR73" s="1518"/>
      <c r="DS73" s="1519"/>
      <c r="DT73" s="1518"/>
      <c r="DU73" s="1519"/>
      <c r="DV73" s="1520"/>
      <c r="DW73" s="1519"/>
      <c r="DX73" s="1518"/>
      <c r="DY73" s="1519"/>
      <c r="DZ73" s="1518"/>
      <c r="EA73" s="1519"/>
      <c r="EB73" s="1518"/>
      <c r="EC73" s="1519"/>
      <c r="ED73" s="1518"/>
      <c r="EE73" s="1519"/>
      <c r="EF73" s="1518"/>
      <c r="EG73" s="1519"/>
      <c r="EH73" s="1518"/>
      <c r="EI73" s="1519"/>
      <c r="EJ73" s="1562"/>
      <c r="EK73" s="1560"/>
      <c r="EL73" s="1562"/>
      <c r="EM73" s="1560"/>
      <c r="EN73" s="1518"/>
      <c r="EO73" s="1519"/>
      <c r="EP73" s="1518"/>
      <c r="EQ73" s="1519"/>
      <c r="ER73" s="1518"/>
      <c r="ES73" s="1519"/>
      <c r="ET73" s="1518"/>
      <c r="EU73" s="1519"/>
      <c r="EV73" s="1518"/>
      <c r="EW73" s="1519"/>
      <c r="EX73" s="1518"/>
      <c r="EY73" s="1519"/>
      <c r="EZ73" s="1518"/>
      <c r="FA73" s="1519"/>
      <c r="FB73" s="1520"/>
      <c r="FC73" s="1519"/>
      <c r="FD73" s="1520"/>
      <c r="FE73" s="1519"/>
      <c r="FF73" s="1520"/>
      <c r="FG73" s="1519"/>
      <c r="FH73" s="1520"/>
      <c r="FI73" s="1520"/>
      <c r="FJ73" s="1520"/>
      <c r="FK73" s="1519"/>
      <c r="FL73" s="1518"/>
      <c r="FM73" s="1519"/>
      <c r="FN73" s="1532"/>
      <c r="FO73" s="1520"/>
      <c r="FP73" s="1532"/>
      <c r="FQ73" s="1520"/>
      <c r="FR73" s="1532"/>
      <c r="FS73" s="1520"/>
      <c r="FT73" s="1532"/>
      <c r="FU73" s="1519"/>
      <c r="FV73" s="1532"/>
      <c r="FW73" s="1519"/>
      <c r="FX73" s="1572"/>
      <c r="FY73" s="1560"/>
      <c r="FZ73" s="1572"/>
      <c r="GA73" s="1560"/>
      <c r="GB73" s="1572"/>
      <c r="GC73" s="1560"/>
      <c r="GD73" s="1527"/>
      <c r="GE73" s="1560"/>
      <c r="GF73" s="1518"/>
      <c r="GG73" s="1519"/>
      <c r="GH73" s="1518"/>
      <c r="GI73" s="1519"/>
      <c r="GJ73" s="1518"/>
      <c r="GK73" s="1519"/>
      <c r="GL73" s="1518"/>
      <c r="GM73" s="1519"/>
      <c r="GN73" s="1520"/>
      <c r="GO73" s="1519"/>
      <c r="GP73" s="1520"/>
      <c r="GQ73" s="1519"/>
      <c r="GR73" s="1518"/>
      <c r="GS73" s="1519"/>
      <c r="GT73" s="1518"/>
      <c r="GU73" s="1519"/>
      <c r="GV73" s="1520"/>
      <c r="GW73" s="1519"/>
      <c r="GX73" s="1561"/>
      <c r="GY73" s="1527"/>
      <c r="GZ73" s="1518"/>
      <c r="HA73" s="1519"/>
      <c r="HB73" s="1501">
        <f>IFERROR(__xludf.DUMMYFUNCTION("""COMPUTED_VALUE"""),2334.8152777777777)</f>
        <v>2334.815278</v>
      </c>
      <c r="HC73" s="1502">
        <f>IFERROR(__xludf.DUMMYFUNCTION("""COMPUTED_VALUE"""),3.361E13)</f>
        <v>33610000000000</v>
      </c>
      <c r="HD73" s="1518"/>
      <c r="HE73" s="1519"/>
      <c r="HF73" s="1518"/>
      <c r="HG73" s="1519"/>
      <c r="HH73" s="1518"/>
      <c r="HI73" s="1519"/>
      <c r="HJ73" s="1518"/>
      <c r="HK73" s="1519"/>
      <c r="HL73" s="1518"/>
      <c r="HM73" s="1519"/>
      <c r="HN73" s="1520"/>
      <c r="HO73" s="1519"/>
      <c r="HP73" s="1518"/>
      <c r="HQ73" s="1519"/>
      <c r="HR73" s="1518"/>
      <c r="HS73" s="1519"/>
      <c r="HT73" s="1518"/>
      <c r="HU73" s="1519"/>
      <c r="HV73" s="1518"/>
      <c r="HW73" s="1519"/>
      <c r="HX73" s="1518"/>
      <c r="HY73" s="1519"/>
      <c r="HZ73" s="1518"/>
      <c r="IA73" s="1519"/>
      <c r="IB73" s="1518"/>
      <c r="IC73" s="1519"/>
      <c r="ID73" s="1518"/>
      <c r="IE73" s="1519"/>
      <c r="IF73" s="1518"/>
      <c r="IG73" s="1519"/>
      <c r="IH73" s="1518"/>
      <c r="II73" s="1519"/>
      <c r="IJ73" s="1518"/>
      <c r="IK73" s="1519"/>
      <c r="IL73" s="1518"/>
      <c r="IM73" s="1519"/>
      <c r="IN73" s="1518"/>
      <c r="IO73" s="1519"/>
      <c r="IP73" s="1518"/>
      <c r="IQ73" s="1519"/>
      <c r="IR73" s="1518"/>
      <c r="IS73" s="1519"/>
      <c r="IT73" s="1518"/>
      <c r="IU73" s="1519"/>
      <c r="IV73" s="1518"/>
      <c r="IW73" s="1519"/>
      <c r="IX73" s="1518"/>
      <c r="IY73" s="1519"/>
      <c r="IZ73" s="1518"/>
      <c r="JA73" s="1519"/>
      <c r="JB73" s="1518"/>
      <c r="JC73" s="1519"/>
      <c r="JD73" s="1518"/>
      <c r="JE73" s="1519"/>
      <c r="JF73" s="1518"/>
      <c r="JG73" s="1519"/>
      <c r="JH73" s="1518"/>
      <c r="JI73" s="1519"/>
      <c r="JJ73" s="1562"/>
      <c r="JK73" s="1560"/>
      <c r="JL73" s="1562"/>
      <c r="JM73" s="1560"/>
      <c r="JN73" s="1562"/>
      <c r="JO73" s="1560"/>
      <c r="JP73" s="1562"/>
      <c r="JQ73" s="1560"/>
      <c r="JR73" s="1562"/>
      <c r="JS73" s="1560"/>
      <c r="JT73" s="1562"/>
      <c r="JU73" s="1560"/>
      <c r="JV73" s="1562"/>
      <c r="JW73" s="1560"/>
      <c r="JX73" s="1562"/>
      <c r="JY73" s="1527"/>
      <c r="JZ73" s="1566">
        <f>IFERROR(__xludf.DUMMYFUNCTION("""COMPUTED_VALUE"""),6.415231481)</f>
        <v>6.415231481</v>
      </c>
      <c r="KA73" s="1514">
        <f>IFERROR(__xludf.DUMMYFUNCTION("""COMPUTED_VALUE"""),1.9178E11)</f>
        <v>191780000000</v>
      </c>
      <c r="KB73" s="1562"/>
      <c r="KC73" s="1527"/>
      <c r="KD73" s="1562"/>
      <c r="KE73" s="1527"/>
      <c r="KF73" s="1527"/>
      <c r="KG73" s="1527"/>
      <c r="KH73" s="1527"/>
      <c r="KI73" s="1527"/>
      <c r="KJ73" s="1527"/>
      <c r="KK73" s="1527"/>
      <c r="KL73" s="1527"/>
      <c r="KM73" s="1527"/>
      <c r="KN73" s="1527"/>
      <c r="KO73" s="1527"/>
      <c r="KP73" s="1527"/>
      <c r="KQ73" s="1527"/>
      <c r="KR73" s="1527"/>
      <c r="KS73" s="1527"/>
      <c r="KT73" s="1527"/>
      <c r="KU73" s="1527"/>
      <c r="KV73" s="1527"/>
      <c r="KW73" s="1527"/>
      <c r="KX73" s="1527"/>
      <c r="KY73" s="1527"/>
      <c r="KZ73" s="1527"/>
      <c r="LA73" s="1527"/>
      <c r="LB73" s="1527"/>
      <c r="LC73" s="1527"/>
      <c r="LD73" s="1527"/>
      <c r="LE73" s="1527"/>
      <c r="LF73" s="1527"/>
      <c r="LG73" s="1527"/>
      <c r="LH73" s="1527"/>
      <c r="LI73" s="1527"/>
      <c r="LJ73" s="1527"/>
      <c r="LK73" s="1527"/>
      <c r="LL73" s="1527"/>
      <c r="LM73" s="1527"/>
      <c r="LN73" s="1527"/>
      <c r="LO73" s="1527"/>
      <c r="LP73" s="1527"/>
      <c r="LQ73" s="1527"/>
      <c r="LR73" s="1527"/>
      <c r="LS73" s="1527"/>
      <c r="LT73" s="1527"/>
      <c r="LU73" s="1527"/>
      <c r="LV73" s="1527"/>
      <c r="LW73" s="1527"/>
      <c r="LX73" s="1527"/>
      <c r="LY73" s="1527"/>
      <c r="LZ73" s="1527"/>
      <c r="MA73" s="1527"/>
      <c r="MB73" s="1527"/>
      <c r="MC73" s="1527"/>
      <c r="MD73" s="1527"/>
      <c r="ME73" s="1527"/>
      <c r="MF73" s="1527"/>
      <c r="MG73" s="1527"/>
      <c r="MH73" s="1527"/>
      <c r="MI73" s="1527"/>
      <c r="MJ73" s="1527"/>
      <c r="MK73" s="1527"/>
      <c r="ML73" s="1527"/>
      <c r="MM73" s="1527"/>
      <c r="MN73" s="1527"/>
      <c r="MO73" s="1527"/>
      <c r="MP73" s="1527"/>
      <c r="MQ73" s="1527"/>
      <c r="MR73" s="1527"/>
      <c r="MS73" s="1527"/>
      <c r="MT73" s="1527"/>
      <c r="MU73" s="1527"/>
      <c r="MV73" s="1527"/>
      <c r="MW73" s="1527"/>
      <c r="MX73" s="1527"/>
      <c r="MY73" s="1527"/>
    </row>
    <row r="74">
      <c r="A74" s="1465">
        <f>IFERROR(__xludf.DUMMYFUNCTION("""COMPUTED_VALUE"""),72.0)</f>
        <v>72</v>
      </c>
      <c r="B74" s="1518"/>
      <c r="C74" s="1520"/>
      <c r="D74" s="1466">
        <f>IFERROR(__xludf.DUMMYFUNCTION("""COMPUTED_VALUE"""),22.716666666666665)</f>
        <v>22.71666667</v>
      </c>
      <c r="E74" s="1467">
        <f>IFERROR(__xludf.DUMMYFUNCTION("""COMPUTED_VALUE"""),1730000.0)</f>
        <v>1730000</v>
      </c>
      <c r="F74" s="1466">
        <f>IFERROR(__xludf.DUMMYFUNCTION("""COMPUTED_VALUE"""),22.716666666666665)</f>
        <v>22.71666667</v>
      </c>
      <c r="G74" s="1467">
        <f>IFERROR(__xludf.DUMMYFUNCTION("""COMPUTED_VALUE"""),1730000.0)</f>
        <v>1730000</v>
      </c>
      <c r="H74" s="1466">
        <f>IFERROR(__xludf.DUMMYFUNCTION("""COMPUTED_VALUE"""),22.716666666666665)</f>
        <v>22.71666667</v>
      </c>
      <c r="I74" s="1467">
        <f>IFERROR(__xludf.DUMMYFUNCTION("""COMPUTED_VALUE"""),1730000.0)</f>
        <v>1730000</v>
      </c>
      <c r="J74" s="1466">
        <f>IFERROR(__xludf.DUMMYFUNCTION("""COMPUTED_VALUE"""),22.716666666666665)</f>
        <v>22.71666667</v>
      </c>
      <c r="K74" s="1467">
        <f>IFERROR(__xludf.DUMMYFUNCTION("""COMPUTED_VALUE"""),1730000.0)</f>
        <v>1730000</v>
      </c>
      <c r="L74" s="1466">
        <f>IFERROR(__xludf.DUMMYFUNCTION("""COMPUTED_VALUE"""),42.99930555555556)</f>
        <v>42.99930556</v>
      </c>
      <c r="M74" s="1469">
        <f>IFERROR(__xludf.DUMMYFUNCTION("""COMPUTED_VALUE"""),5610000.0)</f>
        <v>5610000</v>
      </c>
      <c r="N74" s="1470">
        <f>IFERROR(__xludf.DUMMYFUNCTION("""COMPUTED_VALUE"""),17.768055555555556)</f>
        <v>17.76805556</v>
      </c>
      <c r="O74" s="1467">
        <f>IFERROR(__xludf.DUMMYFUNCTION("""COMPUTED_VALUE"""),7130000.0)</f>
        <v>7130000</v>
      </c>
      <c r="P74" s="1518"/>
      <c r="Q74" s="1519"/>
      <c r="R74" s="1518"/>
      <c r="S74" s="1519"/>
      <c r="T74" s="1518"/>
      <c r="U74" s="1519"/>
      <c r="V74" s="1518"/>
      <c r="W74" s="1519"/>
      <c r="X74" s="1518"/>
      <c r="Y74" s="1519"/>
      <c r="Z74" s="1518"/>
      <c r="AA74" s="1519"/>
      <c r="AB74" s="1518"/>
      <c r="AC74" s="1519"/>
      <c r="AD74" s="1466">
        <f>IFERROR(__xludf.DUMMYFUNCTION("""COMPUTED_VALUE"""),77.75625)</f>
        <v>77.75625</v>
      </c>
      <c r="AE74" s="1474">
        <f>IFERROR(__xludf.DUMMYFUNCTION("""COMPUTED_VALUE"""),1.23020649E17)</f>
        <v>1.23021E+17</v>
      </c>
      <c r="AF74" s="1466">
        <f>IFERROR(__xludf.DUMMYFUNCTION("""COMPUTED_VALUE"""),77.75625)</f>
        <v>77.75625</v>
      </c>
      <c r="AG74" s="1474">
        <f>IFERROR(__xludf.DUMMYFUNCTION("""COMPUTED_VALUE"""),1.23020649E17)</f>
        <v>1.23021E+17</v>
      </c>
      <c r="AH74" s="1466">
        <f>IFERROR(__xludf.DUMMYFUNCTION("""COMPUTED_VALUE"""),77.75625)</f>
        <v>77.75625</v>
      </c>
      <c r="AI74" s="1474">
        <f>IFERROR(__xludf.DUMMYFUNCTION("""COMPUTED_VALUE"""),1.23020649E17)</f>
        <v>1.23021E+17</v>
      </c>
      <c r="AJ74" s="1475">
        <f>IFERROR(__xludf.DUMMYFUNCTION("""COMPUTED_VALUE"""),22.716666666666665)</f>
        <v>22.71666667</v>
      </c>
      <c r="AK74" s="1476">
        <f>IFERROR(__xludf.DUMMYFUNCTION("""COMPUTED_VALUE"""),1730000.0)</f>
        <v>1730000</v>
      </c>
      <c r="AL74" s="1475">
        <f>IFERROR(__xludf.DUMMYFUNCTION("""COMPUTED_VALUE"""),22.716666666666665)</f>
        <v>22.71666667</v>
      </c>
      <c r="AM74" s="1476">
        <f>IFERROR(__xludf.DUMMYFUNCTION("""COMPUTED_VALUE"""),1730000.0)</f>
        <v>1730000</v>
      </c>
      <c r="AN74" s="1475">
        <f>IFERROR(__xludf.DUMMYFUNCTION("""COMPUTED_VALUE"""),22.716666666666665)</f>
        <v>22.71666667</v>
      </c>
      <c r="AO74" s="1476">
        <f>IFERROR(__xludf.DUMMYFUNCTION("""COMPUTED_VALUE"""),1730000.0)</f>
        <v>1730000</v>
      </c>
      <c r="AP74" s="1475">
        <f>IFERROR(__xludf.DUMMYFUNCTION("""COMPUTED_VALUE"""),22.716666666666665)</f>
        <v>22.71666667</v>
      </c>
      <c r="AQ74" s="1476">
        <f>IFERROR(__xludf.DUMMYFUNCTION("""COMPUTED_VALUE"""),1730000.0)</f>
        <v>1730000</v>
      </c>
      <c r="AR74" s="1475">
        <f>IFERROR(__xludf.DUMMYFUNCTION("""COMPUTED_VALUE"""),22.716666666666665)</f>
        <v>22.71666667</v>
      </c>
      <c r="AS74" s="1476">
        <f>IFERROR(__xludf.DUMMYFUNCTION("""COMPUTED_VALUE"""),1730000.0)</f>
        <v>1730000</v>
      </c>
      <c r="AT74" s="1520"/>
      <c r="AU74" s="1519"/>
      <c r="AV74" s="1520"/>
      <c r="AW74" s="1519"/>
      <c r="AX74" s="1518"/>
      <c r="AY74" s="1568"/>
      <c r="AZ74" s="1518"/>
      <c r="BA74" s="1518"/>
      <c r="BB74" s="1477">
        <f>IFERROR(__xludf.DUMMYFUNCTION("""COMPUTED_VALUE"""),22.716666666666665)</f>
        <v>22.71666667</v>
      </c>
      <c r="BC74" s="1478">
        <f>IFERROR(__xludf.DUMMYFUNCTION("""COMPUTED_VALUE"""),1730000.0)</f>
        <v>1730000</v>
      </c>
      <c r="BD74" s="1477">
        <f>IFERROR(__xludf.DUMMYFUNCTION("""COMPUTED_VALUE"""),22.716666666666665)</f>
        <v>22.71666667</v>
      </c>
      <c r="BE74" s="1478">
        <f>IFERROR(__xludf.DUMMYFUNCTION("""COMPUTED_VALUE"""),1730000.0)</f>
        <v>1730000</v>
      </c>
      <c r="BF74" s="1477">
        <f>IFERROR(__xludf.DUMMYFUNCTION("""COMPUTED_VALUE"""),22.716666666666665)</f>
        <v>22.71666667</v>
      </c>
      <c r="BG74" s="1478">
        <f>IFERROR(__xludf.DUMMYFUNCTION("""COMPUTED_VALUE"""),1730000.0)</f>
        <v>1730000</v>
      </c>
      <c r="BH74" s="1518"/>
      <c r="BI74" s="1519"/>
      <c r="BJ74" s="1518"/>
      <c r="BK74" s="1519"/>
      <c r="BL74" s="1518"/>
      <c r="BM74" s="1519"/>
      <c r="BN74" s="1518"/>
      <c r="BO74" s="1519"/>
      <c r="BP74" s="1518"/>
      <c r="BQ74" s="1519"/>
      <c r="BR74" s="1520"/>
      <c r="BS74" s="1519"/>
      <c r="BT74" s="1520"/>
      <c r="BU74" s="1520"/>
      <c r="BV74" s="1520"/>
      <c r="BW74" s="1520"/>
      <c r="BX74" s="1520"/>
      <c r="BY74" s="1520"/>
      <c r="BZ74" s="1520"/>
      <c r="CA74" s="1520"/>
      <c r="CB74" s="1520"/>
      <c r="CC74" s="1519"/>
      <c r="CD74" s="1520"/>
      <c r="CE74" s="1520"/>
      <c r="CF74" s="1527"/>
      <c r="CG74" s="1560"/>
      <c r="CH74" s="1482">
        <f>IFERROR(__xludf.DUMMYFUNCTION("""COMPUTED_VALUE"""),22.716666666666665)</f>
        <v>22.71666667</v>
      </c>
      <c r="CI74" s="1483">
        <f>IFERROR(__xludf.DUMMYFUNCTION("""COMPUTED_VALUE"""),1730000.0)</f>
        <v>1730000</v>
      </c>
      <c r="CJ74" s="1482">
        <f>IFERROR(__xludf.DUMMYFUNCTION("""COMPUTED_VALUE"""),22.716666666666665)</f>
        <v>22.71666667</v>
      </c>
      <c r="CK74" s="1483">
        <f>IFERROR(__xludf.DUMMYFUNCTION("""COMPUTED_VALUE"""),1730000.0)</f>
        <v>1730000</v>
      </c>
      <c r="CL74" s="1482">
        <f>IFERROR(__xludf.DUMMYFUNCTION("""COMPUTED_VALUE"""),22.716666666666665)</f>
        <v>22.71666667</v>
      </c>
      <c r="CM74" s="1483">
        <f>IFERROR(__xludf.DUMMYFUNCTION("""COMPUTED_VALUE"""),1730000.0)</f>
        <v>1730000</v>
      </c>
      <c r="CN74" s="1482">
        <f>IFERROR(__xludf.DUMMYFUNCTION("""COMPUTED_VALUE"""),22.716666666666665)</f>
        <v>22.71666667</v>
      </c>
      <c r="CO74" s="1483">
        <f>IFERROR(__xludf.DUMMYFUNCTION("""COMPUTED_VALUE"""),1730000.0)</f>
        <v>1730000</v>
      </c>
      <c r="CP74" s="1482">
        <f>IFERROR(__xludf.DUMMYFUNCTION("""COMPUTED_VALUE"""),53.115972222222226)</f>
        <v>53.11597222</v>
      </c>
      <c r="CQ74" s="1483">
        <f>IFERROR(__xludf.DUMMYFUNCTION("""COMPUTED_VALUE"""),7130000.0)</f>
        <v>7130000</v>
      </c>
      <c r="CR74" s="1518"/>
      <c r="CS74" s="1519"/>
      <c r="CT74" s="1520"/>
      <c r="CU74" s="1519"/>
      <c r="CV74" s="1520"/>
      <c r="CW74" s="1519"/>
      <c r="CX74" s="1520"/>
      <c r="CY74" s="1519"/>
      <c r="CZ74" s="1520"/>
      <c r="DA74" s="1520"/>
      <c r="DB74" s="1520"/>
      <c r="DC74" s="1520"/>
      <c r="DD74" s="1520"/>
      <c r="DE74" s="1519"/>
      <c r="DF74" s="1518"/>
      <c r="DG74" s="1519"/>
      <c r="DH74" s="1518"/>
      <c r="DI74" s="1519"/>
      <c r="DJ74" s="1518"/>
      <c r="DK74" s="1519"/>
      <c r="DL74" s="1518"/>
      <c r="DM74" s="1519"/>
      <c r="DN74" s="1518"/>
      <c r="DO74" s="1519"/>
      <c r="DP74" s="1518"/>
      <c r="DQ74" s="1519"/>
      <c r="DR74" s="1518"/>
      <c r="DS74" s="1519"/>
      <c r="DT74" s="1518"/>
      <c r="DU74" s="1519"/>
      <c r="DV74" s="1520"/>
      <c r="DW74" s="1519"/>
      <c r="DX74" s="1518"/>
      <c r="DY74" s="1519"/>
      <c r="DZ74" s="1518"/>
      <c r="EA74" s="1519"/>
      <c r="EB74" s="1518"/>
      <c r="EC74" s="1519"/>
      <c r="ED74" s="1518"/>
      <c r="EE74" s="1519"/>
      <c r="EF74" s="1518"/>
      <c r="EG74" s="1519"/>
      <c r="EH74" s="1518"/>
      <c r="EI74" s="1519"/>
      <c r="EJ74" s="1562"/>
      <c r="EK74" s="1560"/>
      <c r="EL74" s="1562"/>
      <c r="EM74" s="1560"/>
      <c r="EN74" s="1518"/>
      <c r="EO74" s="1519"/>
      <c r="EP74" s="1518"/>
      <c r="EQ74" s="1519"/>
      <c r="ER74" s="1518"/>
      <c r="ES74" s="1519"/>
      <c r="ET74" s="1518"/>
      <c r="EU74" s="1519"/>
      <c r="EV74" s="1518"/>
      <c r="EW74" s="1519"/>
      <c r="EX74" s="1518"/>
      <c r="EY74" s="1519"/>
      <c r="EZ74" s="1518"/>
      <c r="FA74" s="1519"/>
      <c r="FB74" s="1520"/>
      <c r="FC74" s="1519"/>
      <c r="FD74" s="1520"/>
      <c r="FE74" s="1519"/>
      <c r="FF74" s="1520"/>
      <c r="FG74" s="1519"/>
      <c r="FH74" s="1520"/>
      <c r="FI74" s="1520"/>
      <c r="FJ74" s="1520"/>
      <c r="FK74" s="1519"/>
      <c r="FL74" s="1518"/>
      <c r="FM74" s="1519"/>
      <c r="FN74" s="1532"/>
      <c r="FO74" s="1520"/>
      <c r="FP74" s="1532"/>
      <c r="FQ74" s="1520"/>
      <c r="FR74" s="1532"/>
      <c r="FS74" s="1520"/>
      <c r="FT74" s="1532"/>
      <c r="FU74" s="1519"/>
      <c r="FV74" s="1532"/>
      <c r="FW74" s="1519"/>
      <c r="FX74" s="1572"/>
      <c r="FY74" s="1560"/>
      <c r="FZ74" s="1572"/>
      <c r="GA74" s="1560"/>
      <c r="GB74" s="1572"/>
      <c r="GC74" s="1560"/>
      <c r="GD74" s="1527"/>
      <c r="GE74" s="1560"/>
      <c r="GF74" s="1518"/>
      <c r="GG74" s="1519"/>
      <c r="GH74" s="1518"/>
      <c r="GI74" s="1519"/>
      <c r="GJ74" s="1518"/>
      <c r="GK74" s="1519"/>
      <c r="GL74" s="1518"/>
      <c r="GM74" s="1519"/>
      <c r="GN74" s="1520"/>
      <c r="GO74" s="1519"/>
      <c r="GP74" s="1520"/>
      <c r="GQ74" s="1519"/>
      <c r="GR74" s="1518"/>
      <c r="GS74" s="1519"/>
      <c r="GT74" s="1518"/>
      <c r="GU74" s="1519"/>
      <c r="GV74" s="1520"/>
      <c r="GW74" s="1519"/>
      <c r="GX74" s="1561"/>
      <c r="GY74" s="1527"/>
      <c r="GZ74" s="1518"/>
      <c r="HA74" s="1519"/>
      <c r="HB74" s="1501">
        <f>IFERROR(__xludf.DUMMYFUNCTION("""COMPUTED_VALUE"""),2453.295833333333)</f>
        <v>2453.295833</v>
      </c>
      <c r="HC74" s="1502">
        <f>IFERROR(__xludf.DUMMYFUNCTION("""COMPUTED_VALUE"""),3.608E13)</f>
        <v>36080000000000</v>
      </c>
      <c r="HD74" s="1518"/>
      <c r="HE74" s="1519"/>
      <c r="HF74" s="1518"/>
      <c r="HG74" s="1519"/>
      <c r="HH74" s="1518"/>
      <c r="HI74" s="1519"/>
      <c r="HJ74" s="1518"/>
      <c r="HK74" s="1519"/>
      <c r="HL74" s="1518"/>
      <c r="HM74" s="1519"/>
      <c r="HN74" s="1520"/>
      <c r="HO74" s="1519"/>
      <c r="HP74" s="1518"/>
      <c r="HQ74" s="1519"/>
      <c r="HR74" s="1518"/>
      <c r="HS74" s="1519"/>
      <c r="HT74" s="1518"/>
      <c r="HU74" s="1519"/>
      <c r="HV74" s="1518"/>
      <c r="HW74" s="1519"/>
      <c r="HX74" s="1518"/>
      <c r="HY74" s="1519"/>
      <c r="HZ74" s="1518"/>
      <c r="IA74" s="1519"/>
      <c r="IB74" s="1518"/>
      <c r="IC74" s="1519"/>
      <c r="ID74" s="1518"/>
      <c r="IE74" s="1519"/>
      <c r="IF74" s="1518"/>
      <c r="IG74" s="1519"/>
      <c r="IH74" s="1518"/>
      <c r="II74" s="1519"/>
      <c r="IJ74" s="1518"/>
      <c r="IK74" s="1519"/>
      <c r="IL74" s="1518"/>
      <c r="IM74" s="1519"/>
      <c r="IN74" s="1518"/>
      <c r="IO74" s="1519"/>
      <c r="IP74" s="1518"/>
      <c r="IQ74" s="1519"/>
      <c r="IR74" s="1518"/>
      <c r="IS74" s="1519"/>
      <c r="IT74" s="1518"/>
      <c r="IU74" s="1519"/>
      <c r="IV74" s="1518"/>
      <c r="IW74" s="1519"/>
      <c r="IX74" s="1518"/>
      <c r="IY74" s="1519"/>
      <c r="IZ74" s="1518"/>
      <c r="JA74" s="1519"/>
      <c r="JB74" s="1518"/>
      <c r="JC74" s="1519"/>
      <c r="JD74" s="1518"/>
      <c r="JE74" s="1519"/>
      <c r="JF74" s="1518"/>
      <c r="JG74" s="1519"/>
      <c r="JH74" s="1518"/>
      <c r="JI74" s="1519"/>
      <c r="JJ74" s="1562"/>
      <c r="JK74" s="1560"/>
      <c r="JL74" s="1562"/>
      <c r="JM74" s="1560"/>
      <c r="JN74" s="1562"/>
      <c r="JO74" s="1560"/>
      <c r="JP74" s="1562"/>
      <c r="JQ74" s="1560"/>
      <c r="JR74" s="1562"/>
      <c r="JS74" s="1560"/>
      <c r="JT74" s="1562"/>
      <c r="JU74" s="1560"/>
      <c r="JV74" s="1562"/>
      <c r="JW74" s="1560"/>
      <c r="JX74" s="1562"/>
      <c r="JY74" s="1527"/>
      <c r="JZ74" s="1566">
        <f>IFERROR(__xludf.DUMMYFUNCTION("""COMPUTED_VALUE"""),6.520868056)</f>
        <v>6.520868056</v>
      </c>
      <c r="KA74" s="1514">
        <f>IFERROR(__xludf.DUMMYFUNCTION("""COMPUTED_VALUE"""),1.9927E11)</f>
        <v>199270000000</v>
      </c>
      <c r="KB74" s="1562"/>
      <c r="KC74" s="1527"/>
      <c r="KD74" s="1562"/>
      <c r="KE74" s="1527"/>
      <c r="KF74" s="1527"/>
      <c r="KG74" s="1527"/>
      <c r="KH74" s="1527"/>
      <c r="KI74" s="1527"/>
      <c r="KJ74" s="1527"/>
      <c r="KK74" s="1527"/>
      <c r="KL74" s="1527"/>
      <c r="KM74" s="1527"/>
      <c r="KN74" s="1527"/>
      <c r="KO74" s="1527"/>
      <c r="KP74" s="1527"/>
      <c r="KQ74" s="1527"/>
      <c r="KR74" s="1527"/>
      <c r="KS74" s="1527"/>
      <c r="KT74" s="1527"/>
      <c r="KU74" s="1527"/>
      <c r="KV74" s="1527"/>
      <c r="KW74" s="1527"/>
      <c r="KX74" s="1527"/>
      <c r="KY74" s="1527"/>
      <c r="KZ74" s="1527"/>
      <c r="LA74" s="1527"/>
      <c r="LB74" s="1527"/>
      <c r="LC74" s="1527"/>
      <c r="LD74" s="1527"/>
      <c r="LE74" s="1527"/>
      <c r="LF74" s="1527"/>
      <c r="LG74" s="1527"/>
      <c r="LH74" s="1527"/>
      <c r="LI74" s="1527"/>
      <c r="LJ74" s="1527"/>
      <c r="LK74" s="1527"/>
      <c r="LL74" s="1527"/>
      <c r="LM74" s="1527"/>
      <c r="LN74" s="1527"/>
      <c r="LO74" s="1527"/>
      <c r="LP74" s="1527"/>
      <c r="LQ74" s="1527"/>
      <c r="LR74" s="1527"/>
      <c r="LS74" s="1527"/>
      <c r="LT74" s="1527"/>
      <c r="LU74" s="1527"/>
      <c r="LV74" s="1527"/>
      <c r="LW74" s="1527"/>
      <c r="LX74" s="1527"/>
      <c r="LY74" s="1527"/>
      <c r="LZ74" s="1527"/>
      <c r="MA74" s="1527"/>
      <c r="MB74" s="1527"/>
      <c r="MC74" s="1527"/>
      <c r="MD74" s="1527"/>
      <c r="ME74" s="1527"/>
      <c r="MF74" s="1527"/>
      <c r="MG74" s="1527"/>
      <c r="MH74" s="1527"/>
      <c r="MI74" s="1527"/>
      <c r="MJ74" s="1527"/>
      <c r="MK74" s="1527"/>
      <c r="ML74" s="1527"/>
      <c r="MM74" s="1527"/>
      <c r="MN74" s="1527"/>
      <c r="MO74" s="1527"/>
      <c r="MP74" s="1527"/>
      <c r="MQ74" s="1527"/>
      <c r="MR74" s="1527"/>
      <c r="MS74" s="1527"/>
      <c r="MT74" s="1527"/>
      <c r="MU74" s="1527"/>
      <c r="MV74" s="1527"/>
      <c r="MW74" s="1527"/>
      <c r="MX74" s="1527"/>
      <c r="MY74" s="1527"/>
    </row>
    <row r="75">
      <c r="A75" s="1465">
        <f>IFERROR(__xludf.DUMMYFUNCTION("""COMPUTED_VALUE"""),73.0)</f>
        <v>73</v>
      </c>
      <c r="B75" s="1518"/>
      <c r="C75" s="1520"/>
      <c r="D75" s="1466">
        <f>IFERROR(__xludf.DUMMYFUNCTION("""COMPUTED_VALUE"""),23.486805555555556)</f>
        <v>23.48680556</v>
      </c>
      <c r="E75" s="1467">
        <f>IFERROR(__xludf.DUMMYFUNCTION("""COMPUTED_VALUE"""),1800000.0)</f>
        <v>1800000</v>
      </c>
      <c r="F75" s="1466">
        <f>IFERROR(__xludf.DUMMYFUNCTION("""COMPUTED_VALUE"""),23.486805555555556)</f>
        <v>23.48680556</v>
      </c>
      <c r="G75" s="1467">
        <f>IFERROR(__xludf.DUMMYFUNCTION("""COMPUTED_VALUE"""),1800000.0)</f>
        <v>1800000</v>
      </c>
      <c r="H75" s="1466">
        <f>IFERROR(__xludf.DUMMYFUNCTION("""COMPUTED_VALUE"""),23.486805555555556)</f>
        <v>23.48680556</v>
      </c>
      <c r="I75" s="1467">
        <f>IFERROR(__xludf.DUMMYFUNCTION("""COMPUTED_VALUE"""),1800000.0)</f>
        <v>1800000</v>
      </c>
      <c r="J75" s="1466">
        <f>IFERROR(__xludf.DUMMYFUNCTION("""COMPUTED_VALUE"""),23.486805555555556)</f>
        <v>23.48680556</v>
      </c>
      <c r="K75" s="1467">
        <f>IFERROR(__xludf.DUMMYFUNCTION("""COMPUTED_VALUE"""),1800000.0)</f>
        <v>1800000</v>
      </c>
      <c r="L75" s="1466">
        <f>IFERROR(__xludf.DUMMYFUNCTION("""COMPUTED_VALUE"""),44.55138888888889)</f>
        <v>44.55138889</v>
      </c>
      <c r="M75" s="1469">
        <f>IFERROR(__xludf.DUMMYFUNCTION("""COMPUTED_VALUE"""),5840000.0)</f>
        <v>5840000</v>
      </c>
      <c r="N75" s="1470">
        <f>IFERROR(__xludf.DUMMYFUNCTION("""COMPUTED_VALUE"""),18.258333333333333)</f>
        <v>18.25833333</v>
      </c>
      <c r="O75" s="1467">
        <f>IFERROR(__xludf.DUMMYFUNCTION("""COMPUTED_VALUE"""),7440000.0)</f>
        <v>7440000</v>
      </c>
      <c r="P75" s="1518"/>
      <c r="Q75" s="1519"/>
      <c r="R75" s="1518"/>
      <c r="S75" s="1519"/>
      <c r="T75" s="1518"/>
      <c r="U75" s="1519"/>
      <c r="V75" s="1518"/>
      <c r="W75" s="1519"/>
      <c r="X75" s="1518"/>
      <c r="Y75" s="1519"/>
      <c r="Z75" s="1518"/>
      <c r="AA75" s="1519"/>
      <c r="AB75" s="1518"/>
      <c r="AC75" s="1519"/>
      <c r="AD75" s="1466">
        <f>IFERROR(__xludf.DUMMYFUNCTION("""COMPUTED_VALUE"""),78.83611111111111)</f>
        <v>78.83611111</v>
      </c>
      <c r="AE75" s="1474">
        <f>IFERROR(__xludf.DUMMYFUNCTION("""COMPUTED_VALUE"""),1.599268437E17)</f>
        <v>1.59927E+17</v>
      </c>
      <c r="AF75" s="1466">
        <f>IFERROR(__xludf.DUMMYFUNCTION("""COMPUTED_VALUE"""),78.83611111111111)</f>
        <v>78.83611111</v>
      </c>
      <c r="AG75" s="1474">
        <f>IFERROR(__xludf.DUMMYFUNCTION("""COMPUTED_VALUE"""),1.599268437E17)</f>
        <v>1.59927E+17</v>
      </c>
      <c r="AH75" s="1466">
        <f>IFERROR(__xludf.DUMMYFUNCTION("""COMPUTED_VALUE"""),78.83611111111111)</f>
        <v>78.83611111</v>
      </c>
      <c r="AI75" s="1474">
        <f>IFERROR(__xludf.DUMMYFUNCTION("""COMPUTED_VALUE"""),1.599268437E17)</f>
        <v>1.59927E+17</v>
      </c>
      <c r="AJ75" s="1475">
        <f>IFERROR(__xludf.DUMMYFUNCTION("""COMPUTED_VALUE"""),23.486805555555556)</f>
        <v>23.48680556</v>
      </c>
      <c r="AK75" s="1476">
        <f>IFERROR(__xludf.DUMMYFUNCTION("""COMPUTED_VALUE"""),1800000.0)</f>
        <v>1800000</v>
      </c>
      <c r="AL75" s="1475">
        <f>IFERROR(__xludf.DUMMYFUNCTION("""COMPUTED_VALUE"""),23.486805555555556)</f>
        <v>23.48680556</v>
      </c>
      <c r="AM75" s="1476">
        <f>IFERROR(__xludf.DUMMYFUNCTION("""COMPUTED_VALUE"""),1800000.0)</f>
        <v>1800000</v>
      </c>
      <c r="AN75" s="1475">
        <f>IFERROR(__xludf.DUMMYFUNCTION("""COMPUTED_VALUE"""),23.486805555555556)</f>
        <v>23.48680556</v>
      </c>
      <c r="AO75" s="1476">
        <f>IFERROR(__xludf.DUMMYFUNCTION("""COMPUTED_VALUE"""),1800000.0)</f>
        <v>1800000</v>
      </c>
      <c r="AP75" s="1475">
        <f>IFERROR(__xludf.DUMMYFUNCTION("""COMPUTED_VALUE"""),23.486805555555556)</f>
        <v>23.48680556</v>
      </c>
      <c r="AQ75" s="1476">
        <f>IFERROR(__xludf.DUMMYFUNCTION("""COMPUTED_VALUE"""),1800000.0)</f>
        <v>1800000</v>
      </c>
      <c r="AR75" s="1475">
        <f>IFERROR(__xludf.DUMMYFUNCTION("""COMPUTED_VALUE"""),23.486805555555556)</f>
        <v>23.48680556</v>
      </c>
      <c r="AS75" s="1476">
        <f>IFERROR(__xludf.DUMMYFUNCTION("""COMPUTED_VALUE"""),1800000.0)</f>
        <v>1800000</v>
      </c>
      <c r="AT75" s="1520"/>
      <c r="AU75" s="1519"/>
      <c r="AV75" s="1520"/>
      <c r="AW75" s="1519"/>
      <c r="AX75" s="1518"/>
      <c r="AY75" s="1568"/>
      <c r="AZ75" s="1518"/>
      <c r="BA75" s="1518"/>
      <c r="BB75" s="1477">
        <f>IFERROR(__xludf.DUMMYFUNCTION("""COMPUTED_VALUE"""),23.486805555555556)</f>
        <v>23.48680556</v>
      </c>
      <c r="BC75" s="1478">
        <f>IFERROR(__xludf.DUMMYFUNCTION("""COMPUTED_VALUE"""),1800000.0)</f>
        <v>1800000</v>
      </c>
      <c r="BD75" s="1477">
        <f>IFERROR(__xludf.DUMMYFUNCTION("""COMPUTED_VALUE"""),23.486805555555556)</f>
        <v>23.48680556</v>
      </c>
      <c r="BE75" s="1478">
        <f>IFERROR(__xludf.DUMMYFUNCTION("""COMPUTED_VALUE"""),1800000.0)</f>
        <v>1800000</v>
      </c>
      <c r="BF75" s="1477">
        <f>IFERROR(__xludf.DUMMYFUNCTION("""COMPUTED_VALUE"""),23.486805555555556)</f>
        <v>23.48680556</v>
      </c>
      <c r="BG75" s="1478">
        <f>IFERROR(__xludf.DUMMYFUNCTION("""COMPUTED_VALUE"""),1800000.0)</f>
        <v>1800000</v>
      </c>
      <c r="BH75" s="1518"/>
      <c r="BI75" s="1519"/>
      <c r="BJ75" s="1518"/>
      <c r="BK75" s="1519"/>
      <c r="BL75" s="1518"/>
      <c r="BM75" s="1519"/>
      <c r="BN75" s="1518"/>
      <c r="BO75" s="1519"/>
      <c r="BP75" s="1518"/>
      <c r="BQ75" s="1519"/>
      <c r="BR75" s="1520"/>
      <c r="BS75" s="1519"/>
      <c r="BT75" s="1520"/>
      <c r="BU75" s="1520"/>
      <c r="BV75" s="1520"/>
      <c r="BW75" s="1520"/>
      <c r="BX75" s="1520"/>
      <c r="BY75" s="1520"/>
      <c r="BZ75" s="1520"/>
      <c r="CA75" s="1520"/>
      <c r="CB75" s="1520"/>
      <c r="CC75" s="1519"/>
      <c r="CD75" s="1520"/>
      <c r="CE75" s="1520"/>
      <c r="CF75" s="1527"/>
      <c r="CG75" s="1560"/>
      <c r="CH75" s="1482">
        <f>IFERROR(__xludf.DUMMYFUNCTION("""COMPUTED_VALUE"""),23.486805555555556)</f>
        <v>23.48680556</v>
      </c>
      <c r="CI75" s="1483">
        <f>IFERROR(__xludf.DUMMYFUNCTION("""COMPUTED_VALUE"""),1800000.0)</f>
        <v>1800000</v>
      </c>
      <c r="CJ75" s="1482">
        <f>IFERROR(__xludf.DUMMYFUNCTION("""COMPUTED_VALUE"""),23.486805555555556)</f>
        <v>23.48680556</v>
      </c>
      <c r="CK75" s="1483">
        <f>IFERROR(__xludf.DUMMYFUNCTION("""COMPUTED_VALUE"""),1800000.0)</f>
        <v>1800000</v>
      </c>
      <c r="CL75" s="1482">
        <f>IFERROR(__xludf.DUMMYFUNCTION("""COMPUTED_VALUE"""),23.486805555555556)</f>
        <v>23.48680556</v>
      </c>
      <c r="CM75" s="1483">
        <f>IFERROR(__xludf.DUMMYFUNCTION("""COMPUTED_VALUE"""),1800000.0)</f>
        <v>1800000</v>
      </c>
      <c r="CN75" s="1482">
        <f>IFERROR(__xludf.DUMMYFUNCTION("""COMPUTED_VALUE"""),23.486805555555556)</f>
        <v>23.48680556</v>
      </c>
      <c r="CO75" s="1483">
        <f>IFERROR(__xludf.DUMMYFUNCTION("""COMPUTED_VALUE"""),1800000.0)</f>
        <v>1800000</v>
      </c>
      <c r="CP75" s="1482">
        <f>IFERROR(__xludf.DUMMYFUNCTION("""COMPUTED_VALUE"""),55.073611111111106)</f>
        <v>55.07361111</v>
      </c>
      <c r="CQ75" s="1483">
        <f>IFERROR(__xludf.DUMMYFUNCTION("""COMPUTED_VALUE"""),7440000.0)</f>
        <v>7440000</v>
      </c>
      <c r="CR75" s="1518"/>
      <c r="CS75" s="1519"/>
      <c r="CT75" s="1520"/>
      <c r="CU75" s="1519"/>
      <c r="CV75" s="1520"/>
      <c r="CW75" s="1519"/>
      <c r="CX75" s="1520"/>
      <c r="CY75" s="1519"/>
      <c r="CZ75" s="1520"/>
      <c r="DA75" s="1520"/>
      <c r="DB75" s="1520"/>
      <c r="DC75" s="1520"/>
      <c r="DD75" s="1520"/>
      <c r="DE75" s="1519"/>
      <c r="DF75" s="1518"/>
      <c r="DG75" s="1519"/>
      <c r="DH75" s="1518"/>
      <c r="DI75" s="1519"/>
      <c r="DJ75" s="1518"/>
      <c r="DK75" s="1519"/>
      <c r="DL75" s="1518"/>
      <c r="DM75" s="1519"/>
      <c r="DN75" s="1518"/>
      <c r="DO75" s="1519"/>
      <c r="DP75" s="1518"/>
      <c r="DQ75" s="1519"/>
      <c r="DR75" s="1518"/>
      <c r="DS75" s="1519"/>
      <c r="DT75" s="1518"/>
      <c r="DU75" s="1519"/>
      <c r="DV75" s="1520"/>
      <c r="DW75" s="1519"/>
      <c r="DX75" s="1518"/>
      <c r="DY75" s="1519"/>
      <c r="DZ75" s="1518"/>
      <c r="EA75" s="1519"/>
      <c r="EB75" s="1518"/>
      <c r="EC75" s="1519"/>
      <c r="ED75" s="1518"/>
      <c r="EE75" s="1519"/>
      <c r="EF75" s="1518"/>
      <c r="EG75" s="1519"/>
      <c r="EH75" s="1518"/>
      <c r="EI75" s="1519"/>
      <c r="EJ75" s="1562"/>
      <c r="EK75" s="1560"/>
      <c r="EL75" s="1562"/>
      <c r="EM75" s="1560"/>
      <c r="EN75" s="1518"/>
      <c r="EO75" s="1519"/>
      <c r="EP75" s="1518"/>
      <c r="EQ75" s="1519"/>
      <c r="ER75" s="1518"/>
      <c r="ES75" s="1519"/>
      <c r="ET75" s="1518"/>
      <c r="EU75" s="1519"/>
      <c r="EV75" s="1518"/>
      <c r="EW75" s="1519"/>
      <c r="EX75" s="1518"/>
      <c r="EY75" s="1519"/>
      <c r="EZ75" s="1518"/>
      <c r="FA75" s="1519"/>
      <c r="FB75" s="1520"/>
      <c r="FC75" s="1519"/>
      <c r="FD75" s="1520"/>
      <c r="FE75" s="1519"/>
      <c r="FF75" s="1520"/>
      <c r="FG75" s="1519"/>
      <c r="FH75" s="1520"/>
      <c r="FI75" s="1520"/>
      <c r="FJ75" s="1520"/>
      <c r="FK75" s="1519"/>
      <c r="FL75" s="1518"/>
      <c r="FM75" s="1519"/>
      <c r="FN75" s="1532"/>
      <c r="FO75" s="1520"/>
      <c r="FP75" s="1532"/>
      <c r="FQ75" s="1520"/>
      <c r="FR75" s="1532"/>
      <c r="FS75" s="1520"/>
      <c r="FT75" s="1532"/>
      <c r="FU75" s="1519"/>
      <c r="FV75" s="1532"/>
      <c r="FW75" s="1519"/>
      <c r="FX75" s="1572"/>
      <c r="FY75" s="1560"/>
      <c r="FZ75" s="1572"/>
      <c r="GA75" s="1560"/>
      <c r="GB75" s="1572"/>
      <c r="GC75" s="1560"/>
      <c r="GD75" s="1527"/>
      <c r="GE75" s="1560"/>
      <c r="GF75" s="1518"/>
      <c r="GG75" s="1519"/>
      <c r="GH75" s="1518"/>
      <c r="GI75" s="1519"/>
      <c r="GJ75" s="1518"/>
      <c r="GK75" s="1519"/>
      <c r="GL75" s="1518"/>
      <c r="GM75" s="1519"/>
      <c r="GN75" s="1520"/>
      <c r="GO75" s="1519"/>
      <c r="GP75" s="1520"/>
      <c r="GQ75" s="1519"/>
      <c r="GR75" s="1518"/>
      <c r="GS75" s="1519"/>
      <c r="GT75" s="1518"/>
      <c r="GU75" s="1519"/>
      <c r="GV75" s="1520"/>
      <c r="GW75" s="1519"/>
      <c r="GX75" s="1561"/>
      <c r="GY75" s="1527"/>
      <c r="GZ75" s="1518"/>
      <c r="HA75" s="1519"/>
      <c r="HB75" s="1501">
        <f>IFERROR(__xludf.DUMMYFUNCTION("""COMPUTED_VALUE"""),2576.0180555555557)</f>
        <v>2576.018056</v>
      </c>
      <c r="HC75" s="1502">
        <f>IFERROR(__xludf.DUMMYFUNCTION("""COMPUTED_VALUE"""),3.87E13)</f>
        <v>38700000000000</v>
      </c>
      <c r="HD75" s="1518"/>
      <c r="HE75" s="1519"/>
      <c r="HF75" s="1518"/>
      <c r="HG75" s="1519"/>
      <c r="HH75" s="1518"/>
      <c r="HI75" s="1519"/>
      <c r="HJ75" s="1518"/>
      <c r="HK75" s="1519"/>
      <c r="HL75" s="1518"/>
      <c r="HM75" s="1519"/>
      <c r="HN75" s="1520"/>
      <c r="HO75" s="1519"/>
      <c r="HP75" s="1518"/>
      <c r="HQ75" s="1519"/>
      <c r="HR75" s="1518"/>
      <c r="HS75" s="1519"/>
      <c r="HT75" s="1518"/>
      <c r="HU75" s="1519"/>
      <c r="HV75" s="1518"/>
      <c r="HW75" s="1519"/>
      <c r="HX75" s="1518"/>
      <c r="HY75" s="1519"/>
      <c r="HZ75" s="1518"/>
      <c r="IA75" s="1519"/>
      <c r="IB75" s="1518"/>
      <c r="IC75" s="1519"/>
      <c r="ID75" s="1518"/>
      <c r="IE75" s="1519"/>
      <c r="IF75" s="1518"/>
      <c r="IG75" s="1519"/>
      <c r="IH75" s="1518"/>
      <c r="II75" s="1519"/>
      <c r="IJ75" s="1518"/>
      <c r="IK75" s="1519"/>
      <c r="IL75" s="1518"/>
      <c r="IM75" s="1519"/>
      <c r="IN75" s="1518"/>
      <c r="IO75" s="1519"/>
      <c r="IP75" s="1518"/>
      <c r="IQ75" s="1519"/>
      <c r="IR75" s="1518"/>
      <c r="IS75" s="1519"/>
      <c r="IT75" s="1518"/>
      <c r="IU75" s="1519"/>
      <c r="IV75" s="1518"/>
      <c r="IW75" s="1519"/>
      <c r="IX75" s="1518"/>
      <c r="IY75" s="1519"/>
      <c r="IZ75" s="1518"/>
      <c r="JA75" s="1519"/>
      <c r="JB75" s="1518"/>
      <c r="JC75" s="1519"/>
      <c r="JD75" s="1518"/>
      <c r="JE75" s="1519"/>
      <c r="JF75" s="1518"/>
      <c r="JG75" s="1519"/>
      <c r="JH75" s="1518"/>
      <c r="JI75" s="1519"/>
      <c r="JJ75" s="1562"/>
      <c r="JK75" s="1560"/>
      <c r="JL75" s="1562"/>
      <c r="JM75" s="1560"/>
      <c r="JN75" s="1562"/>
      <c r="JO75" s="1560"/>
      <c r="JP75" s="1562"/>
      <c r="JQ75" s="1560"/>
      <c r="JR75" s="1562"/>
      <c r="JS75" s="1560"/>
      <c r="JT75" s="1562"/>
      <c r="JU75" s="1560"/>
      <c r="JV75" s="1562"/>
      <c r="JW75" s="1560"/>
      <c r="JX75" s="1562"/>
      <c r="JY75" s="1527"/>
      <c r="JZ75" s="1566">
        <f>IFERROR(__xludf.DUMMYFUNCTION("""COMPUTED_VALUE"""),6.627407407)</f>
        <v>6.627407407</v>
      </c>
      <c r="KA75" s="1514">
        <f>IFERROR(__xludf.DUMMYFUNCTION("""COMPUTED_VALUE"""),2.0693E11)</f>
        <v>206930000000</v>
      </c>
      <c r="KB75" s="1562"/>
      <c r="KC75" s="1527"/>
      <c r="KD75" s="1562"/>
      <c r="KE75" s="1527"/>
      <c r="KF75" s="1527"/>
      <c r="KG75" s="1527"/>
      <c r="KH75" s="1527"/>
      <c r="KI75" s="1527"/>
      <c r="KJ75" s="1527"/>
      <c r="KK75" s="1527"/>
      <c r="KL75" s="1527"/>
      <c r="KM75" s="1527"/>
      <c r="KN75" s="1527"/>
      <c r="KO75" s="1527"/>
      <c r="KP75" s="1527"/>
      <c r="KQ75" s="1527"/>
      <c r="KR75" s="1527"/>
      <c r="KS75" s="1527"/>
      <c r="KT75" s="1527"/>
      <c r="KU75" s="1527"/>
      <c r="KV75" s="1527"/>
      <c r="KW75" s="1527"/>
      <c r="KX75" s="1527"/>
      <c r="KY75" s="1527"/>
      <c r="KZ75" s="1527"/>
      <c r="LA75" s="1527"/>
      <c r="LB75" s="1527"/>
      <c r="LC75" s="1527"/>
      <c r="LD75" s="1527"/>
      <c r="LE75" s="1527"/>
      <c r="LF75" s="1527"/>
      <c r="LG75" s="1527"/>
      <c r="LH75" s="1527"/>
      <c r="LI75" s="1527"/>
      <c r="LJ75" s="1527"/>
      <c r="LK75" s="1527"/>
      <c r="LL75" s="1527"/>
      <c r="LM75" s="1527"/>
      <c r="LN75" s="1527"/>
      <c r="LO75" s="1527"/>
      <c r="LP75" s="1527"/>
      <c r="LQ75" s="1527"/>
      <c r="LR75" s="1527"/>
      <c r="LS75" s="1527"/>
      <c r="LT75" s="1527"/>
      <c r="LU75" s="1527"/>
      <c r="LV75" s="1527"/>
      <c r="LW75" s="1527"/>
      <c r="LX75" s="1527"/>
      <c r="LY75" s="1527"/>
      <c r="LZ75" s="1527"/>
      <c r="MA75" s="1527"/>
      <c r="MB75" s="1527"/>
      <c r="MC75" s="1527"/>
      <c r="MD75" s="1527"/>
      <c r="ME75" s="1527"/>
      <c r="MF75" s="1527"/>
      <c r="MG75" s="1527"/>
      <c r="MH75" s="1527"/>
      <c r="MI75" s="1527"/>
      <c r="MJ75" s="1527"/>
      <c r="MK75" s="1527"/>
      <c r="ML75" s="1527"/>
      <c r="MM75" s="1527"/>
      <c r="MN75" s="1527"/>
      <c r="MO75" s="1527"/>
      <c r="MP75" s="1527"/>
      <c r="MQ75" s="1527"/>
      <c r="MR75" s="1527"/>
      <c r="MS75" s="1527"/>
      <c r="MT75" s="1527"/>
      <c r="MU75" s="1527"/>
      <c r="MV75" s="1527"/>
      <c r="MW75" s="1527"/>
      <c r="MX75" s="1527"/>
      <c r="MY75" s="1527"/>
    </row>
    <row r="76">
      <c r="A76" s="1465">
        <f>IFERROR(__xludf.DUMMYFUNCTION("""COMPUTED_VALUE"""),74.0)</f>
        <v>74</v>
      </c>
      <c r="B76" s="1518"/>
      <c r="C76" s="1520"/>
      <c r="D76" s="1466">
        <f>IFERROR(__xludf.DUMMYFUNCTION("""COMPUTED_VALUE"""),24.272222222222222)</f>
        <v>24.27222222</v>
      </c>
      <c r="E76" s="1467">
        <f>IFERROR(__xludf.DUMMYFUNCTION("""COMPUTED_VALUE"""),1870000.0)</f>
        <v>1870000</v>
      </c>
      <c r="F76" s="1466">
        <f>IFERROR(__xludf.DUMMYFUNCTION("""COMPUTED_VALUE"""),24.272222222222222)</f>
        <v>24.27222222</v>
      </c>
      <c r="G76" s="1467">
        <f>IFERROR(__xludf.DUMMYFUNCTION("""COMPUTED_VALUE"""),1870000.0)</f>
        <v>1870000</v>
      </c>
      <c r="H76" s="1466">
        <f>IFERROR(__xludf.DUMMYFUNCTION("""COMPUTED_VALUE"""),24.272222222222222)</f>
        <v>24.27222222</v>
      </c>
      <c r="I76" s="1467">
        <f>IFERROR(__xludf.DUMMYFUNCTION("""COMPUTED_VALUE"""),1870000.0)</f>
        <v>1870000</v>
      </c>
      <c r="J76" s="1466">
        <f>IFERROR(__xludf.DUMMYFUNCTION("""COMPUTED_VALUE"""),24.272222222222222)</f>
        <v>24.27222222</v>
      </c>
      <c r="K76" s="1467">
        <f>IFERROR(__xludf.DUMMYFUNCTION("""COMPUTED_VALUE"""),1870000.0)</f>
        <v>1870000</v>
      </c>
      <c r="L76" s="1466">
        <f>IFERROR(__xludf.DUMMYFUNCTION("""COMPUTED_VALUE"""),46.1375)</f>
        <v>46.1375</v>
      </c>
      <c r="M76" s="1469">
        <f>IFERROR(__xludf.DUMMYFUNCTION("""COMPUTED_VALUE"""),6070000.0)</f>
        <v>6070000</v>
      </c>
      <c r="N76" s="1470">
        <f>IFERROR(__xludf.DUMMYFUNCTION("""COMPUTED_VALUE"""),18.75486111111111)</f>
        <v>18.75486111</v>
      </c>
      <c r="O76" s="1467">
        <f>IFERROR(__xludf.DUMMYFUNCTION("""COMPUTED_VALUE"""),7770000.0)</f>
        <v>7770000</v>
      </c>
      <c r="P76" s="1518"/>
      <c r="Q76" s="1519"/>
      <c r="R76" s="1518"/>
      <c r="S76" s="1519"/>
      <c r="T76" s="1518"/>
      <c r="U76" s="1519"/>
      <c r="V76" s="1518"/>
      <c r="W76" s="1519"/>
      <c r="X76" s="1518"/>
      <c r="Y76" s="1519"/>
      <c r="Z76" s="1518"/>
      <c r="AA76" s="1519"/>
      <c r="AB76" s="1518"/>
      <c r="AC76" s="1519"/>
      <c r="AD76" s="1466">
        <f>IFERROR(__xludf.DUMMYFUNCTION("""COMPUTED_VALUE"""),79.91597222222222)</f>
        <v>79.91597222</v>
      </c>
      <c r="AE76" s="1474">
        <f>IFERROR(__xludf.DUMMYFUNCTION("""COMPUTED_VALUE"""),2.079048968E17)</f>
        <v>2.07905E+17</v>
      </c>
      <c r="AF76" s="1466">
        <f>IFERROR(__xludf.DUMMYFUNCTION("""COMPUTED_VALUE"""),79.91597222222222)</f>
        <v>79.91597222</v>
      </c>
      <c r="AG76" s="1474">
        <f>IFERROR(__xludf.DUMMYFUNCTION("""COMPUTED_VALUE"""),2.079048968E17)</f>
        <v>2.07905E+17</v>
      </c>
      <c r="AH76" s="1466">
        <f>IFERROR(__xludf.DUMMYFUNCTION("""COMPUTED_VALUE"""),79.91597222222222)</f>
        <v>79.91597222</v>
      </c>
      <c r="AI76" s="1474">
        <f>IFERROR(__xludf.DUMMYFUNCTION("""COMPUTED_VALUE"""),2.079048968E17)</f>
        <v>2.07905E+17</v>
      </c>
      <c r="AJ76" s="1475">
        <f>IFERROR(__xludf.DUMMYFUNCTION("""COMPUTED_VALUE"""),24.272222222222222)</f>
        <v>24.27222222</v>
      </c>
      <c r="AK76" s="1476">
        <f>IFERROR(__xludf.DUMMYFUNCTION("""COMPUTED_VALUE"""),1870000.0)</f>
        <v>1870000</v>
      </c>
      <c r="AL76" s="1475">
        <f>IFERROR(__xludf.DUMMYFUNCTION("""COMPUTED_VALUE"""),24.272222222222222)</f>
        <v>24.27222222</v>
      </c>
      <c r="AM76" s="1476">
        <f>IFERROR(__xludf.DUMMYFUNCTION("""COMPUTED_VALUE"""),1870000.0)</f>
        <v>1870000</v>
      </c>
      <c r="AN76" s="1475">
        <f>IFERROR(__xludf.DUMMYFUNCTION("""COMPUTED_VALUE"""),24.272222222222222)</f>
        <v>24.27222222</v>
      </c>
      <c r="AO76" s="1476">
        <f>IFERROR(__xludf.DUMMYFUNCTION("""COMPUTED_VALUE"""),1870000.0)</f>
        <v>1870000</v>
      </c>
      <c r="AP76" s="1475">
        <f>IFERROR(__xludf.DUMMYFUNCTION("""COMPUTED_VALUE"""),24.272222222222222)</f>
        <v>24.27222222</v>
      </c>
      <c r="AQ76" s="1476">
        <f>IFERROR(__xludf.DUMMYFUNCTION("""COMPUTED_VALUE"""),1870000.0)</f>
        <v>1870000</v>
      </c>
      <c r="AR76" s="1475">
        <f>IFERROR(__xludf.DUMMYFUNCTION("""COMPUTED_VALUE"""),24.272916666666667)</f>
        <v>24.27291667</v>
      </c>
      <c r="AS76" s="1476">
        <f>IFERROR(__xludf.DUMMYFUNCTION("""COMPUTED_VALUE"""),1870000.0)</f>
        <v>1870000</v>
      </c>
      <c r="AT76" s="1520"/>
      <c r="AU76" s="1519"/>
      <c r="AV76" s="1520"/>
      <c r="AW76" s="1519"/>
      <c r="AX76" s="1518"/>
      <c r="AY76" s="1568"/>
      <c r="AZ76" s="1518"/>
      <c r="BA76" s="1518"/>
      <c r="BB76" s="1477">
        <f>IFERROR(__xludf.DUMMYFUNCTION("""COMPUTED_VALUE"""),24.272222222222222)</f>
        <v>24.27222222</v>
      </c>
      <c r="BC76" s="1478">
        <f>IFERROR(__xludf.DUMMYFUNCTION("""COMPUTED_VALUE"""),1870000.0)</f>
        <v>1870000</v>
      </c>
      <c r="BD76" s="1477">
        <f>IFERROR(__xludf.DUMMYFUNCTION("""COMPUTED_VALUE"""),24.272222222222222)</f>
        <v>24.27222222</v>
      </c>
      <c r="BE76" s="1478">
        <f>IFERROR(__xludf.DUMMYFUNCTION("""COMPUTED_VALUE"""),1870000.0)</f>
        <v>1870000</v>
      </c>
      <c r="BF76" s="1477">
        <f>IFERROR(__xludf.DUMMYFUNCTION("""COMPUTED_VALUE"""),24.272222222222222)</f>
        <v>24.27222222</v>
      </c>
      <c r="BG76" s="1478">
        <f>IFERROR(__xludf.DUMMYFUNCTION("""COMPUTED_VALUE"""),1870000.0)</f>
        <v>1870000</v>
      </c>
      <c r="BH76" s="1518"/>
      <c r="BI76" s="1519"/>
      <c r="BJ76" s="1518"/>
      <c r="BK76" s="1519"/>
      <c r="BL76" s="1518"/>
      <c r="BM76" s="1519"/>
      <c r="BN76" s="1518"/>
      <c r="BO76" s="1519"/>
      <c r="BP76" s="1518"/>
      <c r="BQ76" s="1519"/>
      <c r="BR76" s="1520"/>
      <c r="BS76" s="1519"/>
      <c r="BT76" s="1520"/>
      <c r="BU76" s="1520"/>
      <c r="BV76" s="1520"/>
      <c r="BW76" s="1520"/>
      <c r="BX76" s="1520"/>
      <c r="BY76" s="1520"/>
      <c r="BZ76" s="1520"/>
      <c r="CA76" s="1520"/>
      <c r="CB76" s="1520"/>
      <c r="CC76" s="1519"/>
      <c r="CD76" s="1520"/>
      <c r="CE76" s="1520"/>
      <c r="CF76" s="1527"/>
      <c r="CG76" s="1560"/>
      <c r="CH76" s="1482">
        <f>IFERROR(__xludf.DUMMYFUNCTION("""COMPUTED_VALUE"""),24.272916666666667)</f>
        <v>24.27291667</v>
      </c>
      <c r="CI76" s="1483">
        <f>IFERROR(__xludf.DUMMYFUNCTION("""COMPUTED_VALUE"""),1870000.0)</f>
        <v>1870000</v>
      </c>
      <c r="CJ76" s="1482">
        <f>IFERROR(__xludf.DUMMYFUNCTION("""COMPUTED_VALUE"""),24.272916666666667)</f>
        <v>24.27291667</v>
      </c>
      <c r="CK76" s="1483">
        <f>IFERROR(__xludf.DUMMYFUNCTION("""COMPUTED_VALUE"""),1870000.0)</f>
        <v>1870000</v>
      </c>
      <c r="CL76" s="1482">
        <f>IFERROR(__xludf.DUMMYFUNCTION("""COMPUTED_VALUE"""),24.272916666666667)</f>
        <v>24.27291667</v>
      </c>
      <c r="CM76" s="1483">
        <f>IFERROR(__xludf.DUMMYFUNCTION("""COMPUTED_VALUE"""),1870000.0)</f>
        <v>1870000</v>
      </c>
      <c r="CN76" s="1482">
        <f>IFERROR(__xludf.DUMMYFUNCTION("""COMPUTED_VALUE"""),24.272916666666667)</f>
        <v>24.27291667</v>
      </c>
      <c r="CO76" s="1483">
        <f>IFERROR(__xludf.DUMMYFUNCTION("""COMPUTED_VALUE"""),1870000.0)</f>
        <v>1870000</v>
      </c>
      <c r="CP76" s="1482">
        <f>IFERROR(__xludf.DUMMYFUNCTION("""COMPUTED_VALUE"""),57.075694444444444)</f>
        <v>57.07569444</v>
      </c>
      <c r="CQ76" s="1483">
        <f>IFERROR(__xludf.DUMMYFUNCTION("""COMPUTED_VALUE"""),7770000.0)</f>
        <v>7770000</v>
      </c>
      <c r="CR76" s="1518"/>
      <c r="CS76" s="1519"/>
      <c r="CT76" s="1520"/>
      <c r="CU76" s="1519"/>
      <c r="CV76" s="1520"/>
      <c r="CW76" s="1519"/>
      <c r="CX76" s="1520"/>
      <c r="CY76" s="1519"/>
      <c r="CZ76" s="1520"/>
      <c r="DA76" s="1520"/>
      <c r="DB76" s="1520"/>
      <c r="DC76" s="1520"/>
      <c r="DD76" s="1520"/>
      <c r="DE76" s="1519"/>
      <c r="DF76" s="1518"/>
      <c r="DG76" s="1519"/>
      <c r="DH76" s="1518"/>
      <c r="DI76" s="1519"/>
      <c r="DJ76" s="1518"/>
      <c r="DK76" s="1519"/>
      <c r="DL76" s="1518"/>
      <c r="DM76" s="1519"/>
      <c r="DN76" s="1518"/>
      <c r="DO76" s="1519"/>
      <c r="DP76" s="1518"/>
      <c r="DQ76" s="1519"/>
      <c r="DR76" s="1518"/>
      <c r="DS76" s="1519"/>
      <c r="DT76" s="1518"/>
      <c r="DU76" s="1519"/>
      <c r="DV76" s="1520"/>
      <c r="DW76" s="1519"/>
      <c r="DX76" s="1518"/>
      <c r="DY76" s="1519"/>
      <c r="DZ76" s="1518"/>
      <c r="EA76" s="1519"/>
      <c r="EB76" s="1518"/>
      <c r="EC76" s="1519"/>
      <c r="ED76" s="1518"/>
      <c r="EE76" s="1519"/>
      <c r="EF76" s="1518"/>
      <c r="EG76" s="1519"/>
      <c r="EH76" s="1518"/>
      <c r="EI76" s="1519"/>
      <c r="EJ76" s="1562"/>
      <c r="EK76" s="1560"/>
      <c r="EL76" s="1562"/>
      <c r="EM76" s="1560"/>
      <c r="EN76" s="1518"/>
      <c r="EO76" s="1519"/>
      <c r="EP76" s="1518"/>
      <c r="EQ76" s="1519"/>
      <c r="ER76" s="1518"/>
      <c r="ES76" s="1519"/>
      <c r="ET76" s="1518"/>
      <c r="EU76" s="1519"/>
      <c r="EV76" s="1518"/>
      <c r="EW76" s="1519"/>
      <c r="EX76" s="1518"/>
      <c r="EY76" s="1519"/>
      <c r="EZ76" s="1518"/>
      <c r="FA76" s="1519"/>
      <c r="FB76" s="1520"/>
      <c r="FC76" s="1519"/>
      <c r="FD76" s="1520"/>
      <c r="FE76" s="1519"/>
      <c r="FF76" s="1520"/>
      <c r="FG76" s="1519"/>
      <c r="FH76" s="1520"/>
      <c r="FI76" s="1520"/>
      <c r="FJ76" s="1520"/>
      <c r="FK76" s="1519"/>
      <c r="FL76" s="1518"/>
      <c r="FM76" s="1519"/>
      <c r="FN76" s="1532"/>
      <c r="FO76" s="1520"/>
      <c r="FP76" s="1532"/>
      <c r="FQ76" s="1520"/>
      <c r="FR76" s="1532"/>
      <c r="FS76" s="1520"/>
      <c r="FT76" s="1532"/>
      <c r="FU76" s="1519"/>
      <c r="FV76" s="1532"/>
      <c r="FW76" s="1519"/>
      <c r="FX76" s="1572"/>
      <c r="FY76" s="1560"/>
      <c r="FZ76" s="1572"/>
      <c r="GA76" s="1560"/>
      <c r="GB76" s="1572"/>
      <c r="GC76" s="1560"/>
      <c r="GD76" s="1527"/>
      <c r="GE76" s="1560"/>
      <c r="GF76" s="1518"/>
      <c r="GG76" s="1519"/>
      <c r="GH76" s="1518"/>
      <c r="GI76" s="1519"/>
      <c r="GJ76" s="1518"/>
      <c r="GK76" s="1519"/>
      <c r="GL76" s="1518"/>
      <c r="GM76" s="1519"/>
      <c r="GN76" s="1520"/>
      <c r="GO76" s="1519"/>
      <c r="GP76" s="1520"/>
      <c r="GQ76" s="1519"/>
      <c r="GR76" s="1518"/>
      <c r="GS76" s="1519"/>
      <c r="GT76" s="1518"/>
      <c r="GU76" s="1519"/>
      <c r="GV76" s="1520"/>
      <c r="GW76" s="1519"/>
      <c r="GX76" s="1561"/>
      <c r="GY76" s="1527"/>
      <c r="GZ76" s="1518"/>
      <c r="HA76" s="1519"/>
      <c r="HB76" s="1501">
        <f>IFERROR(__xludf.DUMMYFUNCTION("""COMPUTED_VALUE"""),2703.0715277777776)</f>
        <v>2703.071528</v>
      </c>
      <c r="HC76" s="1502">
        <f>IFERROR(__xludf.DUMMYFUNCTION("""COMPUTED_VALUE"""),4.146E13)</f>
        <v>41460000000000</v>
      </c>
      <c r="HD76" s="1518"/>
      <c r="HE76" s="1519"/>
      <c r="HF76" s="1518"/>
      <c r="HG76" s="1519"/>
      <c r="HH76" s="1518"/>
      <c r="HI76" s="1519"/>
      <c r="HJ76" s="1518"/>
      <c r="HK76" s="1519"/>
      <c r="HL76" s="1518"/>
      <c r="HM76" s="1519"/>
      <c r="HN76" s="1520"/>
      <c r="HO76" s="1519"/>
      <c r="HP76" s="1518"/>
      <c r="HQ76" s="1519"/>
      <c r="HR76" s="1518"/>
      <c r="HS76" s="1519"/>
      <c r="HT76" s="1518"/>
      <c r="HU76" s="1519"/>
      <c r="HV76" s="1518"/>
      <c r="HW76" s="1519"/>
      <c r="HX76" s="1518"/>
      <c r="HY76" s="1519"/>
      <c r="HZ76" s="1518"/>
      <c r="IA76" s="1519"/>
      <c r="IB76" s="1518"/>
      <c r="IC76" s="1519"/>
      <c r="ID76" s="1518"/>
      <c r="IE76" s="1519"/>
      <c r="IF76" s="1518"/>
      <c r="IG76" s="1519"/>
      <c r="IH76" s="1518"/>
      <c r="II76" s="1519"/>
      <c r="IJ76" s="1518"/>
      <c r="IK76" s="1519"/>
      <c r="IL76" s="1518"/>
      <c r="IM76" s="1519"/>
      <c r="IN76" s="1518"/>
      <c r="IO76" s="1519"/>
      <c r="IP76" s="1518"/>
      <c r="IQ76" s="1519"/>
      <c r="IR76" s="1518"/>
      <c r="IS76" s="1519"/>
      <c r="IT76" s="1518"/>
      <c r="IU76" s="1519"/>
      <c r="IV76" s="1518"/>
      <c r="IW76" s="1519"/>
      <c r="IX76" s="1518"/>
      <c r="IY76" s="1519"/>
      <c r="IZ76" s="1518"/>
      <c r="JA76" s="1519"/>
      <c r="JB76" s="1518"/>
      <c r="JC76" s="1519"/>
      <c r="JD76" s="1518"/>
      <c r="JE76" s="1519"/>
      <c r="JF76" s="1518"/>
      <c r="JG76" s="1519"/>
      <c r="JH76" s="1518"/>
      <c r="JI76" s="1519"/>
      <c r="JJ76" s="1562"/>
      <c r="JK76" s="1560"/>
      <c r="JL76" s="1562"/>
      <c r="JM76" s="1560"/>
      <c r="JN76" s="1562"/>
      <c r="JO76" s="1560"/>
      <c r="JP76" s="1562"/>
      <c r="JQ76" s="1560"/>
      <c r="JR76" s="1562"/>
      <c r="JS76" s="1560"/>
      <c r="JT76" s="1562"/>
      <c r="JU76" s="1560"/>
      <c r="JV76" s="1562"/>
      <c r="JW76" s="1560"/>
      <c r="JX76" s="1562"/>
      <c r="JY76" s="1527"/>
      <c r="JZ76" s="1566">
        <f>IFERROR(__xludf.DUMMYFUNCTION("""COMPUTED_VALUE"""),6.734837963)</f>
        <v>6.734837963</v>
      </c>
      <c r="KA76" s="1514">
        <f>IFERROR(__xludf.DUMMYFUNCTION("""COMPUTED_VALUE"""),2.1479E11)</f>
        <v>214790000000</v>
      </c>
      <c r="KB76" s="1562"/>
      <c r="KC76" s="1527"/>
      <c r="KD76" s="1562"/>
      <c r="KE76" s="1527"/>
      <c r="KF76" s="1527"/>
      <c r="KG76" s="1527"/>
      <c r="KH76" s="1527"/>
      <c r="KI76" s="1527"/>
      <c r="KJ76" s="1527"/>
      <c r="KK76" s="1527"/>
      <c r="KL76" s="1527"/>
      <c r="KM76" s="1527"/>
      <c r="KN76" s="1527"/>
      <c r="KO76" s="1527"/>
      <c r="KP76" s="1527"/>
      <c r="KQ76" s="1527"/>
      <c r="KR76" s="1527"/>
      <c r="KS76" s="1527"/>
      <c r="KT76" s="1527"/>
      <c r="KU76" s="1527"/>
      <c r="KV76" s="1527"/>
      <c r="KW76" s="1527"/>
      <c r="KX76" s="1527"/>
      <c r="KY76" s="1527"/>
      <c r="KZ76" s="1527"/>
      <c r="LA76" s="1527"/>
      <c r="LB76" s="1527"/>
      <c r="LC76" s="1527"/>
      <c r="LD76" s="1527"/>
      <c r="LE76" s="1527"/>
      <c r="LF76" s="1527"/>
      <c r="LG76" s="1527"/>
      <c r="LH76" s="1527"/>
      <c r="LI76" s="1527"/>
      <c r="LJ76" s="1527"/>
      <c r="LK76" s="1527"/>
      <c r="LL76" s="1527"/>
      <c r="LM76" s="1527"/>
      <c r="LN76" s="1527"/>
      <c r="LO76" s="1527"/>
      <c r="LP76" s="1527"/>
      <c r="LQ76" s="1527"/>
      <c r="LR76" s="1527"/>
      <c r="LS76" s="1527"/>
      <c r="LT76" s="1527"/>
      <c r="LU76" s="1527"/>
      <c r="LV76" s="1527"/>
      <c r="LW76" s="1527"/>
      <c r="LX76" s="1527"/>
      <c r="LY76" s="1527"/>
      <c r="LZ76" s="1527"/>
      <c r="MA76" s="1527"/>
      <c r="MB76" s="1527"/>
      <c r="MC76" s="1527"/>
      <c r="MD76" s="1527"/>
      <c r="ME76" s="1527"/>
      <c r="MF76" s="1527"/>
      <c r="MG76" s="1527"/>
      <c r="MH76" s="1527"/>
      <c r="MI76" s="1527"/>
      <c r="MJ76" s="1527"/>
      <c r="MK76" s="1527"/>
      <c r="ML76" s="1527"/>
      <c r="MM76" s="1527"/>
      <c r="MN76" s="1527"/>
      <c r="MO76" s="1527"/>
      <c r="MP76" s="1527"/>
      <c r="MQ76" s="1527"/>
      <c r="MR76" s="1527"/>
      <c r="MS76" s="1527"/>
      <c r="MT76" s="1527"/>
      <c r="MU76" s="1527"/>
      <c r="MV76" s="1527"/>
      <c r="MW76" s="1527"/>
      <c r="MX76" s="1527"/>
      <c r="MY76" s="1527"/>
    </row>
    <row r="77">
      <c r="A77" s="1465">
        <f>IFERROR(__xludf.DUMMYFUNCTION("""COMPUTED_VALUE"""),75.0)</f>
        <v>75</v>
      </c>
      <c r="B77" s="1518"/>
      <c r="C77" s="1520"/>
      <c r="D77" s="1466">
        <f>IFERROR(__xludf.DUMMYFUNCTION("""COMPUTED_VALUE"""),25.073611111111113)</f>
        <v>25.07361111</v>
      </c>
      <c r="E77" s="1467">
        <f>IFERROR(__xludf.DUMMYFUNCTION("""COMPUTED_VALUE"""),1940000.0)</f>
        <v>1940000</v>
      </c>
      <c r="F77" s="1466">
        <f>IFERROR(__xludf.DUMMYFUNCTION("""COMPUTED_VALUE"""),25.073611111111113)</f>
        <v>25.07361111</v>
      </c>
      <c r="G77" s="1467">
        <f>IFERROR(__xludf.DUMMYFUNCTION("""COMPUTED_VALUE"""),1940000.0)</f>
        <v>1940000</v>
      </c>
      <c r="H77" s="1466">
        <f>IFERROR(__xludf.DUMMYFUNCTION("""COMPUTED_VALUE"""),25.073611111111113)</f>
        <v>25.07361111</v>
      </c>
      <c r="I77" s="1467">
        <f>IFERROR(__xludf.DUMMYFUNCTION("""COMPUTED_VALUE"""),1940000.0)</f>
        <v>1940000</v>
      </c>
      <c r="J77" s="1466">
        <f>IFERROR(__xludf.DUMMYFUNCTION("""COMPUTED_VALUE"""),25.073611111111113)</f>
        <v>25.07361111</v>
      </c>
      <c r="K77" s="1467">
        <f>IFERROR(__xludf.DUMMYFUNCTION("""COMPUTED_VALUE"""),1940000.0)</f>
        <v>1940000</v>
      </c>
      <c r="L77" s="1466">
        <f>IFERROR(__xludf.DUMMYFUNCTION("""COMPUTED_VALUE"""),47.75694444444444)</f>
        <v>47.75694444</v>
      </c>
      <c r="M77" s="1469">
        <f>IFERROR(__xludf.DUMMYFUNCTION("""COMPUTED_VALUE"""),6300000.0)</f>
        <v>6300000</v>
      </c>
      <c r="N77" s="1470">
        <f>IFERROR(__xludf.DUMMYFUNCTION("""COMPUTED_VALUE"""),19.256944444444443)</f>
        <v>19.25694444</v>
      </c>
      <c r="O77" s="1467">
        <f>IFERROR(__xludf.DUMMYFUNCTION("""COMPUTED_VALUE"""),8100000.0)</f>
        <v>8100000</v>
      </c>
      <c r="P77" s="1518"/>
      <c r="Q77" s="1519"/>
      <c r="R77" s="1518"/>
      <c r="S77" s="1519"/>
      <c r="T77" s="1518"/>
      <c r="U77" s="1519"/>
      <c r="V77" s="1518"/>
      <c r="W77" s="1519"/>
      <c r="X77" s="1518"/>
      <c r="Y77" s="1519"/>
      <c r="Z77" s="1518"/>
      <c r="AA77" s="1519"/>
      <c r="AB77" s="1518"/>
      <c r="AC77" s="1519"/>
      <c r="AD77" s="1466">
        <f>IFERROR(__xludf.DUMMYFUNCTION("""COMPUTED_VALUE"""),80.99583333333334)</f>
        <v>80.99583333</v>
      </c>
      <c r="AE77" s="1474">
        <f>IFERROR(__xludf.DUMMYFUNCTION("""COMPUTED_VALUE"""),2.702763658E17)</f>
        <v>2.70276E+17</v>
      </c>
      <c r="AF77" s="1466">
        <f>IFERROR(__xludf.DUMMYFUNCTION("""COMPUTED_VALUE"""),80.99583333333334)</f>
        <v>80.99583333</v>
      </c>
      <c r="AG77" s="1474">
        <f>IFERROR(__xludf.DUMMYFUNCTION("""COMPUTED_VALUE"""),2.702763658E17)</f>
        <v>2.70276E+17</v>
      </c>
      <c r="AH77" s="1466">
        <f>IFERROR(__xludf.DUMMYFUNCTION("""COMPUTED_VALUE"""),80.99583333333334)</f>
        <v>80.99583333</v>
      </c>
      <c r="AI77" s="1474">
        <f>IFERROR(__xludf.DUMMYFUNCTION("""COMPUTED_VALUE"""),2.702763658E17)</f>
        <v>2.70276E+17</v>
      </c>
      <c r="AJ77" s="1475">
        <f>IFERROR(__xludf.DUMMYFUNCTION("""COMPUTED_VALUE"""),25.073611111111113)</f>
        <v>25.07361111</v>
      </c>
      <c r="AK77" s="1476">
        <f>IFERROR(__xludf.DUMMYFUNCTION("""COMPUTED_VALUE"""),1940000.0)</f>
        <v>1940000</v>
      </c>
      <c r="AL77" s="1475">
        <f>IFERROR(__xludf.DUMMYFUNCTION("""COMPUTED_VALUE"""),25.073611111111113)</f>
        <v>25.07361111</v>
      </c>
      <c r="AM77" s="1476">
        <f>IFERROR(__xludf.DUMMYFUNCTION("""COMPUTED_VALUE"""),1940000.0)</f>
        <v>1940000</v>
      </c>
      <c r="AN77" s="1475">
        <f>IFERROR(__xludf.DUMMYFUNCTION("""COMPUTED_VALUE"""),25.073611111111113)</f>
        <v>25.07361111</v>
      </c>
      <c r="AO77" s="1476">
        <f>IFERROR(__xludf.DUMMYFUNCTION("""COMPUTED_VALUE"""),1940000.0)</f>
        <v>1940000</v>
      </c>
      <c r="AP77" s="1475">
        <f>IFERROR(__xludf.DUMMYFUNCTION("""COMPUTED_VALUE"""),25.073611111111113)</f>
        <v>25.07361111</v>
      </c>
      <c r="AQ77" s="1476">
        <f>IFERROR(__xludf.DUMMYFUNCTION("""COMPUTED_VALUE"""),1940000.0)</f>
        <v>1940000</v>
      </c>
      <c r="AR77" s="1475">
        <f>IFERROR(__xludf.DUMMYFUNCTION("""COMPUTED_VALUE"""),25.073611111111113)</f>
        <v>25.07361111</v>
      </c>
      <c r="AS77" s="1476">
        <f>IFERROR(__xludf.DUMMYFUNCTION("""COMPUTED_VALUE"""),1940000.0)</f>
        <v>1940000</v>
      </c>
      <c r="AT77" s="1520"/>
      <c r="AU77" s="1519"/>
      <c r="AV77" s="1520"/>
      <c r="AW77" s="1519"/>
      <c r="AX77" s="1518"/>
      <c r="AY77" s="1568"/>
      <c r="AZ77" s="1518"/>
      <c r="BA77" s="1518"/>
      <c r="BB77" s="1477">
        <f>IFERROR(__xludf.DUMMYFUNCTION("""COMPUTED_VALUE"""),25.073611111111113)</f>
        <v>25.07361111</v>
      </c>
      <c r="BC77" s="1478">
        <f>IFERROR(__xludf.DUMMYFUNCTION("""COMPUTED_VALUE"""),1940000.0)</f>
        <v>1940000</v>
      </c>
      <c r="BD77" s="1477">
        <f>IFERROR(__xludf.DUMMYFUNCTION("""COMPUTED_VALUE"""),25.073611111111113)</f>
        <v>25.07361111</v>
      </c>
      <c r="BE77" s="1478">
        <f>IFERROR(__xludf.DUMMYFUNCTION("""COMPUTED_VALUE"""),1940000.0)</f>
        <v>1940000</v>
      </c>
      <c r="BF77" s="1477">
        <f>IFERROR(__xludf.DUMMYFUNCTION("""COMPUTED_VALUE"""),25.073611111111113)</f>
        <v>25.07361111</v>
      </c>
      <c r="BG77" s="1478">
        <f>IFERROR(__xludf.DUMMYFUNCTION("""COMPUTED_VALUE"""),1940000.0)</f>
        <v>1940000</v>
      </c>
      <c r="BH77" s="1518"/>
      <c r="BI77" s="1519"/>
      <c r="BJ77" s="1518"/>
      <c r="BK77" s="1519"/>
      <c r="BL77" s="1518"/>
      <c r="BM77" s="1519"/>
      <c r="BN77" s="1518"/>
      <c r="BO77" s="1519"/>
      <c r="BP77" s="1518"/>
      <c r="BQ77" s="1519"/>
      <c r="BR77" s="1520"/>
      <c r="BS77" s="1519"/>
      <c r="BT77" s="1520"/>
      <c r="BU77" s="1520"/>
      <c r="BV77" s="1520"/>
      <c r="BW77" s="1520"/>
      <c r="BX77" s="1520"/>
      <c r="BY77" s="1520"/>
      <c r="BZ77" s="1520"/>
      <c r="CA77" s="1520"/>
      <c r="CB77" s="1520"/>
      <c r="CC77" s="1519"/>
      <c r="CD77" s="1520"/>
      <c r="CE77" s="1520"/>
      <c r="CF77" s="1527"/>
      <c r="CG77" s="1560"/>
      <c r="CH77" s="1482">
        <f>IFERROR(__xludf.DUMMYFUNCTION("""COMPUTED_VALUE"""),25.073611111111113)</f>
        <v>25.07361111</v>
      </c>
      <c r="CI77" s="1483">
        <f>IFERROR(__xludf.DUMMYFUNCTION("""COMPUTED_VALUE"""),1940000.0)</f>
        <v>1940000</v>
      </c>
      <c r="CJ77" s="1482">
        <f>IFERROR(__xludf.DUMMYFUNCTION("""COMPUTED_VALUE"""),25.073611111111113)</f>
        <v>25.07361111</v>
      </c>
      <c r="CK77" s="1483">
        <f>IFERROR(__xludf.DUMMYFUNCTION("""COMPUTED_VALUE"""),1940000.0)</f>
        <v>1940000</v>
      </c>
      <c r="CL77" s="1482">
        <f>IFERROR(__xludf.DUMMYFUNCTION("""COMPUTED_VALUE"""),25.073611111111113)</f>
        <v>25.07361111</v>
      </c>
      <c r="CM77" s="1483">
        <f>IFERROR(__xludf.DUMMYFUNCTION("""COMPUTED_VALUE"""),1940000.0)</f>
        <v>1940000</v>
      </c>
      <c r="CN77" s="1482">
        <f>IFERROR(__xludf.DUMMYFUNCTION("""COMPUTED_VALUE"""),25.073611111111113)</f>
        <v>25.07361111</v>
      </c>
      <c r="CO77" s="1483">
        <f>IFERROR(__xludf.DUMMYFUNCTION("""COMPUTED_VALUE"""),1940000.0)</f>
        <v>1940000</v>
      </c>
      <c r="CP77" s="1482">
        <f>IFERROR(__xludf.DUMMYFUNCTION("""COMPUTED_VALUE"""),59.12152777777778)</f>
        <v>59.12152778</v>
      </c>
      <c r="CQ77" s="1483">
        <f>IFERROR(__xludf.DUMMYFUNCTION("""COMPUTED_VALUE"""),8100000.0)</f>
        <v>8100000</v>
      </c>
      <c r="CR77" s="1518"/>
      <c r="CS77" s="1519"/>
      <c r="CT77" s="1520"/>
      <c r="CU77" s="1519"/>
      <c r="CV77" s="1520"/>
      <c r="CW77" s="1519"/>
      <c r="CX77" s="1520"/>
      <c r="CY77" s="1519"/>
      <c r="CZ77" s="1520"/>
      <c r="DA77" s="1520"/>
      <c r="DB77" s="1520"/>
      <c r="DC77" s="1520"/>
      <c r="DD77" s="1520"/>
      <c r="DE77" s="1519"/>
      <c r="DF77" s="1518"/>
      <c r="DG77" s="1519"/>
      <c r="DH77" s="1518"/>
      <c r="DI77" s="1519"/>
      <c r="DJ77" s="1518"/>
      <c r="DK77" s="1519"/>
      <c r="DL77" s="1518"/>
      <c r="DM77" s="1519"/>
      <c r="DN77" s="1518"/>
      <c r="DO77" s="1519"/>
      <c r="DP77" s="1518"/>
      <c r="DQ77" s="1519"/>
      <c r="DR77" s="1518"/>
      <c r="DS77" s="1519"/>
      <c r="DT77" s="1518"/>
      <c r="DU77" s="1519"/>
      <c r="DV77" s="1520"/>
      <c r="DW77" s="1519"/>
      <c r="DX77" s="1518"/>
      <c r="DY77" s="1519"/>
      <c r="DZ77" s="1518"/>
      <c r="EA77" s="1519"/>
      <c r="EB77" s="1518"/>
      <c r="EC77" s="1519"/>
      <c r="ED77" s="1518"/>
      <c r="EE77" s="1519"/>
      <c r="EF77" s="1518"/>
      <c r="EG77" s="1519"/>
      <c r="EH77" s="1518"/>
      <c r="EI77" s="1519"/>
      <c r="EJ77" s="1562"/>
      <c r="EK77" s="1560"/>
      <c r="EL77" s="1562"/>
      <c r="EM77" s="1560"/>
      <c r="EN77" s="1518"/>
      <c r="EO77" s="1519"/>
      <c r="EP77" s="1518"/>
      <c r="EQ77" s="1519"/>
      <c r="ER77" s="1518"/>
      <c r="ES77" s="1519"/>
      <c r="ET77" s="1518"/>
      <c r="EU77" s="1519"/>
      <c r="EV77" s="1518"/>
      <c r="EW77" s="1519"/>
      <c r="EX77" s="1518"/>
      <c r="EY77" s="1519"/>
      <c r="EZ77" s="1518"/>
      <c r="FA77" s="1519"/>
      <c r="FB77" s="1520"/>
      <c r="FC77" s="1519"/>
      <c r="FD77" s="1520"/>
      <c r="FE77" s="1519"/>
      <c r="FF77" s="1520"/>
      <c r="FG77" s="1519"/>
      <c r="FH77" s="1520"/>
      <c r="FI77" s="1520"/>
      <c r="FJ77" s="1520"/>
      <c r="FK77" s="1519"/>
      <c r="FL77" s="1518"/>
      <c r="FM77" s="1519"/>
      <c r="FN77" s="1532"/>
      <c r="FO77" s="1520"/>
      <c r="FP77" s="1532"/>
      <c r="FQ77" s="1520"/>
      <c r="FR77" s="1532"/>
      <c r="FS77" s="1520"/>
      <c r="FT77" s="1532"/>
      <c r="FU77" s="1519"/>
      <c r="FV77" s="1532"/>
      <c r="FW77" s="1519"/>
      <c r="FX77" s="1572"/>
      <c r="FY77" s="1560"/>
      <c r="FZ77" s="1572"/>
      <c r="GA77" s="1560"/>
      <c r="GB77" s="1572"/>
      <c r="GC77" s="1560"/>
      <c r="GD77" s="1527"/>
      <c r="GE77" s="1560"/>
      <c r="GF77" s="1518"/>
      <c r="GG77" s="1519"/>
      <c r="GH77" s="1518"/>
      <c r="GI77" s="1519"/>
      <c r="GJ77" s="1518"/>
      <c r="GK77" s="1519"/>
      <c r="GL77" s="1518"/>
      <c r="GM77" s="1519"/>
      <c r="GN77" s="1520"/>
      <c r="GO77" s="1519"/>
      <c r="GP77" s="1520"/>
      <c r="GQ77" s="1519"/>
      <c r="GR77" s="1518"/>
      <c r="GS77" s="1519"/>
      <c r="GT77" s="1518"/>
      <c r="GU77" s="1519"/>
      <c r="GV77" s="1520"/>
      <c r="GW77" s="1519"/>
      <c r="GX77" s="1561"/>
      <c r="GY77" s="1527"/>
      <c r="GZ77" s="1518"/>
      <c r="HA77" s="1519"/>
      <c r="HB77" s="1501">
        <f>IFERROR(__xludf.DUMMYFUNCTION("""COMPUTED_VALUE"""),2834.545833333333)</f>
        <v>2834.545833</v>
      </c>
      <c r="HC77" s="1502">
        <f>IFERROR(__xludf.DUMMYFUNCTION("""COMPUTED_VALUE"""),4.438E13)</f>
        <v>44380000000000</v>
      </c>
      <c r="HD77" s="1518"/>
      <c r="HE77" s="1519"/>
      <c r="HF77" s="1518"/>
      <c r="HG77" s="1519"/>
      <c r="HH77" s="1518"/>
      <c r="HI77" s="1519"/>
      <c r="HJ77" s="1518"/>
      <c r="HK77" s="1519"/>
      <c r="HL77" s="1518"/>
      <c r="HM77" s="1519"/>
      <c r="HN77" s="1520"/>
      <c r="HO77" s="1519"/>
      <c r="HP77" s="1518"/>
      <c r="HQ77" s="1519"/>
      <c r="HR77" s="1518"/>
      <c r="HS77" s="1519"/>
      <c r="HT77" s="1518"/>
      <c r="HU77" s="1519"/>
      <c r="HV77" s="1518"/>
      <c r="HW77" s="1519"/>
      <c r="HX77" s="1518"/>
      <c r="HY77" s="1519"/>
      <c r="HZ77" s="1518"/>
      <c r="IA77" s="1519"/>
      <c r="IB77" s="1518"/>
      <c r="IC77" s="1519"/>
      <c r="ID77" s="1518"/>
      <c r="IE77" s="1519"/>
      <c r="IF77" s="1518"/>
      <c r="IG77" s="1519"/>
      <c r="IH77" s="1518"/>
      <c r="II77" s="1519"/>
      <c r="IJ77" s="1518"/>
      <c r="IK77" s="1519"/>
      <c r="IL77" s="1518"/>
      <c r="IM77" s="1519"/>
      <c r="IN77" s="1518"/>
      <c r="IO77" s="1519"/>
      <c r="IP77" s="1518"/>
      <c r="IQ77" s="1519"/>
      <c r="IR77" s="1518"/>
      <c r="IS77" s="1519"/>
      <c r="IT77" s="1518"/>
      <c r="IU77" s="1519"/>
      <c r="IV77" s="1518"/>
      <c r="IW77" s="1519"/>
      <c r="IX77" s="1518"/>
      <c r="IY77" s="1519"/>
      <c r="IZ77" s="1518"/>
      <c r="JA77" s="1519"/>
      <c r="JB77" s="1518"/>
      <c r="JC77" s="1519"/>
      <c r="JD77" s="1518"/>
      <c r="JE77" s="1519"/>
      <c r="JF77" s="1518"/>
      <c r="JG77" s="1519"/>
      <c r="JH77" s="1518"/>
      <c r="JI77" s="1519"/>
      <c r="JJ77" s="1562"/>
      <c r="JK77" s="1560"/>
      <c r="JL77" s="1562"/>
      <c r="JM77" s="1560"/>
      <c r="JN77" s="1562"/>
      <c r="JO77" s="1560"/>
      <c r="JP77" s="1562"/>
      <c r="JQ77" s="1560"/>
      <c r="JR77" s="1562"/>
      <c r="JS77" s="1560"/>
      <c r="JT77" s="1562"/>
      <c r="JU77" s="1560"/>
      <c r="JV77" s="1562"/>
      <c r="JW77" s="1560"/>
      <c r="JX77" s="1562"/>
      <c r="JY77" s="1527"/>
      <c r="JZ77" s="1566">
        <f>IFERROR(__xludf.DUMMYFUNCTION("""COMPUTED_VALUE"""),6.84318287)</f>
        <v>6.84318287</v>
      </c>
      <c r="KA77" s="1514">
        <f>IFERROR(__xludf.DUMMYFUNCTION("""COMPUTED_VALUE"""),2.2282E11)</f>
        <v>222820000000</v>
      </c>
      <c r="KB77" s="1562"/>
      <c r="KC77" s="1527"/>
      <c r="KD77" s="1562"/>
      <c r="KE77" s="1527"/>
      <c r="KF77" s="1527"/>
      <c r="KG77" s="1527"/>
      <c r="KH77" s="1527"/>
      <c r="KI77" s="1527"/>
      <c r="KJ77" s="1527"/>
      <c r="KK77" s="1527"/>
      <c r="KL77" s="1527"/>
      <c r="KM77" s="1527"/>
      <c r="KN77" s="1527"/>
      <c r="KO77" s="1527"/>
      <c r="KP77" s="1527"/>
      <c r="KQ77" s="1527"/>
      <c r="KR77" s="1527"/>
      <c r="KS77" s="1527"/>
      <c r="KT77" s="1527"/>
      <c r="KU77" s="1527"/>
      <c r="KV77" s="1527"/>
      <c r="KW77" s="1527"/>
      <c r="KX77" s="1527"/>
      <c r="KY77" s="1527"/>
      <c r="KZ77" s="1527"/>
      <c r="LA77" s="1527"/>
      <c r="LB77" s="1527"/>
      <c r="LC77" s="1527"/>
      <c r="LD77" s="1527"/>
      <c r="LE77" s="1527"/>
      <c r="LF77" s="1527"/>
      <c r="LG77" s="1527"/>
      <c r="LH77" s="1527"/>
      <c r="LI77" s="1527"/>
      <c r="LJ77" s="1527"/>
      <c r="LK77" s="1527"/>
      <c r="LL77" s="1527"/>
      <c r="LM77" s="1527"/>
      <c r="LN77" s="1527"/>
      <c r="LO77" s="1527"/>
      <c r="LP77" s="1527"/>
      <c r="LQ77" s="1527"/>
      <c r="LR77" s="1527"/>
      <c r="LS77" s="1527"/>
      <c r="LT77" s="1527"/>
      <c r="LU77" s="1527"/>
      <c r="LV77" s="1527"/>
      <c r="LW77" s="1527"/>
      <c r="LX77" s="1527"/>
      <c r="LY77" s="1527"/>
      <c r="LZ77" s="1527"/>
      <c r="MA77" s="1527"/>
      <c r="MB77" s="1527"/>
      <c r="MC77" s="1527"/>
      <c r="MD77" s="1527"/>
      <c r="ME77" s="1527"/>
      <c r="MF77" s="1527"/>
      <c r="MG77" s="1527"/>
      <c r="MH77" s="1527"/>
      <c r="MI77" s="1527"/>
      <c r="MJ77" s="1527"/>
      <c r="MK77" s="1527"/>
      <c r="ML77" s="1527"/>
      <c r="MM77" s="1527"/>
      <c r="MN77" s="1527"/>
      <c r="MO77" s="1527"/>
      <c r="MP77" s="1527"/>
      <c r="MQ77" s="1527"/>
      <c r="MR77" s="1527"/>
      <c r="MS77" s="1527"/>
      <c r="MT77" s="1527"/>
      <c r="MU77" s="1527"/>
      <c r="MV77" s="1527"/>
      <c r="MW77" s="1527"/>
      <c r="MX77" s="1527"/>
      <c r="MY77" s="1527"/>
    </row>
    <row r="78">
      <c r="A78" s="1465">
        <f>IFERROR(__xludf.DUMMYFUNCTION("""COMPUTED_VALUE"""),76.0)</f>
        <v>76</v>
      </c>
      <c r="B78" s="1518"/>
      <c r="C78" s="1520"/>
      <c r="D78" s="1466">
        <f>IFERROR(__xludf.DUMMYFUNCTION("""COMPUTED_VALUE"""),25.88888888888889)</f>
        <v>25.88888889</v>
      </c>
      <c r="E78" s="1467">
        <f>IFERROR(__xludf.DUMMYFUNCTION("""COMPUTED_VALUE"""),2010000.0)</f>
        <v>2010000</v>
      </c>
      <c r="F78" s="1466">
        <f>IFERROR(__xludf.DUMMYFUNCTION("""COMPUTED_VALUE"""),25.88888888888889)</f>
        <v>25.88888889</v>
      </c>
      <c r="G78" s="1467">
        <f>IFERROR(__xludf.DUMMYFUNCTION("""COMPUTED_VALUE"""),2010000.0)</f>
        <v>2010000</v>
      </c>
      <c r="H78" s="1466">
        <f>IFERROR(__xludf.DUMMYFUNCTION("""COMPUTED_VALUE"""),25.88888888888889)</f>
        <v>25.88888889</v>
      </c>
      <c r="I78" s="1467">
        <f>IFERROR(__xludf.DUMMYFUNCTION("""COMPUTED_VALUE"""),2010000.0)</f>
        <v>2010000</v>
      </c>
      <c r="J78" s="1466">
        <f>IFERROR(__xludf.DUMMYFUNCTION("""COMPUTED_VALUE"""),25.88888888888889)</f>
        <v>25.88888889</v>
      </c>
      <c r="K78" s="1467">
        <f>IFERROR(__xludf.DUMMYFUNCTION("""COMPUTED_VALUE"""),2010000.0)</f>
        <v>2010000</v>
      </c>
      <c r="L78" s="1466">
        <f>IFERROR(__xludf.DUMMYFUNCTION("""COMPUTED_VALUE"""),49.41041666666667)</f>
        <v>49.41041667</v>
      </c>
      <c r="M78" s="1469">
        <f>IFERROR(__xludf.DUMMYFUNCTION("""COMPUTED_VALUE"""),6550000.0)</f>
        <v>6550000</v>
      </c>
      <c r="N78" s="1470">
        <f>IFERROR(__xludf.DUMMYFUNCTION("""COMPUTED_VALUE"""),19.76388888888889)</f>
        <v>19.76388889</v>
      </c>
      <c r="O78" s="1467">
        <f>IFERROR(__xludf.DUMMYFUNCTION("""COMPUTED_VALUE"""),8450000.0)</f>
        <v>8450000</v>
      </c>
      <c r="P78" s="1518"/>
      <c r="Q78" s="1519"/>
      <c r="R78" s="1518"/>
      <c r="S78" s="1519"/>
      <c r="T78" s="1518"/>
      <c r="U78" s="1519"/>
      <c r="V78" s="1518"/>
      <c r="W78" s="1519"/>
      <c r="X78" s="1518"/>
      <c r="Y78" s="1519"/>
      <c r="Z78" s="1518"/>
      <c r="AA78" s="1519"/>
      <c r="AB78" s="1518"/>
      <c r="AC78" s="1519"/>
      <c r="AD78" s="1466">
        <f>IFERROR(__xludf.DUMMYFUNCTION("""COMPUTED_VALUE"""),82.07569444444445)</f>
        <v>82.07569444</v>
      </c>
      <c r="AE78" s="1474">
        <f>IFERROR(__xludf.DUMMYFUNCTION("""COMPUTED_VALUE"""),3.513592756E17)</f>
        <v>3.51359E+17</v>
      </c>
      <c r="AF78" s="1466">
        <f>IFERROR(__xludf.DUMMYFUNCTION("""COMPUTED_VALUE"""),82.07569444444445)</f>
        <v>82.07569444</v>
      </c>
      <c r="AG78" s="1474">
        <f>IFERROR(__xludf.DUMMYFUNCTION("""COMPUTED_VALUE"""),3.513592756E17)</f>
        <v>3.51359E+17</v>
      </c>
      <c r="AH78" s="1466">
        <f>IFERROR(__xludf.DUMMYFUNCTION("""COMPUTED_VALUE"""),82.07569444444445)</f>
        <v>82.07569444</v>
      </c>
      <c r="AI78" s="1474">
        <f>IFERROR(__xludf.DUMMYFUNCTION("""COMPUTED_VALUE"""),3.513592756E17)</f>
        <v>3.51359E+17</v>
      </c>
      <c r="AJ78" s="1475">
        <f>IFERROR(__xludf.DUMMYFUNCTION("""COMPUTED_VALUE"""),25.88888888888889)</f>
        <v>25.88888889</v>
      </c>
      <c r="AK78" s="1476">
        <f>IFERROR(__xludf.DUMMYFUNCTION("""COMPUTED_VALUE"""),2010000.0)</f>
        <v>2010000</v>
      </c>
      <c r="AL78" s="1475">
        <f>IFERROR(__xludf.DUMMYFUNCTION("""COMPUTED_VALUE"""),25.88888888888889)</f>
        <v>25.88888889</v>
      </c>
      <c r="AM78" s="1476">
        <f>IFERROR(__xludf.DUMMYFUNCTION("""COMPUTED_VALUE"""),2010000.0)</f>
        <v>2010000</v>
      </c>
      <c r="AN78" s="1475">
        <f>IFERROR(__xludf.DUMMYFUNCTION("""COMPUTED_VALUE"""),25.88888888888889)</f>
        <v>25.88888889</v>
      </c>
      <c r="AO78" s="1476">
        <f>IFERROR(__xludf.DUMMYFUNCTION("""COMPUTED_VALUE"""),2010000.0)</f>
        <v>2010000</v>
      </c>
      <c r="AP78" s="1475">
        <f>IFERROR(__xludf.DUMMYFUNCTION("""COMPUTED_VALUE"""),25.88888888888889)</f>
        <v>25.88888889</v>
      </c>
      <c r="AQ78" s="1476">
        <f>IFERROR(__xludf.DUMMYFUNCTION("""COMPUTED_VALUE"""),2010000.0)</f>
        <v>2010000</v>
      </c>
      <c r="AR78" s="1475">
        <f>IFERROR(__xludf.DUMMYFUNCTION("""COMPUTED_VALUE"""),25.889583333333334)</f>
        <v>25.88958333</v>
      </c>
      <c r="AS78" s="1476">
        <f>IFERROR(__xludf.DUMMYFUNCTION("""COMPUTED_VALUE"""),2010000.0)</f>
        <v>2010000</v>
      </c>
      <c r="AT78" s="1520"/>
      <c r="AU78" s="1519"/>
      <c r="AV78" s="1520"/>
      <c r="AW78" s="1519"/>
      <c r="AX78" s="1518"/>
      <c r="AY78" s="1568"/>
      <c r="AZ78" s="1518"/>
      <c r="BA78" s="1518"/>
      <c r="BB78" s="1477">
        <f>IFERROR(__xludf.DUMMYFUNCTION("""COMPUTED_VALUE"""),25.88888888888889)</f>
        <v>25.88888889</v>
      </c>
      <c r="BC78" s="1478">
        <f>IFERROR(__xludf.DUMMYFUNCTION("""COMPUTED_VALUE"""),2010000.0)</f>
        <v>2010000</v>
      </c>
      <c r="BD78" s="1477">
        <f>IFERROR(__xludf.DUMMYFUNCTION("""COMPUTED_VALUE"""),25.88888888888889)</f>
        <v>25.88888889</v>
      </c>
      <c r="BE78" s="1478">
        <f>IFERROR(__xludf.DUMMYFUNCTION("""COMPUTED_VALUE"""),2010000.0)</f>
        <v>2010000</v>
      </c>
      <c r="BF78" s="1477">
        <f>IFERROR(__xludf.DUMMYFUNCTION("""COMPUTED_VALUE"""),25.88888888888889)</f>
        <v>25.88888889</v>
      </c>
      <c r="BG78" s="1478">
        <f>IFERROR(__xludf.DUMMYFUNCTION("""COMPUTED_VALUE"""),2010000.0)</f>
        <v>2010000</v>
      </c>
      <c r="BH78" s="1518"/>
      <c r="BI78" s="1519"/>
      <c r="BJ78" s="1518"/>
      <c r="BK78" s="1519"/>
      <c r="BL78" s="1518"/>
      <c r="BM78" s="1519"/>
      <c r="BN78" s="1518"/>
      <c r="BO78" s="1519"/>
      <c r="BP78" s="1518"/>
      <c r="BQ78" s="1519"/>
      <c r="BR78" s="1520"/>
      <c r="BS78" s="1519"/>
      <c r="BT78" s="1520"/>
      <c r="BU78" s="1520"/>
      <c r="BV78" s="1520"/>
      <c r="BW78" s="1520"/>
      <c r="BX78" s="1520"/>
      <c r="BY78" s="1520"/>
      <c r="BZ78" s="1520"/>
      <c r="CA78" s="1520"/>
      <c r="CB78" s="1520"/>
      <c r="CC78" s="1519"/>
      <c r="CD78" s="1520"/>
      <c r="CE78" s="1520"/>
      <c r="CF78" s="1527"/>
      <c r="CG78" s="1560"/>
      <c r="CH78" s="1482">
        <f>IFERROR(__xludf.DUMMYFUNCTION("""COMPUTED_VALUE"""),25.889583333333334)</f>
        <v>25.88958333</v>
      </c>
      <c r="CI78" s="1483">
        <f>IFERROR(__xludf.DUMMYFUNCTION("""COMPUTED_VALUE"""),2010000.0)</f>
        <v>2010000</v>
      </c>
      <c r="CJ78" s="1482">
        <f>IFERROR(__xludf.DUMMYFUNCTION("""COMPUTED_VALUE"""),25.889583333333334)</f>
        <v>25.88958333</v>
      </c>
      <c r="CK78" s="1483">
        <f>IFERROR(__xludf.DUMMYFUNCTION("""COMPUTED_VALUE"""),2010000.0)</f>
        <v>2010000</v>
      </c>
      <c r="CL78" s="1482">
        <f>IFERROR(__xludf.DUMMYFUNCTION("""COMPUTED_VALUE"""),25.889583333333334)</f>
        <v>25.88958333</v>
      </c>
      <c r="CM78" s="1483">
        <f>IFERROR(__xludf.DUMMYFUNCTION("""COMPUTED_VALUE"""),2010000.0)</f>
        <v>2010000</v>
      </c>
      <c r="CN78" s="1482">
        <f>IFERROR(__xludf.DUMMYFUNCTION("""COMPUTED_VALUE"""),25.889583333333334)</f>
        <v>25.88958333</v>
      </c>
      <c r="CO78" s="1483">
        <f>IFERROR(__xludf.DUMMYFUNCTION("""COMPUTED_VALUE"""),2010000.0)</f>
        <v>2010000</v>
      </c>
      <c r="CP78" s="1482">
        <f>IFERROR(__xludf.DUMMYFUNCTION("""COMPUTED_VALUE"""),61.21180555555556)</f>
        <v>61.21180556</v>
      </c>
      <c r="CQ78" s="1483">
        <f>IFERROR(__xludf.DUMMYFUNCTION("""COMPUTED_VALUE"""),8450000.0)</f>
        <v>8450000</v>
      </c>
      <c r="CR78" s="1518"/>
      <c r="CS78" s="1519"/>
      <c r="CT78" s="1520"/>
      <c r="CU78" s="1519"/>
      <c r="CV78" s="1520"/>
      <c r="CW78" s="1519"/>
      <c r="CX78" s="1520"/>
      <c r="CY78" s="1519"/>
      <c r="CZ78" s="1520"/>
      <c r="DA78" s="1520"/>
      <c r="DB78" s="1520"/>
      <c r="DC78" s="1520"/>
      <c r="DD78" s="1520"/>
      <c r="DE78" s="1519"/>
      <c r="DF78" s="1518"/>
      <c r="DG78" s="1519"/>
      <c r="DH78" s="1518"/>
      <c r="DI78" s="1519"/>
      <c r="DJ78" s="1518"/>
      <c r="DK78" s="1519"/>
      <c r="DL78" s="1518"/>
      <c r="DM78" s="1519"/>
      <c r="DN78" s="1518"/>
      <c r="DO78" s="1519"/>
      <c r="DP78" s="1518"/>
      <c r="DQ78" s="1519"/>
      <c r="DR78" s="1518"/>
      <c r="DS78" s="1519"/>
      <c r="DT78" s="1518"/>
      <c r="DU78" s="1519"/>
      <c r="DV78" s="1520"/>
      <c r="DW78" s="1519"/>
      <c r="DX78" s="1518"/>
      <c r="DY78" s="1519"/>
      <c r="DZ78" s="1518"/>
      <c r="EA78" s="1519"/>
      <c r="EB78" s="1518"/>
      <c r="EC78" s="1519"/>
      <c r="ED78" s="1518"/>
      <c r="EE78" s="1519"/>
      <c r="EF78" s="1518"/>
      <c r="EG78" s="1519"/>
      <c r="EH78" s="1518"/>
      <c r="EI78" s="1519"/>
      <c r="EJ78" s="1562"/>
      <c r="EK78" s="1560"/>
      <c r="EL78" s="1562"/>
      <c r="EM78" s="1560"/>
      <c r="EN78" s="1518"/>
      <c r="EO78" s="1519"/>
      <c r="EP78" s="1518"/>
      <c r="EQ78" s="1519"/>
      <c r="ER78" s="1518"/>
      <c r="ES78" s="1519"/>
      <c r="ET78" s="1518"/>
      <c r="EU78" s="1519"/>
      <c r="EV78" s="1518"/>
      <c r="EW78" s="1519"/>
      <c r="EX78" s="1518"/>
      <c r="EY78" s="1519"/>
      <c r="EZ78" s="1518"/>
      <c r="FA78" s="1519"/>
      <c r="FB78" s="1520"/>
      <c r="FC78" s="1519"/>
      <c r="FD78" s="1520"/>
      <c r="FE78" s="1519"/>
      <c r="FF78" s="1520"/>
      <c r="FG78" s="1519"/>
      <c r="FH78" s="1520"/>
      <c r="FI78" s="1520"/>
      <c r="FJ78" s="1520"/>
      <c r="FK78" s="1519"/>
      <c r="FL78" s="1518"/>
      <c r="FM78" s="1519"/>
      <c r="FN78" s="1532"/>
      <c r="FO78" s="1520"/>
      <c r="FP78" s="1532"/>
      <c r="FQ78" s="1520"/>
      <c r="FR78" s="1532"/>
      <c r="FS78" s="1520"/>
      <c r="FT78" s="1532"/>
      <c r="FU78" s="1519"/>
      <c r="FV78" s="1532"/>
      <c r="FW78" s="1519"/>
      <c r="FX78" s="1572"/>
      <c r="FY78" s="1560"/>
      <c r="FZ78" s="1572"/>
      <c r="GA78" s="1560"/>
      <c r="GB78" s="1572"/>
      <c r="GC78" s="1560"/>
      <c r="GD78" s="1527"/>
      <c r="GE78" s="1560"/>
      <c r="GF78" s="1518"/>
      <c r="GG78" s="1519"/>
      <c r="GH78" s="1518"/>
      <c r="GI78" s="1519"/>
      <c r="GJ78" s="1518"/>
      <c r="GK78" s="1519"/>
      <c r="GL78" s="1518"/>
      <c r="GM78" s="1519"/>
      <c r="GN78" s="1520"/>
      <c r="GO78" s="1519"/>
      <c r="GP78" s="1520"/>
      <c r="GQ78" s="1519"/>
      <c r="GR78" s="1518"/>
      <c r="GS78" s="1519"/>
      <c r="GT78" s="1518"/>
      <c r="GU78" s="1519"/>
      <c r="GV78" s="1520"/>
      <c r="GW78" s="1519"/>
      <c r="GX78" s="1561"/>
      <c r="GY78" s="1527"/>
      <c r="GZ78" s="1518"/>
      <c r="HA78" s="1519"/>
      <c r="HB78" s="1501">
        <f>IFERROR(__xludf.DUMMYFUNCTION("""COMPUTED_VALUE"""),2970.5)</f>
        <v>2970.5</v>
      </c>
      <c r="HC78" s="1502">
        <f>IFERROR(__xludf.DUMMYFUNCTION("""COMPUTED_VALUE"""),4.746E13)</f>
        <v>47460000000000</v>
      </c>
      <c r="HD78" s="1518"/>
      <c r="HE78" s="1519"/>
      <c r="HF78" s="1518"/>
      <c r="HG78" s="1519"/>
      <c r="HH78" s="1518"/>
      <c r="HI78" s="1519"/>
      <c r="HJ78" s="1518"/>
      <c r="HK78" s="1519"/>
      <c r="HL78" s="1518"/>
      <c r="HM78" s="1519"/>
      <c r="HN78" s="1520"/>
      <c r="HO78" s="1519"/>
      <c r="HP78" s="1518"/>
      <c r="HQ78" s="1519"/>
      <c r="HR78" s="1518"/>
      <c r="HS78" s="1519"/>
      <c r="HT78" s="1518"/>
      <c r="HU78" s="1519"/>
      <c r="HV78" s="1518"/>
      <c r="HW78" s="1519"/>
      <c r="HX78" s="1518"/>
      <c r="HY78" s="1519"/>
      <c r="HZ78" s="1518"/>
      <c r="IA78" s="1519"/>
      <c r="IB78" s="1518"/>
      <c r="IC78" s="1519"/>
      <c r="ID78" s="1518"/>
      <c r="IE78" s="1519"/>
      <c r="IF78" s="1518"/>
      <c r="IG78" s="1519"/>
      <c r="IH78" s="1518"/>
      <c r="II78" s="1519"/>
      <c r="IJ78" s="1518"/>
      <c r="IK78" s="1519"/>
      <c r="IL78" s="1518"/>
      <c r="IM78" s="1519"/>
      <c r="IN78" s="1518"/>
      <c r="IO78" s="1519"/>
      <c r="IP78" s="1518"/>
      <c r="IQ78" s="1519"/>
      <c r="IR78" s="1518"/>
      <c r="IS78" s="1519"/>
      <c r="IT78" s="1518"/>
      <c r="IU78" s="1519"/>
      <c r="IV78" s="1518"/>
      <c r="IW78" s="1519"/>
      <c r="IX78" s="1518"/>
      <c r="IY78" s="1519"/>
      <c r="IZ78" s="1518"/>
      <c r="JA78" s="1519"/>
      <c r="JB78" s="1518"/>
      <c r="JC78" s="1519"/>
      <c r="JD78" s="1518"/>
      <c r="JE78" s="1519"/>
      <c r="JF78" s="1518"/>
      <c r="JG78" s="1519"/>
      <c r="JH78" s="1518"/>
      <c r="JI78" s="1519"/>
      <c r="JJ78" s="1562"/>
      <c r="JK78" s="1560"/>
      <c r="JL78" s="1562"/>
      <c r="JM78" s="1560"/>
      <c r="JN78" s="1562"/>
      <c r="JO78" s="1560"/>
      <c r="JP78" s="1562"/>
      <c r="JQ78" s="1560"/>
      <c r="JR78" s="1562"/>
      <c r="JS78" s="1560"/>
      <c r="JT78" s="1562"/>
      <c r="JU78" s="1560"/>
      <c r="JV78" s="1562"/>
      <c r="JW78" s="1560"/>
      <c r="JX78" s="1562"/>
      <c r="JY78" s="1527"/>
      <c r="JZ78" s="1566">
        <f>IFERROR(__xludf.DUMMYFUNCTION("""COMPUTED_VALUE"""),6.952430556)</f>
        <v>6.952430556</v>
      </c>
      <c r="KA78" s="1514">
        <f>IFERROR(__xludf.DUMMYFUNCTION("""COMPUTED_VALUE"""),2.3105E11)</f>
        <v>231050000000</v>
      </c>
      <c r="KB78" s="1562"/>
      <c r="KC78" s="1527"/>
      <c r="KD78" s="1562"/>
      <c r="KE78" s="1527"/>
      <c r="KF78" s="1527"/>
      <c r="KG78" s="1527"/>
      <c r="KH78" s="1527"/>
      <c r="KI78" s="1527"/>
      <c r="KJ78" s="1527"/>
      <c r="KK78" s="1527"/>
      <c r="KL78" s="1527"/>
      <c r="KM78" s="1527"/>
      <c r="KN78" s="1527"/>
      <c r="KO78" s="1527"/>
      <c r="KP78" s="1527"/>
      <c r="KQ78" s="1527"/>
      <c r="KR78" s="1527"/>
      <c r="KS78" s="1527"/>
      <c r="KT78" s="1527"/>
      <c r="KU78" s="1527"/>
      <c r="KV78" s="1527"/>
      <c r="KW78" s="1527"/>
      <c r="KX78" s="1527"/>
      <c r="KY78" s="1527"/>
      <c r="KZ78" s="1527"/>
      <c r="LA78" s="1527"/>
      <c r="LB78" s="1527"/>
      <c r="LC78" s="1527"/>
      <c r="LD78" s="1527"/>
      <c r="LE78" s="1527"/>
      <c r="LF78" s="1527"/>
      <c r="LG78" s="1527"/>
      <c r="LH78" s="1527"/>
      <c r="LI78" s="1527"/>
      <c r="LJ78" s="1527"/>
      <c r="LK78" s="1527"/>
      <c r="LL78" s="1527"/>
      <c r="LM78" s="1527"/>
      <c r="LN78" s="1527"/>
      <c r="LO78" s="1527"/>
      <c r="LP78" s="1527"/>
      <c r="LQ78" s="1527"/>
      <c r="LR78" s="1527"/>
      <c r="LS78" s="1527"/>
      <c r="LT78" s="1527"/>
      <c r="LU78" s="1527"/>
      <c r="LV78" s="1527"/>
      <c r="LW78" s="1527"/>
      <c r="LX78" s="1527"/>
      <c r="LY78" s="1527"/>
      <c r="LZ78" s="1527"/>
      <c r="MA78" s="1527"/>
      <c r="MB78" s="1527"/>
      <c r="MC78" s="1527"/>
      <c r="MD78" s="1527"/>
      <c r="ME78" s="1527"/>
      <c r="MF78" s="1527"/>
      <c r="MG78" s="1527"/>
      <c r="MH78" s="1527"/>
      <c r="MI78" s="1527"/>
      <c r="MJ78" s="1527"/>
      <c r="MK78" s="1527"/>
      <c r="ML78" s="1527"/>
      <c r="MM78" s="1527"/>
      <c r="MN78" s="1527"/>
      <c r="MO78" s="1527"/>
      <c r="MP78" s="1527"/>
      <c r="MQ78" s="1527"/>
      <c r="MR78" s="1527"/>
      <c r="MS78" s="1527"/>
      <c r="MT78" s="1527"/>
      <c r="MU78" s="1527"/>
      <c r="MV78" s="1527"/>
      <c r="MW78" s="1527"/>
      <c r="MX78" s="1527"/>
      <c r="MY78" s="1527"/>
    </row>
    <row r="79">
      <c r="A79" s="1465">
        <f>IFERROR(__xludf.DUMMYFUNCTION("""COMPUTED_VALUE"""),77.0)</f>
        <v>77</v>
      </c>
      <c r="B79" s="1518"/>
      <c r="C79" s="1520"/>
      <c r="D79" s="1466">
        <f>IFERROR(__xludf.DUMMYFUNCTION("""COMPUTED_VALUE"""),26.720833333333335)</f>
        <v>26.72083333</v>
      </c>
      <c r="E79" s="1467">
        <f>IFERROR(__xludf.DUMMYFUNCTION("""COMPUTED_VALUE"""),2080000.0)</f>
        <v>2080000</v>
      </c>
      <c r="F79" s="1466">
        <f>IFERROR(__xludf.DUMMYFUNCTION("""COMPUTED_VALUE"""),26.720833333333335)</f>
        <v>26.72083333</v>
      </c>
      <c r="G79" s="1467">
        <f>IFERROR(__xludf.DUMMYFUNCTION("""COMPUTED_VALUE"""),2080000.0)</f>
        <v>2080000</v>
      </c>
      <c r="H79" s="1466">
        <f>IFERROR(__xludf.DUMMYFUNCTION("""COMPUTED_VALUE"""),26.720833333333335)</f>
        <v>26.72083333</v>
      </c>
      <c r="I79" s="1467">
        <f>IFERROR(__xludf.DUMMYFUNCTION("""COMPUTED_VALUE"""),2080000.0)</f>
        <v>2080000</v>
      </c>
      <c r="J79" s="1466">
        <f>IFERROR(__xludf.DUMMYFUNCTION("""COMPUTED_VALUE"""),26.720833333333335)</f>
        <v>26.72083333</v>
      </c>
      <c r="K79" s="1467">
        <f>IFERROR(__xludf.DUMMYFUNCTION("""COMPUTED_VALUE"""),2080000.0)</f>
        <v>2080000</v>
      </c>
      <c r="L79" s="1466">
        <f>IFERROR(__xludf.DUMMYFUNCTION("""COMPUTED_VALUE"""),51.09930555555555)</f>
        <v>51.09930556</v>
      </c>
      <c r="M79" s="1469">
        <f>IFERROR(__xludf.DUMMYFUNCTION("""COMPUTED_VALUE"""),6800000.0)</f>
        <v>6800000</v>
      </c>
      <c r="N79" s="1470">
        <f>IFERROR(__xludf.DUMMYFUNCTION("""COMPUTED_VALUE"""),20.277083333333334)</f>
        <v>20.27708333</v>
      </c>
      <c r="O79" s="1467">
        <f>IFERROR(__xludf.DUMMYFUNCTION("""COMPUTED_VALUE"""),8800000.0)</f>
        <v>8800000</v>
      </c>
      <c r="P79" s="1518"/>
      <c r="Q79" s="1519"/>
      <c r="R79" s="1518"/>
      <c r="S79" s="1519"/>
      <c r="T79" s="1518"/>
      <c r="U79" s="1519"/>
      <c r="V79" s="1518"/>
      <c r="W79" s="1519"/>
      <c r="X79" s="1518"/>
      <c r="Y79" s="1519"/>
      <c r="Z79" s="1518"/>
      <c r="AA79" s="1519"/>
      <c r="AB79" s="1518"/>
      <c r="AC79" s="1519"/>
      <c r="AD79" s="1466">
        <f>IFERROR(__xludf.DUMMYFUNCTION("""COMPUTED_VALUE"""),83.15625)</f>
        <v>83.15625</v>
      </c>
      <c r="AE79" s="1474">
        <f>IFERROR(__xludf.DUMMYFUNCTION("""COMPUTED_VALUE"""),4.567670582E17)</f>
        <v>4.56767E+17</v>
      </c>
      <c r="AF79" s="1466">
        <f>IFERROR(__xludf.DUMMYFUNCTION("""COMPUTED_VALUE"""),83.15625)</f>
        <v>83.15625</v>
      </c>
      <c r="AG79" s="1474">
        <f>IFERROR(__xludf.DUMMYFUNCTION("""COMPUTED_VALUE"""),4.567670582E17)</f>
        <v>4.56767E+17</v>
      </c>
      <c r="AH79" s="1466">
        <f>IFERROR(__xludf.DUMMYFUNCTION("""COMPUTED_VALUE"""),83.15625)</f>
        <v>83.15625</v>
      </c>
      <c r="AI79" s="1474">
        <f>IFERROR(__xludf.DUMMYFUNCTION("""COMPUTED_VALUE"""),4.567670582E17)</f>
        <v>4.56767E+17</v>
      </c>
      <c r="AJ79" s="1475">
        <f>IFERROR(__xludf.DUMMYFUNCTION("""COMPUTED_VALUE"""),26.720833333333335)</f>
        <v>26.72083333</v>
      </c>
      <c r="AK79" s="1476">
        <f>IFERROR(__xludf.DUMMYFUNCTION("""COMPUTED_VALUE"""),2080000.0)</f>
        <v>2080000</v>
      </c>
      <c r="AL79" s="1475">
        <f>IFERROR(__xludf.DUMMYFUNCTION("""COMPUTED_VALUE"""),26.720833333333335)</f>
        <v>26.72083333</v>
      </c>
      <c r="AM79" s="1476">
        <f>IFERROR(__xludf.DUMMYFUNCTION("""COMPUTED_VALUE"""),2080000.0)</f>
        <v>2080000</v>
      </c>
      <c r="AN79" s="1475">
        <f>IFERROR(__xludf.DUMMYFUNCTION("""COMPUTED_VALUE"""),26.720833333333335)</f>
        <v>26.72083333</v>
      </c>
      <c r="AO79" s="1476">
        <f>IFERROR(__xludf.DUMMYFUNCTION("""COMPUTED_VALUE"""),2080000.0)</f>
        <v>2080000</v>
      </c>
      <c r="AP79" s="1475">
        <f>IFERROR(__xludf.DUMMYFUNCTION("""COMPUTED_VALUE"""),26.720833333333335)</f>
        <v>26.72083333</v>
      </c>
      <c r="AQ79" s="1476">
        <f>IFERROR(__xludf.DUMMYFUNCTION("""COMPUTED_VALUE"""),2080000.0)</f>
        <v>2080000</v>
      </c>
      <c r="AR79" s="1475">
        <f>IFERROR(__xludf.DUMMYFUNCTION("""COMPUTED_VALUE"""),26.720833333333335)</f>
        <v>26.72083333</v>
      </c>
      <c r="AS79" s="1476">
        <f>IFERROR(__xludf.DUMMYFUNCTION("""COMPUTED_VALUE"""),2080000.0)</f>
        <v>2080000</v>
      </c>
      <c r="AT79" s="1520"/>
      <c r="AU79" s="1519"/>
      <c r="AV79" s="1520"/>
      <c r="AW79" s="1519"/>
      <c r="AX79" s="1518"/>
      <c r="AY79" s="1568"/>
      <c r="AZ79" s="1518"/>
      <c r="BA79" s="1518"/>
      <c r="BB79" s="1477">
        <f>IFERROR(__xludf.DUMMYFUNCTION("""COMPUTED_VALUE"""),26.720833333333335)</f>
        <v>26.72083333</v>
      </c>
      <c r="BC79" s="1478">
        <f>IFERROR(__xludf.DUMMYFUNCTION("""COMPUTED_VALUE"""),2080000.0)</f>
        <v>2080000</v>
      </c>
      <c r="BD79" s="1477">
        <f>IFERROR(__xludf.DUMMYFUNCTION("""COMPUTED_VALUE"""),26.720833333333335)</f>
        <v>26.72083333</v>
      </c>
      <c r="BE79" s="1478">
        <f>IFERROR(__xludf.DUMMYFUNCTION("""COMPUTED_VALUE"""),2080000.0)</f>
        <v>2080000</v>
      </c>
      <c r="BF79" s="1477">
        <f>IFERROR(__xludf.DUMMYFUNCTION("""COMPUTED_VALUE"""),26.720833333333335)</f>
        <v>26.72083333</v>
      </c>
      <c r="BG79" s="1478">
        <f>IFERROR(__xludf.DUMMYFUNCTION("""COMPUTED_VALUE"""),2080000.0)</f>
        <v>2080000</v>
      </c>
      <c r="BH79" s="1518"/>
      <c r="BI79" s="1519"/>
      <c r="BJ79" s="1518"/>
      <c r="BK79" s="1519"/>
      <c r="BL79" s="1518"/>
      <c r="BM79" s="1519"/>
      <c r="BN79" s="1518"/>
      <c r="BO79" s="1519"/>
      <c r="BP79" s="1518"/>
      <c r="BQ79" s="1519"/>
      <c r="BR79" s="1520"/>
      <c r="BS79" s="1519"/>
      <c r="BT79" s="1520"/>
      <c r="BU79" s="1520"/>
      <c r="BV79" s="1520"/>
      <c r="BW79" s="1520"/>
      <c r="BX79" s="1520"/>
      <c r="BY79" s="1520"/>
      <c r="BZ79" s="1520"/>
      <c r="CA79" s="1520"/>
      <c r="CB79" s="1520"/>
      <c r="CC79" s="1519"/>
      <c r="CD79" s="1520"/>
      <c r="CE79" s="1520"/>
      <c r="CF79" s="1527"/>
      <c r="CG79" s="1560"/>
      <c r="CH79" s="1482">
        <f>IFERROR(__xludf.DUMMYFUNCTION("""COMPUTED_VALUE"""),26.720833333333335)</f>
        <v>26.72083333</v>
      </c>
      <c r="CI79" s="1483">
        <f>IFERROR(__xludf.DUMMYFUNCTION("""COMPUTED_VALUE"""),2080000.0)</f>
        <v>2080000</v>
      </c>
      <c r="CJ79" s="1482">
        <f>IFERROR(__xludf.DUMMYFUNCTION("""COMPUTED_VALUE"""),26.720833333333335)</f>
        <v>26.72083333</v>
      </c>
      <c r="CK79" s="1483">
        <f>IFERROR(__xludf.DUMMYFUNCTION("""COMPUTED_VALUE"""),2080000.0)</f>
        <v>2080000</v>
      </c>
      <c r="CL79" s="1482">
        <f>IFERROR(__xludf.DUMMYFUNCTION("""COMPUTED_VALUE"""),26.720833333333335)</f>
        <v>26.72083333</v>
      </c>
      <c r="CM79" s="1483">
        <f>IFERROR(__xludf.DUMMYFUNCTION("""COMPUTED_VALUE"""),2080000.0)</f>
        <v>2080000</v>
      </c>
      <c r="CN79" s="1482">
        <f>IFERROR(__xludf.DUMMYFUNCTION("""COMPUTED_VALUE"""),26.720833333333335)</f>
        <v>26.72083333</v>
      </c>
      <c r="CO79" s="1483">
        <f>IFERROR(__xludf.DUMMYFUNCTION("""COMPUTED_VALUE"""),2080000.0)</f>
        <v>2080000</v>
      </c>
      <c r="CP79" s="1482">
        <f>IFERROR(__xludf.DUMMYFUNCTION("""COMPUTED_VALUE"""),63.34652777777778)</f>
        <v>63.34652778</v>
      </c>
      <c r="CQ79" s="1483">
        <f>IFERROR(__xludf.DUMMYFUNCTION("""COMPUTED_VALUE"""),8800000.0)</f>
        <v>8800000</v>
      </c>
      <c r="CR79" s="1518"/>
      <c r="CS79" s="1519"/>
      <c r="CT79" s="1520"/>
      <c r="CU79" s="1519"/>
      <c r="CV79" s="1520"/>
      <c r="CW79" s="1519"/>
      <c r="CX79" s="1520"/>
      <c r="CY79" s="1519"/>
      <c r="CZ79" s="1520"/>
      <c r="DA79" s="1520"/>
      <c r="DB79" s="1520"/>
      <c r="DC79" s="1520"/>
      <c r="DD79" s="1520"/>
      <c r="DE79" s="1519"/>
      <c r="DF79" s="1518"/>
      <c r="DG79" s="1519"/>
      <c r="DH79" s="1518"/>
      <c r="DI79" s="1519"/>
      <c r="DJ79" s="1518"/>
      <c r="DK79" s="1519"/>
      <c r="DL79" s="1518"/>
      <c r="DM79" s="1519"/>
      <c r="DN79" s="1518"/>
      <c r="DO79" s="1519"/>
      <c r="DP79" s="1518"/>
      <c r="DQ79" s="1519"/>
      <c r="DR79" s="1518"/>
      <c r="DS79" s="1519"/>
      <c r="DT79" s="1518"/>
      <c r="DU79" s="1519"/>
      <c r="DV79" s="1520"/>
      <c r="DW79" s="1519"/>
      <c r="DX79" s="1518"/>
      <c r="DY79" s="1519"/>
      <c r="DZ79" s="1518"/>
      <c r="EA79" s="1519"/>
      <c r="EB79" s="1518"/>
      <c r="EC79" s="1519"/>
      <c r="ED79" s="1518"/>
      <c r="EE79" s="1519"/>
      <c r="EF79" s="1518"/>
      <c r="EG79" s="1519"/>
      <c r="EH79" s="1518"/>
      <c r="EI79" s="1519"/>
      <c r="EJ79" s="1562"/>
      <c r="EK79" s="1560"/>
      <c r="EL79" s="1562"/>
      <c r="EM79" s="1560"/>
      <c r="EN79" s="1518"/>
      <c r="EO79" s="1519"/>
      <c r="EP79" s="1518"/>
      <c r="EQ79" s="1519"/>
      <c r="ER79" s="1518"/>
      <c r="ES79" s="1519"/>
      <c r="ET79" s="1518"/>
      <c r="EU79" s="1519"/>
      <c r="EV79" s="1518"/>
      <c r="EW79" s="1519"/>
      <c r="EX79" s="1518"/>
      <c r="EY79" s="1519"/>
      <c r="EZ79" s="1518"/>
      <c r="FA79" s="1519"/>
      <c r="FB79" s="1520"/>
      <c r="FC79" s="1519"/>
      <c r="FD79" s="1520"/>
      <c r="FE79" s="1519"/>
      <c r="FF79" s="1520"/>
      <c r="FG79" s="1519"/>
      <c r="FH79" s="1520"/>
      <c r="FI79" s="1520"/>
      <c r="FJ79" s="1520"/>
      <c r="FK79" s="1519"/>
      <c r="FL79" s="1518"/>
      <c r="FM79" s="1519"/>
      <c r="FN79" s="1532"/>
      <c r="FO79" s="1520"/>
      <c r="FP79" s="1532"/>
      <c r="FQ79" s="1520"/>
      <c r="FR79" s="1532"/>
      <c r="FS79" s="1520"/>
      <c r="FT79" s="1532"/>
      <c r="FU79" s="1519"/>
      <c r="FV79" s="1532"/>
      <c r="FW79" s="1519"/>
      <c r="FX79" s="1572"/>
      <c r="FY79" s="1560"/>
      <c r="FZ79" s="1572"/>
      <c r="GA79" s="1560"/>
      <c r="GB79" s="1572"/>
      <c r="GC79" s="1560"/>
      <c r="GD79" s="1527"/>
      <c r="GE79" s="1560"/>
      <c r="GF79" s="1518"/>
      <c r="GG79" s="1519"/>
      <c r="GH79" s="1518"/>
      <c r="GI79" s="1519"/>
      <c r="GJ79" s="1518"/>
      <c r="GK79" s="1519"/>
      <c r="GL79" s="1518"/>
      <c r="GM79" s="1519"/>
      <c r="GN79" s="1520"/>
      <c r="GO79" s="1519"/>
      <c r="GP79" s="1520"/>
      <c r="GQ79" s="1519"/>
      <c r="GR79" s="1518"/>
      <c r="GS79" s="1519"/>
      <c r="GT79" s="1518"/>
      <c r="GU79" s="1519"/>
      <c r="GV79" s="1520"/>
      <c r="GW79" s="1519"/>
      <c r="GX79" s="1561"/>
      <c r="GY79" s="1527"/>
      <c r="GZ79" s="1518"/>
      <c r="HA79" s="1519"/>
      <c r="HB79" s="1501">
        <f>IFERROR(__xludf.DUMMYFUNCTION("""COMPUTED_VALUE"""),3111.1256944444444)</f>
        <v>3111.125694</v>
      </c>
      <c r="HC79" s="1502">
        <f>IFERROR(__xludf.DUMMYFUNCTION("""COMPUTED_VALUE"""),5.071E13)</f>
        <v>50710000000000</v>
      </c>
      <c r="HD79" s="1518"/>
      <c r="HE79" s="1519"/>
      <c r="HF79" s="1518"/>
      <c r="HG79" s="1519"/>
      <c r="HH79" s="1518"/>
      <c r="HI79" s="1519"/>
      <c r="HJ79" s="1518"/>
      <c r="HK79" s="1519"/>
      <c r="HL79" s="1518"/>
      <c r="HM79" s="1519"/>
      <c r="HN79" s="1520"/>
      <c r="HO79" s="1519"/>
      <c r="HP79" s="1518"/>
      <c r="HQ79" s="1519"/>
      <c r="HR79" s="1518"/>
      <c r="HS79" s="1519"/>
      <c r="HT79" s="1518"/>
      <c r="HU79" s="1519"/>
      <c r="HV79" s="1518"/>
      <c r="HW79" s="1519"/>
      <c r="HX79" s="1518"/>
      <c r="HY79" s="1519"/>
      <c r="HZ79" s="1518"/>
      <c r="IA79" s="1519"/>
      <c r="IB79" s="1518"/>
      <c r="IC79" s="1519"/>
      <c r="ID79" s="1518"/>
      <c r="IE79" s="1519"/>
      <c r="IF79" s="1518"/>
      <c r="IG79" s="1519"/>
      <c r="IH79" s="1518"/>
      <c r="II79" s="1519"/>
      <c r="IJ79" s="1518"/>
      <c r="IK79" s="1519"/>
      <c r="IL79" s="1518"/>
      <c r="IM79" s="1519"/>
      <c r="IN79" s="1518"/>
      <c r="IO79" s="1519"/>
      <c r="IP79" s="1518"/>
      <c r="IQ79" s="1519"/>
      <c r="IR79" s="1518"/>
      <c r="IS79" s="1519"/>
      <c r="IT79" s="1518"/>
      <c r="IU79" s="1519"/>
      <c r="IV79" s="1518"/>
      <c r="IW79" s="1519"/>
      <c r="IX79" s="1518"/>
      <c r="IY79" s="1519"/>
      <c r="IZ79" s="1518"/>
      <c r="JA79" s="1519"/>
      <c r="JB79" s="1518"/>
      <c r="JC79" s="1519"/>
      <c r="JD79" s="1518"/>
      <c r="JE79" s="1519"/>
      <c r="JF79" s="1518"/>
      <c r="JG79" s="1519"/>
      <c r="JH79" s="1518"/>
      <c r="JI79" s="1519"/>
      <c r="JJ79" s="1562"/>
      <c r="JK79" s="1560"/>
      <c r="JL79" s="1562"/>
      <c r="JM79" s="1560"/>
      <c r="JN79" s="1562"/>
      <c r="JO79" s="1560"/>
      <c r="JP79" s="1562"/>
      <c r="JQ79" s="1560"/>
      <c r="JR79" s="1562"/>
      <c r="JS79" s="1560"/>
      <c r="JT79" s="1562"/>
      <c r="JU79" s="1560"/>
      <c r="JV79" s="1562"/>
      <c r="JW79" s="1560"/>
      <c r="JX79" s="1562"/>
      <c r="JY79" s="1527"/>
      <c r="JZ79" s="1566">
        <f>IFERROR(__xludf.DUMMYFUNCTION("""COMPUTED_VALUE"""),7.062569444)</f>
        <v>7.062569444</v>
      </c>
      <c r="KA79" s="1514">
        <f>IFERROR(__xludf.DUMMYFUNCTION("""COMPUTED_VALUE"""),2.3946E11)</f>
        <v>239460000000</v>
      </c>
      <c r="KB79" s="1562"/>
      <c r="KC79" s="1527"/>
      <c r="KD79" s="1562"/>
      <c r="KE79" s="1527"/>
      <c r="KF79" s="1527"/>
      <c r="KG79" s="1527"/>
      <c r="KH79" s="1527"/>
      <c r="KI79" s="1527"/>
      <c r="KJ79" s="1527"/>
      <c r="KK79" s="1527"/>
      <c r="KL79" s="1527"/>
      <c r="KM79" s="1527"/>
      <c r="KN79" s="1527"/>
      <c r="KO79" s="1527"/>
      <c r="KP79" s="1527"/>
      <c r="KQ79" s="1527"/>
      <c r="KR79" s="1527"/>
      <c r="KS79" s="1527"/>
      <c r="KT79" s="1527"/>
      <c r="KU79" s="1527"/>
      <c r="KV79" s="1527"/>
      <c r="KW79" s="1527"/>
      <c r="KX79" s="1527"/>
      <c r="KY79" s="1527"/>
      <c r="KZ79" s="1527"/>
      <c r="LA79" s="1527"/>
      <c r="LB79" s="1527"/>
      <c r="LC79" s="1527"/>
      <c r="LD79" s="1527"/>
      <c r="LE79" s="1527"/>
      <c r="LF79" s="1527"/>
      <c r="LG79" s="1527"/>
      <c r="LH79" s="1527"/>
      <c r="LI79" s="1527"/>
      <c r="LJ79" s="1527"/>
      <c r="LK79" s="1527"/>
      <c r="LL79" s="1527"/>
      <c r="LM79" s="1527"/>
      <c r="LN79" s="1527"/>
      <c r="LO79" s="1527"/>
      <c r="LP79" s="1527"/>
      <c r="LQ79" s="1527"/>
      <c r="LR79" s="1527"/>
      <c r="LS79" s="1527"/>
      <c r="LT79" s="1527"/>
      <c r="LU79" s="1527"/>
      <c r="LV79" s="1527"/>
      <c r="LW79" s="1527"/>
      <c r="LX79" s="1527"/>
      <c r="LY79" s="1527"/>
      <c r="LZ79" s="1527"/>
      <c r="MA79" s="1527"/>
      <c r="MB79" s="1527"/>
      <c r="MC79" s="1527"/>
      <c r="MD79" s="1527"/>
      <c r="ME79" s="1527"/>
      <c r="MF79" s="1527"/>
      <c r="MG79" s="1527"/>
      <c r="MH79" s="1527"/>
      <c r="MI79" s="1527"/>
      <c r="MJ79" s="1527"/>
      <c r="MK79" s="1527"/>
      <c r="ML79" s="1527"/>
      <c r="MM79" s="1527"/>
      <c r="MN79" s="1527"/>
      <c r="MO79" s="1527"/>
      <c r="MP79" s="1527"/>
      <c r="MQ79" s="1527"/>
      <c r="MR79" s="1527"/>
      <c r="MS79" s="1527"/>
      <c r="MT79" s="1527"/>
      <c r="MU79" s="1527"/>
      <c r="MV79" s="1527"/>
      <c r="MW79" s="1527"/>
      <c r="MX79" s="1527"/>
      <c r="MY79" s="1527"/>
    </row>
    <row r="80">
      <c r="A80" s="1465">
        <f>IFERROR(__xludf.DUMMYFUNCTION("""COMPUTED_VALUE"""),78.0)</f>
        <v>78</v>
      </c>
      <c r="B80" s="1518"/>
      <c r="C80" s="1520"/>
      <c r="D80" s="1466">
        <f>IFERROR(__xludf.DUMMYFUNCTION("""COMPUTED_VALUE"""),27.56736111111111)</f>
        <v>27.56736111</v>
      </c>
      <c r="E80" s="1467">
        <f>IFERROR(__xludf.DUMMYFUNCTION("""COMPUTED_VALUE"""),2160000.0)</f>
        <v>2160000</v>
      </c>
      <c r="F80" s="1466">
        <f>IFERROR(__xludf.DUMMYFUNCTION("""COMPUTED_VALUE"""),27.56736111111111)</f>
        <v>27.56736111</v>
      </c>
      <c r="G80" s="1467">
        <f>IFERROR(__xludf.DUMMYFUNCTION("""COMPUTED_VALUE"""),2160000.0)</f>
        <v>2160000</v>
      </c>
      <c r="H80" s="1466">
        <f>IFERROR(__xludf.DUMMYFUNCTION("""COMPUTED_VALUE"""),27.56736111111111)</f>
        <v>27.56736111</v>
      </c>
      <c r="I80" s="1467">
        <f>IFERROR(__xludf.DUMMYFUNCTION("""COMPUTED_VALUE"""),2160000.0)</f>
        <v>2160000</v>
      </c>
      <c r="J80" s="1466">
        <f>IFERROR(__xludf.DUMMYFUNCTION("""COMPUTED_VALUE"""),27.56736111111111)</f>
        <v>27.56736111</v>
      </c>
      <c r="K80" s="1467">
        <f>IFERROR(__xludf.DUMMYFUNCTION("""COMPUTED_VALUE"""),2160000.0)</f>
        <v>2160000</v>
      </c>
      <c r="L80" s="1466">
        <f>IFERROR(__xludf.DUMMYFUNCTION("""COMPUTED_VALUE"""),52.821527777777774)</f>
        <v>52.82152778</v>
      </c>
      <c r="M80" s="1469">
        <f>IFERROR(__xludf.DUMMYFUNCTION("""COMPUTED_VALUE"""),7050000.0)</f>
        <v>7050000</v>
      </c>
      <c r="N80" s="1470">
        <f>IFERROR(__xludf.DUMMYFUNCTION("""COMPUTED_VALUE"""),20.795833333333334)</f>
        <v>20.79583333</v>
      </c>
      <c r="O80" s="1467">
        <f>IFERROR(__xludf.DUMMYFUNCTION("""COMPUTED_VALUE"""),9170000.0)</f>
        <v>9170000</v>
      </c>
      <c r="P80" s="1518"/>
      <c r="Q80" s="1519"/>
      <c r="R80" s="1518"/>
      <c r="S80" s="1519"/>
      <c r="T80" s="1518"/>
      <c r="U80" s="1519"/>
      <c r="V80" s="1518"/>
      <c r="W80" s="1519"/>
      <c r="X80" s="1518"/>
      <c r="Y80" s="1519"/>
      <c r="Z80" s="1518"/>
      <c r="AA80" s="1519"/>
      <c r="AB80" s="1518"/>
      <c r="AC80" s="1519"/>
      <c r="AD80" s="1466">
        <f>IFERROR(__xludf.DUMMYFUNCTION("""COMPUTED_VALUE"""),84.23611111111111)</f>
        <v>84.23611111</v>
      </c>
      <c r="AE80" s="1474">
        <f>IFERROR(__xludf.DUMMYFUNCTION("""COMPUTED_VALUE"""),5.937971757E17)</f>
        <v>5.93797E+17</v>
      </c>
      <c r="AF80" s="1466">
        <f>IFERROR(__xludf.DUMMYFUNCTION("""COMPUTED_VALUE"""),84.23611111111111)</f>
        <v>84.23611111</v>
      </c>
      <c r="AG80" s="1474">
        <f>IFERROR(__xludf.DUMMYFUNCTION("""COMPUTED_VALUE"""),5.937971757E17)</f>
        <v>5.93797E+17</v>
      </c>
      <c r="AH80" s="1466">
        <f>IFERROR(__xludf.DUMMYFUNCTION("""COMPUTED_VALUE"""),84.23611111111111)</f>
        <v>84.23611111</v>
      </c>
      <c r="AI80" s="1474">
        <f>IFERROR(__xludf.DUMMYFUNCTION("""COMPUTED_VALUE"""),5.937971757E17)</f>
        <v>5.93797E+17</v>
      </c>
      <c r="AJ80" s="1475">
        <f>IFERROR(__xludf.DUMMYFUNCTION("""COMPUTED_VALUE"""),27.56736111111111)</f>
        <v>27.56736111</v>
      </c>
      <c r="AK80" s="1476">
        <f>IFERROR(__xludf.DUMMYFUNCTION("""COMPUTED_VALUE"""),2160000.0)</f>
        <v>2160000</v>
      </c>
      <c r="AL80" s="1475">
        <f>IFERROR(__xludf.DUMMYFUNCTION("""COMPUTED_VALUE"""),27.56736111111111)</f>
        <v>27.56736111</v>
      </c>
      <c r="AM80" s="1476">
        <f>IFERROR(__xludf.DUMMYFUNCTION("""COMPUTED_VALUE"""),2160000.0)</f>
        <v>2160000</v>
      </c>
      <c r="AN80" s="1475">
        <f>IFERROR(__xludf.DUMMYFUNCTION("""COMPUTED_VALUE"""),27.56736111111111)</f>
        <v>27.56736111</v>
      </c>
      <c r="AO80" s="1476">
        <f>IFERROR(__xludf.DUMMYFUNCTION("""COMPUTED_VALUE"""),2160000.0)</f>
        <v>2160000</v>
      </c>
      <c r="AP80" s="1475">
        <f>IFERROR(__xludf.DUMMYFUNCTION("""COMPUTED_VALUE"""),27.56736111111111)</f>
        <v>27.56736111</v>
      </c>
      <c r="AQ80" s="1476">
        <f>IFERROR(__xludf.DUMMYFUNCTION("""COMPUTED_VALUE"""),2160000.0)</f>
        <v>2160000</v>
      </c>
      <c r="AR80" s="1475">
        <f>IFERROR(__xludf.DUMMYFUNCTION("""COMPUTED_VALUE"""),27.56736111111111)</f>
        <v>27.56736111</v>
      </c>
      <c r="AS80" s="1476">
        <f>IFERROR(__xludf.DUMMYFUNCTION("""COMPUTED_VALUE"""),2160000.0)</f>
        <v>2160000</v>
      </c>
      <c r="AT80" s="1520"/>
      <c r="AU80" s="1519"/>
      <c r="AV80" s="1520"/>
      <c r="AW80" s="1519"/>
      <c r="AX80" s="1518"/>
      <c r="AY80" s="1568"/>
      <c r="AZ80" s="1518"/>
      <c r="BA80" s="1518"/>
      <c r="BB80" s="1477">
        <f>IFERROR(__xludf.DUMMYFUNCTION("""COMPUTED_VALUE"""),27.56736111111111)</f>
        <v>27.56736111</v>
      </c>
      <c r="BC80" s="1478">
        <f>IFERROR(__xludf.DUMMYFUNCTION("""COMPUTED_VALUE"""),2160000.0)</f>
        <v>2160000</v>
      </c>
      <c r="BD80" s="1477">
        <f>IFERROR(__xludf.DUMMYFUNCTION("""COMPUTED_VALUE"""),27.56736111111111)</f>
        <v>27.56736111</v>
      </c>
      <c r="BE80" s="1478">
        <f>IFERROR(__xludf.DUMMYFUNCTION("""COMPUTED_VALUE"""),2160000.0)</f>
        <v>2160000</v>
      </c>
      <c r="BF80" s="1477">
        <f>IFERROR(__xludf.DUMMYFUNCTION("""COMPUTED_VALUE"""),27.56736111111111)</f>
        <v>27.56736111</v>
      </c>
      <c r="BG80" s="1478">
        <f>IFERROR(__xludf.DUMMYFUNCTION("""COMPUTED_VALUE"""),2160000.0)</f>
        <v>2160000</v>
      </c>
      <c r="BH80" s="1518"/>
      <c r="BI80" s="1519"/>
      <c r="BJ80" s="1518"/>
      <c r="BK80" s="1519"/>
      <c r="BL80" s="1518"/>
      <c r="BM80" s="1519"/>
      <c r="BN80" s="1518"/>
      <c r="BO80" s="1519"/>
      <c r="BP80" s="1518"/>
      <c r="BQ80" s="1519"/>
      <c r="BR80" s="1520"/>
      <c r="BS80" s="1519"/>
      <c r="BT80" s="1520"/>
      <c r="BU80" s="1520"/>
      <c r="BV80" s="1520"/>
      <c r="BW80" s="1520"/>
      <c r="BX80" s="1520"/>
      <c r="BY80" s="1520"/>
      <c r="BZ80" s="1520"/>
      <c r="CA80" s="1520"/>
      <c r="CB80" s="1520"/>
      <c r="CC80" s="1519"/>
      <c r="CD80" s="1520"/>
      <c r="CE80" s="1520"/>
      <c r="CF80" s="1527"/>
      <c r="CG80" s="1560"/>
      <c r="CH80" s="1482">
        <f>IFERROR(__xludf.DUMMYFUNCTION("""COMPUTED_VALUE"""),27.56736111111111)</f>
        <v>27.56736111</v>
      </c>
      <c r="CI80" s="1483">
        <f>IFERROR(__xludf.DUMMYFUNCTION("""COMPUTED_VALUE"""),2160000.0)</f>
        <v>2160000</v>
      </c>
      <c r="CJ80" s="1482">
        <f>IFERROR(__xludf.DUMMYFUNCTION("""COMPUTED_VALUE"""),27.56736111111111)</f>
        <v>27.56736111</v>
      </c>
      <c r="CK80" s="1483">
        <f>IFERROR(__xludf.DUMMYFUNCTION("""COMPUTED_VALUE"""),2160000.0)</f>
        <v>2160000</v>
      </c>
      <c r="CL80" s="1482">
        <f>IFERROR(__xludf.DUMMYFUNCTION("""COMPUTED_VALUE"""),27.56736111111111)</f>
        <v>27.56736111</v>
      </c>
      <c r="CM80" s="1483">
        <f>IFERROR(__xludf.DUMMYFUNCTION("""COMPUTED_VALUE"""),2160000.0)</f>
        <v>2160000</v>
      </c>
      <c r="CN80" s="1482">
        <f>IFERROR(__xludf.DUMMYFUNCTION("""COMPUTED_VALUE"""),27.56736111111111)</f>
        <v>27.56736111</v>
      </c>
      <c r="CO80" s="1483">
        <f>IFERROR(__xludf.DUMMYFUNCTION("""COMPUTED_VALUE"""),2160000.0)</f>
        <v>2160000</v>
      </c>
      <c r="CP80" s="1482">
        <f>IFERROR(__xludf.DUMMYFUNCTION("""COMPUTED_VALUE"""),65.52708333333334)</f>
        <v>65.52708333</v>
      </c>
      <c r="CQ80" s="1483">
        <f>IFERROR(__xludf.DUMMYFUNCTION("""COMPUTED_VALUE"""),9170000.0)</f>
        <v>9170000</v>
      </c>
      <c r="CR80" s="1518"/>
      <c r="CS80" s="1519"/>
      <c r="CT80" s="1520"/>
      <c r="CU80" s="1519"/>
      <c r="CV80" s="1520"/>
      <c r="CW80" s="1519"/>
      <c r="CX80" s="1520"/>
      <c r="CY80" s="1519"/>
      <c r="CZ80" s="1520"/>
      <c r="DA80" s="1520"/>
      <c r="DB80" s="1520"/>
      <c r="DC80" s="1520"/>
      <c r="DD80" s="1520"/>
      <c r="DE80" s="1519"/>
      <c r="DF80" s="1518"/>
      <c r="DG80" s="1519"/>
      <c r="DH80" s="1518"/>
      <c r="DI80" s="1519"/>
      <c r="DJ80" s="1518"/>
      <c r="DK80" s="1519"/>
      <c r="DL80" s="1518"/>
      <c r="DM80" s="1519"/>
      <c r="DN80" s="1518"/>
      <c r="DO80" s="1519"/>
      <c r="DP80" s="1518"/>
      <c r="DQ80" s="1519"/>
      <c r="DR80" s="1518"/>
      <c r="DS80" s="1519"/>
      <c r="DT80" s="1518"/>
      <c r="DU80" s="1519"/>
      <c r="DV80" s="1520"/>
      <c r="DW80" s="1519"/>
      <c r="DX80" s="1518"/>
      <c r="DY80" s="1519"/>
      <c r="DZ80" s="1518"/>
      <c r="EA80" s="1519"/>
      <c r="EB80" s="1518"/>
      <c r="EC80" s="1519"/>
      <c r="ED80" s="1518"/>
      <c r="EE80" s="1519"/>
      <c r="EF80" s="1518"/>
      <c r="EG80" s="1519"/>
      <c r="EH80" s="1518"/>
      <c r="EI80" s="1519"/>
      <c r="EJ80" s="1562"/>
      <c r="EK80" s="1560"/>
      <c r="EL80" s="1562"/>
      <c r="EM80" s="1560"/>
      <c r="EN80" s="1518"/>
      <c r="EO80" s="1519"/>
      <c r="EP80" s="1518"/>
      <c r="EQ80" s="1519"/>
      <c r="ER80" s="1518"/>
      <c r="ES80" s="1519"/>
      <c r="ET80" s="1518"/>
      <c r="EU80" s="1519"/>
      <c r="EV80" s="1518"/>
      <c r="EW80" s="1519"/>
      <c r="EX80" s="1518"/>
      <c r="EY80" s="1519"/>
      <c r="EZ80" s="1518"/>
      <c r="FA80" s="1519"/>
      <c r="FB80" s="1520"/>
      <c r="FC80" s="1519"/>
      <c r="FD80" s="1520"/>
      <c r="FE80" s="1519"/>
      <c r="FF80" s="1520"/>
      <c r="FG80" s="1519"/>
      <c r="FH80" s="1520"/>
      <c r="FI80" s="1520"/>
      <c r="FJ80" s="1520"/>
      <c r="FK80" s="1519"/>
      <c r="FL80" s="1518"/>
      <c r="FM80" s="1519"/>
      <c r="FN80" s="1532"/>
      <c r="FO80" s="1520"/>
      <c r="FP80" s="1532"/>
      <c r="FQ80" s="1520"/>
      <c r="FR80" s="1532"/>
      <c r="FS80" s="1520"/>
      <c r="FT80" s="1532"/>
      <c r="FU80" s="1519"/>
      <c r="FV80" s="1532"/>
      <c r="FW80" s="1519"/>
      <c r="FX80" s="1572"/>
      <c r="FY80" s="1560"/>
      <c r="FZ80" s="1572"/>
      <c r="GA80" s="1560"/>
      <c r="GB80" s="1572"/>
      <c r="GC80" s="1560"/>
      <c r="GD80" s="1527"/>
      <c r="GE80" s="1560"/>
      <c r="GF80" s="1518"/>
      <c r="GG80" s="1519"/>
      <c r="GH80" s="1518"/>
      <c r="GI80" s="1519"/>
      <c r="GJ80" s="1518"/>
      <c r="GK80" s="1519"/>
      <c r="GL80" s="1518"/>
      <c r="GM80" s="1519"/>
      <c r="GN80" s="1520"/>
      <c r="GO80" s="1519"/>
      <c r="GP80" s="1520"/>
      <c r="GQ80" s="1519"/>
      <c r="GR80" s="1518"/>
      <c r="GS80" s="1519"/>
      <c r="GT80" s="1518"/>
      <c r="GU80" s="1519"/>
      <c r="GV80" s="1520"/>
      <c r="GW80" s="1519"/>
      <c r="GX80" s="1561"/>
      <c r="GY80" s="1527"/>
      <c r="GZ80" s="1518"/>
      <c r="HA80" s="1519"/>
      <c r="HB80" s="1501">
        <f>IFERROR(__xludf.DUMMYFUNCTION("""COMPUTED_VALUE"""),3256.414583333333)</f>
        <v>3256.414583</v>
      </c>
      <c r="HC80" s="1502">
        <f>IFERROR(__xludf.DUMMYFUNCTION("""COMPUTED_VALUE"""),5.414E13)</f>
        <v>54140000000000</v>
      </c>
      <c r="HD80" s="1518"/>
      <c r="HE80" s="1519"/>
      <c r="HF80" s="1518"/>
      <c r="HG80" s="1519"/>
      <c r="HH80" s="1518"/>
      <c r="HI80" s="1519"/>
      <c r="HJ80" s="1518"/>
      <c r="HK80" s="1519"/>
      <c r="HL80" s="1518"/>
      <c r="HM80" s="1519"/>
      <c r="HN80" s="1520"/>
      <c r="HO80" s="1519"/>
      <c r="HP80" s="1518"/>
      <c r="HQ80" s="1519"/>
      <c r="HR80" s="1518"/>
      <c r="HS80" s="1519"/>
      <c r="HT80" s="1518"/>
      <c r="HU80" s="1519"/>
      <c r="HV80" s="1518"/>
      <c r="HW80" s="1519"/>
      <c r="HX80" s="1518"/>
      <c r="HY80" s="1519"/>
      <c r="HZ80" s="1518"/>
      <c r="IA80" s="1519"/>
      <c r="IB80" s="1518"/>
      <c r="IC80" s="1519"/>
      <c r="ID80" s="1518"/>
      <c r="IE80" s="1519"/>
      <c r="IF80" s="1518"/>
      <c r="IG80" s="1519"/>
      <c r="IH80" s="1518"/>
      <c r="II80" s="1519"/>
      <c r="IJ80" s="1518"/>
      <c r="IK80" s="1519"/>
      <c r="IL80" s="1518"/>
      <c r="IM80" s="1519"/>
      <c r="IN80" s="1518"/>
      <c r="IO80" s="1519"/>
      <c r="IP80" s="1518"/>
      <c r="IQ80" s="1519"/>
      <c r="IR80" s="1518"/>
      <c r="IS80" s="1519"/>
      <c r="IT80" s="1518"/>
      <c r="IU80" s="1519"/>
      <c r="IV80" s="1518"/>
      <c r="IW80" s="1519"/>
      <c r="IX80" s="1518"/>
      <c r="IY80" s="1519"/>
      <c r="IZ80" s="1518"/>
      <c r="JA80" s="1519"/>
      <c r="JB80" s="1518"/>
      <c r="JC80" s="1519"/>
      <c r="JD80" s="1518"/>
      <c r="JE80" s="1519"/>
      <c r="JF80" s="1518"/>
      <c r="JG80" s="1519"/>
      <c r="JH80" s="1518"/>
      <c r="JI80" s="1519"/>
      <c r="JJ80" s="1562"/>
      <c r="JK80" s="1560"/>
      <c r="JL80" s="1562"/>
      <c r="JM80" s="1560"/>
      <c r="JN80" s="1562"/>
      <c r="JO80" s="1560"/>
      <c r="JP80" s="1562"/>
      <c r="JQ80" s="1560"/>
      <c r="JR80" s="1562"/>
      <c r="JS80" s="1560"/>
      <c r="JT80" s="1562"/>
      <c r="JU80" s="1560"/>
      <c r="JV80" s="1562"/>
      <c r="JW80" s="1560"/>
      <c r="JX80" s="1562"/>
      <c r="JY80" s="1527"/>
      <c r="JZ80" s="1566">
        <f>IFERROR(__xludf.DUMMYFUNCTION("""COMPUTED_VALUE"""),7.173611111)</f>
        <v>7.173611111</v>
      </c>
      <c r="KA80" s="1514">
        <f>IFERROR(__xludf.DUMMYFUNCTION("""COMPUTED_VALUE"""),2.4806E11)</f>
        <v>248060000000</v>
      </c>
      <c r="KB80" s="1562"/>
      <c r="KC80" s="1527"/>
      <c r="KD80" s="1562"/>
      <c r="KE80" s="1527"/>
      <c r="KF80" s="1527"/>
      <c r="KG80" s="1527"/>
      <c r="KH80" s="1527"/>
      <c r="KI80" s="1527"/>
      <c r="KJ80" s="1527"/>
      <c r="KK80" s="1527"/>
      <c r="KL80" s="1527"/>
      <c r="KM80" s="1527"/>
      <c r="KN80" s="1527"/>
      <c r="KO80" s="1527"/>
      <c r="KP80" s="1527"/>
      <c r="KQ80" s="1527"/>
      <c r="KR80" s="1527"/>
      <c r="KS80" s="1527"/>
      <c r="KT80" s="1527"/>
      <c r="KU80" s="1527"/>
      <c r="KV80" s="1527"/>
      <c r="KW80" s="1527"/>
      <c r="KX80" s="1527"/>
      <c r="KY80" s="1527"/>
      <c r="KZ80" s="1527"/>
      <c r="LA80" s="1527"/>
      <c r="LB80" s="1527"/>
      <c r="LC80" s="1527"/>
      <c r="LD80" s="1527"/>
      <c r="LE80" s="1527"/>
      <c r="LF80" s="1527"/>
      <c r="LG80" s="1527"/>
      <c r="LH80" s="1527"/>
      <c r="LI80" s="1527"/>
      <c r="LJ80" s="1527"/>
      <c r="LK80" s="1527"/>
      <c r="LL80" s="1527"/>
      <c r="LM80" s="1527"/>
      <c r="LN80" s="1527"/>
      <c r="LO80" s="1527"/>
      <c r="LP80" s="1527"/>
      <c r="LQ80" s="1527"/>
      <c r="LR80" s="1527"/>
      <c r="LS80" s="1527"/>
      <c r="LT80" s="1527"/>
      <c r="LU80" s="1527"/>
      <c r="LV80" s="1527"/>
      <c r="LW80" s="1527"/>
      <c r="LX80" s="1527"/>
      <c r="LY80" s="1527"/>
      <c r="LZ80" s="1527"/>
      <c r="MA80" s="1527"/>
      <c r="MB80" s="1527"/>
      <c r="MC80" s="1527"/>
      <c r="MD80" s="1527"/>
      <c r="ME80" s="1527"/>
      <c r="MF80" s="1527"/>
      <c r="MG80" s="1527"/>
      <c r="MH80" s="1527"/>
      <c r="MI80" s="1527"/>
      <c r="MJ80" s="1527"/>
      <c r="MK80" s="1527"/>
      <c r="ML80" s="1527"/>
      <c r="MM80" s="1527"/>
      <c r="MN80" s="1527"/>
      <c r="MO80" s="1527"/>
      <c r="MP80" s="1527"/>
      <c r="MQ80" s="1527"/>
      <c r="MR80" s="1527"/>
      <c r="MS80" s="1527"/>
      <c r="MT80" s="1527"/>
      <c r="MU80" s="1527"/>
      <c r="MV80" s="1527"/>
      <c r="MW80" s="1527"/>
      <c r="MX80" s="1527"/>
      <c r="MY80" s="1527"/>
    </row>
    <row r="81">
      <c r="A81" s="1465">
        <f>IFERROR(__xludf.DUMMYFUNCTION("""COMPUTED_VALUE"""),79.0)</f>
        <v>79</v>
      </c>
      <c r="B81" s="1518"/>
      <c r="C81" s="1520"/>
      <c r="D81" s="1466">
        <f>IFERROR(__xludf.DUMMYFUNCTION("""COMPUTED_VALUE"""),28.429166666666667)</f>
        <v>28.42916667</v>
      </c>
      <c r="E81" s="1467">
        <f>IFERROR(__xludf.DUMMYFUNCTION("""COMPUTED_VALUE"""),2240000.0)</f>
        <v>2240000</v>
      </c>
      <c r="F81" s="1466">
        <f>IFERROR(__xludf.DUMMYFUNCTION("""COMPUTED_VALUE"""),28.429166666666667)</f>
        <v>28.42916667</v>
      </c>
      <c r="G81" s="1467">
        <f>IFERROR(__xludf.DUMMYFUNCTION("""COMPUTED_VALUE"""),2240000.0)</f>
        <v>2240000</v>
      </c>
      <c r="H81" s="1466">
        <f>IFERROR(__xludf.DUMMYFUNCTION("""COMPUTED_VALUE"""),28.429166666666667)</f>
        <v>28.42916667</v>
      </c>
      <c r="I81" s="1467">
        <f>IFERROR(__xludf.DUMMYFUNCTION("""COMPUTED_VALUE"""),2240000.0)</f>
        <v>2240000</v>
      </c>
      <c r="J81" s="1466">
        <f>IFERROR(__xludf.DUMMYFUNCTION("""COMPUTED_VALUE"""),28.429166666666667)</f>
        <v>28.42916667</v>
      </c>
      <c r="K81" s="1467">
        <f>IFERROR(__xludf.DUMMYFUNCTION("""COMPUTED_VALUE"""),2240000.0)</f>
        <v>2240000</v>
      </c>
      <c r="L81" s="1466">
        <f>IFERROR(__xludf.DUMMYFUNCTION("""COMPUTED_VALUE"""),54.579861111111114)</f>
        <v>54.57986111</v>
      </c>
      <c r="M81" s="1469">
        <f>IFERROR(__xludf.DUMMYFUNCTION("""COMPUTED_VALUE"""),7310000.0)</f>
        <v>7310000</v>
      </c>
      <c r="N81" s="1470">
        <f>IFERROR(__xludf.DUMMYFUNCTION("""COMPUTED_VALUE"""),21.320138888888888)</f>
        <v>21.32013889</v>
      </c>
      <c r="O81" s="1467">
        <f>IFERROR(__xludf.DUMMYFUNCTION("""COMPUTED_VALUE"""),9540000.0)</f>
        <v>9540000</v>
      </c>
      <c r="P81" s="1518"/>
      <c r="Q81" s="1519"/>
      <c r="R81" s="1518"/>
      <c r="S81" s="1519"/>
      <c r="T81" s="1518"/>
      <c r="U81" s="1519"/>
      <c r="V81" s="1518"/>
      <c r="W81" s="1519"/>
      <c r="X81" s="1518"/>
      <c r="Y81" s="1519"/>
      <c r="Z81" s="1518"/>
      <c r="AA81" s="1519"/>
      <c r="AB81" s="1518"/>
      <c r="AC81" s="1519"/>
      <c r="AD81" s="1466">
        <f>IFERROR(__xludf.DUMMYFUNCTION("""COMPUTED_VALUE"""),85.31597222222223)</f>
        <v>85.31597222</v>
      </c>
      <c r="AE81" s="1474">
        <f>IFERROR(__xludf.DUMMYFUNCTION("""COMPUTED_VALUE"""),7.719363284E17)</f>
        <v>7.71936E+17</v>
      </c>
      <c r="AF81" s="1466">
        <f>IFERROR(__xludf.DUMMYFUNCTION("""COMPUTED_VALUE"""),85.31597222222223)</f>
        <v>85.31597222</v>
      </c>
      <c r="AG81" s="1474">
        <f>IFERROR(__xludf.DUMMYFUNCTION("""COMPUTED_VALUE"""),7.719363284E17)</f>
        <v>7.71936E+17</v>
      </c>
      <c r="AH81" s="1466">
        <f>IFERROR(__xludf.DUMMYFUNCTION("""COMPUTED_VALUE"""),85.31597222222223)</f>
        <v>85.31597222</v>
      </c>
      <c r="AI81" s="1474">
        <f>IFERROR(__xludf.DUMMYFUNCTION("""COMPUTED_VALUE"""),7.719363284E17)</f>
        <v>7.71936E+17</v>
      </c>
      <c r="AJ81" s="1475">
        <f>IFERROR(__xludf.DUMMYFUNCTION("""COMPUTED_VALUE"""),28.429166666666667)</f>
        <v>28.42916667</v>
      </c>
      <c r="AK81" s="1476">
        <f>IFERROR(__xludf.DUMMYFUNCTION("""COMPUTED_VALUE"""),2240000.0)</f>
        <v>2240000</v>
      </c>
      <c r="AL81" s="1475">
        <f>IFERROR(__xludf.DUMMYFUNCTION("""COMPUTED_VALUE"""),28.429166666666667)</f>
        <v>28.42916667</v>
      </c>
      <c r="AM81" s="1476">
        <f>IFERROR(__xludf.DUMMYFUNCTION("""COMPUTED_VALUE"""),2240000.0)</f>
        <v>2240000</v>
      </c>
      <c r="AN81" s="1475">
        <f>IFERROR(__xludf.DUMMYFUNCTION("""COMPUTED_VALUE"""),28.429166666666667)</f>
        <v>28.42916667</v>
      </c>
      <c r="AO81" s="1476">
        <f>IFERROR(__xludf.DUMMYFUNCTION("""COMPUTED_VALUE"""),2240000.0)</f>
        <v>2240000</v>
      </c>
      <c r="AP81" s="1475">
        <f>IFERROR(__xludf.DUMMYFUNCTION("""COMPUTED_VALUE"""),28.429166666666667)</f>
        <v>28.42916667</v>
      </c>
      <c r="AQ81" s="1476">
        <f>IFERROR(__xludf.DUMMYFUNCTION("""COMPUTED_VALUE"""),2240000.0)</f>
        <v>2240000</v>
      </c>
      <c r="AR81" s="1475">
        <f>IFERROR(__xludf.DUMMYFUNCTION("""COMPUTED_VALUE"""),28.429166666666667)</f>
        <v>28.42916667</v>
      </c>
      <c r="AS81" s="1476">
        <f>IFERROR(__xludf.DUMMYFUNCTION("""COMPUTED_VALUE"""),2240000.0)</f>
        <v>2240000</v>
      </c>
      <c r="AT81" s="1520"/>
      <c r="AU81" s="1519"/>
      <c r="AV81" s="1520"/>
      <c r="AW81" s="1519"/>
      <c r="AX81" s="1518"/>
      <c r="AY81" s="1568"/>
      <c r="AZ81" s="1518"/>
      <c r="BA81" s="1518"/>
      <c r="BB81" s="1477">
        <f>IFERROR(__xludf.DUMMYFUNCTION("""COMPUTED_VALUE"""),28.429166666666667)</f>
        <v>28.42916667</v>
      </c>
      <c r="BC81" s="1478">
        <f>IFERROR(__xludf.DUMMYFUNCTION("""COMPUTED_VALUE"""),2240000.0)</f>
        <v>2240000</v>
      </c>
      <c r="BD81" s="1477">
        <f>IFERROR(__xludf.DUMMYFUNCTION("""COMPUTED_VALUE"""),28.429166666666667)</f>
        <v>28.42916667</v>
      </c>
      <c r="BE81" s="1478">
        <f>IFERROR(__xludf.DUMMYFUNCTION("""COMPUTED_VALUE"""),2240000.0)</f>
        <v>2240000</v>
      </c>
      <c r="BF81" s="1477">
        <f>IFERROR(__xludf.DUMMYFUNCTION("""COMPUTED_VALUE"""),28.429166666666667)</f>
        <v>28.42916667</v>
      </c>
      <c r="BG81" s="1478">
        <f>IFERROR(__xludf.DUMMYFUNCTION("""COMPUTED_VALUE"""),2240000.0)</f>
        <v>2240000</v>
      </c>
      <c r="BH81" s="1518"/>
      <c r="BI81" s="1519"/>
      <c r="BJ81" s="1518"/>
      <c r="BK81" s="1519"/>
      <c r="BL81" s="1518"/>
      <c r="BM81" s="1519"/>
      <c r="BN81" s="1518"/>
      <c r="BO81" s="1519"/>
      <c r="BP81" s="1518"/>
      <c r="BQ81" s="1519"/>
      <c r="BR81" s="1520"/>
      <c r="BS81" s="1519"/>
      <c r="BT81" s="1520"/>
      <c r="BU81" s="1520"/>
      <c r="BV81" s="1520"/>
      <c r="BW81" s="1520"/>
      <c r="BX81" s="1520"/>
      <c r="BY81" s="1520"/>
      <c r="BZ81" s="1520"/>
      <c r="CA81" s="1520"/>
      <c r="CB81" s="1520"/>
      <c r="CC81" s="1519"/>
      <c r="CD81" s="1520"/>
      <c r="CE81" s="1520"/>
      <c r="CF81" s="1527"/>
      <c r="CG81" s="1560"/>
      <c r="CH81" s="1482">
        <f>IFERROR(__xludf.DUMMYFUNCTION("""COMPUTED_VALUE"""),28.429166666666667)</f>
        <v>28.42916667</v>
      </c>
      <c r="CI81" s="1483">
        <f>IFERROR(__xludf.DUMMYFUNCTION("""COMPUTED_VALUE"""),2240000.0)</f>
        <v>2240000</v>
      </c>
      <c r="CJ81" s="1482">
        <f>IFERROR(__xludf.DUMMYFUNCTION("""COMPUTED_VALUE"""),28.429166666666667)</f>
        <v>28.42916667</v>
      </c>
      <c r="CK81" s="1483">
        <f>IFERROR(__xludf.DUMMYFUNCTION("""COMPUTED_VALUE"""),2240000.0)</f>
        <v>2240000</v>
      </c>
      <c r="CL81" s="1482">
        <f>IFERROR(__xludf.DUMMYFUNCTION("""COMPUTED_VALUE"""),28.429166666666667)</f>
        <v>28.42916667</v>
      </c>
      <c r="CM81" s="1483">
        <f>IFERROR(__xludf.DUMMYFUNCTION("""COMPUTED_VALUE"""),2240000.0)</f>
        <v>2240000</v>
      </c>
      <c r="CN81" s="1482">
        <f>IFERROR(__xludf.DUMMYFUNCTION("""COMPUTED_VALUE"""),28.429166666666667)</f>
        <v>28.42916667</v>
      </c>
      <c r="CO81" s="1483">
        <f>IFERROR(__xludf.DUMMYFUNCTION("""COMPUTED_VALUE"""),2240000.0)</f>
        <v>2240000</v>
      </c>
      <c r="CP81" s="1482">
        <f>IFERROR(__xludf.DUMMYFUNCTION("""COMPUTED_VALUE"""),67.75347222222223)</f>
        <v>67.75347222</v>
      </c>
      <c r="CQ81" s="1483">
        <f>IFERROR(__xludf.DUMMYFUNCTION("""COMPUTED_VALUE"""),9540000.0)</f>
        <v>9540000</v>
      </c>
      <c r="CR81" s="1518"/>
      <c r="CS81" s="1519"/>
      <c r="CT81" s="1520"/>
      <c r="CU81" s="1519"/>
      <c r="CV81" s="1520"/>
      <c r="CW81" s="1519"/>
      <c r="CX81" s="1520"/>
      <c r="CY81" s="1519"/>
      <c r="CZ81" s="1520"/>
      <c r="DA81" s="1520"/>
      <c r="DB81" s="1520"/>
      <c r="DC81" s="1520"/>
      <c r="DD81" s="1520"/>
      <c r="DE81" s="1519"/>
      <c r="DF81" s="1518"/>
      <c r="DG81" s="1519"/>
      <c r="DH81" s="1518"/>
      <c r="DI81" s="1519"/>
      <c r="DJ81" s="1518"/>
      <c r="DK81" s="1519"/>
      <c r="DL81" s="1518"/>
      <c r="DM81" s="1519"/>
      <c r="DN81" s="1518"/>
      <c r="DO81" s="1519"/>
      <c r="DP81" s="1518"/>
      <c r="DQ81" s="1519"/>
      <c r="DR81" s="1518"/>
      <c r="DS81" s="1519"/>
      <c r="DT81" s="1518"/>
      <c r="DU81" s="1519"/>
      <c r="DV81" s="1520"/>
      <c r="DW81" s="1519"/>
      <c r="DX81" s="1518"/>
      <c r="DY81" s="1519"/>
      <c r="DZ81" s="1518"/>
      <c r="EA81" s="1519"/>
      <c r="EB81" s="1518"/>
      <c r="EC81" s="1519"/>
      <c r="ED81" s="1518"/>
      <c r="EE81" s="1519"/>
      <c r="EF81" s="1518"/>
      <c r="EG81" s="1519"/>
      <c r="EH81" s="1518"/>
      <c r="EI81" s="1519"/>
      <c r="EJ81" s="1562"/>
      <c r="EK81" s="1560"/>
      <c r="EL81" s="1562"/>
      <c r="EM81" s="1560"/>
      <c r="EN81" s="1518"/>
      <c r="EO81" s="1519"/>
      <c r="EP81" s="1518"/>
      <c r="EQ81" s="1519"/>
      <c r="ER81" s="1518"/>
      <c r="ES81" s="1519"/>
      <c r="ET81" s="1518"/>
      <c r="EU81" s="1519"/>
      <c r="EV81" s="1518"/>
      <c r="EW81" s="1519"/>
      <c r="EX81" s="1518"/>
      <c r="EY81" s="1519"/>
      <c r="EZ81" s="1518"/>
      <c r="FA81" s="1519"/>
      <c r="FB81" s="1520"/>
      <c r="FC81" s="1519"/>
      <c r="FD81" s="1520"/>
      <c r="FE81" s="1519"/>
      <c r="FF81" s="1520"/>
      <c r="FG81" s="1519"/>
      <c r="FH81" s="1520"/>
      <c r="FI81" s="1520"/>
      <c r="FJ81" s="1520"/>
      <c r="FK81" s="1519"/>
      <c r="FL81" s="1518"/>
      <c r="FM81" s="1519"/>
      <c r="FN81" s="1532"/>
      <c r="FO81" s="1520"/>
      <c r="FP81" s="1532"/>
      <c r="FQ81" s="1520"/>
      <c r="FR81" s="1532"/>
      <c r="FS81" s="1520"/>
      <c r="FT81" s="1532"/>
      <c r="FU81" s="1519"/>
      <c r="FV81" s="1532"/>
      <c r="FW81" s="1519"/>
      <c r="FX81" s="1572"/>
      <c r="FY81" s="1560"/>
      <c r="FZ81" s="1572"/>
      <c r="GA81" s="1560"/>
      <c r="GB81" s="1572"/>
      <c r="GC81" s="1560"/>
      <c r="GD81" s="1527"/>
      <c r="GE81" s="1560"/>
      <c r="GF81" s="1518"/>
      <c r="GG81" s="1519"/>
      <c r="GH81" s="1518"/>
      <c r="GI81" s="1519"/>
      <c r="GJ81" s="1518"/>
      <c r="GK81" s="1519"/>
      <c r="GL81" s="1518"/>
      <c r="GM81" s="1519"/>
      <c r="GN81" s="1520"/>
      <c r="GO81" s="1519"/>
      <c r="GP81" s="1520"/>
      <c r="GQ81" s="1519"/>
      <c r="GR81" s="1518"/>
      <c r="GS81" s="1519"/>
      <c r="GT81" s="1518"/>
      <c r="GU81" s="1519"/>
      <c r="GV81" s="1520"/>
      <c r="GW81" s="1519"/>
      <c r="GX81" s="1561"/>
      <c r="GY81" s="1527"/>
      <c r="GZ81" s="1518"/>
      <c r="HA81" s="1519"/>
      <c r="HB81" s="1501">
        <f>IFERROR(__xludf.DUMMYFUNCTION("""COMPUTED_VALUE"""),3406.49375)</f>
        <v>3406.49375</v>
      </c>
      <c r="HC81" s="1502">
        <f>IFERROR(__xludf.DUMMYFUNCTION("""COMPUTED_VALUE"""),5.774E13)</f>
        <v>57740000000000</v>
      </c>
      <c r="HD81" s="1518"/>
      <c r="HE81" s="1519"/>
      <c r="HF81" s="1518"/>
      <c r="HG81" s="1519"/>
      <c r="HH81" s="1518"/>
      <c r="HI81" s="1519"/>
      <c r="HJ81" s="1518"/>
      <c r="HK81" s="1519"/>
      <c r="HL81" s="1518"/>
      <c r="HM81" s="1519"/>
      <c r="HN81" s="1520"/>
      <c r="HO81" s="1519"/>
      <c r="HP81" s="1518"/>
      <c r="HQ81" s="1519"/>
      <c r="HR81" s="1518"/>
      <c r="HS81" s="1519"/>
      <c r="HT81" s="1518"/>
      <c r="HU81" s="1519"/>
      <c r="HV81" s="1518"/>
      <c r="HW81" s="1519"/>
      <c r="HX81" s="1518"/>
      <c r="HY81" s="1519"/>
      <c r="HZ81" s="1518"/>
      <c r="IA81" s="1519"/>
      <c r="IB81" s="1518"/>
      <c r="IC81" s="1519"/>
      <c r="ID81" s="1518"/>
      <c r="IE81" s="1519"/>
      <c r="IF81" s="1518"/>
      <c r="IG81" s="1519"/>
      <c r="IH81" s="1518"/>
      <c r="II81" s="1519"/>
      <c r="IJ81" s="1518"/>
      <c r="IK81" s="1519"/>
      <c r="IL81" s="1518"/>
      <c r="IM81" s="1519"/>
      <c r="IN81" s="1518"/>
      <c r="IO81" s="1519"/>
      <c r="IP81" s="1518"/>
      <c r="IQ81" s="1519"/>
      <c r="IR81" s="1518"/>
      <c r="IS81" s="1519"/>
      <c r="IT81" s="1518"/>
      <c r="IU81" s="1519"/>
      <c r="IV81" s="1518"/>
      <c r="IW81" s="1519"/>
      <c r="IX81" s="1518"/>
      <c r="IY81" s="1519"/>
      <c r="IZ81" s="1518"/>
      <c r="JA81" s="1519"/>
      <c r="JB81" s="1518"/>
      <c r="JC81" s="1519"/>
      <c r="JD81" s="1518"/>
      <c r="JE81" s="1519"/>
      <c r="JF81" s="1518"/>
      <c r="JG81" s="1519"/>
      <c r="JH81" s="1518"/>
      <c r="JI81" s="1519"/>
      <c r="JJ81" s="1562"/>
      <c r="JK81" s="1560"/>
      <c r="JL81" s="1562"/>
      <c r="JM81" s="1560"/>
      <c r="JN81" s="1562"/>
      <c r="JO81" s="1560"/>
      <c r="JP81" s="1562"/>
      <c r="JQ81" s="1560"/>
      <c r="JR81" s="1562"/>
      <c r="JS81" s="1560"/>
      <c r="JT81" s="1562"/>
      <c r="JU81" s="1560"/>
      <c r="JV81" s="1562"/>
      <c r="JW81" s="1560"/>
      <c r="JX81" s="1562"/>
      <c r="JY81" s="1527"/>
      <c r="JZ81" s="1566">
        <f>IFERROR(__xludf.DUMMYFUNCTION("""COMPUTED_VALUE"""),7.285555556)</f>
        <v>7.285555556</v>
      </c>
      <c r="KA81" s="1514">
        <f>IFERROR(__xludf.DUMMYFUNCTION("""COMPUTED_VALUE"""),2.5686E11)</f>
        <v>256860000000</v>
      </c>
      <c r="KB81" s="1562"/>
      <c r="KC81" s="1527"/>
      <c r="KD81" s="1562"/>
      <c r="KE81" s="1527"/>
      <c r="KF81" s="1527"/>
      <c r="KG81" s="1527"/>
      <c r="KH81" s="1527"/>
      <c r="KI81" s="1527"/>
      <c r="KJ81" s="1527"/>
      <c r="KK81" s="1527"/>
      <c r="KL81" s="1527"/>
      <c r="KM81" s="1527"/>
      <c r="KN81" s="1527"/>
      <c r="KO81" s="1527"/>
      <c r="KP81" s="1527"/>
      <c r="KQ81" s="1527"/>
      <c r="KR81" s="1527"/>
      <c r="KS81" s="1527"/>
      <c r="KT81" s="1527"/>
      <c r="KU81" s="1527"/>
      <c r="KV81" s="1527"/>
      <c r="KW81" s="1527"/>
      <c r="KX81" s="1527"/>
      <c r="KY81" s="1527"/>
      <c r="KZ81" s="1527"/>
      <c r="LA81" s="1527"/>
      <c r="LB81" s="1527"/>
      <c r="LC81" s="1527"/>
      <c r="LD81" s="1527"/>
      <c r="LE81" s="1527"/>
      <c r="LF81" s="1527"/>
      <c r="LG81" s="1527"/>
      <c r="LH81" s="1527"/>
      <c r="LI81" s="1527"/>
      <c r="LJ81" s="1527"/>
      <c r="LK81" s="1527"/>
      <c r="LL81" s="1527"/>
      <c r="LM81" s="1527"/>
      <c r="LN81" s="1527"/>
      <c r="LO81" s="1527"/>
      <c r="LP81" s="1527"/>
      <c r="LQ81" s="1527"/>
      <c r="LR81" s="1527"/>
      <c r="LS81" s="1527"/>
      <c r="LT81" s="1527"/>
      <c r="LU81" s="1527"/>
      <c r="LV81" s="1527"/>
      <c r="LW81" s="1527"/>
      <c r="LX81" s="1527"/>
      <c r="LY81" s="1527"/>
      <c r="LZ81" s="1527"/>
      <c r="MA81" s="1527"/>
      <c r="MB81" s="1527"/>
      <c r="MC81" s="1527"/>
      <c r="MD81" s="1527"/>
      <c r="ME81" s="1527"/>
      <c r="MF81" s="1527"/>
      <c r="MG81" s="1527"/>
      <c r="MH81" s="1527"/>
      <c r="MI81" s="1527"/>
      <c r="MJ81" s="1527"/>
      <c r="MK81" s="1527"/>
      <c r="ML81" s="1527"/>
      <c r="MM81" s="1527"/>
      <c r="MN81" s="1527"/>
      <c r="MO81" s="1527"/>
      <c r="MP81" s="1527"/>
      <c r="MQ81" s="1527"/>
      <c r="MR81" s="1527"/>
      <c r="MS81" s="1527"/>
      <c r="MT81" s="1527"/>
      <c r="MU81" s="1527"/>
      <c r="MV81" s="1527"/>
      <c r="MW81" s="1527"/>
      <c r="MX81" s="1527"/>
      <c r="MY81" s="1527"/>
    </row>
    <row r="82">
      <c r="A82" s="1465">
        <f>IFERROR(__xludf.DUMMYFUNCTION("""COMPUTED_VALUE"""),80.0)</f>
        <v>80</v>
      </c>
      <c r="B82" s="1533"/>
      <c r="C82" s="1541"/>
      <c r="D82" s="1471">
        <f>IFERROR(__xludf.DUMMYFUNCTION("""COMPUTED_VALUE"""),29.306944444444444)</f>
        <v>29.30694444</v>
      </c>
      <c r="E82" s="1472">
        <f>IFERROR(__xludf.DUMMYFUNCTION("""COMPUTED_VALUE"""),2320000.0)</f>
        <v>2320000</v>
      </c>
      <c r="F82" s="1471">
        <f>IFERROR(__xludf.DUMMYFUNCTION("""COMPUTED_VALUE"""),29.306944444444444)</f>
        <v>29.30694444</v>
      </c>
      <c r="G82" s="1472">
        <f>IFERROR(__xludf.DUMMYFUNCTION("""COMPUTED_VALUE"""),2320000.0)</f>
        <v>2320000</v>
      </c>
      <c r="H82" s="1471">
        <f>IFERROR(__xludf.DUMMYFUNCTION("""COMPUTED_VALUE"""),29.306944444444444)</f>
        <v>29.30694444</v>
      </c>
      <c r="I82" s="1472">
        <f>IFERROR(__xludf.DUMMYFUNCTION("""COMPUTED_VALUE"""),2320000.0)</f>
        <v>2320000</v>
      </c>
      <c r="J82" s="1471">
        <f>IFERROR(__xludf.DUMMYFUNCTION("""COMPUTED_VALUE"""),29.306944444444444)</f>
        <v>29.30694444</v>
      </c>
      <c r="K82" s="1472">
        <f>IFERROR(__xludf.DUMMYFUNCTION("""COMPUTED_VALUE"""),2320000.0)</f>
        <v>2320000</v>
      </c>
      <c r="L82" s="1471">
        <f>IFERROR(__xludf.DUMMYFUNCTION("""COMPUTED_VALUE"""),56.37291666666667)</f>
        <v>56.37291667</v>
      </c>
      <c r="M82" s="1536">
        <f>IFERROR(__xludf.DUMMYFUNCTION("""COMPUTED_VALUE"""),7570000.0)</f>
        <v>7570000</v>
      </c>
      <c r="N82" s="1537">
        <f>IFERROR(__xludf.DUMMYFUNCTION("""COMPUTED_VALUE"""),21.85)</f>
        <v>21.85</v>
      </c>
      <c r="O82" s="1472">
        <f>IFERROR(__xludf.DUMMYFUNCTION("""COMPUTED_VALUE"""),9920000.0)</f>
        <v>9920000</v>
      </c>
      <c r="P82" s="1533"/>
      <c r="Q82" s="1534"/>
      <c r="R82" s="1533"/>
      <c r="S82" s="1534"/>
      <c r="T82" s="1533"/>
      <c r="U82" s="1534"/>
      <c r="V82" s="1533"/>
      <c r="W82" s="1534"/>
      <c r="X82" s="1533"/>
      <c r="Y82" s="1534"/>
      <c r="Z82" s="1533"/>
      <c r="AA82" s="1534"/>
      <c r="AB82" s="1533"/>
      <c r="AC82" s="1534"/>
      <c r="AD82" s="1471">
        <f>IFERROR(__xludf.DUMMYFUNCTION("""COMPUTED_VALUE"""),86.39583333333333)</f>
        <v>86.39583333</v>
      </c>
      <c r="AE82" s="1538">
        <f>IFERROR(__xludf.DUMMYFUNCTION("""COMPUTED_VALUE"""),1.003517227E18)</f>
        <v>1.00352E+18</v>
      </c>
      <c r="AF82" s="1471">
        <f>IFERROR(__xludf.DUMMYFUNCTION("""COMPUTED_VALUE"""),86.39583333333333)</f>
        <v>86.39583333</v>
      </c>
      <c r="AG82" s="1538">
        <f>IFERROR(__xludf.DUMMYFUNCTION("""COMPUTED_VALUE"""),1.003517227E18)</f>
        <v>1.00352E+18</v>
      </c>
      <c r="AH82" s="1471">
        <f>IFERROR(__xludf.DUMMYFUNCTION("""COMPUTED_VALUE"""),86.39583333333333)</f>
        <v>86.39583333</v>
      </c>
      <c r="AI82" s="1538">
        <f>IFERROR(__xludf.DUMMYFUNCTION("""COMPUTED_VALUE"""),1.003517227E18)</f>
        <v>1.00352E+18</v>
      </c>
      <c r="AJ82" s="1539">
        <f>IFERROR(__xludf.DUMMYFUNCTION("""COMPUTED_VALUE"""),29.306944444444444)</f>
        <v>29.30694444</v>
      </c>
      <c r="AK82" s="1540">
        <f>IFERROR(__xludf.DUMMYFUNCTION("""COMPUTED_VALUE"""),2320000.0)</f>
        <v>2320000</v>
      </c>
      <c r="AL82" s="1539">
        <f>IFERROR(__xludf.DUMMYFUNCTION("""COMPUTED_VALUE"""),29.306944444444444)</f>
        <v>29.30694444</v>
      </c>
      <c r="AM82" s="1540">
        <f>IFERROR(__xludf.DUMMYFUNCTION("""COMPUTED_VALUE"""),2320000.0)</f>
        <v>2320000</v>
      </c>
      <c r="AN82" s="1539">
        <f>IFERROR(__xludf.DUMMYFUNCTION("""COMPUTED_VALUE"""),29.306944444444444)</f>
        <v>29.30694444</v>
      </c>
      <c r="AO82" s="1540">
        <f>IFERROR(__xludf.DUMMYFUNCTION("""COMPUTED_VALUE"""),2320000.0)</f>
        <v>2320000</v>
      </c>
      <c r="AP82" s="1539">
        <f>IFERROR(__xludf.DUMMYFUNCTION("""COMPUTED_VALUE"""),29.306944444444444)</f>
        <v>29.30694444</v>
      </c>
      <c r="AQ82" s="1540">
        <f>IFERROR(__xludf.DUMMYFUNCTION("""COMPUTED_VALUE"""),2320000.0)</f>
        <v>2320000</v>
      </c>
      <c r="AR82" s="1539">
        <f>IFERROR(__xludf.DUMMYFUNCTION("""COMPUTED_VALUE"""),29.306944444444444)</f>
        <v>29.30694444</v>
      </c>
      <c r="AS82" s="1540">
        <f>IFERROR(__xludf.DUMMYFUNCTION("""COMPUTED_VALUE"""),2320000.0)</f>
        <v>2320000</v>
      </c>
      <c r="AT82" s="1541"/>
      <c r="AU82" s="1534"/>
      <c r="AV82" s="1541"/>
      <c r="AW82" s="1534"/>
      <c r="AX82" s="1533"/>
      <c r="AY82" s="1569"/>
      <c r="AZ82" s="1533"/>
      <c r="BA82" s="1533"/>
      <c r="BB82" s="1479">
        <f>IFERROR(__xludf.DUMMYFUNCTION("""COMPUTED_VALUE"""),29.306944444444444)</f>
        <v>29.30694444</v>
      </c>
      <c r="BC82" s="1480">
        <f>IFERROR(__xludf.DUMMYFUNCTION("""COMPUTED_VALUE"""),2320000.0)</f>
        <v>2320000</v>
      </c>
      <c r="BD82" s="1479">
        <f>IFERROR(__xludf.DUMMYFUNCTION("""COMPUTED_VALUE"""),29.306944444444444)</f>
        <v>29.30694444</v>
      </c>
      <c r="BE82" s="1480">
        <f>IFERROR(__xludf.DUMMYFUNCTION("""COMPUTED_VALUE"""),2320000.0)</f>
        <v>2320000</v>
      </c>
      <c r="BF82" s="1479">
        <f>IFERROR(__xludf.DUMMYFUNCTION("""COMPUTED_VALUE"""),29.306944444444444)</f>
        <v>29.30694444</v>
      </c>
      <c r="BG82" s="1480">
        <f>IFERROR(__xludf.DUMMYFUNCTION("""COMPUTED_VALUE"""),2320000.0)</f>
        <v>2320000</v>
      </c>
      <c r="BH82" s="1533"/>
      <c r="BI82" s="1534"/>
      <c r="BJ82" s="1533"/>
      <c r="BK82" s="1534"/>
      <c r="BL82" s="1533"/>
      <c r="BM82" s="1534"/>
      <c r="BN82" s="1533"/>
      <c r="BO82" s="1534"/>
      <c r="BP82" s="1533"/>
      <c r="BQ82" s="1534"/>
      <c r="BR82" s="1541"/>
      <c r="BS82" s="1534"/>
      <c r="BT82" s="1541"/>
      <c r="BU82" s="1541"/>
      <c r="BV82" s="1541"/>
      <c r="BW82" s="1541"/>
      <c r="BX82" s="1541"/>
      <c r="BY82" s="1541"/>
      <c r="BZ82" s="1541"/>
      <c r="CA82" s="1541"/>
      <c r="CB82" s="1541"/>
      <c r="CC82" s="1534"/>
      <c r="CD82" s="1541"/>
      <c r="CE82" s="1541"/>
      <c r="CF82" s="1550"/>
      <c r="CG82" s="1564"/>
      <c r="CH82" s="1484">
        <f>IFERROR(__xludf.DUMMYFUNCTION("""COMPUTED_VALUE"""),29.306944444444444)</f>
        <v>29.30694444</v>
      </c>
      <c r="CI82" s="1485">
        <f>IFERROR(__xludf.DUMMYFUNCTION("""COMPUTED_VALUE"""),2320000.0)</f>
        <v>2320000</v>
      </c>
      <c r="CJ82" s="1484">
        <f>IFERROR(__xludf.DUMMYFUNCTION("""COMPUTED_VALUE"""),29.306944444444444)</f>
        <v>29.30694444</v>
      </c>
      <c r="CK82" s="1485">
        <f>IFERROR(__xludf.DUMMYFUNCTION("""COMPUTED_VALUE"""),2320000.0)</f>
        <v>2320000</v>
      </c>
      <c r="CL82" s="1484">
        <f>IFERROR(__xludf.DUMMYFUNCTION("""COMPUTED_VALUE"""),29.306944444444444)</f>
        <v>29.30694444</v>
      </c>
      <c r="CM82" s="1485">
        <f>IFERROR(__xludf.DUMMYFUNCTION("""COMPUTED_VALUE"""),2320000.0)</f>
        <v>2320000</v>
      </c>
      <c r="CN82" s="1484">
        <f>IFERROR(__xludf.DUMMYFUNCTION("""COMPUTED_VALUE"""),29.306944444444444)</f>
        <v>29.30694444</v>
      </c>
      <c r="CO82" s="1485">
        <f>IFERROR(__xludf.DUMMYFUNCTION("""COMPUTED_VALUE"""),2320000.0)</f>
        <v>2320000</v>
      </c>
      <c r="CP82" s="1484">
        <f>IFERROR(__xludf.DUMMYFUNCTION("""COMPUTED_VALUE"""),70.02569444444444)</f>
        <v>70.02569444</v>
      </c>
      <c r="CQ82" s="1485">
        <f>IFERROR(__xludf.DUMMYFUNCTION("""COMPUTED_VALUE"""),9920000.0)</f>
        <v>9920000</v>
      </c>
      <c r="CR82" s="1533"/>
      <c r="CS82" s="1534"/>
      <c r="CT82" s="1541"/>
      <c r="CU82" s="1534"/>
      <c r="CV82" s="1541"/>
      <c r="CW82" s="1534"/>
      <c r="CX82" s="1541"/>
      <c r="CY82" s="1534"/>
      <c r="CZ82" s="1541"/>
      <c r="DA82" s="1541"/>
      <c r="DB82" s="1541"/>
      <c r="DC82" s="1541"/>
      <c r="DD82" s="1541"/>
      <c r="DE82" s="1534"/>
      <c r="DF82" s="1533"/>
      <c r="DG82" s="1534"/>
      <c r="DH82" s="1533"/>
      <c r="DI82" s="1534"/>
      <c r="DJ82" s="1533"/>
      <c r="DK82" s="1534"/>
      <c r="DL82" s="1533"/>
      <c r="DM82" s="1534"/>
      <c r="DN82" s="1533"/>
      <c r="DO82" s="1534"/>
      <c r="DP82" s="1533"/>
      <c r="DQ82" s="1534"/>
      <c r="DR82" s="1533"/>
      <c r="DS82" s="1534"/>
      <c r="DT82" s="1533"/>
      <c r="DU82" s="1534"/>
      <c r="DV82" s="1541"/>
      <c r="DW82" s="1534"/>
      <c r="DX82" s="1533"/>
      <c r="DY82" s="1534"/>
      <c r="DZ82" s="1533"/>
      <c r="EA82" s="1534"/>
      <c r="EB82" s="1533"/>
      <c r="EC82" s="1534"/>
      <c r="ED82" s="1533"/>
      <c r="EE82" s="1534"/>
      <c r="EF82" s="1533"/>
      <c r="EG82" s="1534"/>
      <c r="EH82" s="1533"/>
      <c r="EI82" s="1534"/>
      <c r="EJ82" s="1565"/>
      <c r="EK82" s="1564"/>
      <c r="EL82" s="1565"/>
      <c r="EM82" s="1564"/>
      <c r="EN82" s="1533"/>
      <c r="EO82" s="1534"/>
      <c r="EP82" s="1533"/>
      <c r="EQ82" s="1534"/>
      <c r="ER82" s="1533"/>
      <c r="ES82" s="1534"/>
      <c r="ET82" s="1533"/>
      <c r="EU82" s="1534"/>
      <c r="EV82" s="1533"/>
      <c r="EW82" s="1534"/>
      <c r="EX82" s="1533"/>
      <c r="EY82" s="1534"/>
      <c r="EZ82" s="1533"/>
      <c r="FA82" s="1534"/>
      <c r="FB82" s="1541"/>
      <c r="FC82" s="1534"/>
      <c r="FD82" s="1541"/>
      <c r="FE82" s="1534"/>
      <c r="FF82" s="1541"/>
      <c r="FG82" s="1534"/>
      <c r="FH82" s="1541"/>
      <c r="FI82" s="1541"/>
      <c r="FJ82" s="1541"/>
      <c r="FK82" s="1534"/>
      <c r="FL82" s="1533"/>
      <c r="FM82" s="1534"/>
      <c r="FN82" s="1545"/>
      <c r="FO82" s="1541"/>
      <c r="FP82" s="1545"/>
      <c r="FQ82" s="1541"/>
      <c r="FR82" s="1545"/>
      <c r="FS82" s="1541"/>
      <c r="FT82" s="1545"/>
      <c r="FU82" s="1534"/>
      <c r="FV82" s="1545"/>
      <c r="FW82" s="1534"/>
      <c r="FX82" s="1574"/>
      <c r="FY82" s="1564"/>
      <c r="FZ82" s="1574"/>
      <c r="GA82" s="1564"/>
      <c r="GB82" s="1574"/>
      <c r="GC82" s="1564"/>
      <c r="GD82" s="1550"/>
      <c r="GE82" s="1564"/>
      <c r="GF82" s="1533"/>
      <c r="GG82" s="1534"/>
      <c r="GH82" s="1533"/>
      <c r="GI82" s="1534"/>
      <c r="GJ82" s="1533"/>
      <c r="GK82" s="1534"/>
      <c r="GL82" s="1533"/>
      <c r="GM82" s="1534"/>
      <c r="GN82" s="1541"/>
      <c r="GO82" s="1534"/>
      <c r="GP82" s="1541"/>
      <c r="GQ82" s="1534"/>
      <c r="GR82" s="1533"/>
      <c r="GS82" s="1534"/>
      <c r="GT82" s="1533"/>
      <c r="GU82" s="1534"/>
      <c r="GV82" s="1541"/>
      <c r="GW82" s="1534"/>
      <c r="GX82" s="1549"/>
      <c r="GY82" s="1550"/>
      <c r="GZ82" s="1533"/>
      <c r="HA82" s="1534"/>
      <c r="HB82" s="1551">
        <f>IFERROR(__xludf.DUMMYFUNCTION("""COMPUTED_VALUE"""),3561.45625)</f>
        <v>3561.45625</v>
      </c>
      <c r="HC82" s="1552">
        <f>IFERROR(__xludf.DUMMYFUNCTION("""COMPUTED_VALUE"""),6.154E13)</f>
        <v>61540000000000</v>
      </c>
      <c r="HD82" s="1533"/>
      <c r="HE82" s="1534"/>
      <c r="HF82" s="1533"/>
      <c r="HG82" s="1534"/>
      <c r="HH82" s="1533"/>
      <c r="HI82" s="1534"/>
      <c r="HJ82" s="1533"/>
      <c r="HK82" s="1534"/>
      <c r="HL82" s="1533"/>
      <c r="HM82" s="1534"/>
      <c r="HN82" s="1541"/>
      <c r="HO82" s="1534"/>
      <c r="HP82" s="1533"/>
      <c r="HQ82" s="1534"/>
      <c r="HR82" s="1533"/>
      <c r="HS82" s="1534"/>
      <c r="HT82" s="1533"/>
      <c r="HU82" s="1534"/>
      <c r="HV82" s="1533"/>
      <c r="HW82" s="1534"/>
      <c r="HX82" s="1533"/>
      <c r="HY82" s="1534"/>
      <c r="HZ82" s="1533"/>
      <c r="IA82" s="1534"/>
      <c r="IB82" s="1533"/>
      <c r="IC82" s="1534"/>
      <c r="ID82" s="1533"/>
      <c r="IE82" s="1534"/>
      <c r="IF82" s="1533"/>
      <c r="IG82" s="1534"/>
      <c r="IH82" s="1533"/>
      <c r="II82" s="1534"/>
      <c r="IJ82" s="1533"/>
      <c r="IK82" s="1534"/>
      <c r="IL82" s="1533"/>
      <c r="IM82" s="1534"/>
      <c r="IN82" s="1533"/>
      <c r="IO82" s="1534"/>
      <c r="IP82" s="1533"/>
      <c r="IQ82" s="1534"/>
      <c r="IR82" s="1533"/>
      <c r="IS82" s="1534"/>
      <c r="IT82" s="1533"/>
      <c r="IU82" s="1534"/>
      <c r="IV82" s="1533"/>
      <c r="IW82" s="1534"/>
      <c r="IX82" s="1533"/>
      <c r="IY82" s="1534"/>
      <c r="IZ82" s="1533"/>
      <c r="JA82" s="1534"/>
      <c r="JB82" s="1533"/>
      <c r="JC82" s="1534"/>
      <c r="JD82" s="1533"/>
      <c r="JE82" s="1534"/>
      <c r="JF82" s="1533"/>
      <c r="JG82" s="1534"/>
      <c r="JH82" s="1533"/>
      <c r="JI82" s="1534"/>
      <c r="JJ82" s="1565"/>
      <c r="JK82" s="1564"/>
      <c r="JL82" s="1565"/>
      <c r="JM82" s="1564"/>
      <c r="JN82" s="1565"/>
      <c r="JO82" s="1564"/>
      <c r="JP82" s="1565"/>
      <c r="JQ82" s="1564"/>
      <c r="JR82" s="1565"/>
      <c r="JS82" s="1564"/>
      <c r="JT82" s="1565"/>
      <c r="JU82" s="1564"/>
      <c r="JV82" s="1565"/>
      <c r="JW82" s="1564"/>
      <c r="JX82" s="1562"/>
      <c r="JY82" s="1527"/>
      <c r="JZ82" s="1566">
        <f>IFERROR(__xludf.DUMMYFUNCTION("""COMPUTED_VALUE"""),7.398391204)</f>
        <v>7.398391204</v>
      </c>
      <c r="KA82" s="1514">
        <f>IFERROR(__xludf.DUMMYFUNCTION("""COMPUTED_VALUE"""),2.6584E11)</f>
        <v>265840000000</v>
      </c>
      <c r="KB82" s="1562"/>
      <c r="KC82" s="1527"/>
      <c r="KD82" s="1562"/>
      <c r="KE82" s="1527"/>
      <c r="KF82" s="1527"/>
      <c r="KG82" s="1527"/>
      <c r="KH82" s="1527"/>
      <c r="KI82" s="1527"/>
      <c r="KJ82" s="1527"/>
      <c r="KK82" s="1527"/>
      <c r="KL82" s="1527"/>
      <c r="KM82" s="1527"/>
      <c r="KN82" s="1527"/>
      <c r="KO82" s="1527"/>
      <c r="KP82" s="1527"/>
      <c r="KQ82" s="1527"/>
      <c r="KR82" s="1527"/>
      <c r="KS82" s="1527"/>
      <c r="KT82" s="1527"/>
      <c r="KU82" s="1527"/>
      <c r="KV82" s="1527"/>
      <c r="KW82" s="1527"/>
      <c r="KX82" s="1527"/>
      <c r="KY82" s="1527"/>
      <c r="KZ82" s="1527"/>
      <c r="LA82" s="1527"/>
      <c r="LB82" s="1527"/>
      <c r="LC82" s="1527"/>
      <c r="LD82" s="1527"/>
      <c r="LE82" s="1527"/>
      <c r="LF82" s="1527"/>
      <c r="LG82" s="1527"/>
      <c r="LH82" s="1527"/>
      <c r="LI82" s="1527"/>
      <c r="LJ82" s="1527"/>
      <c r="LK82" s="1527"/>
      <c r="LL82" s="1550"/>
      <c r="LM82" s="1550"/>
      <c r="LN82" s="1527"/>
      <c r="LO82" s="1527"/>
      <c r="LP82" s="1527"/>
      <c r="LQ82" s="1527"/>
      <c r="LR82" s="1527"/>
      <c r="LS82" s="1527"/>
      <c r="LT82" s="1527"/>
      <c r="LU82" s="1527"/>
      <c r="LV82" s="1527"/>
      <c r="LW82" s="1527"/>
      <c r="LX82" s="1527"/>
      <c r="LY82" s="1527"/>
      <c r="LZ82" s="1527"/>
      <c r="MA82" s="1527"/>
      <c r="MB82" s="1527"/>
      <c r="MC82" s="1527"/>
      <c r="MD82" s="1527"/>
      <c r="ME82" s="1527"/>
      <c r="MF82" s="1527"/>
      <c r="MG82" s="1527"/>
      <c r="MH82" s="1527"/>
      <c r="MI82" s="1527"/>
      <c r="MJ82" s="1527"/>
      <c r="MK82" s="1527"/>
      <c r="ML82" s="1527"/>
      <c r="MM82" s="1527"/>
      <c r="MN82" s="1527"/>
      <c r="MO82" s="1527"/>
      <c r="MP82" s="1527"/>
      <c r="MQ82" s="1527"/>
      <c r="MR82" s="1527"/>
      <c r="MS82" s="1527"/>
      <c r="MT82" s="1527"/>
      <c r="MU82" s="1527"/>
      <c r="MV82" s="1527"/>
      <c r="MW82" s="1527"/>
      <c r="MX82" s="1527"/>
      <c r="MY82" s="1527"/>
    </row>
    <row r="83">
      <c r="A83" s="1465">
        <f>IFERROR(__xludf.DUMMYFUNCTION("""COMPUTED_VALUE"""),81.0)</f>
        <v>81</v>
      </c>
      <c r="B83" s="1518"/>
      <c r="C83" s="1520"/>
      <c r="D83" s="1466">
        <f>IFERROR(__xludf.DUMMYFUNCTION("""COMPUTED_VALUE"""),30.2)</f>
        <v>30.2</v>
      </c>
      <c r="E83" s="1467">
        <f>IFERROR(__xludf.DUMMYFUNCTION("""COMPUTED_VALUE"""),2400000.0)</f>
        <v>2400000</v>
      </c>
      <c r="F83" s="1466">
        <f>IFERROR(__xludf.DUMMYFUNCTION("""COMPUTED_VALUE"""),30.2)</f>
        <v>30.2</v>
      </c>
      <c r="G83" s="1467">
        <f>IFERROR(__xludf.DUMMYFUNCTION("""COMPUTED_VALUE"""),2400000.0)</f>
        <v>2400000</v>
      </c>
      <c r="H83" s="1466">
        <f>IFERROR(__xludf.DUMMYFUNCTION("""COMPUTED_VALUE"""),30.2)</f>
        <v>30.2</v>
      </c>
      <c r="I83" s="1467">
        <f>IFERROR(__xludf.DUMMYFUNCTION("""COMPUTED_VALUE"""),2400000.0)</f>
        <v>2400000</v>
      </c>
      <c r="J83" s="1466">
        <f>IFERROR(__xludf.DUMMYFUNCTION("""COMPUTED_VALUE"""),30.2)</f>
        <v>30.2</v>
      </c>
      <c r="K83" s="1467">
        <f>IFERROR(__xludf.DUMMYFUNCTION("""COMPUTED_VALUE"""),2400000.0)</f>
        <v>2400000</v>
      </c>
      <c r="L83" s="1466">
        <f>IFERROR(__xludf.DUMMYFUNCTION("""COMPUTED_VALUE"""),58.201388888888886)</f>
        <v>58.20138889</v>
      </c>
      <c r="M83" s="1469">
        <f>IFERROR(__xludf.DUMMYFUNCTION("""COMPUTED_VALUE"""),7840000.0)</f>
        <v>7840000</v>
      </c>
      <c r="N83" s="1470">
        <f>IFERROR(__xludf.DUMMYFUNCTION("""COMPUTED_VALUE"""),22.384722222222223)</f>
        <v>22.38472222</v>
      </c>
      <c r="O83" s="1467">
        <f>IFERROR(__xludf.DUMMYFUNCTION("""COMPUTED_VALUE"""),1.032E7)</f>
        <v>10320000</v>
      </c>
      <c r="P83" s="1518"/>
      <c r="Q83" s="1519"/>
      <c r="R83" s="1518"/>
      <c r="S83" s="1519"/>
      <c r="T83" s="1518"/>
      <c r="U83" s="1519"/>
      <c r="V83" s="1518"/>
      <c r="W83" s="1519"/>
      <c r="X83" s="1518"/>
      <c r="Y83" s="1519"/>
      <c r="Z83" s="1518"/>
      <c r="AA83" s="1519"/>
      <c r="AB83" s="1518"/>
      <c r="AC83" s="1519"/>
      <c r="AD83" s="1466">
        <f>IFERROR(__xludf.DUMMYFUNCTION("""COMPUTED_VALUE"""),87.47569444444444)</f>
        <v>87.47569444</v>
      </c>
      <c r="AE83" s="1474">
        <f>IFERROR(__xludf.DUMMYFUNCTION("""COMPUTED_VALUE"""),1.304572395E18)</f>
        <v>1.30457E+18</v>
      </c>
      <c r="AF83" s="1466">
        <f>IFERROR(__xludf.DUMMYFUNCTION("""COMPUTED_VALUE"""),87.47569444444444)</f>
        <v>87.47569444</v>
      </c>
      <c r="AG83" s="1474">
        <f>IFERROR(__xludf.DUMMYFUNCTION("""COMPUTED_VALUE"""),1.304572395E18)</f>
        <v>1.30457E+18</v>
      </c>
      <c r="AH83" s="1466">
        <f>IFERROR(__xludf.DUMMYFUNCTION("""COMPUTED_VALUE"""),87.47569444444444)</f>
        <v>87.47569444</v>
      </c>
      <c r="AI83" s="1474">
        <f>IFERROR(__xludf.DUMMYFUNCTION("""COMPUTED_VALUE"""),1.304572395E18)</f>
        <v>1.30457E+18</v>
      </c>
      <c r="AJ83" s="1475">
        <f>IFERROR(__xludf.DUMMYFUNCTION("""COMPUTED_VALUE"""),30.2)</f>
        <v>30.2</v>
      </c>
      <c r="AK83" s="1476">
        <f>IFERROR(__xludf.DUMMYFUNCTION("""COMPUTED_VALUE"""),2400000.0)</f>
        <v>2400000</v>
      </c>
      <c r="AL83" s="1475">
        <f>IFERROR(__xludf.DUMMYFUNCTION("""COMPUTED_VALUE"""),30.2)</f>
        <v>30.2</v>
      </c>
      <c r="AM83" s="1476">
        <f>IFERROR(__xludf.DUMMYFUNCTION("""COMPUTED_VALUE"""),2400000.0)</f>
        <v>2400000</v>
      </c>
      <c r="AN83" s="1475">
        <f>IFERROR(__xludf.DUMMYFUNCTION("""COMPUTED_VALUE"""),30.2)</f>
        <v>30.2</v>
      </c>
      <c r="AO83" s="1476">
        <f>IFERROR(__xludf.DUMMYFUNCTION("""COMPUTED_VALUE"""),2400000.0)</f>
        <v>2400000</v>
      </c>
      <c r="AP83" s="1520"/>
      <c r="AQ83" s="1519"/>
      <c r="AR83" s="1475">
        <f>IFERROR(__xludf.DUMMYFUNCTION("""COMPUTED_VALUE"""),30.2)</f>
        <v>30.2</v>
      </c>
      <c r="AS83" s="1476">
        <f>IFERROR(__xludf.DUMMYFUNCTION("""COMPUTED_VALUE"""),2400000.0)</f>
        <v>2400000</v>
      </c>
      <c r="AT83" s="1520"/>
      <c r="AU83" s="1519"/>
      <c r="AV83" s="1520"/>
      <c r="AW83" s="1519"/>
      <c r="AX83" s="1518"/>
      <c r="AY83" s="1568"/>
      <c r="AZ83" s="1518"/>
      <c r="BA83" s="1518"/>
      <c r="BB83" s="1477">
        <f>IFERROR(__xludf.DUMMYFUNCTION("""COMPUTED_VALUE"""),30.2)</f>
        <v>30.2</v>
      </c>
      <c r="BC83" s="1478">
        <f>IFERROR(__xludf.DUMMYFUNCTION("""COMPUTED_VALUE"""),2400000.0)</f>
        <v>2400000</v>
      </c>
      <c r="BD83" s="1477">
        <f>IFERROR(__xludf.DUMMYFUNCTION("""COMPUTED_VALUE"""),30.2)</f>
        <v>30.2</v>
      </c>
      <c r="BE83" s="1478">
        <f>IFERROR(__xludf.DUMMYFUNCTION("""COMPUTED_VALUE"""),2400000.0)</f>
        <v>2400000</v>
      </c>
      <c r="BF83" s="1477">
        <f>IFERROR(__xludf.DUMMYFUNCTION("""COMPUTED_VALUE"""),30.2)</f>
        <v>30.2</v>
      </c>
      <c r="BG83" s="1478">
        <f>IFERROR(__xludf.DUMMYFUNCTION("""COMPUTED_VALUE"""),2400000.0)</f>
        <v>2400000</v>
      </c>
      <c r="BH83" s="1518"/>
      <c r="BI83" s="1519"/>
      <c r="BJ83" s="1518"/>
      <c r="BK83" s="1519"/>
      <c r="BL83" s="1518"/>
      <c r="BM83" s="1519"/>
      <c r="BN83" s="1518"/>
      <c r="BO83" s="1519"/>
      <c r="BP83" s="1518"/>
      <c r="BQ83" s="1519"/>
      <c r="BR83" s="1520"/>
      <c r="BS83" s="1519"/>
      <c r="BT83" s="1520"/>
      <c r="BU83" s="1520"/>
      <c r="BV83" s="1520"/>
      <c r="BW83" s="1520"/>
      <c r="BX83" s="1520"/>
      <c r="BY83" s="1520"/>
      <c r="BZ83" s="1520"/>
      <c r="CA83" s="1520"/>
      <c r="CB83" s="1520"/>
      <c r="CC83" s="1519"/>
      <c r="CD83" s="1520"/>
      <c r="CE83" s="1520"/>
      <c r="CF83" s="1527"/>
      <c r="CG83" s="1560"/>
      <c r="CH83" s="1482">
        <f>IFERROR(__xludf.DUMMYFUNCTION("""COMPUTED_VALUE"""),30.2)</f>
        <v>30.2</v>
      </c>
      <c r="CI83" s="1483">
        <f>IFERROR(__xludf.DUMMYFUNCTION("""COMPUTED_VALUE"""),2400000.0)</f>
        <v>2400000</v>
      </c>
      <c r="CJ83" s="1482">
        <f>IFERROR(__xludf.DUMMYFUNCTION("""COMPUTED_VALUE"""),30.2)</f>
        <v>30.2</v>
      </c>
      <c r="CK83" s="1483">
        <f>IFERROR(__xludf.DUMMYFUNCTION("""COMPUTED_VALUE"""),2400000.0)</f>
        <v>2400000</v>
      </c>
      <c r="CL83" s="1482">
        <f>IFERROR(__xludf.DUMMYFUNCTION("""COMPUTED_VALUE"""),30.2)</f>
        <v>30.2</v>
      </c>
      <c r="CM83" s="1483">
        <f>IFERROR(__xludf.DUMMYFUNCTION("""COMPUTED_VALUE"""),2400000.0)</f>
        <v>2400000</v>
      </c>
      <c r="CN83" s="1482">
        <f>IFERROR(__xludf.DUMMYFUNCTION("""COMPUTED_VALUE"""),30.2)</f>
        <v>30.2</v>
      </c>
      <c r="CO83" s="1483">
        <f>IFERROR(__xludf.DUMMYFUNCTION("""COMPUTED_VALUE"""),2400000.0)</f>
        <v>2400000</v>
      </c>
      <c r="CP83" s="1482">
        <f>IFERROR(__xludf.DUMMYFUNCTION("""COMPUTED_VALUE"""),72.34444444444443)</f>
        <v>72.34444444</v>
      </c>
      <c r="CQ83" s="1483">
        <f>IFERROR(__xludf.DUMMYFUNCTION("""COMPUTED_VALUE"""),1.032E7)</f>
        <v>10320000</v>
      </c>
      <c r="CR83" s="1518"/>
      <c r="CS83" s="1519"/>
      <c r="CT83" s="1520"/>
      <c r="CU83" s="1519"/>
      <c r="CV83" s="1520"/>
      <c r="CW83" s="1519"/>
      <c r="CX83" s="1520"/>
      <c r="CY83" s="1519"/>
      <c r="CZ83" s="1520"/>
      <c r="DA83" s="1520"/>
      <c r="DB83" s="1520"/>
      <c r="DC83" s="1520"/>
      <c r="DD83" s="1520"/>
      <c r="DE83" s="1519"/>
      <c r="DF83" s="1518"/>
      <c r="DG83" s="1519"/>
      <c r="DH83" s="1518"/>
      <c r="DI83" s="1519"/>
      <c r="DJ83" s="1518"/>
      <c r="DK83" s="1519"/>
      <c r="DL83" s="1518"/>
      <c r="DM83" s="1519"/>
      <c r="DN83" s="1518"/>
      <c r="DO83" s="1519"/>
      <c r="DP83" s="1518"/>
      <c r="DQ83" s="1519"/>
      <c r="DR83" s="1518"/>
      <c r="DS83" s="1519"/>
      <c r="DT83" s="1518"/>
      <c r="DU83" s="1519"/>
      <c r="DV83" s="1520"/>
      <c r="DW83" s="1519"/>
      <c r="DX83" s="1518"/>
      <c r="DY83" s="1519"/>
      <c r="DZ83" s="1518"/>
      <c r="EA83" s="1519"/>
      <c r="EB83" s="1518"/>
      <c r="EC83" s="1519"/>
      <c r="ED83" s="1518"/>
      <c r="EE83" s="1519"/>
      <c r="EF83" s="1518"/>
      <c r="EG83" s="1519"/>
      <c r="EH83" s="1518"/>
      <c r="EI83" s="1519"/>
      <c r="EJ83" s="1562"/>
      <c r="EK83" s="1560"/>
      <c r="EL83" s="1562"/>
      <c r="EM83" s="1560"/>
      <c r="EN83" s="1518"/>
      <c r="EO83" s="1519"/>
      <c r="EP83" s="1518"/>
      <c r="EQ83" s="1519"/>
      <c r="ER83" s="1518"/>
      <c r="ES83" s="1519"/>
      <c r="ET83" s="1518"/>
      <c r="EU83" s="1519"/>
      <c r="EV83" s="1518"/>
      <c r="EW83" s="1519"/>
      <c r="EX83" s="1518"/>
      <c r="EY83" s="1519"/>
      <c r="EZ83" s="1518"/>
      <c r="FA83" s="1519"/>
      <c r="FB83" s="1520"/>
      <c r="FC83" s="1519"/>
      <c r="FD83" s="1520"/>
      <c r="FE83" s="1519"/>
      <c r="FF83" s="1520"/>
      <c r="FG83" s="1519"/>
      <c r="FH83" s="1520"/>
      <c r="FI83" s="1520"/>
      <c r="FJ83" s="1520"/>
      <c r="FK83" s="1519"/>
      <c r="FL83" s="1518"/>
      <c r="FM83" s="1519"/>
      <c r="FN83" s="1532"/>
      <c r="FO83" s="1520"/>
      <c r="FP83" s="1532"/>
      <c r="FQ83" s="1520"/>
      <c r="FR83" s="1532"/>
      <c r="FS83" s="1520"/>
      <c r="FT83" s="1532"/>
      <c r="FU83" s="1519"/>
      <c r="FV83" s="1532"/>
      <c r="FW83" s="1519"/>
      <c r="FX83" s="1572"/>
      <c r="FY83" s="1560"/>
      <c r="FZ83" s="1572"/>
      <c r="GA83" s="1560"/>
      <c r="GB83" s="1572"/>
      <c r="GC83" s="1560"/>
      <c r="GD83" s="1527"/>
      <c r="GE83" s="1560"/>
      <c r="GF83" s="1518"/>
      <c r="GG83" s="1519"/>
      <c r="GH83" s="1518"/>
      <c r="GI83" s="1519"/>
      <c r="GJ83" s="1518"/>
      <c r="GK83" s="1519"/>
      <c r="GL83" s="1518"/>
      <c r="GM83" s="1519"/>
      <c r="GN83" s="1520"/>
      <c r="GO83" s="1519"/>
      <c r="GP83" s="1520"/>
      <c r="GQ83" s="1519"/>
      <c r="GR83" s="1518"/>
      <c r="GS83" s="1519"/>
      <c r="GT83" s="1518"/>
      <c r="GU83" s="1519"/>
      <c r="GV83" s="1520"/>
      <c r="GW83" s="1519"/>
      <c r="GX83" s="1561"/>
      <c r="GY83" s="1527"/>
      <c r="GZ83" s="1518"/>
      <c r="HA83" s="1519"/>
      <c r="HB83" s="1501">
        <f>IFERROR(__xludf.DUMMYFUNCTION("""COMPUTED_VALUE"""),3721.396527777778)</f>
        <v>3721.396528</v>
      </c>
      <c r="HC83" s="1502">
        <f>IFERROR(__xludf.DUMMYFUNCTION("""COMPUTED_VALUE"""),6.554E13)</f>
        <v>65540000000000</v>
      </c>
      <c r="HD83" s="1518"/>
      <c r="HE83" s="1519"/>
      <c r="HF83" s="1518"/>
      <c r="HG83" s="1519"/>
      <c r="HH83" s="1518"/>
      <c r="HI83" s="1519"/>
      <c r="HJ83" s="1518"/>
      <c r="HK83" s="1519"/>
      <c r="HL83" s="1518"/>
      <c r="HM83" s="1519"/>
      <c r="HN83" s="1520"/>
      <c r="HO83" s="1519"/>
      <c r="HP83" s="1518"/>
      <c r="HQ83" s="1519"/>
      <c r="HR83" s="1518"/>
      <c r="HS83" s="1519"/>
      <c r="HT83" s="1518"/>
      <c r="HU83" s="1519"/>
      <c r="HV83" s="1518"/>
      <c r="HW83" s="1519"/>
      <c r="HX83" s="1518"/>
      <c r="HY83" s="1519"/>
      <c r="HZ83" s="1518"/>
      <c r="IA83" s="1519"/>
      <c r="IB83" s="1518"/>
      <c r="IC83" s="1519"/>
      <c r="ID83" s="1518"/>
      <c r="IE83" s="1519"/>
      <c r="IF83" s="1518"/>
      <c r="IG83" s="1519"/>
      <c r="IH83" s="1518"/>
      <c r="II83" s="1519"/>
      <c r="IJ83" s="1518"/>
      <c r="IK83" s="1519"/>
      <c r="IL83" s="1518"/>
      <c r="IM83" s="1519"/>
      <c r="IN83" s="1518"/>
      <c r="IO83" s="1519"/>
      <c r="IP83" s="1518"/>
      <c r="IQ83" s="1519"/>
      <c r="IR83" s="1518"/>
      <c r="IS83" s="1519"/>
      <c r="IT83" s="1518"/>
      <c r="IU83" s="1519"/>
      <c r="IV83" s="1518"/>
      <c r="IW83" s="1519"/>
      <c r="IX83" s="1518"/>
      <c r="IY83" s="1519"/>
      <c r="IZ83" s="1518"/>
      <c r="JA83" s="1519"/>
      <c r="JB83" s="1518"/>
      <c r="JC83" s="1519"/>
      <c r="JD83" s="1518"/>
      <c r="JE83" s="1519"/>
      <c r="JF83" s="1518"/>
      <c r="JG83" s="1519"/>
      <c r="JH83" s="1518"/>
      <c r="JI83" s="1519"/>
      <c r="JJ83" s="1562"/>
      <c r="JK83" s="1560"/>
      <c r="JL83" s="1562"/>
      <c r="JM83" s="1560"/>
      <c r="JN83" s="1562"/>
      <c r="JO83" s="1560"/>
      <c r="JP83" s="1562"/>
      <c r="JQ83" s="1560"/>
      <c r="JR83" s="1562"/>
      <c r="JS83" s="1560"/>
      <c r="JT83" s="1562"/>
      <c r="JU83" s="1560"/>
      <c r="JV83" s="1562"/>
      <c r="JW83" s="1560"/>
      <c r="JX83" s="1562"/>
      <c r="JY83" s="1527"/>
      <c r="JZ83" s="1566">
        <f>IFERROR(__xludf.DUMMYFUNCTION("""COMPUTED_VALUE"""),7.512118056)</f>
        <v>7.512118056</v>
      </c>
      <c r="KA83" s="1514">
        <f>IFERROR(__xludf.DUMMYFUNCTION("""COMPUTED_VALUE"""),2.7503E11)</f>
        <v>275030000000</v>
      </c>
      <c r="KB83" s="1562"/>
      <c r="KC83" s="1527"/>
      <c r="KD83" s="1562"/>
      <c r="KE83" s="1527"/>
      <c r="KF83" s="1527"/>
      <c r="KG83" s="1527"/>
      <c r="KH83" s="1527"/>
      <c r="KI83" s="1527"/>
      <c r="KJ83" s="1527"/>
      <c r="KK83" s="1527"/>
      <c r="KL83" s="1527"/>
      <c r="KM83" s="1527"/>
      <c r="KN83" s="1527"/>
      <c r="KO83" s="1527"/>
      <c r="KP83" s="1527"/>
      <c r="KQ83" s="1527"/>
      <c r="KR83" s="1527"/>
      <c r="KS83" s="1527"/>
      <c r="KT83" s="1527"/>
      <c r="KU83" s="1527"/>
      <c r="KV83" s="1527"/>
      <c r="KW83" s="1527"/>
      <c r="KX83" s="1527"/>
      <c r="KY83" s="1527"/>
      <c r="KZ83" s="1527"/>
      <c r="LA83" s="1527"/>
      <c r="LB83" s="1527"/>
      <c r="LC83" s="1527"/>
      <c r="LD83" s="1527"/>
      <c r="LE83" s="1527"/>
      <c r="LF83" s="1527"/>
      <c r="LG83" s="1527"/>
      <c r="LH83" s="1527"/>
      <c r="LI83" s="1527"/>
      <c r="LJ83" s="1527"/>
      <c r="LK83" s="1527"/>
      <c r="LL83" s="1527"/>
      <c r="LM83" s="1527"/>
      <c r="LN83" s="1527"/>
      <c r="LO83" s="1527"/>
      <c r="LP83" s="1527"/>
      <c r="LQ83" s="1527"/>
      <c r="LR83" s="1527"/>
      <c r="LS83" s="1527"/>
      <c r="LT83" s="1527"/>
      <c r="LU83" s="1527"/>
      <c r="LV83" s="1527"/>
      <c r="LW83" s="1527"/>
      <c r="LX83" s="1527"/>
      <c r="LY83" s="1527"/>
      <c r="LZ83" s="1527"/>
      <c r="MA83" s="1527"/>
      <c r="MB83" s="1527"/>
      <c r="MC83" s="1527"/>
      <c r="MD83" s="1527"/>
      <c r="ME83" s="1527"/>
      <c r="MF83" s="1527"/>
      <c r="MG83" s="1527"/>
      <c r="MH83" s="1527"/>
      <c r="MI83" s="1527"/>
      <c r="MJ83" s="1527"/>
      <c r="MK83" s="1527"/>
      <c r="ML83" s="1527"/>
      <c r="MM83" s="1527"/>
      <c r="MN83" s="1527"/>
      <c r="MO83" s="1527"/>
      <c r="MP83" s="1527"/>
      <c r="MQ83" s="1527"/>
      <c r="MR83" s="1527"/>
      <c r="MS83" s="1527"/>
      <c r="MT83" s="1527"/>
      <c r="MU83" s="1527"/>
      <c r="MV83" s="1527"/>
      <c r="MW83" s="1527"/>
      <c r="MX83" s="1527"/>
      <c r="MY83" s="1527"/>
    </row>
    <row r="84">
      <c r="A84" s="1465">
        <f>IFERROR(__xludf.DUMMYFUNCTION("""COMPUTED_VALUE"""),82.0)</f>
        <v>82</v>
      </c>
      <c r="B84" s="1518"/>
      <c r="C84" s="1520"/>
      <c r="D84" s="1466">
        <f>IFERROR(__xludf.DUMMYFUNCTION("""COMPUTED_VALUE"""),31.10902777777778)</f>
        <v>31.10902778</v>
      </c>
      <c r="E84" s="1467">
        <f>IFERROR(__xludf.DUMMYFUNCTION("""COMPUTED_VALUE"""),2480000.0)</f>
        <v>2480000</v>
      </c>
      <c r="F84" s="1466">
        <f>IFERROR(__xludf.DUMMYFUNCTION("""COMPUTED_VALUE"""),31.10902777777778)</f>
        <v>31.10902778</v>
      </c>
      <c r="G84" s="1467">
        <f>IFERROR(__xludf.DUMMYFUNCTION("""COMPUTED_VALUE"""),2480000.0)</f>
        <v>2480000</v>
      </c>
      <c r="H84" s="1466">
        <f>IFERROR(__xludf.DUMMYFUNCTION("""COMPUTED_VALUE"""),31.10902777777778)</f>
        <v>31.10902778</v>
      </c>
      <c r="I84" s="1467">
        <f>IFERROR(__xludf.DUMMYFUNCTION("""COMPUTED_VALUE"""),2480000.0)</f>
        <v>2480000</v>
      </c>
      <c r="J84" s="1466">
        <f>IFERROR(__xludf.DUMMYFUNCTION("""COMPUTED_VALUE"""),31.10902777777778)</f>
        <v>31.10902778</v>
      </c>
      <c r="K84" s="1467">
        <f>IFERROR(__xludf.DUMMYFUNCTION("""COMPUTED_VALUE"""),2480000.0)</f>
        <v>2480000</v>
      </c>
      <c r="L84" s="1466">
        <f>IFERROR(__xludf.DUMMYFUNCTION("""COMPUTED_VALUE"""),60.06527777777778)</f>
        <v>60.06527778</v>
      </c>
      <c r="M84" s="1469">
        <f>IFERROR(__xludf.DUMMYFUNCTION("""COMPUTED_VALUE"""),8120000.0)</f>
        <v>8120000</v>
      </c>
      <c r="N84" s="1470">
        <f>IFERROR(__xludf.DUMMYFUNCTION("""COMPUTED_VALUE"""),22.925694444444446)</f>
        <v>22.92569444</v>
      </c>
      <c r="O84" s="1467">
        <f>IFERROR(__xludf.DUMMYFUNCTION("""COMPUTED_VALUE"""),1.072E7)</f>
        <v>10720000</v>
      </c>
      <c r="P84" s="1518"/>
      <c r="Q84" s="1519"/>
      <c r="R84" s="1518"/>
      <c r="S84" s="1519"/>
      <c r="T84" s="1518"/>
      <c r="U84" s="1519"/>
      <c r="V84" s="1518"/>
      <c r="W84" s="1519"/>
      <c r="X84" s="1518"/>
      <c r="Y84" s="1519"/>
      <c r="Z84" s="1518"/>
      <c r="AA84" s="1519"/>
      <c r="AB84" s="1518"/>
      <c r="AC84" s="1519"/>
      <c r="AD84" s="1466">
        <f>IFERROR(__xludf.DUMMYFUNCTION("""COMPUTED_VALUE"""),88.55555555555556)</f>
        <v>88.55555556</v>
      </c>
      <c r="AE84" s="1474">
        <f>IFERROR(__xludf.DUMMYFUNCTION("""COMPUTED_VALUE"""),1.695944114E18)</f>
        <v>1.69594E+18</v>
      </c>
      <c r="AF84" s="1466">
        <f>IFERROR(__xludf.DUMMYFUNCTION("""COMPUTED_VALUE"""),88.55555555555556)</f>
        <v>88.55555556</v>
      </c>
      <c r="AG84" s="1474">
        <f>IFERROR(__xludf.DUMMYFUNCTION("""COMPUTED_VALUE"""),1.695944114E18)</f>
        <v>1.69594E+18</v>
      </c>
      <c r="AH84" s="1466">
        <f>IFERROR(__xludf.DUMMYFUNCTION("""COMPUTED_VALUE"""),88.55555555555556)</f>
        <v>88.55555556</v>
      </c>
      <c r="AI84" s="1474">
        <f>IFERROR(__xludf.DUMMYFUNCTION("""COMPUTED_VALUE"""),1.695944114E18)</f>
        <v>1.69594E+18</v>
      </c>
      <c r="AJ84" s="1475">
        <f>IFERROR(__xludf.DUMMYFUNCTION("""COMPUTED_VALUE"""),31.10902777777778)</f>
        <v>31.10902778</v>
      </c>
      <c r="AK84" s="1476">
        <f>IFERROR(__xludf.DUMMYFUNCTION("""COMPUTED_VALUE"""),2480000.0)</f>
        <v>2480000</v>
      </c>
      <c r="AL84" s="1475">
        <f>IFERROR(__xludf.DUMMYFUNCTION("""COMPUTED_VALUE"""),31.10902777777778)</f>
        <v>31.10902778</v>
      </c>
      <c r="AM84" s="1476">
        <f>IFERROR(__xludf.DUMMYFUNCTION("""COMPUTED_VALUE"""),2480000.0)</f>
        <v>2480000</v>
      </c>
      <c r="AN84" s="1475">
        <f>IFERROR(__xludf.DUMMYFUNCTION("""COMPUTED_VALUE"""),31.10902777777778)</f>
        <v>31.10902778</v>
      </c>
      <c r="AO84" s="1476">
        <f>IFERROR(__xludf.DUMMYFUNCTION("""COMPUTED_VALUE"""),2480000.0)</f>
        <v>2480000</v>
      </c>
      <c r="AP84" s="1520"/>
      <c r="AQ84" s="1519"/>
      <c r="AR84" s="1475">
        <f>IFERROR(__xludf.DUMMYFUNCTION("""COMPUTED_VALUE"""),31.10902777777778)</f>
        <v>31.10902778</v>
      </c>
      <c r="AS84" s="1476">
        <f>IFERROR(__xludf.DUMMYFUNCTION("""COMPUTED_VALUE"""),2480000.0)</f>
        <v>2480000</v>
      </c>
      <c r="AT84" s="1520"/>
      <c r="AU84" s="1519"/>
      <c r="AV84" s="1520"/>
      <c r="AW84" s="1519"/>
      <c r="AX84" s="1518"/>
      <c r="AY84" s="1568"/>
      <c r="AZ84" s="1518"/>
      <c r="BA84" s="1518"/>
      <c r="BB84" s="1477">
        <f>IFERROR(__xludf.DUMMYFUNCTION("""COMPUTED_VALUE"""),31.10902777777778)</f>
        <v>31.10902778</v>
      </c>
      <c r="BC84" s="1478">
        <f>IFERROR(__xludf.DUMMYFUNCTION("""COMPUTED_VALUE"""),2480000.0)</f>
        <v>2480000</v>
      </c>
      <c r="BD84" s="1477">
        <f>IFERROR(__xludf.DUMMYFUNCTION("""COMPUTED_VALUE"""),31.10902777777778)</f>
        <v>31.10902778</v>
      </c>
      <c r="BE84" s="1478">
        <f>IFERROR(__xludf.DUMMYFUNCTION("""COMPUTED_VALUE"""),2480000.0)</f>
        <v>2480000</v>
      </c>
      <c r="BF84" s="1477">
        <f>IFERROR(__xludf.DUMMYFUNCTION("""COMPUTED_VALUE"""),31.10902777777778)</f>
        <v>31.10902778</v>
      </c>
      <c r="BG84" s="1478">
        <f>IFERROR(__xludf.DUMMYFUNCTION("""COMPUTED_VALUE"""),2480000.0)</f>
        <v>2480000</v>
      </c>
      <c r="BH84" s="1518"/>
      <c r="BI84" s="1519"/>
      <c r="BJ84" s="1518"/>
      <c r="BK84" s="1519"/>
      <c r="BL84" s="1518"/>
      <c r="BM84" s="1519"/>
      <c r="BN84" s="1518"/>
      <c r="BO84" s="1519"/>
      <c r="BP84" s="1518"/>
      <c r="BQ84" s="1519"/>
      <c r="BR84" s="1520"/>
      <c r="BS84" s="1519"/>
      <c r="BT84" s="1520"/>
      <c r="BU84" s="1520"/>
      <c r="BV84" s="1520"/>
      <c r="BW84" s="1520"/>
      <c r="BX84" s="1520"/>
      <c r="BY84" s="1520"/>
      <c r="BZ84" s="1520"/>
      <c r="CA84" s="1520"/>
      <c r="CB84" s="1520"/>
      <c r="CC84" s="1519"/>
      <c r="CD84" s="1520"/>
      <c r="CE84" s="1520"/>
      <c r="CF84" s="1527"/>
      <c r="CG84" s="1560"/>
      <c r="CH84" s="1482">
        <f>IFERROR(__xludf.DUMMYFUNCTION("""COMPUTED_VALUE"""),31.10902777777778)</f>
        <v>31.10902778</v>
      </c>
      <c r="CI84" s="1483">
        <f>IFERROR(__xludf.DUMMYFUNCTION("""COMPUTED_VALUE"""),2480000.0)</f>
        <v>2480000</v>
      </c>
      <c r="CJ84" s="1482">
        <f>IFERROR(__xludf.DUMMYFUNCTION("""COMPUTED_VALUE"""),31.10902777777778)</f>
        <v>31.10902778</v>
      </c>
      <c r="CK84" s="1483">
        <f>IFERROR(__xludf.DUMMYFUNCTION("""COMPUTED_VALUE"""),2480000.0)</f>
        <v>2480000</v>
      </c>
      <c r="CL84" s="1482">
        <f>IFERROR(__xludf.DUMMYFUNCTION("""COMPUTED_VALUE"""),31.10902777777778)</f>
        <v>31.10902778</v>
      </c>
      <c r="CM84" s="1483">
        <f>IFERROR(__xludf.DUMMYFUNCTION("""COMPUTED_VALUE"""),2480000.0)</f>
        <v>2480000</v>
      </c>
      <c r="CN84" s="1482">
        <f>IFERROR(__xludf.DUMMYFUNCTION("""COMPUTED_VALUE"""),31.10902777777778)</f>
        <v>31.10902778</v>
      </c>
      <c r="CO84" s="1483">
        <f>IFERROR(__xludf.DUMMYFUNCTION("""COMPUTED_VALUE"""),2480000.0)</f>
        <v>2480000</v>
      </c>
      <c r="CP84" s="1482">
        <f>IFERROR(__xludf.DUMMYFUNCTION("""COMPUTED_VALUE"""),74.70972222222221)</f>
        <v>74.70972222</v>
      </c>
      <c r="CQ84" s="1483">
        <f>IFERROR(__xludf.DUMMYFUNCTION("""COMPUTED_VALUE"""),1.072E7)</f>
        <v>10720000</v>
      </c>
      <c r="CR84" s="1518"/>
      <c r="CS84" s="1519"/>
      <c r="CT84" s="1520"/>
      <c r="CU84" s="1519"/>
      <c r="CV84" s="1520"/>
      <c r="CW84" s="1519"/>
      <c r="CX84" s="1520"/>
      <c r="CY84" s="1519"/>
      <c r="CZ84" s="1520"/>
      <c r="DA84" s="1520"/>
      <c r="DB84" s="1520"/>
      <c r="DC84" s="1520"/>
      <c r="DD84" s="1520"/>
      <c r="DE84" s="1519"/>
      <c r="DF84" s="1518"/>
      <c r="DG84" s="1519"/>
      <c r="DH84" s="1518"/>
      <c r="DI84" s="1519"/>
      <c r="DJ84" s="1518"/>
      <c r="DK84" s="1519"/>
      <c r="DL84" s="1518"/>
      <c r="DM84" s="1519"/>
      <c r="DN84" s="1518"/>
      <c r="DO84" s="1519"/>
      <c r="DP84" s="1518"/>
      <c r="DQ84" s="1519"/>
      <c r="DR84" s="1518"/>
      <c r="DS84" s="1519"/>
      <c r="DT84" s="1518"/>
      <c r="DU84" s="1519"/>
      <c r="DV84" s="1520"/>
      <c r="DW84" s="1519"/>
      <c r="DX84" s="1518"/>
      <c r="DY84" s="1519"/>
      <c r="DZ84" s="1518"/>
      <c r="EA84" s="1519"/>
      <c r="EB84" s="1518"/>
      <c r="EC84" s="1519"/>
      <c r="ED84" s="1518"/>
      <c r="EE84" s="1519"/>
      <c r="EF84" s="1518"/>
      <c r="EG84" s="1519"/>
      <c r="EH84" s="1518"/>
      <c r="EI84" s="1519"/>
      <c r="EJ84" s="1562"/>
      <c r="EK84" s="1560"/>
      <c r="EL84" s="1562"/>
      <c r="EM84" s="1560"/>
      <c r="EN84" s="1518"/>
      <c r="EO84" s="1519"/>
      <c r="EP84" s="1518"/>
      <c r="EQ84" s="1519"/>
      <c r="ER84" s="1518"/>
      <c r="ES84" s="1519"/>
      <c r="ET84" s="1518"/>
      <c r="EU84" s="1519"/>
      <c r="EV84" s="1518"/>
      <c r="EW84" s="1519"/>
      <c r="EX84" s="1518"/>
      <c r="EY84" s="1519"/>
      <c r="EZ84" s="1518"/>
      <c r="FA84" s="1519"/>
      <c r="FB84" s="1520"/>
      <c r="FC84" s="1519"/>
      <c r="FD84" s="1520"/>
      <c r="FE84" s="1519"/>
      <c r="FF84" s="1520"/>
      <c r="FG84" s="1519"/>
      <c r="FH84" s="1520"/>
      <c r="FI84" s="1520"/>
      <c r="FJ84" s="1520"/>
      <c r="FK84" s="1519"/>
      <c r="FL84" s="1518"/>
      <c r="FM84" s="1519"/>
      <c r="FN84" s="1532"/>
      <c r="FO84" s="1520"/>
      <c r="FP84" s="1532"/>
      <c r="FQ84" s="1520"/>
      <c r="FR84" s="1532"/>
      <c r="FS84" s="1520"/>
      <c r="FT84" s="1532"/>
      <c r="FU84" s="1519"/>
      <c r="FV84" s="1532"/>
      <c r="FW84" s="1519"/>
      <c r="FX84" s="1572"/>
      <c r="FY84" s="1560"/>
      <c r="FZ84" s="1572"/>
      <c r="GA84" s="1560"/>
      <c r="GB84" s="1572"/>
      <c r="GC84" s="1560"/>
      <c r="GD84" s="1527"/>
      <c r="GE84" s="1560"/>
      <c r="GF84" s="1518"/>
      <c r="GG84" s="1519"/>
      <c r="GH84" s="1518"/>
      <c r="GI84" s="1519"/>
      <c r="GJ84" s="1518"/>
      <c r="GK84" s="1519"/>
      <c r="GL84" s="1518"/>
      <c r="GM84" s="1519"/>
      <c r="GN84" s="1520"/>
      <c r="GO84" s="1519"/>
      <c r="GP84" s="1520"/>
      <c r="GQ84" s="1519"/>
      <c r="GR84" s="1518"/>
      <c r="GS84" s="1519"/>
      <c r="GT84" s="1518"/>
      <c r="GU84" s="1519"/>
      <c r="GV84" s="1520"/>
      <c r="GW84" s="1519"/>
      <c r="GX84" s="1561"/>
      <c r="GY84" s="1527"/>
      <c r="GZ84" s="1518"/>
      <c r="HA84" s="1519"/>
      <c r="HB84" s="1501">
        <f>IFERROR(__xludf.DUMMYFUNCTION("""COMPUTED_VALUE"""),3886.409722222222)</f>
        <v>3886.409722</v>
      </c>
      <c r="HC84" s="1502">
        <f>IFERROR(__xludf.DUMMYFUNCTION("""COMPUTED_VALUE"""),6.974E13)</f>
        <v>69740000000000</v>
      </c>
      <c r="HD84" s="1518"/>
      <c r="HE84" s="1519"/>
      <c r="HF84" s="1518"/>
      <c r="HG84" s="1519"/>
      <c r="HH84" s="1518"/>
      <c r="HI84" s="1519"/>
      <c r="HJ84" s="1518"/>
      <c r="HK84" s="1519"/>
      <c r="HL84" s="1518"/>
      <c r="HM84" s="1519"/>
      <c r="HN84" s="1520"/>
      <c r="HO84" s="1519"/>
      <c r="HP84" s="1518"/>
      <c r="HQ84" s="1519"/>
      <c r="HR84" s="1518"/>
      <c r="HS84" s="1519"/>
      <c r="HT84" s="1518"/>
      <c r="HU84" s="1519"/>
      <c r="HV84" s="1518"/>
      <c r="HW84" s="1519"/>
      <c r="HX84" s="1518"/>
      <c r="HY84" s="1519"/>
      <c r="HZ84" s="1518"/>
      <c r="IA84" s="1519"/>
      <c r="IB84" s="1518"/>
      <c r="IC84" s="1519"/>
      <c r="ID84" s="1518"/>
      <c r="IE84" s="1519"/>
      <c r="IF84" s="1518"/>
      <c r="IG84" s="1519"/>
      <c r="IH84" s="1518"/>
      <c r="II84" s="1519"/>
      <c r="IJ84" s="1518"/>
      <c r="IK84" s="1519"/>
      <c r="IL84" s="1518"/>
      <c r="IM84" s="1519"/>
      <c r="IN84" s="1518"/>
      <c r="IO84" s="1519"/>
      <c r="IP84" s="1518"/>
      <c r="IQ84" s="1519"/>
      <c r="IR84" s="1518"/>
      <c r="IS84" s="1519"/>
      <c r="IT84" s="1518"/>
      <c r="IU84" s="1519"/>
      <c r="IV84" s="1518"/>
      <c r="IW84" s="1519"/>
      <c r="IX84" s="1518"/>
      <c r="IY84" s="1519"/>
      <c r="IZ84" s="1518"/>
      <c r="JA84" s="1519"/>
      <c r="JB84" s="1518"/>
      <c r="JC84" s="1519"/>
      <c r="JD84" s="1518"/>
      <c r="JE84" s="1519"/>
      <c r="JF84" s="1518"/>
      <c r="JG84" s="1519"/>
      <c r="JH84" s="1518"/>
      <c r="JI84" s="1519"/>
      <c r="JJ84" s="1562"/>
      <c r="JK84" s="1560"/>
      <c r="JL84" s="1562"/>
      <c r="JM84" s="1560"/>
      <c r="JN84" s="1562"/>
      <c r="JO84" s="1560"/>
      <c r="JP84" s="1562"/>
      <c r="JQ84" s="1560"/>
      <c r="JR84" s="1562"/>
      <c r="JS84" s="1560"/>
      <c r="JT84" s="1562"/>
      <c r="JU84" s="1560"/>
      <c r="JV84" s="1562"/>
      <c r="JW84" s="1560"/>
      <c r="JX84" s="1562"/>
      <c r="JY84" s="1527"/>
      <c r="JZ84" s="1566">
        <f>IFERROR(__xludf.DUMMYFUNCTION("""COMPUTED_VALUE"""),7.626736111)</f>
        <v>7.626736111</v>
      </c>
      <c r="KA84" s="1514">
        <f>IFERROR(__xludf.DUMMYFUNCTION("""COMPUTED_VALUE"""),2.8441E11)</f>
        <v>284410000000</v>
      </c>
      <c r="KB84" s="1562"/>
      <c r="KC84" s="1527"/>
      <c r="KD84" s="1562"/>
      <c r="KE84" s="1527"/>
      <c r="KF84" s="1527"/>
      <c r="KG84" s="1527"/>
      <c r="KH84" s="1527"/>
      <c r="KI84" s="1527"/>
      <c r="KJ84" s="1527"/>
      <c r="KK84" s="1527"/>
      <c r="KL84" s="1527"/>
      <c r="KM84" s="1527"/>
      <c r="KN84" s="1527"/>
      <c r="KO84" s="1527"/>
      <c r="KP84" s="1527"/>
      <c r="KQ84" s="1527"/>
      <c r="KR84" s="1527"/>
      <c r="KS84" s="1527"/>
      <c r="KT84" s="1527"/>
      <c r="KU84" s="1527"/>
      <c r="KV84" s="1527"/>
      <c r="KW84" s="1527"/>
      <c r="KX84" s="1527"/>
      <c r="KY84" s="1527"/>
      <c r="KZ84" s="1527"/>
      <c r="LA84" s="1527"/>
      <c r="LB84" s="1527"/>
      <c r="LC84" s="1527"/>
      <c r="LD84" s="1527"/>
      <c r="LE84" s="1527"/>
      <c r="LF84" s="1527"/>
      <c r="LG84" s="1527"/>
      <c r="LH84" s="1527"/>
      <c r="LI84" s="1527"/>
      <c r="LJ84" s="1527"/>
      <c r="LK84" s="1527"/>
      <c r="LL84" s="1527"/>
      <c r="LM84" s="1527"/>
      <c r="LN84" s="1527"/>
      <c r="LO84" s="1527"/>
      <c r="LP84" s="1527"/>
      <c r="LQ84" s="1527"/>
      <c r="LR84" s="1527"/>
      <c r="LS84" s="1527"/>
      <c r="LT84" s="1527"/>
      <c r="LU84" s="1527"/>
      <c r="LV84" s="1527"/>
      <c r="LW84" s="1527"/>
      <c r="LX84" s="1527"/>
      <c r="LY84" s="1527"/>
      <c r="LZ84" s="1527"/>
      <c r="MA84" s="1527"/>
      <c r="MB84" s="1527"/>
      <c r="MC84" s="1527"/>
      <c r="MD84" s="1527"/>
      <c r="ME84" s="1527"/>
      <c r="MF84" s="1527"/>
      <c r="MG84" s="1527"/>
      <c r="MH84" s="1527"/>
      <c r="MI84" s="1527"/>
      <c r="MJ84" s="1527"/>
      <c r="MK84" s="1527"/>
      <c r="ML84" s="1527"/>
      <c r="MM84" s="1527"/>
      <c r="MN84" s="1527"/>
      <c r="MO84" s="1527"/>
      <c r="MP84" s="1527"/>
      <c r="MQ84" s="1527"/>
      <c r="MR84" s="1527"/>
      <c r="MS84" s="1527"/>
      <c r="MT84" s="1527"/>
      <c r="MU84" s="1527"/>
      <c r="MV84" s="1527"/>
      <c r="MW84" s="1527"/>
      <c r="MX84" s="1527"/>
      <c r="MY84" s="1527"/>
    </row>
    <row r="85">
      <c r="A85" s="1465">
        <f>IFERROR(__xludf.DUMMYFUNCTION("""COMPUTED_VALUE"""),83.0)</f>
        <v>83</v>
      </c>
      <c r="B85" s="1518"/>
      <c r="C85" s="1520"/>
      <c r="D85" s="1466">
        <f>IFERROR(__xludf.DUMMYFUNCTION("""COMPUTED_VALUE"""),32.03402777777778)</f>
        <v>32.03402778</v>
      </c>
      <c r="E85" s="1467">
        <f>IFERROR(__xludf.DUMMYFUNCTION("""COMPUTED_VALUE"""),2570000.0)</f>
        <v>2570000</v>
      </c>
      <c r="F85" s="1466">
        <f>IFERROR(__xludf.DUMMYFUNCTION("""COMPUTED_VALUE"""),32.03402777777778)</f>
        <v>32.03402778</v>
      </c>
      <c r="G85" s="1467">
        <f>IFERROR(__xludf.DUMMYFUNCTION("""COMPUTED_VALUE"""),2570000.0)</f>
        <v>2570000</v>
      </c>
      <c r="H85" s="1466">
        <f>IFERROR(__xludf.DUMMYFUNCTION("""COMPUTED_VALUE"""),32.03402777777778)</f>
        <v>32.03402778</v>
      </c>
      <c r="I85" s="1467">
        <f>IFERROR(__xludf.DUMMYFUNCTION("""COMPUTED_VALUE"""),2570000.0)</f>
        <v>2570000</v>
      </c>
      <c r="J85" s="1466">
        <f>IFERROR(__xludf.DUMMYFUNCTION("""COMPUTED_VALUE"""),32.03402777777778)</f>
        <v>32.03402778</v>
      </c>
      <c r="K85" s="1467">
        <f>IFERROR(__xludf.DUMMYFUNCTION("""COMPUTED_VALUE"""),2570000.0)</f>
        <v>2570000</v>
      </c>
      <c r="L85" s="1466">
        <f>IFERROR(__xludf.DUMMYFUNCTION("""COMPUTED_VALUE"""),61.96527777777778)</f>
        <v>61.96527778</v>
      </c>
      <c r="M85" s="1469">
        <f>IFERROR(__xludf.DUMMYFUNCTION("""COMPUTED_VALUE"""),8400000.0)</f>
        <v>8400000</v>
      </c>
      <c r="N85" s="1470">
        <f>IFERROR(__xludf.DUMMYFUNCTION("""COMPUTED_VALUE"""),23.471527777777776)</f>
        <v>23.47152778</v>
      </c>
      <c r="O85" s="1467">
        <f>IFERROR(__xludf.DUMMYFUNCTION("""COMPUTED_VALUE"""),1.114E7)</f>
        <v>11140000</v>
      </c>
      <c r="P85" s="1518"/>
      <c r="Q85" s="1519"/>
      <c r="R85" s="1518"/>
      <c r="S85" s="1519"/>
      <c r="T85" s="1518"/>
      <c r="U85" s="1519"/>
      <c r="V85" s="1518"/>
      <c r="W85" s="1519"/>
      <c r="X85" s="1518"/>
      <c r="Y85" s="1519"/>
      <c r="Z85" s="1518"/>
      <c r="AA85" s="1519"/>
      <c r="AB85" s="1518"/>
      <c r="AC85" s="1519"/>
      <c r="AD85" s="1466">
        <f>IFERROR(__xludf.DUMMYFUNCTION("""COMPUTED_VALUE"""),89.63541666666667)</f>
        <v>89.63541667</v>
      </c>
      <c r="AE85" s="1474">
        <f>IFERROR(__xludf.DUMMYFUNCTION("""COMPUTED_VALUE"""),2.204727348E18)</f>
        <v>2.20473E+18</v>
      </c>
      <c r="AF85" s="1466">
        <f>IFERROR(__xludf.DUMMYFUNCTION("""COMPUTED_VALUE"""),89.63541666666667)</f>
        <v>89.63541667</v>
      </c>
      <c r="AG85" s="1474">
        <f>IFERROR(__xludf.DUMMYFUNCTION("""COMPUTED_VALUE"""),2.204727348E18)</f>
        <v>2.20473E+18</v>
      </c>
      <c r="AH85" s="1466">
        <f>IFERROR(__xludf.DUMMYFUNCTION("""COMPUTED_VALUE"""),89.63541666666667)</f>
        <v>89.63541667</v>
      </c>
      <c r="AI85" s="1474">
        <f>IFERROR(__xludf.DUMMYFUNCTION("""COMPUTED_VALUE"""),2.204727348E18)</f>
        <v>2.20473E+18</v>
      </c>
      <c r="AJ85" s="1475">
        <f>IFERROR(__xludf.DUMMYFUNCTION("""COMPUTED_VALUE"""),32.03402777777778)</f>
        <v>32.03402778</v>
      </c>
      <c r="AK85" s="1476">
        <f>IFERROR(__xludf.DUMMYFUNCTION("""COMPUTED_VALUE"""),2570000.0)</f>
        <v>2570000</v>
      </c>
      <c r="AL85" s="1475">
        <f>IFERROR(__xludf.DUMMYFUNCTION("""COMPUTED_VALUE"""),32.03402777777778)</f>
        <v>32.03402778</v>
      </c>
      <c r="AM85" s="1476">
        <f>IFERROR(__xludf.DUMMYFUNCTION("""COMPUTED_VALUE"""),2570000.0)</f>
        <v>2570000</v>
      </c>
      <c r="AN85" s="1475">
        <f>IFERROR(__xludf.DUMMYFUNCTION("""COMPUTED_VALUE"""),32.03402777777778)</f>
        <v>32.03402778</v>
      </c>
      <c r="AO85" s="1476">
        <f>IFERROR(__xludf.DUMMYFUNCTION("""COMPUTED_VALUE"""),2570000.0)</f>
        <v>2570000</v>
      </c>
      <c r="AP85" s="1520"/>
      <c r="AQ85" s="1519"/>
      <c r="AR85" s="1475">
        <f>IFERROR(__xludf.DUMMYFUNCTION("""COMPUTED_VALUE"""),32.03402777777778)</f>
        <v>32.03402778</v>
      </c>
      <c r="AS85" s="1476">
        <f>IFERROR(__xludf.DUMMYFUNCTION("""COMPUTED_VALUE"""),2570000.0)</f>
        <v>2570000</v>
      </c>
      <c r="AT85" s="1520"/>
      <c r="AU85" s="1519"/>
      <c r="AV85" s="1520"/>
      <c r="AW85" s="1519"/>
      <c r="AX85" s="1518"/>
      <c r="AY85" s="1568"/>
      <c r="AZ85" s="1518"/>
      <c r="BA85" s="1518"/>
      <c r="BB85" s="1477">
        <f>IFERROR(__xludf.DUMMYFUNCTION("""COMPUTED_VALUE"""),32.03402777777778)</f>
        <v>32.03402778</v>
      </c>
      <c r="BC85" s="1478">
        <f>IFERROR(__xludf.DUMMYFUNCTION("""COMPUTED_VALUE"""),2570000.0)</f>
        <v>2570000</v>
      </c>
      <c r="BD85" s="1477">
        <f>IFERROR(__xludf.DUMMYFUNCTION("""COMPUTED_VALUE"""),32.03402777777778)</f>
        <v>32.03402778</v>
      </c>
      <c r="BE85" s="1478">
        <f>IFERROR(__xludf.DUMMYFUNCTION("""COMPUTED_VALUE"""),2570000.0)</f>
        <v>2570000</v>
      </c>
      <c r="BF85" s="1477">
        <f>IFERROR(__xludf.DUMMYFUNCTION("""COMPUTED_VALUE"""),32.03402777777778)</f>
        <v>32.03402778</v>
      </c>
      <c r="BG85" s="1478">
        <f>IFERROR(__xludf.DUMMYFUNCTION("""COMPUTED_VALUE"""),2570000.0)</f>
        <v>2570000</v>
      </c>
      <c r="BH85" s="1518"/>
      <c r="BI85" s="1519"/>
      <c r="BJ85" s="1518"/>
      <c r="BK85" s="1519"/>
      <c r="BL85" s="1518"/>
      <c r="BM85" s="1519"/>
      <c r="BN85" s="1518"/>
      <c r="BO85" s="1519"/>
      <c r="BP85" s="1518"/>
      <c r="BQ85" s="1519"/>
      <c r="BR85" s="1520"/>
      <c r="BS85" s="1519"/>
      <c r="BT85" s="1520"/>
      <c r="BU85" s="1520"/>
      <c r="BV85" s="1520"/>
      <c r="BW85" s="1520"/>
      <c r="BX85" s="1520"/>
      <c r="BY85" s="1520"/>
      <c r="BZ85" s="1520"/>
      <c r="CA85" s="1520"/>
      <c r="CB85" s="1520"/>
      <c r="CC85" s="1519"/>
      <c r="CD85" s="1520"/>
      <c r="CE85" s="1520"/>
      <c r="CF85" s="1527"/>
      <c r="CG85" s="1560"/>
      <c r="CH85" s="1482">
        <f>IFERROR(__xludf.DUMMYFUNCTION("""COMPUTED_VALUE"""),32.03402777777778)</f>
        <v>32.03402778</v>
      </c>
      <c r="CI85" s="1483">
        <f>IFERROR(__xludf.DUMMYFUNCTION("""COMPUTED_VALUE"""),2570000.0)</f>
        <v>2570000</v>
      </c>
      <c r="CJ85" s="1482">
        <f>IFERROR(__xludf.DUMMYFUNCTION("""COMPUTED_VALUE"""),32.03402777777778)</f>
        <v>32.03402778</v>
      </c>
      <c r="CK85" s="1483">
        <f>IFERROR(__xludf.DUMMYFUNCTION("""COMPUTED_VALUE"""),2570000.0)</f>
        <v>2570000</v>
      </c>
      <c r="CL85" s="1482">
        <f>IFERROR(__xludf.DUMMYFUNCTION("""COMPUTED_VALUE"""),32.03402777777778)</f>
        <v>32.03402778</v>
      </c>
      <c r="CM85" s="1483">
        <f>IFERROR(__xludf.DUMMYFUNCTION("""COMPUTED_VALUE"""),2570000.0)</f>
        <v>2570000</v>
      </c>
      <c r="CN85" s="1482">
        <f>IFERROR(__xludf.DUMMYFUNCTION("""COMPUTED_VALUE"""),32.03402777777778)</f>
        <v>32.03402778</v>
      </c>
      <c r="CO85" s="1483">
        <f>IFERROR(__xludf.DUMMYFUNCTION("""COMPUTED_VALUE"""),2570000.0)</f>
        <v>2570000</v>
      </c>
      <c r="CP85" s="1482">
        <f>IFERROR(__xludf.DUMMYFUNCTION("""COMPUTED_VALUE"""),77.12222222222222)</f>
        <v>77.12222222</v>
      </c>
      <c r="CQ85" s="1483">
        <f>IFERROR(__xludf.DUMMYFUNCTION("""COMPUTED_VALUE"""),1.114E7)</f>
        <v>11140000</v>
      </c>
      <c r="CR85" s="1518"/>
      <c r="CS85" s="1519"/>
      <c r="CT85" s="1520"/>
      <c r="CU85" s="1519"/>
      <c r="CV85" s="1520"/>
      <c r="CW85" s="1519"/>
      <c r="CX85" s="1520"/>
      <c r="CY85" s="1519"/>
      <c r="CZ85" s="1520"/>
      <c r="DA85" s="1520"/>
      <c r="DB85" s="1520"/>
      <c r="DC85" s="1520"/>
      <c r="DD85" s="1520"/>
      <c r="DE85" s="1519"/>
      <c r="DF85" s="1518"/>
      <c r="DG85" s="1519"/>
      <c r="DH85" s="1518"/>
      <c r="DI85" s="1519"/>
      <c r="DJ85" s="1518"/>
      <c r="DK85" s="1519"/>
      <c r="DL85" s="1518"/>
      <c r="DM85" s="1519"/>
      <c r="DN85" s="1518"/>
      <c r="DO85" s="1519"/>
      <c r="DP85" s="1518"/>
      <c r="DQ85" s="1519"/>
      <c r="DR85" s="1518"/>
      <c r="DS85" s="1519"/>
      <c r="DT85" s="1518"/>
      <c r="DU85" s="1519"/>
      <c r="DV85" s="1520"/>
      <c r="DW85" s="1519"/>
      <c r="DX85" s="1518"/>
      <c r="DY85" s="1519"/>
      <c r="DZ85" s="1518"/>
      <c r="EA85" s="1519"/>
      <c r="EB85" s="1518"/>
      <c r="EC85" s="1519"/>
      <c r="ED85" s="1518"/>
      <c r="EE85" s="1519"/>
      <c r="EF85" s="1518"/>
      <c r="EG85" s="1519"/>
      <c r="EH85" s="1518"/>
      <c r="EI85" s="1519"/>
      <c r="EJ85" s="1562"/>
      <c r="EK85" s="1560"/>
      <c r="EL85" s="1562"/>
      <c r="EM85" s="1560"/>
      <c r="EN85" s="1518"/>
      <c r="EO85" s="1519"/>
      <c r="EP85" s="1518"/>
      <c r="EQ85" s="1519"/>
      <c r="ER85" s="1518"/>
      <c r="ES85" s="1519"/>
      <c r="ET85" s="1518"/>
      <c r="EU85" s="1519"/>
      <c r="EV85" s="1518"/>
      <c r="EW85" s="1519"/>
      <c r="EX85" s="1518"/>
      <c r="EY85" s="1519"/>
      <c r="EZ85" s="1518"/>
      <c r="FA85" s="1519"/>
      <c r="FB85" s="1520"/>
      <c r="FC85" s="1519"/>
      <c r="FD85" s="1520"/>
      <c r="FE85" s="1519"/>
      <c r="FF85" s="1520"/>
      <c r="FG85" s="1519"/>
      <c r="FH85" s="1520"/>
      <c r="FI85" s="1520"/>
      <c r="FJ85" s="1520"/>
      <c r="FK85" s="1519"/>
      <c r="FL85" s="1518"/>
      <c r="FM85" s="1519"/>
      <c r="FN85" s="1532"/>
      <c r="FO85" s="1520"/>
      <c r="FP85" s="1532"/>
      <c r="FQ85" s="1520"/>
      <c r="FR85" s="1532"/>
      <c r="FS85" s="1520"/>
      <c r="FT85" s="1532"/>
      <c r="FU85" s="1519"/>
      <c r="FV85" s="1532"/>
      <c r="FW85" s="1519"/>
      <c r="FX85" s="1572"/>
      <c r="FY85" s="1560"/>
      <c r="FZ85" s="1572"/>
      <c r="GA85" s="1560"/>
      <c r="GB85" s="1572"/>
      <c r="GC85" s="1560"/>
      <c r="GD85" s="1527"/>
      <c r="GE85" s="1560"/>
      <c r="GF85" s="1518"/>
      <c r="GG85" s="1519"/>
      <c r="GH85" s="1518"/>
      <c r="GI85" s="1519"/>
      <c r="GJ85" s="1518"/>
      <c r="GK85" s="1519"/>
      <c r="GL85" s="1518"/>
      <c r="GM85" s="1519"/>
      <c r="GN85" s="1520"/>
      <c r="GO85" s="1519"/>
      <c r="GP85" s="1520"/>
      <c r="GQ85" s="1519"/>
      <c r="GR85" s="1518"/>
      <c r="GS85" s="1519"/>
      <c r="GT85" s="1518"/>
      <c r="GU85" s="1519"/>
      <c r="GV85" s="1520"/>
      <c r="GW85" s="1519"/>
      <c r="GX85" s="1561"/>
      <c r="GY85" s="1527"/>
      <c r="GZ85" s="1518"/>
      <c r="HA85" s="1519"/>
      <c r="HB85" s="1501">
        <f>IFERROR(__xludf.DUMMYFUNCTION("""COMPUTED_VALUE"""),4056.5909722222223)</f>
        <v>4056.590972</v>
      </c>
      <c r="HC85" s="1502">
        <f>IFERROR(__xludf.DUMMYFUNCTION("""COMPUTED_VALUE"""),7.415E13)</f>
        <v>74150000000000</v>
      </c>
      <c r="HD85" s="1518"/>
      <c r="HE85" s="1519"/>
      <c r="HF85" s="1518"/>
      <c r="HG85" s="1519"/>
      <c r="HH85" s="1518"/>
      <c r="HI85" s="1519"/>
      <c r="HJ85" s="1518"/>
      <c r="HK85" s="1519"/>
      <c r="HL85" s="1518"/>
      <c r="HM85" s="1519"/>
      <c r="HN85" s="1520"/>
      <c r="HO85" s="1519"/>
      <c r="HP85" s="1518"/>
      <c r="HQ85" s="1519"/>
      <c r="HR85" s="1518"/>
      <c r="HS85" s="1519"/>
      <c r="HT85" s="1518"/>
      <c r="HU85" s="1519"/>
      <c r="HV85" s="1518"/>
      <c r="HW85" s="1519"/>
      <c r="HX85" s="1518"/>
      <c r="HY85" s="1519"/>
      <c r="HZ85" s="1518"/>
      <c r="IA85" s="1519"/>
      <c r="IB85" s="1518"/>
      <c r="IC85" s="1519"/>
      <c r="ID85" s="1518"/>
      <c r="IE85" s="1519"/>
      <c r="IF85" s="1518"/>
      <c r="IG85" s="1519"/>
      <c r="IH85" s="1518"/>
      <c r="II85" s="1519"/>
      <c r="IJ85" s="1518"/>
      <c r="IK85" s="1519"/>
      <c r="IL85" s="1518"/>
      <c r="IM85" s="1519"/>
      <c r="IN85" s="1518"/>
      <c r="IO85" s="1519"/>
      <c r="IP85" s="1518"/>
      <c r="IQ85" s="1519"/>
      <c r="IR85" s="1518"/>
      <c r="IS85" s="1519"/>
      <c r="IT85" s="1518"/>
      <c r="IU85" s="1519"/>
      <c r="IV85" s="1518"/>
      <c r="IW85" s="1519"/>
      <c r="IX85" s="1518"/>
      <c r="IY85" s="1519"/>
      <c r="IZ85" s="1518"/>
      <c r="JA85" s="1519"/>
      <c r="JB85" s="1518"/>
      <c r="JC85" s="1519"/>
      <c r="JD85" s="1518"/>
      <c r="JE85" s="1519"/>
      <c r="JF85" s="1518"/>
      <c r="JG85" s="1519"/>
      <c r="JH85" s="1518"/>
      <c r="JI85" s="1519"/>
      <c r="JJ85" s="1562"/>
      <c r="JK85" s="1560"/>
      <c r="JL85" s="1562"/>
      <c r="JM85" s="1560"/>
      <c r="JN85" s="1562"/>
      <c r="JO85" s="1560"/>
      <c r="JP85" s="1562"/>
      <c r="JQ85" s="1560"/>
      <c r="JR85" s="1562"/>
      <c r="JS85" s="1560"/>
      <c r="JT85" s="1562"/>
      <c r="JU85" s="1560"/>
      <c r="JV85" s="1562"/>
      <c r="JW85" s="1560"/>
      <c r="JX85" s="1562"/>
      <c r="JY85" s="1527"/>
      <c r="JZ85" s="1566">
        <f>IFERROR(__xludf.DUMMYFUNCTION("""COMPUTED_VALUE"""),7.742256944)</f>
        <v>7.742256944</v>
      </c>
      <c r="KA85" s="1514">
        <f>IFERROR(__xludf.DUMMYFUNCTION("""COMPUTED_VALUE"""),2.9399E11)</f>
        <v>293990000000</v>
      </c>
      <c r="KB85" s="1562"/>
      <c r="KC85" s="1527"/>
      <c r="KD85" s="1562"/>
      <c r="KE85" s="1527"/>
      <c r="KF85" s="1527"/>
      <c r="KG85" s="1527"/>
      <c r="KH85" s="1527"/>
      <c r="KI85" s="1527"/>
      <c r="KJ85" s="1527"/>
      <c r="KK85" s="1527"/>
      <c r="KL85" s="1527"/>
      <c r="KM85" s="1527"/>
      <c r="KN85" s="1527"/>
      <c r="KO85" s="1527"/>
      <c r="KP85" s="1527"/>
      <c r="KQ85" s="1527"/>
      <c r="KR85" s="1527"/>
      <c r="KS85" s="1527"/>
      <c r="KT85" s="1527"/>
      <c r="KU85" s="1527"/>
      <c r="KV85" s="1527"/>
      <c r="KW85" s="1527"/>
      <c r="KX85" s="1527"/>
      <c r="KY85" s="1527"/>
      <c r="KZ85" s="1527"/>
      <c r="LA85" s="1527"/>
      <c r="LB85" s="1527"/>
      <c r="LC85" s="1527"/>
      <c r="LD85" s="1527"/>
      <c r="LE85" s="1527"/>
      <c r="LF85" s="1527"/>
      <c r="LG85" s="1527"/>
      <c r="LH85" s="1527"/>
      <c r="LI85" s="1527"/>
      <c r="LJ85" s="1527"/>
      <c r="LK85" s="1527"/>
      <c r="LL85" s="1527"/>
      <c r="LM85" s="1527"/>
      <c r="LN85" s="1527"/>
      <c r="LO85" s="1527"/>
      <c r="LP85" s="1527"/>
      <c r="LQ85" s="1527"/>
      <c r="LR85" s="1527"/>
      <c r="LS85" s="1527"/>
      <c r="LT85" s="1527"/>
      <c r="LU85" s="1527"/>
      <c r="LV85" s="1527"/>
      <c r="LW85" s="1527"/>
      <c r="LX85" s="1527"/>
      <c r="LY85" s="1527"/>
      <c r="LZ85" s="1527"/>
      <c r="MA85" s="1527"/>
      <c r="MB85" s="1527"/>
      <c r="MC85" s="1527"/>
      <c r="MD85" s="1527"/>
      <c r="ME85" s="1527"/>
      <c r="MF85" s="1527"/>
      <c r="MG85" s="1527"/>
      <c r="MH85" s="1527"/>
      <c r="MI85" s="1527"/>
      <c r="MJ85" s="1527"/>
      <c r="MK85" s="1527"/>
      <c r="ML85" s="1527"/>
      <c r="MM85" s="1527"/>
      <c r="MN85" s="1527"/>
      <c r="MO85" s="1527"/>
      <c r="MP85" s="1527"/>
      <c r="MQ85" s="1527"/>
      <c r="MR85" s="1527"/>
      <c r="MS85" s="1527"/>
      <c r="MT85" s="1527"/>
      <c r="MU85" s="1527"/>
      <c r="MV85" s="1527"/>
      <c r="MW85" s="1527"/>
      <c r="MX85" s="1527"/>
      <c r="MY85" s="1527"/>
    </row>
    <row r="86">
      <c r="A86" s="1465">
        <f>IFERROR(__xludf.DUMMYFUNCTION("""COMPUTED_VALUE"""),84.0)</f>
        <v>84</v>
      </c>
      <c r="B86" s="1518"/>
      <c r="C86" s="1520"/>
      <c r="D86" s="1466">
        <f>IFERROR(__xludf.DUMMYFUNCTION("""COMPUTED_VALUE"""),32.975)</f>
        <v>32.975</v>
      </c>
      <c r="E86" s="1467">
        <f>IFERROR(__xludf.DUMMYFUNCTION("""COMPUTED_VALUE"""),2650000.0)</f>
        <v>2650000</v>
      </c>
      <c r="F86" s="1466">
        <f>IFERROR(__xludf.DUMMYFUNCTION("""COMPUTED_VALUE"""),32.975)</f>
        <v>32.975</v>
      </c>
      <c r="G86" s="1467">
        <f>IFERROR(__xludf.DUMMYFUNCTION("""COMPUTED_VALUE"""),2650000.0)</f>
        <v>2650000</v>
      </c>
      <c r="H86" s="1466">
        <f>IFERROR(__xludf.DUMMYFUNCTION("""COMPUTED_VALUE"""),32.975)</f>
        <v>32.975</v>
      </c>
      <c r="I86" s="1467">
        <f>IFERROR(__xludf.DUMMYFUNCTION("""COMPUTED_VALUE"""),2650000.0)</f>
        <v>2650000</v>
      </c>
      <c r="J86" s="1466">
        <f>IFERROR(__xludf.DUMMYFUNCTION("""COMPUTED_VALUE"""),32.975)</f>
        <v>32.975</v>
      </c>
      <c r="K86" s="1467">
        <f>IFERROR(__xludf.DUMMYFUNCTION("""COMPUTED_VALUE"""),2650000.0)</f>
        <v>2650000</v>
      </c>
      <c r="L86" s="1466">
        <f>IFERROR(__xludf.DUMMYFUNCTION("""COMPUTED_VALUE"""),63.90138888888889)</f>
        <v>63.90138889</v>
      </c>
      <c r="M86" s="1469">
        <f>IFERROR(__xludf.DUMMYFUNCTION("""COMPUTED_VALUE"""),8690000.0)</f>
        <v>8690000</v>
      </c>
      <c r="N86" s="1470">
        <f>IFERROR(__xludf.DUMMYFUNCTION("""COMPUTED_VALUE"""),24.022916666666667)</f>
        <v>24.02291667</v>
      </c>
      <c r="O86" s="1467">
        <f>IFERROR(__xludf.DUMMYFUNCTION("""COMPUTED_VALUE"""),1.157E7)</f>
        <v>11570000</v>
      </c>
      <c r="P86" s="1518"/>
      <c r="Q86" s="1519"/>
      <c r="R86" s="1518"/>
      <c r="S86" s="1519"/>
      <c r="T86" s="1518"/>
      <c r="U86" s="1519"/>
      <c r="V86" s="1518"/>
      <c r="W86" s="1519"/>
      <c r="X86" s="1518"/>
      <c r="Y86" s="1519"/>
      <c r="Z86" s="1518"/>
      <c r="AA86" s="1519"/>
      <c r="AB86" s="1518"/>
      <c r="AC86" s="1519"/>
      <c r="AD86" s="1466">
        <f>IFERROR(__xludf.DUMMYFUNCTION("""COMPUTED_VALUE"""),90.71527777777777)</f>
        <v>90.71527778</v>
      </c>
      <c r="AE86" s="1474">
        <f>IFERROR(__xludf.DUMMYFUNCTION("""COMPUTED_VALUE"""),2.866145552E18)</f>
        <v>2.86615E+18</v>
      </c>
      <c r="AF86" s="1466">
        <f>IFERROR(__xludf.DUMMYFUNCTION("""COMPUTED_VALUE"""),90.71527777777777)</f>
        <v>90.71527778</v>
      </c>
      <c r="AG86" s="1474">
        <f>IFERROR(__xludf.DUMMYFUNCTION("""COMPUTED_VALUE"""),2.866145552E18)</f>
        <v>2.86615E+18</v>
      </c>
      <c r="AH86" s="1466">
        <f>IFERROR(__xludf.DUMMYFUNCTION("""COMPUTED_VALUE"""),90.71527777777777)</f>
        <v>90.71527778</v>
      </c>
      <c r="AI86" s="1474">
        <f>IFERROR(__xludf.DUMMYFUNCTION("""COMPUTED_VALUE"""),2.866145552E18)</f>
        <v>2.86615E+18</v>
      </c>
      <c r="AJ86" s="1475">
        <f>IFERROR(__xludf.DUMMYFUNCTION("""COMPUTED_VALUE"""),32.975)</f>
        <v>32.975</v>
      </c>
      <c r="AK86" s="1476">
        <f>IFERROR(__xludf.DUMMYFUNCTION("""COMPUTED_VALUE"""),2650000.0)</f>
        <v>2650000</v>
      </c>
      <c r="AL86" s="1475">
        <f>IFERROR(__xludf.DUMMYFUNCTION("""COMPUTED_VALUE"""),32.975)</f>
        <v>32.975</v>
      </c>
      <c r="AM86" s="1476">
        <f>IFERROR(__xludf.DUMMYFUNCTION("""COMPUTED_VALUE"""),2650000.0)</f>
        <v>2650000</v>
      </c>
      <c r="AN86" s="1475">
        <f>IFERROR(__xludf.DUMMYFUNCTION("""COMPUTED_VALUE"""),32.975)</f>
        <v>32.975</v>
      </c>
      <c r="AO86" s="1476">
        <f>IFERROR(__xludf.DUMMYFUNCTION("""COMPUTED_VALUE"""),2650000.0)</f>
        <v>2650000</v>
      </c>
      <c r="AP86" s="1520"/>
      <c r="AQ86" s="1519"/>
      <c r="AR86" s="1475">
        <f>IFERROR(__xludf.DUMMYFUNCTION("""COMPUTED_VALUE"""),32.975)</f>
        <v>32.975</v>
      </c>
      <c r="AS86" s="1476">
        <f>IFERROR(__xludf.DUMMYFUNCTION("""COMPUTED_VALUE"""),2650000.0)</f>
        <v>2650000</v>
      </c>
      <c r="AT86" s="1520"/>
      <c r="AU86" s="1519"/>
      <c r="AV86" s="1520"/>
      <c r="AW86" s="1519"/>
      <c r="AX86" s="1518"/>
      <c r="AY86" s="1568"/>
      <c r="AZ86" s="1518"/>
      <c r="BA86" s="1518"/>
      <c r="BB86" s="1477">
        <f>IFERROR(__xludf.DUMMYFUNCTION("""COMPUTED_VALUE"""),32.975)</f>
        <v>32.975</v>
      </c>
      <c r="BC86" s="1478">
        <f>IFERROR(__xludf.DUMMYFUNCTION("""COMPUTED_VALUE"""),2650000.0)</f>
        <v>2650000</v>
      </c>
      <c r="BD86" s="1477">
        <f>IFERROR(__xludf.DUMMYFUNCTION("""COMPUTED_VALUE"""),32.975)</f>
        <v>32.975</v>
      </c>
      <c r="BE86" s="1478">
        <f>IFERROR(__xludf.DUMMYFUNCTION("""COMPUTED_VALUE"""),2650000.0)</f>
        <v>2650000</v>
      </c>
      <c r="BF86" s="1477">
        <f>IFERROR(__xludf.DUMMYFUNCTION("""COMPUTED_VALUE"""),32.975)</f>
        <v>32.975</v>
      </c>
      <c r="BG86" s="1478">
        <f>IFERROR(__xludf.DUMMYFUNCTION("""COMPUTED_VALUE"""),2650000.0)</f>
        <v>2650000</v>
      </c>
      <c r="BH86" s="1518"/>
      <c r="BI86" s="1519"/>
      <c r="BJ86" s="1518"/>
      <c r="BK86" s="1519"/>
      <c r="BL86" s="1518"/>
      <c r="BM86" s="1519"/>
      <c r="BN86" s="1518"/>
      <c r="BO86" s="1519"/>
      <c r="BP86" s="1518"/>
      <c r="BQ86" s="1519"/>
      <c r="BR86" s="1520"/>
      <c r="BS86" s="1519"/>
      <c r="BT86" s="1520"/>
      <c r="BU86" s="1520"/>
      <c r="BV86" s="1520"/>
      <c r="BW86" s="1520"/>
      <c r="BX86" s="1520"/>
      <c r="BY86" s="1520"/>
      <c r="BZ86" s="1520"/>
      <c r="CA86" s="1520"/>
      <c r="CB86" s="1520"/>
      <c r="CC86" s="1519"/>
      <c r="CD86" s="1520"/>
      <c r="CE86" s="1520"/>
      <c r="CF86" s="1527"/>
      <c r="CG86" s="1560"/>
      <c r="CH86" s="1482">
        <f>IFERROR(__xludf.DUMMYFUNCTION("""COMPUTED_VALUE"""),32.975)</f>
        <v>32.975</v>
      </c>
      <c r="CI86" s="1483">
        <f>IFERROR(__xludf.DUMMYFUNCTION("""COMPUTED_VALUE"""),2650000.0)</f>
        <v>2650000</v>
      </c>
      <c r="CJ86" s="1482">
        <f>IFERROR(__xludf.DUMMYFUNCTION("""COMPUTED_VALUE"""),32.975)</f>
        <v>32.975</v>
      </c>
      <c r="CK86" s="1483">
        <f>IFERROR(__xludf.DUMMYFUNCTION("""COMPUTED_VALUE"""),2650000.0)</f>
        <v>2650000</v>
      </c>
      <c r="CL86" s="1482">
        <f>IFERROR(__xludf.DUMMYFUNCTION("""COMPUTED_VALUE"""),32.975)</f>
        <v>32.975</v>
      </c>
      <c r="CM86" s="1483">
        <f>IFERROR(__xludf.DUMMYFUNCTION("""COMPUTED_VALUE"""),2650000.0)</f>
        <v>2650000</v>
      </c>
      <c r="CN86" s="1482">
        <f>IFERROR(__xludf.DUMMYFUNCTION("""COMPUTED_VALUE"""),32.975)</f>
        <v>32.975</v>
      </c>
      <c r="CO86" s="1483">
        <f>IFERROR(__xludf.DUMMYFUNCTION("""COMPUTED_VALUE"""),2650000.0)</f>
        <v>2650000</v>
      </c>
      <c r="CP86" s="1482">
        <f>IFERROR(__xludf.DUMMYFUNCTION("""COMPUTED_VALUE"""),79.58194444444445)</f>
        <v>79.58194444</v>
      </c>
      <c r="CQ86" s="1483">
        <f>IFERROR(__xludf.DUMMYFUNCTION("""COMPUTED_VALUE"""),1.157E7)</f>
        <v>11570000</v>
      </c>
      <c r="CR86" s="1518"/>
      <c r="CS86" s="1519"/>
      <c r="CT86" s="1520"/>
      <c r="CU86" s="1519"/>
      <c r="CV86" s="1520"/>
      <c r="CW86" s="1519"/>
      <c r="CX86" s="1520"/>
      <c r="CY86" s="1519"/>
      <c r="CZ86" s="1520"/>
      <c r="DA86" s="1520"/>
      <c r="DB86" s="1520"/>
      <c r="DC86" s="1520"/>
      <c r="DD86" s="1520"/>
      <c r="DE86" s="1519"/>
      <c r="DF86" s="1518"/>
      <c r="DG86" s="1519"/>
      <c r="DH86" s="1518"/>
      <c r="DI86" s="1519"/>
      <c r="DJ86" s="1518"/>
      <c r="DK86" s="1519"/>
      <c r="DL86" s="1518"/>
      <c r="DM86" s="1519"/>
      <c r="DN86" s="1518"/>
      <c r="DO86" s="1519"/>
      <c r="DP86" s="1518"/>
      <c r="DQ86" s="1519"/>
      <c r="DR86" s="1518"/>
      <c r="DS86" s="1519"/>
      <c r="DT86" s="1518"/>
      <c r="DU86" s="1519"/>
      <c r="DV86" s="1520"/>
      <c r="DW86" s="1519"/>
      <c r="DX86" s="1518"/>
      <c r="DY86" s="1519"/>
      <c r="DZ86" s="1518"/>
      <c r="EA86" s="1519"/>
      <c r="EB86" s="1518"/>
      <c r="EC86" s="1519"/>
      <c r="ED86" s="1518"/>
      <c r="EE86" s="1519"/>
      <c r="EF86" s="1518"/>
      <c r="EG86" s="1519"/>
      <c r="EH86" s="1518"/>
      <c r="EI86" s="1519"/>
      <c r="EJ86" s="1562"/>
      <c r="EK86" s="1560"/>
      <c r="EL86" s="1562"/>
      <c r="EM86" s="1560"/>
      <c r="EN86" s="1518"/>
      <c r="EO86" s="1519"/>
      <c r="EP86" s="1518"/>
      <c r="EQ86" s="1519"/>
      <c r="ER86" s="1518"/>
      <c r="ES86" s="1519"/>
      <c r="ET86" s="1518"/>
      <c r="EU86" s="1519"/>
      <c r="EV86" s="1518"/>
      <c r="EW86" s="1519"/>
      <c r="EX86" s="1518"/>
      <c r="EY86" s="1519"/>
      <c r="EZ86" s="1518"/>
      <c r="FA86" s="1519"/>
      <c r="FB86" s="1520"/>
      <c r="FC86" s="1519"/>
      <c r="FD86" s="1520"/>
      <c r="FE86" s="1519"/>
      <c r="FF86" s="1520"/>
      <c r="FG86" s="1519"/>
      <c r="FH86" s="1520"/>
      <c r="FI86" s="1520"/>
      <c r="FJ86" s="1520"/>
      <c r="FK86" s="1519"/>
      <c r="FL86" s="1518"/>
      <c r="FM86" s="1519"/>
      <c r="FN86" s="1532"/>
      <c r="FO86" s="1520"/>
      <c r="FP86" s="1532"/>
      <c r="FQ86" s="1520"/>
      <c r="FR86" s="1532"/>
      <c r="FS86" s="1520"/>
      <c r="FT86" s="1532"/>
      <c r="FU86" s="1519"/>
      <c r="FV86" s="1532"/>
      <c r="FW86" s="1519"/>
      <c r="FX86" s="1572"/>
      <c r="FY86" s="1560"/>
      <c r="FZ86" s="1572"/>
      <c r="GA86" s="1560"/>
      <c r="GB86" s="1572"/>
      <c r="GC86" s="1560"/>
      <c r="GD86" s="1527"/>
      <c r="GE86" s="1560"/>
      <c r="GF86" s="1518"/>
      <c r="GG86" s="1519"/>
      <c r="GH86" s="1518"/>
      <c r="GI86" s="1519"/>
      <c r="GJ86" s="1518"/>
      <c r="GK86" s="1519"/>
      <c r="GL86" s="1518"/>
      <c r="GM86" s="1519"/>
      <c r="GN86" s="1520"/>
      <c r="GO86" s="1519"/>
      <c r="GP86" s="1520"/>
      <c r="GQ86" s="1519"/>
      <c r="GR86" s="1518"/>
      <c r="GS86" s="1519"/>
      <c r="GT86" s="1518"/>
      <c r="GU86" s="1519"/>
      <c r="GV86" s="1520"/>
      <c r="GW86" s="1519"/>
      <c r="GX86" s="1561"/>
      <c r="GY86" s="1527"/>
      <c r="GZ86" s="1518"/>
      <c r="HA86" s="1519"/>
      <c r="HB86" s="1501">
        <f>IFERROR(__xludf.DUMMYFUNCTION("""COMPUTED_VALUE"""),4232.0361111111115)</f>
        <v>4232.036111</v>
      </c>
      <c r="HC86" s="1502">
        <f>IFERROR(__xludf.DUMMYFUNCTION("""COMPUTED_VALUE"""),7.878E13)</f>
        <v>78780000000000</v>
      </c>
      <c r="HD86" s="1518"/>
      <c r="HE86" s="1519"/>
      <c r="HF86" s="1518"/>
      <c r="HG86" s="1519"/>
      <c r="HH86" s="1518"/>
      <c r="HI86" s="1519"/>
      <c r="HJ86" s="1518"/>
      <c r="HK86" s="1519"/>
      <c r="HL86" s="1518"/>
      <c r="HM86" s="1519"/>
      <c r="HN86" s="1520"/>
      <c r="HO86" s="1519"/>
      <c r="HP86" s="1518"/>
      <c r="HQ86" s="1519"/>
      <c r="HR86" s="1518"/>
      <c r="HS86" s="1519"/>
      <c r="HT86" s="1518"/>
      <c r="HU86" s="1519"/>
      <c r="HV86" s="1518"/>
      <c r="HW86" s="1519"/>
      <c r="HX86" s="1518"/>
      <c r="HY86" s="1519"/>
      <c r="HZ86" s="1518"/>
      <c r="IA86" s="1519"/>
      <c r="IB86" s="1518"/>
      <c r="IC86" s="1519"/>
      <c r="ID86" s="1518"/>
      <c r="IE86" s="1519"/>
      <c r="IF86" s="1518"/>
      <c r="IG86" s="1519"/>
      <c r="IH86" s="1518"/>
      <c r="II86" s="1519"/>
      <c r="IJ86" s="1518"/>
      <c r="IK86" s="1519"/>
      <c r="IL86" s="1518"/>
      <c r="IM86" s="1519"/>
      <c r="IN86" s="1518"/>
      <c r="IO86" s="1519"/>
      <c r="IP86" s="1518"/>
      <c r="IQ86" s="1519"/>
      <c r="IR86" s="1518"/>
      <c r="IS86" s="1519"/>
      <c r="IT86" s="1518"/>
      <c r="IU86" s="1519"/>
      <c r="IV86" s="1518"/>
      <c r="IW86" s="1519"/>
      <c r="IX86" s="1518"/>
      <c r="IY86" s="1519"/>
      <c r="IZ86" s="1518"/>
      <c r="JA86" s="1519"/>
      <c r="JB86" s="1518"/>
      <c r="JC86" s="1519"/>
      <c r="JD86" s="1518"/>
      <c r="JE86" s="1519"/>
      <c r="JF86" s="1518"/>
      <c r="JG86" s="1519"/>
      <c r="JH86" s="1518"/>
      <c r="JI86" s="1519"/>
      <c r="JJ86" s="1562"/>
      <c r="JK86" s="1560"/>
      <c r="JL86" s="1562"/>
      <c r="JM86" s="1560"/>
      <c r="JN86" s="1562"/>
      <c r="JO86" s="1560"/>
      <c r="JP86" s="1562"/>
      <c r="JQ86" s="1560"/>
      <c r="JR86" s="1562"/>
      <c r="JS86" s="1560"/>
      <c r="JT86" s="1562"/>
      <c r="JU86" s="1560"/>
      <c r="JV86" s="1562"/>
      <c r="JW86" s="1560"/>
      <c r="JX86" s="1562"/>
      <c r="JY86" s="1527"/>
      <c r="JZ86" s="1566">
        <f>IFERROR(__xludf.DUMMYFUNCTION("""COMPUTED_VALUE"""),7.858460648)</f>
        <v>7.858460648</v>
      </c>
      <c r="KA86" s="1514">
        <f>IFERROR(__xludf.DUMMYFUNCTION("""COMPUTED_VALUE"""),3.0377E11)</f>
        <v>303770000000</v>
      </c>
      <c r="KB86" s="1562"/>
      <c r="KC86" s="1527"/>
      <c r="KD86" s="1562"/>
      <c r="KE86" s="1527"/>
      <c r="KF86" s="1527"/>
      <c r="KG86" s="1527"/>
      <c r="KH86" s="1527"/>
      <c r="KI86" s="1527"/>
      <c r="KJ86" s="1527"/>
      <c r="KK86" s="1527"/>
      <c r="KL86" s="1527"/>
      <c r="KM86" s="1527"/>
      <c r="KN86" s="1527"/>
      <c r="KO86" s="1527"/>
      <c r="KP86" s="1527"/>
      <c r="KQ86" s="1527"/>
      <c r="KR86" s="1527"/>
      <c r="KS86" s="1527"/>
      <c r="KT86" s="1527"/>
      <c r="KU86" s="1527"/>
      <c r="KV86" s="1527"/>
      <c r="KW86" s="1527"/>
      <c r="KX86" s="1527"/>
      <c r="KY86" s="1527"/>
      <c r="KZ86" s="1527"/>
      <c r="LA86" s="1527"/>
      <c r="LB86" s="1527"/>
      <c r="LC86" s="1527"/>
      <c r="LD86" s="1527"/>
      <c r="LE86" s="1527"/>
      <c r="LF86" s="1527"/>
      <c r="LG86" s="1527"/>
      <c r="LH86" s="1527"/>
      <c r="LI86" s="1527"/>
      <c r="LJ86" s="1527"/>
      <c r="LK86" s="1527"/>
      <c r="LL86" s="1527"/>
      <c r="LM86" s="1527"/>
      <c r="LN86" s="1527"/>
      <c r="LO86" s="1527"/>
      <c r="LP86" s="1527"/>
      <c r="LQ86" s="1527"/>
      <c r="LR86" s="1527"/>
      <c r="LS86" s="1527"/>
      <c r="LT86" s="1527"/>
      <c r="LU86" s="1527"/>
      <c r="LV86" s="1527"/>
      <c r="LW86" s="1527"/>
      <c r="LX86" s="1527"/>
      <c r="LY86" s="1527"/>
      <c r="LZ86" s="1527"/>
      <c r="MA86" s="1527"/>
      <c r="MB86" s="1527"/>
      <c r="MC86" s="1527"/>
      <c r="MD86" s="1527"/>
      <c r="ME86" s="1527"/>
      <c r="MF86" s="1527"/>
      <c r="MG86" s="1527"/>
      <c r="MH86" s="1527"/>
      <c r="MI86" s="1527"/>
      <c r="MJ86" s="1527"/>
      <c r="MK86" s="1527"/>
      <c r="ML86" s="1527"/>
      <c r="MM86" s="1527"/>
      <c r="MN86" s="1527"/>
      <c r="MO86" s="1527"/>
      <c r="MP86" s="1527"/>
      <c r="MQ86" s="1527"/>
      <c r="MR86" s="1527"/>
      <c r="MS86" s="1527"/>
      <c r="MT86" s="1527"/>
      <c r="MU86" s="1527"/>
      <c r="MV86" s="1527"/>
      <c r="MW86" s="1527"/>
      <c r="MX86" s="1527"/>
      <c r="MY86" s="1527"/>
    </row>
    <row r="87">
      <c r="A87" s="1465">
        <f>IFERROR(__xludf.DUMMYFUNCTION("""COMPUTED_VALUE"""),85.0)</f>
        <v>85</v>
      </c>
      <c r="B87" s="1518"/>
      <c r="C87" s="1520"/>
      <c r="D87" s="1466">
        <f>IFERROR(__xludf.DUMMYFUNCTION("""COMPUTED_VALUE"""),33.93125)</f>
        <v>33.93125</v>
      </c>
      <c r="E87" s="1467">
        <f>IFERROR(__xludf.DUMMYFUNCTION("""COMPUTED_VALUE"""),2740000.0)</f>
        <v>2740000</v>
      </c>
      <c r="F87" s="1466">
        <f>IFERROR(__xludf.DUMMYFUNCTION("""COMPUTED_VALUE"""),33.93125)</f>
        <v>33.93125</v>
      </c>
      <c r="G87" s="1467">
        <f>IFERROR(__xludf.DUMMYFUNCTION("""COMPUTED_VALUE"""),2740000.0)</f>
        <v>2740000</v>
      </c>
      <c r="H87" s="1466">
        <f>IFERROR(__xludf.DUMMYFUNCTION("""COMPUTED_VALUE"""),33.93125)</f>
        <v>33.93125</v>
      </c>
      <c r="I87" s="1467">
        <f>IFERROR(__xludf.DUMMYFUNCTION("""COMPUTED_VALUE"""),2740000.0)</f>
        <v>2740000</v>
      </c>
      <c r="J87" s="1466">
        <f>IFERROR(__xludf.DUMMYFUNCTION("""COMPUTED_VALUE"""),33.93125)</f>
        <v>33.93125</v>
      </c>
      <c r="K87" s="1467">
        <f>IFERROR(__xludf.DUMMYFUNCTION("""COMPUTED_VALUE"""),2740000.0)</f>
        <v>2740000</v>
      </c>
      <c r="L87" s="1466">
        <f>IFERROR(__xludf.DUMMYFUNCTION("""COMPUTED_VALUE"""),65.87361111111112)</f>
        <v>65.87361111</v>
      </c>
      <c r="M87" s="1469">
        <f>IFERROR(__xludf.DUMMYFUNCTION("""COMPUTED_VALUE"""),8980000.0)</f>
        <v>8980000</v>
      </c>
      <c r="N87" s="1470">
        <f>IFERROR(__xludf.DUMMYFUNCTION("""COMPUTED_VALUE"""),24.57986111111111)</f>
        <v>24.57986111</v>
      </c>
      <c r="O87" s="1467">
        <f>IFERROR(__xludf.DUMMYFUNCTION("""COMPUTED_VALUE"""),1.2E7)</f>
        <v>12000000</v>
      </c>
      <c r="P87" s="1518"/>
      <c r="Q87" s="1519"/>
      <c r="R87" s="1518"/>
      <c r="S87" s="1519"/>
      <c r="T87" s="1518"/>
      <c r="U87" s="1519"/>
      <c r="V87" s="1518"/>
      <c r="W87" s="1519"/>
      <c r="X87" s="1518"/>
      <c r="Y87" s="1519"/>
      <c r="Z87" s="1518"/>
      <c r="AA87" s="1519"/>
      <c r="AB87" s="1518"/>
      <c r="AC87" s="1519"/>
      <c r="AD87" s="1466">
        <f>IFERROR(__xludf.DUMMYFUNCTION("""COMPUTED_VALUE"""),91.79583333333333)</f>
        <v>91.79583333</v>
      </c>
      <c r="AE87" s="1474">
        <f>IFERROR(__xludf.DUMMYFUNCTION("""COMPUTED_VALUE"""),3.725989218E18)</f>
        <v>3.72599E+18</v>
      </c>
      <c r="AF87" s="1466">
        <f>IFERROR(__xludf.DUMMYFUNCTION("""COMPUTED_VALUE"""),91.79583333333333)</f>
        <v>91.79583333</v>
      </c>
      <c r="AG87" s="1474">
        <f>IFERROR(__xludf.DUMMYFUNCTION("""COMPUTED_VALUE"""),3.725989218E18)</f>
        <v>3.72599E+18</v>
      </c>
      <c r="AH87" s="1466">
        <f>IFERROR(__xludf.DUMMYFUNCTION("""COMPUTED_VALUE"""),91.79583333333333)</f>
        <v>91.79583333</v>
      </c>
      <c r="AI87" s="1474">
        <f>IFERROR(__xludf.DUMMYFUNCTION("""COMPUTED_VALUE"""),3.725989218E18)</f>
        <v>3.72599E+18</v>
      </c>
      <c r="AJ87" s="1475">
        <f>IFERROR(__xludf.DUMMYFUNCTION("""COMPUTED_VALUE"""),33.93125)</f>
        <v>33.93125</v>
      </c>
      <c r="AK87" s="1476">
        <f>IFERROR(__xludf.DUMMYFUNCTION("""COMPUTED_VALUE"""),2740000.0)</f>
        <v>2740000</v>
      </c>
      <c r="AL87" s="1475">
        <f>IFERROR(__xludf.DUMMYFUNCTION("""COMPUTED_VALUE"""),33.93125)</f>
        <v>33.93125</v>
      </c>
      <c r="AM87" s="1476">
        <f>IFERROR(__xludf.DUMMYFUNCTION("""COMPUTED_VALUE"""),2740000.0)</f>
        <v>2740000</v>
      </c>
      <c r="AN87" s="1475">
        <f>IFERROR(__xludf.DUMMYFUNCTION("""COMPUTED_VALUE"""),33.93125)</f>
        <v>33.93125</v>
      </c>
      <c r="AO87" s="1476">
        <f>IFERROR(__xludf.DUMMYFUNCTION("""COMPUTED_VALUE"""),2740000.0)</f>
        <v>2740000</v>
      </c>
      <c r="AP87" s="1520"/>
      <c r="AQ87" s="1519"/>
      <c r="AR87" s="1475">
        <f>IFERROR(__xludf.DUMMYFUNCTION("""COMPUTED_VALUE"""),33.93125)</f>
        <v>33.93125</v>
      </c>
      <c r="AS87" s="1476">
        <f>IFERROR(__xludf.DUMMYFUNCTION("""COMPUTED_VALUE"""),2740000.0)</f>
        <v>2740000</v>
      </c>
      <c r="AT87" s="1520"/>
      <c r="AU87" s="1519"/>
      <c r="AV87" s="1520"/>
      <c r="AW87" s="1519"/>
      <c r="AX87" s="1518"/>
      <c r="AY87" s="1568"/>
      <c r="AZ87" s="1518"/>
      <c r="BA87" s="1518"/>
      <c r="BB87" s="1477">
        <f>IFERROR(__xludf.DUMMYFUNCTION("""COMPUTED_VALUE"""),33.93125)</f>
        <v>33.93125</v>
      </c>
      <c r="BC87" s="1478">
        <f>IFERROR(__xludf.DUMMYFUNCTION("""COMPUTED_VALUE"""),2740000.0)</f>
        <v>2740000</v>
      </c>
      <c r="BD87" s="1477">
        <f>IFERROR(__xludf.DUMMYFUNCTION("""COMPUTED_VALUE"""),33.93125)</f>
        <v>33.93125</v>
      </c>
      <c r="BE87" s="1478">
        <f>IFERROR(__xludf.DUMMYFUNCTION("""COMPUTED_VALUE"""),2740000.0)</f>
        <v>2740000</v>
      </c>
      <c r="BF87" s="1477">
        <f>IFERROR(__xludf.DUMMYFUNCTION("""COMPUTED_VALUE"""),33.93125)</f>
        <v>33.93125</v>
      </c>
      <c r="BG87" s="1478">
        <f>IFERROR(__xludf.DUMMYFUNCTION("""COMPUTED_VALUE"""),2740000.0)</f>
        <v>2740000</v>
      </c>
      <c r="BH87" s="1518"/>
      <c r="BI87" s="1519"/>
      <c r="BJ87" s="1518"/>
      <c r="BK87" s="1519"/>
      <c r="BL87" s="1518"/>
      <c r="BM87" s="1519"/>
      <c r="BN87" s="1518"/>
      <c r="BO87" s="1519"/>
      <c r="BP87" s="1518"/>
      <c r="BQ87" s="1519"/>
      <c r="BR87" s="1520"/>
      <c r="BS87" s="1519"/>
      <c r="BT87" s="1520"/>
      <c r="BU87" s="1520"/>
      <c r="BV87" s="1520"/>
      <c r="BW87" s="1520"/>
      <c r="BX87" s="1520"/>
      <c r="BY87" s="1520"/>
      <c r="BZ87" s="1520"/>
      <c r="CA87" s="1520"/>
      <c r="CB87" s="1520"/>
      <c r="CC87" s="1519"/>
      <c r="CD87" s="1520"/>
      <c r="CE87" s="1520"/>
      <c r="CF87" s="1527"/>
      <c r="CG87" s="1560"/>
      <c r="CH87" s="1482">
        <f>IFERROR(__xludf.DUMMYFUNCTION("""COMPUTED_VALUE"""),33.93125)</f>
        <v>33.93125</v>
      </c>
      <c r="CI87" s="1483">
        <f>IFERROR(__xludf.DUMMYFUNCTION("""COMPUTED_VALUE"""),2740000.0)</f>
        <v>2740000</v>
      </c>
      <c r="CJ87" s="1482">
        <f>IFERROR(__xludf.DUMMYFUNCTION("""COMPUTED_VALUE"""),33.93125)</f>
        <v>33.93125</v>
      </c>
      <c r="CK87" s="1483">
        <f>IFERROR(__xludf.DUMMYFUNCTION("""COMPUTED_VALUE"""),2740000.0)</f>
        <v>2740000</v>
      </c>
      <c r="CL87" s="1482">
        <f>IFERROR(__xludf.DUMMYFUNCTION("""COMPUTED_VALUE"""),33.93125)</f>
        <v>33.93125</v>
      </c>
      <c r="CM87" s="1483">
        <f>IFERROR(__xludf.DUMMYFUNCTION("""COMPUTED_VALUE"""),2740000.0)</f>
        <v>2740000</v>
      </c>
      <c r="CN87" s="1482">
        <f>IFERROR(__xludf.DUMMYFUNCTION("""COMPUTED_VALUE"""),33.93125)</f>
        <v>33.93125</v>
      </c>
      <c r="CO87" s="1483">
        <f>IFERROR(__xludf.DUMMYFUNCTION("""COMPUTED_VALUE"""),2740000.0)</f>
        <v>2740000</v>
      </c>
      <c r="CP87" s="1482">
        <f>IFERROR(__xludf.DUMMYFUNCTION("""COMPUTED_VALUE"""),82.08958333333332)</f>
        <v>82.08958333</v>
      </c>
      <c r="CQ87" s="1483">
        <f>IFERROR(__xludf.DUMMYFUNCTION("""COMPUTED_VALUE"""),1.2E7)</f>
        <v>12000000</v>
      </c>
      <c r="CR87" s="1518"/>
      <c r="CS87" s="1519"/>
      <c r="CT87" s="1520"/>
      <c r="CU87" s="1519"/>
      <c r="CV87" s="1520"/>
      <c r="CW87" s="1519"/>
      <c r="CX87" s="1520"/>
      <c r="CY87" s="1519"/>
      <c r="CZ87" s="1520"/>
      <c r="DA87" s="1520"/>
      <c r="DB87" s="1520"/>
      <c r="DC87" s="1520"/>
      <c r="DD87" s="1520"/>
      <c r="DE87" s="1519"/>
      <c r="DF87" s="1518"/>
      <c r="DG87" s="1519"/>
      <c r="DH87" s="1518"/>
      <c r="DI87" s="1519"/>
      <c r="DJ87" s="1518"/>
      <c r="DK87" s="1519"/>
      <c r="DL87" s="1518"/>
      <c r="DM87" s="1519"/>
      <c r="DN87" s="1518"/>
      <c r="DO87" s="1519"/>
      <c r="DP87" s="1518"/>
      <c r="DQ87" s="1519"/>
      <c r="DR87" s="1518"/>
      <c r="DS87" s="1519"/>
      <c r="DT87" s="1518"/>
      <c r="DU87" s="1519"/>
      <c r="DV87" s="1520"/>
      <c r="DW87" s="1519"/>
      <c r="DX87" s="1518"/>
      <c r="DY87" s="1519"/>
      <c r="DZ87" s="1518"/>
      <c r="EA87" s="1519"/>
      <c r="EB87" s="1518"/>
      <c r="EC87" s="1519"/>
      <c r="ED87" s="1518"/>
      <c r="EE87" s="1519"/>
      <c r="EF87" s="1518"/>
      <c r="EG87" s="1519"/>
      <c r="EH87" s="1518"/>
      <c r="EI87" s="1519"/>
      <c r="EJ87" s="1562"/>
      <c r="EK87" s="1560"/>
      <c r="EL87" s="1562"/>
      <c r="EM87" s="1560"/>
      <c r="EN87" s="1518"/>
      <c r="EO87" s="1519"/>
      <c r="EP87" s="1518"/>
      <c r="EQ87" s="1519"/>
      <c r="ER87" s="1518"/>
      <c r="ES87" s="1519"/>
      <c r="ET87" s="1518"/>
      <c r="EU87" s="1519"/>
      <c r="EV87" s="1518"/>
      <c r="EW87" s="1519"/>
      <c r="EX87" s="1518"/>
      <c r="EY87" s="1519"/>
      <c r="EZ87" s="1518"/>
      <c r="FA87" s="1519"/>
      <c r="FB87" s="1520"/>
      <c r="FC87" s="1519"/>
      <c r="FD87" s="1520"/>
      <c r="FE87" s="1519"/>
      <c r="FF87" s="1520"/>
      <c r="FG87" s="1519"/>
      <c r="FH87" s="1520"/>
      <c r="FI87" s="1520"/>
      <c r="FJ87" s="1520"/>
      <c r="FK87" s="1519"/>
      <c r="FL87" s="1518"/>
      <c r="FM87" s="1519"/>
      <c r="FN87" s="1532"/>
      <c r="FO87" s="1520"/>
      <c r="FP87" s="1532"/>
      <c r="FQ87" s="1520"/>
      <c r="FR87" s="1532"/>
      <c r="FS87" s="1520"/>
      <c r="FT87" s="1532"/>
      <c r="FU87" s="1519"/>
      <c r="FV87" s="1532"/>
      <c r="FW87" s="1519"/>
      <c r="FX87" s="1572"/>
      <c r="FY87" s="1560"/>
      <c r="FZ87" s="1572"/>
      <c r="GA87" s="1560"/>
      <c r="GB87" s="1572"/>
      <c r="GC87" s="1560"/>
      <c r="GD87" s="1527"/>
      <c r="GE87" s="1560"/>
      <c r="GF87" s="1518"/>
      <c r="GG87" s="1519"/>
      <c r="GH87" s="1518"/>
      <c r="GI87" s="1519"/>
      <c r="GJ87" s="1518"/>
      <c r="GK87" s="1519"/>
      <c r="GL87" s="1518"/>
      <c r="GM87" s="1519"/>
      <c r="GN87" s="1520"/>
      <c r="GO87" s="1519"/>
      <c r="GP87" s="1520"/>
      <c r="GQ87" s="1519"/>
      <c r="GR87" s="1518"/>
      <c r="GS87" s="1519"/>
      <c r="GT87" s="1518"/>
      <c r="GU87" s="1519"/>
      <c r="GV87" s="1520"/>
      <c r="GW87" s="1519"/>
      <c r="GX87" s="1561"/>
      <c r="GY87" s="1527"/>
      <c r="GZ87" s="1518"/>
      <c r="HA87" s="1519"/>
      <c r="HB87" s="1501">
        <f>IFERROR(__xludf.DUMMYFUNCTION("""COMPUTED_VALUE"""),4412.841666666666)</f>
        <v>4412.841667</v>
      </c>
      <c r="HC87" s="1502">
        <f>IFERROR(__xludf.DUMMYFUNCTION("""COMPUTED_VALUE"""),8.364E13)</f>
        <v>83640000000000</v>
      </c>
      <c r="HD87" s="1518"/>
      <c r="HE87" s="1519"/>
      <c r="HF87" s="1518"/>
      <c r="HG87" s="1519"/>
      <c r="HH87" s="1518"/>
      <c r="HI87" s="1519"/>
      <c r="HJ87" s="1518"/>
      <c r="HK87" s="1519"/>
      <c r="HL87" s="1518"/>
      <c r="HM87" s="1519"/>
      <c r="HN87" s="1520"/>
      <c r="HO87" s="1519"/>
      <c r="HP87" s="1518"/>
      <c r="HQ87" s="1519"/>
      <c r="HR87" s="1518"/>
      <c r="HS87" s="1519"/>
      <c r="HT87" s="1518"/>
      <c r="HU87" s="1519"/>
      <c r="HV87" s="1518"/>
      <c r="HW87" s="1519"/>
      <c r="HX87" s="1518"/>
      <c r="HY87" s="1519"/>
      <c r="HZ87" s="1518"/>
      <c r="IA87" s="1519"/>
      <c r="IB87" s="1518"/>
      <c r="IC87" s="1519"/>
      <c r="ID87" s="1518"/>
      <c r="IE87" s="1519"/>
      <c r="IF87" s="1518"/>
      <c r="IG87" s="1519"/>
      <c r="IH87" s="1518"/>
      <c r="II87" s="1519"/>
      <c r="IJ87" s="1518"/>
      <c r="IK87" s="1519"/>
      <c r="IL87" s="1518"/>
      <c r="IM87" s="1519"/>
      <c r="IN87" s="1518"/>
      <c r="IO87" s="1519"/>
      <c r="IP87" s="1518"/>
      <c r="IQ87" s="1519"/>
      <c r="IR87" s="1518"/>
      <c r="IS87" s="1519"/>
      <c r="IT87" s="1518"/>
      <c r="IU87" s="1519"/>
      <c r="IV87" s="1518"/>
      <c r="IW87" s="1519"/>
      <c r="IX87" s="1518"/>
      <c r="IY87" s="1519"/>
      <c r="IZ87" s="1518"/>
      <c r="JA87" s="1519"/>
      <c r="JB87" s="1518"/>
      <c r="JC87" s="1519"/>
      <c r="JD87" s="1518"/>
      <c r="JE87" s="1519"/>
      <c r="JF87" s="1518"/>
      <c r="JG87" s="1519"/>
      <c r="JH87" s="1518"/>
      <c r="JI87" s="1519"/>
      <c r="JJ87" s="1562"/>
      <c r="JK87" s="1560"/>
      <c r="JL87" s="1562"/>
      <c r="JM87" s="1560"/>
      <c r="JN87" s="1562"/>
      <c r="JO87" s="1560"/>
      <c r="JP87" s="1562"/>
      <c r="JQ87" s="1560"/>
      <c r="JR87" s="1562"/>
      <c r="JS87" s="1560"/>
      <c r="JT87" s="1562"/>
      <c r="JU87" s="1560"/>
      <c r="JV87" s="1562"/>
      <c r="JW87" s="1560"/>
      <c r="JX87" s="1562"/>
      <c r="JY87" s="1527"/>
      <c r="JZ87" s="1566">
        <f>IFERROR(__xludf.DUMMYFUNCTION("""COMPUTED_VALUE"""),7.975972222)</f>
        <v>7.975972222</v>
      </c>
      <c r="KA87" s="1514">
        <f>IFERROR(__xludf.DUMMYFUNCTION("""COMPUTED_VALUE"""),3.1375E11)</f>
        <v>313750000000</v>
      </c>
      <c r="KB87" s="1562"/>
      <c r="KC87" s="1527"/>
      <c r="KD87" s="1562"/>
      <c r="KE87" s="1527"/>
      <c r="KF87" s="1527"/>
      <c r="KG87" s="1527"/>
      <c r="KH87" s="1527"/>
      <c r="KI87" s="1527"/>
      <c r="KJ87" s="1527"/>
      <c r="KK87" s="1527"/>
      <c r="KL87" s="1527"/>
      <c r="KM87" s="1527"/>
      <c r="KN87" s="1527"/>
      <c r="KO87" s="1527"/>
      <c r="KP87" s="1527"/>
      <c r="KQ87" s="1527"/>
      <c r="KR87" s="1527"/>
      <c r="KS87" s="1527"/>
      <c r="KT87" s="1527"/>
      <c r="KU87" s="1527"/>
      <c r="KV87" s="1527"/>
      <c r="KW87" s="1527"/>
      <c r="KX87" s="1527"/>
      <c r="KY87" s="1527"/>
      <c r="KZ87" s="1527"/>
      <c r="LA87" s="1527"/>
      <c r="LB87" s="1527"/>
      <c r="LC87" s="1527"/>
      <c r="LD87" s="1527"/>
      <c r="LE87" s="1527"/>
      <c r="LF87" s="1527"/>
      <c r="LG87" s="1527"/>
      <c r="LH87" s="1527"/>
      <c r="LI87" s="1527"/>
      <c r="LJ87" s="1527"/>
      <c r="LK87" s="1527"/>
      <c r="LL87" s="1527"/>
      <c r="LM87" s="1527"/>
      <c r="LN87" s="1527"/>
      <c r="LO87" s="1527"/>
      <c r="LP87" s="1527"/>
      <c r="LQ87" s="1527"/>
      <c r="LR87" s="1527"/>
      <c r="LS87" s="1527"/>
      <c r="LT87" s="1527"/>
      <c r="LU87" s="1527"/>
      <c r="LV87" s="1527"/>
      <c r="LW87" s="1527"/>
      <c r="LX87" s="1527"/>
      <c r="LY87" s="1527"/>
      <c r="LZ87" s="1527"/>
      <c r="MA87" s="1527"/>
      <c r="MB87" s="1527"/>
      <c r="MC87" s="1527"/>
      <c r="MD87" s="1527"/>
      <c r="ME87" s="1527"/>
      <c r="MF87" s="1527"/>
      <c r="MG87" s="1527"/>
      <c r="MH87" s="1527"/>
      <c r="MI87" s="1527"/>
      <c r="MJ87" s="1527"/>
      <c r="MK87" s="1527"/>
      <c r="ML87" s="1527"/>
      <c r="MM87" s="1527"/>
      <c r="MN87" s="1527"/>
      <c r="MO87" s="1527"/>
      <c r="MP87" s="1527"/>
      <c r="MQ87" s="1527"/>
      <c r="MR87" s="1527"/>
      <c r="MS87" s="1527"/>
      <c r="MT87" s="1527"/>
      <c r="MU87" s="1527"/>
      <c r="MV87" s="1527"/>
      <c r="MW87" s="1527"/>
      <c r="MX87" s="1527"/>
      <c r="MY87" s="1527"/>
    </row>
    <row r="88">
      <c r="A88" s="1465">
        <f>IFERROR(__xludf.DUMMYFUNCTION("""COMPUTED_VALUE"""),86.0)</f>
        <v>86</v>
      </c>
      <c r="B88" s="1518"/>
      <c r="C88" s="1520"/>
      <c r="D88" s="1466">
        <f>IFERROR(__xludf.DUMMYFUNCTION("""COMPUTED_VALUE"""),34.90416666666667)</f>
        <v>34.90416667</v>
      </c>
      <c r="E88" s="1467">
        <f>IFERROR(__xludf.DUMMYFUNCTION("""COMPUTED_VALUE"""),2830000.0)</f>
        <v>2830000</v>
      </c>
      <c r="F88" s="1466">
        <f>IFERROR(__xludf.DUMMYFUNCTION("""COMPUTED_VALUE"""),34.90416666666667)</f>
        <v>34.90416667</v>
      </c>
      <c r="G88" s="1467">
        <f>IFERROR(__xludf.DUMMYFUNCTION("""COMPUTED_VALUE"""),2830000.0)</f>
        <v>2830000</v>
      </c>
      <c r="H88" s="1466">
        <f>IFERROR(__xludf.DUMMYFUNCTION("""COMPUTED_VALUE"""),34.90416666666667)</f>
        <v>34.90416667</v>
      </c>
      <c r="I88" s="1467">
        <f>IFERROR(__xludf.DUMMYFUNCTION("""COMPUTED_VALUE"""),2830000.0)</f>
        <v>2830000</v>
      </c>
      <c r="J88" s="1466">
        <f>IFERROR(__xludf.DUMMYFUNCTION("""COMPUTED_VALUE"""),34.90416666666667)</f>
        <v>34.90416667</v>
      </c>
      <c r="K88" s="1467">
        <f>IFERROR(__xludf.DUMMYFUNCTION("""COMPUTED_VALUE"""),2830000.0)</f>
        <v>2830000</v>
      </c>
      <c r="L88" s="1466">
        <f>IFERROR(__xludf.DUMMYFUNCTION("""COMPUTED_VALUE"""),67.88263888888889)</f>
        <v>67.88263889</v>
      </c>
      <c r="M88" s="1469">
        <f>IFERROR(__xludf.DUMMYFUNCTION("""COMPUTED_VALUE"""),9280000.0)</f>
        <v>9280000</v>
      </c>
      <c r="N88" s="1470">
        <f>IFERROR(__xludf.DUMMYFUNCTION("""COMPUTED_VALUE"""),25.141666666666666)</f>
        <v>25.14166667</v>
      </c>
      <c r="O88" s="1467">
        <f>IFERROR(__xludf.DUMMYFUNCTION("""COMPUTED_VALUE"""),1.245E7)</f>
        <v>12450000</v>
      </c>
      <c r="P88" s="1518"/>
      <c r="Q88" s="1519"/>
      <c r="R88" s="1518"/>
      <c r="S88" s="1519"/>
      <c r="T88" s="1518"/>
      <c r="U88" s="1519"/>
      <c r="V88" s="1518"/>
      <c r="W88" s="1519"/>
      <c r="X88" s="1518"/>
      <c r="Y88" s="1519"/>
      <c r="Z88" s="1518"/>
      <c r="AA88" s="1519"/>
      <c r="AB88" s="1518"/>
      <c r="AC88" s="1519"/>
      <c r="AD88" s="1466">
        <f>IFERROR(__xludf.DUMMYFUNCTION("""COMPUTED_VALUE"""),92.87569444444445)</f>
        <v>92.87569444</v>
      </c>
      <c r="AE88" s="1474">
        <f>IFERROR(__xludf.DUMMYFUNCTION("""COMPUTED_VALUE"""),4.843785983E18)</f>
        <v>4.84379E+18</v>
      </c>
      <c r="AF88" s="1466">
        <f>IFERROR(__xludf.DUMMYFUNCTION("""COMPUTED_VALUE"""),92.87569444444445)</f>
        <v>92.87569444</v>
      </c>
      <c r="AG88" s="1474">
        <f>IFERROR(__xludf.DUMMYFUNCTION("""COMPUTED_VALUE"""),4.843785983E18)</f>
        <v>4.84379E+18</v>
      </c>
      <c r="AH88" s="1466">
        <f>IFERROR(__xludf.DUMMYFUNCTION("""COMPUTED_VALUE"""),92.87569444444445)</f>
        <v>92.87569444</v>
      </c>
      <c r="AI88" s="1474">
        <f>IFERROR(__xludf.DUMMYFUNCTION("""COMPUTED_VALUE"""),4.843785983E18)</f>
        <v>4.84379E+18</v>
      </c>
      <c r="AJ88" s="1475">
        <f>IFERROR(__xludf.DUMMYFUNCTION("""COMPUTED_VALUE"""),34.90416666666667)</f>
        <v>34.90416667</v>
      </c>
      <c r="AK88" s="1476">
        <f>IFERROR(__xludf.DUMMYFUNCTION("""COMPUTED_VALUE"""),2830000.0)</f>
        <v>2830000</v>
      </c>
      <c r="AL88" s="1475">
        <f>IFERROR(__xludf.DUMMYFUNCTION("""COMPUTED_VALUE"""),34.90416666666667)</f>
        <v>34.90416667</v>
      </c>
      <c r="AM88" s="1476">
        <f>IFERROR(__xludf.DUMMYFUNCTION("""COMPUTED_VALUE"""),2830000.0)</f>
        <v>2830000</v>
      </c>
      <c r="AN88" s="1475">
        <f>IFERROR(__xludf.DUMMYFUNCTION("""COMPUTED_VALUE"""),34.90416666666667)</f>
        <v>34.90416667</v>
      </c>
      <c r="AO88" s="1476">
        <f>IFERROR(__xludf.DUMMYFUNCTION("""COMPUTED_VALUE"""),2830000.0)</f>
        <v>2830000</v>
      </c>
      <c r="AP88" s="1520"/>
      <c r="AQ88" s="1519"/>
      <c r="AR88" s="1475">
        <f>IFERROR(__xludf.DUMMYFUNCTION("""COMPUTED_VALUE"""),34.90416666666667)</f>
        <v>34.90416667</v>
      </c>
      <c r="AS88" s="1476">
        <f>IFERROR(__xludf.DUMMYFUNCTION("""COMPUTED_VALUE"""),2830000.0)</f>
        <v>2830000</v>
      </c>
      <c r="AT88" s="1520"/>
      <c r="AU88" s="1519"/>
      <c r="AV88" s="1520"/>
      <c r="AW88" s="1519"/>
      <c r="AX88" s="1518"/>
      <c r="AY88" s="1568"/>
      <c r="AZ88" s="1518"/>
      <c r="BA88" s="1518"/>
      <c r="BB88" s="1477">
        <f>IFERROR(__xludf.DUMMYFUNCTION("""COMPUTED_VALUE"""),34.90416666666667)</f>
        <v>34.90416667</v>
      </c>
      <c r="BC88" s="1478">
        <f>IFERROR(__xludf.DUMMYFUNCTION("""COMPUTED_VALUE"""),2830000.0)</f>
        <v>2830000</v>
      </c>
      <c r="BD88" s="1477">
        <f>IFERROR(__xludf.DUMMYFUNCTION("""COMPUTED_VALUE"""),34.90416666666667)</f>
        <v>34.90416667</v>
      </c>
      <c r="BE88" s="1478">
        <f>IFERROR(__xludf.DUMMYFUNCTION("""COMPUTED_VALUE"""),2830000.0)</f>
        <v>2830000</v>
      </c>
      <c r="BF88" s="1477">
        <f>IFERROR(__xludf.DUMMYFUNCTION("""COMPUTED_VALUE"""),34.90416666666667)</f>
        <v>34.90416667</v>
      </c>
      <c r="BG88" s="1478">
        <f>IFERROR(__xludf.DUMMYFUNCTION("""COMPUTED_VALUE"""),2830000.0)</f>
        <v>2830000</v>
      </c>
      <c r="BH88" s="1518"/>
      <c r="BI88" s="1519"/>
      <c r="BJ88" s="1518"/>
      <c r="BK88" s="1519"/>
      <c r="BL88" s="1518"/>
      <c r="BM88" s="1519"/>
      <c r="BN88" s="1518"/>
      <c r="BO88" s="1519"/>
      <c r="BP88" s="1518"/>
      <c r="BQ88" s="1519"/>
      <c r="BR88" s="1520"/>
      <c r="BS88" s="1519"/>
      <c r="BT88" s="1520"/>
      <c r="BU88" s="1520"/>
      <c r="BV88" s="1520"/>
      <c r="BW88" s="1520"/>
      <c r="BX88" s="1520"/>
      <c r="BY88" s="1520"/>
      <c r="BZ88" s="1520"/>
      <c r="CA88" s="1520"/>
      <c r="CB88" s="1520"/>
      <c r="CC88" s="1519"/>
      <c r="CD88" s="1520"/>
      <c r="CE88" s="1520"/>
      <c r="CF88" s="1527"/>
      <c r="CG88" s="1560"/>
      <c r="CH88" s="1482">
        <f>IFERROR(__xludf.DUMMYFUNCTION("""COMPUTED_VALUE"""),34.90416666666667)</f>
        <v>34.90416667</v>
      </c>
      <c r="CI88" s="1483">
        <f>IFERROR(__xludf.DUMMYFUNCTION("""COMPUTED_VALUE"""),2830000.0)</f>
        <v>2830000</v>
      </c>
      <c r="CJ88" s="1482">
        <f>IFERROR(__xludf.DUMMYFUNCTION("""COMPUTED_VALUE"""),34.90416666666667)</f>
        <v>34.90416667</v>
      </c>
      <c r="CK88" s="1483">
        <f>IFERROR(__xludf.DUMMYFUNCTION("""COMPUTED_VALUE"""),2830000.0)</f>
        <v>2830000</v>
      </c>
      <c r="CL88" s="1482">
        <f>IFERROR(__xludf.DUMMYFUNCTION("""COMPUTED_VALUE"""),34.90416666666667)</f>
        <v>34.90416667</v>
      </c>
      <c r="CM88" s="1483">
        <f>IFERROR(__xludf.DUMMYFUNCTION("""COMPUTED_VALUE"""),2830000.0)</f>
        <v>2830000</v>
      </c>
      <c r="CN88" s="1482">
        <f>IFERROR(__xludf.DUMMYFUNCTION("""COMPUTED_VALUE"""),34.90416666666667)</f>
        <v>34.90416667</v>
      </c>
      <c r="CO88" s="1483">
        <f>IFERROR(__xludf.DUMMYFUNCTION("""COMPUTED_VALUE"""),2830000.0)</f>
        <v>2830000</v>
      </c>
      <c r="CP88" s="1482">
        <f>IFERROR(__xludf.DUMMYFUNCTION("""COMPUTED_VALUE"""),84.64583333333333)</f>
        <v>84.64583333</v>
      </c>
      <c r="CQ88" s="1483">
        <f>IFERROR(__xludf.DUMMYFUNCTION("""COMPUTED_VALUE"""),1.245E7)</f>
        <v>12450000</v>
      </c>
      <c r="CR88" s="1518"/>
      <c r="CS88" s="1519"/>
      <c r="CT88" s="1520"/>
      <c r="CU88" s="1519"/>
      <c r="CV88" s="1520"/>
      <c r="CW88" s="1519"/>
      <c r="CX88" s="1520"/>
      <c r="CY88" s="1519"/>
      <c r="CZ88" s="1520"/>
      <c r="DA88" s="1520"/>
      <c r="DB88" s="1520"/>
      <c r="DC88" s="1520"/>
      <c r="DD88" s="1520"/>
      <c r="DE88" s="1519"/>
      <c r="DF88" s="1518"/>
      <c r="DG88" s="1519"/>
      <c r="DH88" s="1518"/>
      <c r="DI88" s="1519"/>
      <c r="DJ88" s="1518"/>
      <c r="DK88" s="1519"/>
      <c r="DL88" s="1518"/>
      <c r="DM88" s="1519"/>
      <c r="DN88" s="1518"/>
      <c r="DO88" s="1519"/>
      <c r="DP88" s="1518"/>
      <c r="DQ88" s="1519"/>
      <c r="DR88" s="1518"/>
      <c r="DS88" s="1519"/>
      <c r="DT88" s="1518"/>
      <c r="DU88" s="1519"/>
      <c r="DV88" s="1520"/>
      <c r="DW88" s="1519"/>
      <c r="DX88" s="1518"/>
      <c r="DY88" s="1519"/>
      <c r="DZ88" s="1518"/>
      <c r="EA88" s="1519"/>
      <c r="EB88" s="1518"/>
      <c r="EC88" s="1519"/>
      <c r="ED88" s="1518"/>
      <c r="EE88" s="1519"/>
      <c r="EF88" s="1518"/>
      <c r="EG88" s="1519"/>
      <c r="EH88" s="1518"/>
      <c r="EI88" s="1519"/>
      <c r="EJ88" s="1562"/>
      <c r="EK88" s="1560"/>
      <c r="EL88" s="1562"/>
      <c r="EM88" s="1560"/>
      <c r="EN88" s="1518"/>
      <c r="EO88" s="1519"/>
      <c r="EP88" s="1518"/>
      <c r="EQ88" s="1519"/>
      <c r="ER88" s="1518"/>
      <c r="ES88" s="1519"/>
      <c r="ET88" s="1518"/>
      <c r="EU88" s="1519"/>
      <c r="EV88" s="1518"/>
      <c r="EW88" s="1519"/>
      <c r="EX88" s="1518"/>
      <c r="EY88" s="1519"/>
      <c r="EZ88" s="1518"/>
      <c r="FA88" s="1519"/>
      <c r="FB88" s="1520"/>
      <c r="FC88" s="1519"/>
      <c r="FD88" s="1520"/>
      <c r="FE88" s="1519"/>
      <c r="FF88" s="1520"/>
      <c r="FG88" s="1519"/>
      <c r="FH88" s="1520"/>
      <c r="FI88" s="1520"/>
      <c r="FJ88" s="1520"/>
      <c r="FK88" s="1519"/>
      <c r="FL88" s="1518"/>
      <c r="FM88" s="1519"/>
      <c r="FN88" s="1532"/>
      <c r="FO88" s="1520"/>
      <c r="FP88" s="1532"/>
      <c r="FQ88" s="1520"/>
      <c r="FR88" s="1532"/>
      <c r="FS88" s="1520"/>
      <c r="FT88" s="1532"/>
      <c r="FU88" s="1519"/>
      <c r="FV88" s="1532"/>
      <c r="FW88" s="1519"/>
      <c r="FX88" s="1572"/>
      <c r="FY88" s="1560"/>
      <c r="FZ88" s="1572"/>
      <c r="GA88" s="1560"/>
      <c r="GB88" s="1572"/>
      <c r="GC88" s="1560"/>
      <c r="GD88" s="1527"/>
      <c r="GE88" s="1560"/>
      <c r="GF88" s="1518"/>
      <c r="GG88" s="1519"/>
      <c r="GH88" s="1518"/>
      <c r="GI88" s="1519"/>
      <c r="GJ88" s="1518"/>
      <c r="GK88" s="1519"/>
      <c r="GL88" s="1518"/>
      <c r="GM88" s="1519"/>
      <c r="GN88" s="1520"/>
      <c r="GO88" s="1519"/>
      <c r="GP88" s="1520"/>
      <c r="GQ88" s="1519"/>
      <c r="GR88" s="1518"/>
      <c r="GS88" s="1519"/>
      <c r="GT88" s="1518"/>
      <c r="GU88" s="1519"/>
      <c r="GV88" s="1520"/>
      <c r="GW88" s="1519"/>
      <c r="GX88" s="1561"/>
      <c r="GY88" s="1527"/>
      <c r="GZ88" s="1518"/>
      <c r="HA88" s="1519"/>
      <c r="HB88" s="1501">
        <f>IFERROR(__xludf.DUMMYFUNCTION("""COMPUTED_VALUE"""),4640.771527777778)</f>
        <v>4640.771528</v>
      </c>
      <c r="HC88" s="1502">
        <f>IFERROR(__xludf.DUMMYFUNCTION("""COMPUTED_VALUE"""),8.874E13)</f>
        <v>88740000000000</v>
      </c>
      <c r="HD88" s="1518"/>
      <c r="HE88" s="1519"/>
      <c r="HF88" s="1518"/>
      <c r="HG88" s="1519"/>
      <c r="HH88" s="1518"/>
      <c r="HI88" s="1519"/>
      <c r="HJ88" s="1518"/>
      <c r="HK88" s="1519"/>
      <c r="HL88" s="1518"/>
      <c r="HM88" s="1519"/>
      <c r="HN88" s="1520"/>
      <c r="HO88" s="1519"/>
      <c r="HP88" s="1518"/>
      <c r="HQ88" s="1519"/>
      <c r="HR88" s="1518"/>
      <c r="HS88" s="1519"/>
      <c r="HT88" s="1518"/>
      <c r="HU88" s="1519"/>
      <c r="HV88" s="1518"/>
      <c r="HW88" s="1519"/>
      <c r="HX88" s="1518"/>
      <c r="HY88" s="1519"/>
      <c r="HZ88" s="1518"/>
      <c r="IA88" s="1519"/>
      <c r="IB88" s="1518"/>
      <c r="IC88" s="1519"/>
      <c r="ID88" s="1518"/>
      <c r="IE88" s="1519"/>
      <c r="IF88" s="1518"/>
      <c r="IG88" s="1519"/>
      <c r="IH88" s="1518"/>
      <c r="II88" s="1519"/>
      <c r="IJ88" s="1518"/>
      <c r="IK88" s="1519"/>
      <c r="IL88" s="1518"/>
      <c r="IM88" s="1519"/>
      <c r="IN88" s="1518"/>
      <c r="IO88" s="1519"/>
      <c r="IP88" s="1518"/>
      <c r="IQ88" s="1519"/>
      <c r="IR88" s="1518"/>
      <c r="IS88" s="1519"/>
      <c r="IT88" s="1518"/>
      <c r="IU88" s="1519"/>
      <c r="IV88" s="1518"/>
      <c r="IW88" s="1519"/>
      <c r="IX88" s="1518"/>
      <c r="IY88" s="1519"/>
      <c r="IZ88" s="1518"/>
      <c r="JA88" s="1519"/>
      <c r="JB88" s="1518"/>
      <c r="JC88" s="1519"/>
      <c r="JD88" s="1518"/>
      <c r="JE88" s="1519"/>
      <c r="JF88" s="1518"/>
      <c r="JG88" s="1519"/>
      <c r="JH88" s="1518"/>
      <c r="JI88" s="1519"/>
      <c r="JJ88" s="1562"/>
      <c r="JK88" s="1560"/>
      <c r="JL88" s="1562"/>
      <c r="JM88" s="1560"/>
      <c r="JN88" s="1562"/>
      <c r="JO88" s="1560"/>
      <c r="JP88" s="1562"/>
      <c r="JQ88" s="1560"/>
      <c r="JR88" s="1562"/>
      <c r="JS88" s="1560"/>
      <c r="JT88" s="1562"/>
      <c r="JU88" s="1560"/>
      <c r="JV88" s="1562"/>
      <c r="JW88" s="1560"/>
      <c r="JX88" s="1562"/>
      <c r="JY88" s="1527"/>
      <c r="JZ88" s="1566">
        <f>IFERROR(__xludf.DUMMYFUNCTION("""COMPUTED_VALUE"""),8.094155093)</f>
        <v>8.094155093</v>
      </c>
      <c r="KA88" s="1514">
        <f>IFERROR(__xludf.DUMMYFUNCTION("""COMPUTED_VALUE"""),3.2394E11)</f>
        <v>323940000000</v>
      </c>
      <c r="KB88" s="1562"/>
      <c r="KC88" s="1527"/>
      <c r="KD88" s="1562"/>
      <c r="KE88" s="1527"/>
      <c r="KF88" s="1527"/>
      <c r="KG88" s="1527"/>
      <c r="KH88" s="1527"/>
      <c r="KI88" s="1527"/>
      <c r="KJ88" s="1527"/>
      <c r="KK88" s="1527"/>
      <c r="KL88" s="1527"/>
      <c r="KM88" s="1527"/>
      <c r="KN88" s="1527"/>
      <c r="KO88" s="1527"/>
      <c r="KP88" s="1527"/>
      <c r="KQ88" s="1527"/>
      <c r="KR88" s="1527"/>
      <c r="KS88" s="1527"/>
      <c r="KT88" s="1527"/>
      <c r="KU88" s="1527"/>
      <c r="KV88" s="1527"/>
      <c r="KW88" s="1527"/>
      <c r="KX88" s="1527"/>
      <c r="KY88" s="1527"/>
      <c r="KZ88" s="1527"/>
      <c r="LA88" s="1527"/>
      <c r="LB88" s="1527"/>
      <c r="LC88" s="1527"/>
      <c r="LD88" s="1527"/>
      <c r="LE88" s="1527"/>
      <c r="LF88" s="1527"/>
      <c r="LG88" s="1527"/>
      <c r="LH88" s="1527"/>
      <c r="LI88" s="1527"/>
      <c r="LJ88" s="1527"/>
      <c r="LK88" s="1527"/>
      <c r="LL88" s="1527"/>
      <c r="LM88" s="1527"/>
      <c r="LN88" s="1527"/>
      <c r="LO88" s="1527"/>
      <c r="LP88" s="1527"/>
      <c r="LQ88" s="1527"/>
      <c r="LR88" s="1527"/>
      <c r="LS88" s="1527"/>
      <c r="LT88" s="1527"/>
      <c r="LU88" s="1527"/>
      <c r="LV88" s="1527"/>
      <c r="LW88" s="1527"/>
      <c r="LX88" s="1527"/>
      <c r="LY88" s="1527"/>
      <c r="LZ88" s="1527"/>
      <c r="MA88" s="1527"/>
      <c r="MB88" s="1527"/>
      <c r="MC88" s="1527"/>
      <c r="MD88" s="1527"/>
      <c r="ME88" s="1527"/>
      <c r="MF88" s="1527"/>
      <c r="MG88" s="1527"/>
      <c r="MH88" s="1527"/>
      <c r="MI88" s="1527"/>
      <c r="MJ88" s="1527"/>
      <c r="MK88" s="1527"/>
      <c r="ML88" s="1527"/>
      <c r="MM88" s="1527"/>
      <c r="MN88" s="1527"/>
      <c r="MO88" s="1527"/>
      <c r="MP88" s="1527"/>
      <c r="MQ88" s="1527"/>
      <c r="MR88" s="1527"/>
      <c r="MS88" s="1527"/>
      <c r="MT88" s="1527"/>
      <c r="MU88" s="1527"/>
      <c r="MV88" s="1527"/>
      <c r="MW88" s="1527"/>
      <c r="MX88" s="1527"/>
      <c r="MY88" s="1527"/>
    </row>
    <row r="89">
      <c r="A89" s="1465">
        <f>IFERROR(__xludf.DUMMYFUNCTION("""COMPUTED_VALUE"""),87.0)</f>
        <v>87</v>
      </c>
      <c r="B89" s="1518"/>
      <c r="C89" s="1520"/>
      <c r="D89" s="1466">
        <f>IFERROR(__xludf.DUMMYFUNCTION("""COMPUTED_VALUE"""),35.893055555555556)</f>
        <v>35.89305556</v>
      </c>
      <c r="E89" s="1467">
        <f>IFERROR(__xludf.DUMMYFUNCTION("""COMPUTED_VALUE"""),2930000.0)</f>
        <v>2930000</v>
      </c>
      <c r="F89" s="1466">
        <f>IFERROR(__xludf.DUMMYFUNCTION("""COMPUTED_VALUE"""),35.893055555555556)</f>
        <v>35.89305556</v>
      </c>
      <c r="G89" s="1467">
        <f>IFERROR(__xludf.DUMMYFUNCTION("""COMPUTED_VALUE"""),2930000.0)</f>
        <v>2930000</v>
      </c>
      <c r="H89" s="1466">
        <f>IFERROR(__xludf.DUMMYFUNCTION("""COMPUTED_VALUE"""),35.893055555555556)</f>
        <v>35.89305556</v>
      </c>
      <c r="I89" s="1467">
        <f>IFERROR(__xludf.DUMMYFUNCTION("""COMPUTED_VALUE"""),2930000.0)</f>
        <v>2930000</v>
      </c>
      <c r="J89" s="1466">
        <f>IFERROR(__xludf.DUMMYFUNCTION("""COMPUTED_VALUE"""),35.893055555555556)</f>
        <v>35.89305556</v>
      </c>
      <c r="K89" s="1467">
        <f>IFERROR(__xludf.DUMMYFUNCTION("""COMPUTED_VALUE"""),2930000.0)</f>
        <v>2930000</v>
      </c>
      <c r="L89" s="1466">
        <f>IFERROR(__xludf.DUMMYFUNCTION("""COMPUTED_VALUE"""),69.92916666666666)</f>
        <v>69.92916667</v>
      </c>
      <c r="M89" s="1469">
        <f>IFERROR(__xludf.DUMMYFUNCTION("""COMPUTED_VALUE"""),9580000.0)</f>
        <v>9580000</v>
      </c>
      <c r="N89" s="1470">
        <f>IFERROR(__xludf.DUMMYFUNCTION("""COMPUTED_VALUE"""),25.709027777777777)</f>
        <v>25.70902778</v>
      </c>
      <c r="O89" s="1467">
        <f>IFERROR(__xludf.DUMMYFUNCTION("""COMPUTED_VALUE"""),1.291E7)</f>
        <v>12910000</v>
      </c>
      <c r="P89" s="1518"/>
      <c r="Q89" s="1519"/>
      <c r="R89" s="1518"/>
      <c r="S89" s="1519"/>
      <c r="T89" s="1518"/>
      <c r="U89" s="1519"/>
      <c r="V89" s="1518"/>
      <c r="W89" s="1519"/>
      <c r="X89" s="1518"/>
      <c r="Y89" s="1519"/>
      <c r="Z89" s="1518"/>
      <c r="AA89" s="1519"/>
      <c r="AB89" s="1518"/>
      <c r="AC89" s="1519"/>
      <c r="AD89" s="1466">
        <f>IFERROR(__xludf.DUMMYFUNCTION("""COMPUTED_VALUE"""),93.95555555555555)</f>
        <v>93.95555556</v>
      </c>
      <c r="AE89" s="1474">
        <f>IFERROR(__xludf.DUMMYFUNCTION("""COMPUTED_VALUE"""),6.296921778E18)</f>
        <v>6.29692E+18</v>
      </c>
      <c r="AF89" s="1466">
        <f>IFERROR(__xludf.DUMMYFUNCTION("""COMPUTED_VALUE"""),93.95555555555555)</f>
        <v>93.95555556</v>
      </c>
      <c r="AG89" s="1474">
        <f>IFERROR(__xludf.DUMMYFUNCTION("""COMPUTED_VALUE"""),6.296921778E18)</f>
        <v>6.29692E+18</v>
      </c>
      <c r="AH89" s="1466">
        <f>IFERROR(__xludf.DUMMYFUNCTION("""COMPUTED_VALUE"""),93.95555555555555)</f>
        <v>93.95555556</v>
      </c>
      <c r="AI89" s="1474">
        <f>IFERROR(__xludf.DUMMYFUNCTION("""COMPUTED_VALUE"""),6.296921778E18)</f>
        <v>6.29692E+18</v>
      </c>
      <c r="AJ89" s="1475">
        <f>IFERROR(__xludf.DUMMYFUNCTION("""COMPUTED_VALUE"""),35.893055555555556)</f>
        <v>35.89305556</v>
      </c>
      <c r="AK89" s="1476">
        <f>IFERROR(__xludf.DUMMYFUNCTION("""COMPUTED_VALUE"""),2930000.0)</f>
        <v>2930000</v>
      </c>
      <c r="AL89" s="1475">
        <f>IFERROR(__xludf.DUMMYFUNCTION("""COMPUTED_VALUE"""),35.893055555555556)</f>
        <v>35.89305556</v>
      </c>
      <c r="AM89" s="1476">
        <f>IFERROR(__xludf.DUMMYFUNCTION("""COMPUTED_VALUE"""),2930000.0)</f>
        <v>2930000</v>
      </c>
      <c r="AN89" s="1475">
        <f>IFERROR(__xludf.DUMMYFUNCTION("""COMPUTED_VALUE"""),35.893055555555556)</f>
        <v>35.89305556</v>
      </c>
      <c r="AO89" s="1476">
        <f>IFERROR(__xludf.DUMMYFUNCTION("""COMPUTED_VALUE"""),2930000.0)</f>
        <v>2930000</v>
      </c>
      <c r="AP89" s="1520"/>
      <c r="AQ89" s="1519"/>
      <c r="AR89" s="1475">
        <f>IFERROR(__xludf.DUMMYFUNCTION("""COMPUTED_VALUE"""),35.893055555555556)</f>
        <v>35.89305556</v>
      </c>
      <c r="AS89" s="1476">
        <f>IFERROR(__xludf.DUMMYFUNCTION("""COMPUTED_VALUE"""),2930000.0)</f>
        <v>2930000</v>
      </c>
      <c r="AT89" s="1520"/>
      <c r="AU89" s="1519"/>
      <c r="AV89" s="1520"/>
      <c r="AW89" s="1519"/>
      <c r="AX89" s="1518"/>
      <c r="AY89" s="1568"/>
      <c r="AZ89" s="1518"/>
      <c r="BA89" s="1518"/>
      <c r="BB89" s="1477">
        <f>IFERROR(__xludf.DUMMYFUNCTION("""COMPUTED_VALUE"""),35.893055555555556)</f>
        <v>35.89305556</v>
      </c>
      <c r="BC89" s="1478">
        <f>IFERROR(__xludf.DUMMYFUNCTION("""COMPUTED_VALUE"""),2930000.0)</f>
        <v>2930000</v>
      </c>
      <c r="BD89" s="1477">
        <f>IFERROR(__xludf.DUMMYFUNCTION("""COMPUTED_VALUE"""),35.893055555555556)</f>
        <v>35.89305556</v>
      </c>
      <c r="BE89" s="1478">
        <f>IFERROR(__xludf.DUMMYFUNCTION("""COMPUTED_VALUE"""),2930000.0)</f>
        <v>2930000</v>
      </c>
      <c r="BF89" s="1477">
        <f>IFERROR(__xludf.DUMMYFUNCTION("""COMPUTED_VALUE"""),35.893055555555556)</f>
        <v>35.89305556</v>
      </c>
      <c r="BG89" s="1478">
        <f>IFERROR(__xludf.DUMMYFUNCTION("""COMPUTED_VALUE"""),2930000.0)</f>
        <v>2930000</v>
      </c>
      <c r="BH89" s="1518"/>
      <c r="BI89" s="1519"/>
      <c r="BJ89" s="1518"/>
      <c r="BK89" s="1519"/>
      <c r="BL89" s="1518"/>
      <c r="BM89" s="1519"/>
      <c r="BN89" s="1518"/>
      <c r="BO89" s="1519"/>
      <c r="BP89" s="1518"/>
      <c r="BQ89" s="1519"/>
      <c r="BR89" s="1520"/>
      <c r="BS89" s="1519"/>
      <c r="BT89" s="1520"/>
      <c r="BU89" s="1520"/>
      <c r="BV89" s="1520"/>
      <c r="BW89" s="1520"/>
      <c r="BX89" s="1520"/>
      <c r="BY89" s="1520"/>
      <c r="BZ89" s="1520"/>
      <c r="CA89" s="1520"/>
      <c r="CB89" s="1520"/>
      <c r="CC89" s="1519"/>
      <c r="CD89" s="1520"/>
      <c r="CE89" s="1520"/>
      <c r="CF89" s="1527"/>
      <c r="CG89" s="1560"/>
      <c r="CH89" s="1482">
        <f>IFERROR(__xludf.DUMMYFUNCTION("""COMPUTED_VALUE"""),35.893055555555556)</f>
        <v>35.89305556</v>
      </c>
      <c r="CI89" s="1483">
        <f>IFERROR(__xludf.DUMMYFUNCTION("""COMPUTED_VALUE"""),2930000.0)</f>
        <v>2930000</v>
      </c>
      <c r="CJ89" s="1482">
        <f>IFERROR(__xludf.DUMMYFUNCTION("""COMPUTED_VALUE"""),35.893055555555556)</f>
        <v>35.89305556</v>
      </c>
      <c r="CK89" s="1483">
        <f>IFERROR(__xludf.DUMMYFUNCTION("""COMPUTED_VALUE"""),2930000.0)</f>
        <v>2930000</v>
      </c>
      <c r="CL89" s="1482">
        <f>IFERROR(__xludf.DUMMYFUNCTION("""COMPUTED_VALUE"""),35.893055555555556)</f>
        <v>35.89305556</v>
      </c>
      <c r="CM89" s="1483">
        <f>IFERROR(__xludf.DUMMYFUNCTION("""COMPUTED_VALUE"""),2930000.0)</f>
        <v>2930000</v>
      </c>
      <c r="CN89" s="1482">
        <f>IFERROR(__xludf.DUMMYFUNCTION("""COMPUTED_VALUE"""),35.893055555555556)</f>
        <v>35.89305556</v>
      </c>
      <c r="CO89" s="1483">
        <f>IFERROR(__xludf.DUMMYFUNCTION("""COMPUTED_VALUE"""),2930000.0)</f>
        <v>2930000</v>
      </c>
      <c r="CP89" s="1482">
        <f>IFERROR(__xludf.DUMMYFUNCTION("""COMPUTED_VALUE"""),87.25)</f>
        <v>87.25</v>
      </c>
      <c r="CQ89" s="1483">
        <f>IFERROR(__xludf.DUMMYFUNCTION("""COMPUTED_VALUE"""),1.291E7)</f>
        <v>12910000</v>
      </c>
      <c r="CR89" s="1518"/>
      <c r="CS89" s="1519"/>
      <c r="CT89" s="1520"/>
      <c r="CU89" s="1519"/>
      <c r="CV89" s="1520"/>
      <c r="CW89" s="1519"/>
      <c r="CX89" s="1520"/>
      <c r="CY89" s="1519"/>
      <c r="CZ89" s="1520"/>
      <c r="DA89" s="1520"/>
      <c r="DB89" s="1520"/>
      <c r="DC89" s="1520"/>
      <c r="DD89" s="1520"/>
      <c r="DE89" s="1519"/>
      <c r="DF89" s="1518"/>
      <c r="DG89" s="1519"/>
      <c r="DH89" s="1518"/>
      <c r="DI89" s="1519"/>
      <c r="DJ89" s="1518"/>
      <c r="DK89" s="1519"/>
      <c r="DL89" s="1518"/>
      <c r="DM89" s="1519"/>
      <c r="DN89" s="1518"/>
      <c r="DO89" s="1519"/>
      <c r="DP89" s="1518"/>
      <c r="DQ89" s="1519"/>
      <c r="DR89" s="1518"/>
      <c r="DS89" s="1519"/>
      <c r="DT89" s="1518"/>
      <c r="DU89" s="1519"/>
      <c r="DV89" s="1520"/>
      <c r="DW89" s="1519"/>
      <c r="DX89" s="1518"/>
      <c r="DY89" s="1519"/>
      <c r="DZ89" s="1518"/>
      <c r="EA89" s="1519"/>
      <c r="EB89" s="1518"/>
      <c r="EC89" s="1519"/>
      <c r="ED89" s="1518"/>
      <c r="EE89" s="1519"/>
      <c r="EF89" s="1518"/>
      <c r="EG89" s="1519"/>
      <c r="EH89" s="1518"/>
      <c r="EI89" s="1519"/>
      <c r="EJ89" s="1562"/>
      <c r="EK89" s="1560"/>
      <c r="EL89" s="1562"/>
      <c r="EM89" s="1560"/>
      <c r="EN89" s="1518"/>
      <c r="EO89" s="1519"/>
      <c r="EP89" s="1518"/>
      <c r="EQ89" s="1519"/>
      <c r="ER89" s="1518"/>
      <c r="ES89" s="1519"/>
      <c r="ET89" s="1518"/>
      <c r="EU89" s="1519"/>
      <c r="EV89" s="1518"/>
      <c r="EW89" s="1519"/>
      <c r="EX89" s="1518"/>
      <c r="EY89" s="1519"/>
      <c r="EZ89" s="1518"/>
      <c r="FA89" s="1519"/>
      <c r="FB89" s="1520"/>
      <c r="FC89" s="1519"/>
      <c r="FD89" s="1520"/>
      <c r="FE89" s="1519"/>
      <c r="FF89" s="1520"/>
      <c r="FG89" s="1519"/>
      <c r="FH89" s="1520"/>
      <c r="FI89" s="1520"/>
      <c r="FJ89" s="1520"/>
      <c r="FK89" s="1519"/>
      <c r="FL89" s="1518"/>
      <c r="FM89" s="1519"/>
      <c r="FN89" s="1532"/>
      <c r="FO89" s="1520"/>
      <c r="FP89" s="1532"/>
      <c r="FQ89" s="1520"/>
      <c r="FR89" s="1532"/>
      <c r="FS89" s="1520"/>
      <c r="FT89" s="1532"/>
      <c r="FU89" s="1519"/>
      <c r="FV89" s="1532"/>
      <c r="FW89" s="1519"/>
      <c r="FX89" s="1572"/>
      <c r="FY89" s="1560"/>
      <c r="FZ89" s="1572"/>
      <c r="GA89" s="1560"/>
      <c r="GB89" s="1572"/>
      <c r="GC89" s="1560"/>
      <c r="GD89" s="1527"/>
      <c r="GE89" s="1560"/>
      <c r="GF89" s="1518"/>
      <c r="GG89" s="1519"/>
      <c r="GH89" s="1518"/>
      <c r="GI89" s="1519"/>
      <c r="GJ89" s="1518"/>
      <c r="GK89" s="1519"/>
      <c r="GL89" s="1518"/>
      <c r="GM89" s="1519"/>
      <c r="GN89" s="1520"/>
      <c r="GO89" s="1519"/>
      <c r="GP89" s="1520"/>
      <c r="GQ89" s="1519"/>
      <c r="GR89" s="1518"/>
      <c r="GS89" s="1519"/>
      <c r="GT89" s="1518"/>
      <c r="GU89" s="1519"/>
      <c r="GV89" s="1520"/>
      <c r="GW89" s="1519"/>
      <c r="GX89" s="1561"/>
      <c r="GY89" s="1527"/>
      <c r="GZ89" s="1518"/>
      <c r="HA89" s="1519"/>
      <c r="HB89" s="1501">
        <f>IFERROR(__xludf.DUMMYFUNCTION("""COMPUTED_VALUE"""),4790.833333333333)</f>
        <v>4790.833333</v>
      </c>
      <c r="HC89" s="1502">
        <f>IFERROR(__xludf.DUMMYFUNCTION("""COMPUTED_VALUE"""),9.409E13)</f>
        <v>94090000000000</v>
      </c>
      <c r="HD89" s="1518"/>
      <c r="HE89" s="1519"/>
      <c r="HF89" s="1518"/>
      <c r="HG89" s="1519"/>
      <c r="HH89" s="1518"/>
      <c r="HI89" s="1519"/>
      <c r="HJ89" s="1518"/>
      <c r="HK89" s="1519"/>
      <c r="HL89" s="1518"/>
      <c r="HM89" s="1519"/>
      <c r="HN89" s="1520"/>
      <c r="HO89" s="1519"/>
      <c r="HP89" s="1518"/>
      <c r="HQ89" s="1519"/>
      <c r="HR89" s="1518"/>
      <c r="HS89" s="1519"/>
      <c r="HT89" s="1518"/>
      <c r="HU89" s="1519"/>
      <c r="HV89" s="1518"/>
      <c r="HW89" s="1519"/>
      <c r="HX89" s="1518"/>
      <c r="HY89" s="1519"/>
      <c r="HZ89" s="1518"/>
      <c r="IA89" s="1519"/>
      <c r="IB89" s="1518"/>
      <c r="IC89" s="1519"/>
      <c r="ID89" s="1518"/>
      <c r="IE89" s="1519"/>
      <c r="IF89" s="1518"/>
      <c r="IG89" s="1519"/>
      <c r="IH89" s="1518"/>
      <c r="II89" s="1519"/>
      <c r="IJ89" s="1518"/>
      <c r="IK89" s="1519"/>
      <c r="IL89" s="1518"/>
      <c r="IM89" s="1519"/>
      <c r="IN89" s="1518"/>
      <c r="IO89" s="1519"/>
      <c r="IP89" s="1518"/>
      <c r="IQ89" s="1519"/>
      <c r="IR89" s="1518"/>
      <c r="IS89" s="1519"/>
      <c r="IT89" s="1518"/>
      <c r="IU89" s="1519"/>
      <c r="IV89" s="1518"/>
      <c r="IW89" s="1519"/>
      <c r="IX89" s="1518"/>
      <c r="IY89" s="1519"/>
      <c r="IZ89" s="1518"/>
      <c r="JA89" s="1519"/>
      <c r="JB89" s="1518"/>
      <c r="JC89" s="1519"/>
      <c r="JD89" s="1518"/>
      <c r="JE89" s="1519"/>
      <c r="JF89" s="1518"/>
      <c r="JG89" s="1519"/>
      <c r="JH89" s="1518"/>
      <c r="JI89" s="1519"/>
      <c r="JJ89" s="1562"/>
      <c r="JK89" s="1560"/>
      <c r="JL89" s="1562"/>
      <c r="JM89" s="1560"/>
      <c r="JN89" s="1562"/>
      <c r="JO89" s="1560"/>
      <c r="JP89" s="1562"/>
      <c r="JQ89" s="1560"/>
      <c r="JR89" s="1562"/>
      <c r="JS89" s="1560"/>
      <c r="JT89" s="1562"/>
      <c r="JU89" s="1560"/>
      <c r="JV89" s="1562"/>
      <c r="JW89" s="1560"/>
      <c r="JX89" s="1562"/>
      <c r="JY89" s="1527"/>
      <c r="JZ89" s="1566">
        <f>IFERROR(__xludf.DUMMYFUNCTION("""COMPUTED_VALUE"""),8.213229167)</f>
        <v>8.213229167</v>
      </c>
      <c r="KA89" s="1514">
        <f>IFERROR(__xludf.DUMMYFUNCTION("""COMPUTED_VALUE"""),3.3433E11)</f>
        <v>334330000000</v>
      </c>
      <c r="KB89" s="1562"/>
      <c r="KC89" s="1527"/>
      <c r="KD89" s="1562"/>
      <c r="KE89" s="1527"/>
      <c r="KF89" s="1527"/>
      <c r="KG89" s="1527"/>
      <c r="KH89" s="1527"/>
      <c r="KI89" s="1527"/>
      <c r="KJ89" s="1527"/>
      <c r="KK89" s="1527"/>
      <c r="KL89" s="1527"/>
      <c r="KM89" s="1527"/>
      <c r="KN89" s="1527"/>
      <c r="KO89" s="1527"/>
      <c r="KP89" s="1527"/>
      <c r="KQ89" s="1527"/>
      <c r="KR89" s="1527"/>
      <c r="KS89" s="1527"/>
      <c r="KT89" s="1527"/>
      <c r="KU89" s="1527"/>
      <c r="KV89" s="1527"/>
      <c r="KW89" s="1527"/>
      <c r="KX89" s="1527"/>
      <c r="KY89" s="1527"/>
      <c r="KZ89" s="1527"/>
      <c r="LA89" s="1527"/>
      <c r="LB89" s="1527"/>
      <c r="LC89" s="1527"/>
      <c r="LD89" s="1527"/>
      <c r="LE89" s="1527"/>
      <c r="LF89" s="1527"/>
      <c r="LG89" s="1527"/>
      <c r="LH89" s="1527"/>
      <c r="LI89" s="1527"/>
      <c r="LJ89" s="1527"/>
      <c r="LK89" s="1527"/>
      <c r="LL89" s="1527"/>
      <c r="LM89" s="1527"/>
      <c r="LN89" s="1527"/>
      <c r="LO89" s="1527"/>
      <c r="LP89" s="1527"/>
      <c r="LQ89" s="1527"/>
      <c r="LR89" s="1527"/>
      <c r="LS89" s="1527"/>
      <c r="LT89" s="1527"/>
      <c r="LU89" s="1527"/>
      <c r="LV89" s="1527"/>
      <c r="LW89" s="1527"/>
      <c r="LX89" s="1527"/>
      <c r="LY89" s="1527"/>
      <c r="LZ89" s="1527"/>
      <c r="MA89" s="1527"/>
      <c r="MB89" s="1527"/>
      <c r="MC89" s="1527"/>
      <c r="MD89" s="1527"/>
      <c r="ME89" s="1527"/>
      <c r="MF89" s="1527"/>
      <c r="MG89" s="1527"/>
      <c r="MH89" s="1527"/>
      <c r="MI89" s="1527"/>
      <c r="MJ89" s="1527"/>
      <c r="MK89" s="1527"/>
      <c r="ML89" s="1527"/>
      <c r="MM89" s="1527"/>
      <c r="MN89" s="1527"/>
      <c r="MO89" s="1527"/>
      <c r="MP89" s="1527"/>
      <c r="MQ89" s="1527"/>
      <c r="MR89" s="1527"/>
      <c r="MS89" s="1527"/>
      <c r="MT89" s="1527"/>
      <c r="MU89" s="1527"/>
      <c r="MV89" s="1527"/>
      <c r="MW89" s="1527"/>
      <c r="MX89" s="1527"/>
      <c r="MY89" s="1527"/>
    </row>
    <row r="90">
      <c r="A90" s="1465">
        <f>IFERROR(__xludf.DUMMYFUNCTION("""COMPUTED_VALUE"""),88.0)</f>
        <v>88</v>
      </c>
      <c r="B90" s="1518"/>
      <c r="C90" s="1520"/>
      <c r="D90" s="1466">
        <f>IFERROR(__xludf.DUMMYFUNCTION("""COMPUTED_VALUE"""),36.89791666666667)</f>
        <v>36.89791667</v>
      </c>
      <c r="E90" s="1467">
        <f>IFERROR(__xludf.DUMMYFUNCTION("""COMPUTED_VALUE"""),3020000.0)</f>
        <v>3020000</v>
      </c>
      <c r="F90" s="1466">
        <f>IFERROR(__xludf.DUMMYFUNCTION("""COMPUTED_VALUE"""),36.89791666666667)</f>
        <v>36.89791667</v>
      </c>
      <c r="G90" s="1467">
        <f>IFERROR(__xludf.DUMMYFUNCTION("""COMPUTED_VALUE"""),3020000.0)</f>
        <v>3020000</v>
      </c>
      <c r="H90" s="1466">
        <f>IFERROR(__xludf.DUMMYFUNCTION("""COMPUTED_VALUE"""),36.89791666666667)</f>
        <v>36.89791667</v>
      </c>
      <c r="I90" s="1467">
        <f>IFERROR(__xludf.DUMMYFUNCTION("""COMPUTED_VALUE"""),3020000.0)</f>
        <v>3020000</v>
      </c>
      <c r="J90" s="1466">
        <f>IFERROR(__xludf.DUMMYFUNCTION("""COMPUTED_VALUE"""),36.89791666666667)</f>
        <v>36.89791667</v>
      </c>
      <c r="K90" s="1467">
        <f>IFERROR(__xludf.DUMMYFUNCTION("""COMPUTED_VALUE"""),3020000.0)</f>
        <v>3020000</v>
      </c>
      <c r="L90" s="1466">
        <f>IFERROR(__xludf.DUMMYFUNCTION("""COMPUTED_VALUE"""),72.01180555555555)</f>
        <v>72.01180556</v>
      </c>
      <c r="M90" s="1469">
        <f>IFERROR(__xludf.DUMMYFUNCTION("""COMPUTED_VALUE"""),9890000.0)</f>
        <v>9890000</v>
      </c>
      <c r="N90" s="1470">
        <f>IFERROR(__xludf.DUMMYFUNCTION("""COMPUTED_VALUE"""),26.28125)</f>
        <v>26.28125</v>
      </c>
      <c r="O90" s="1467">
        <f>IFERROR(__xludf.DUMMYFUNCTION("""COMPUTED_VALUE"""),1.338E7)</f>
        <v>13380000</v>
      </c>
      <c r="P90" s="1518"/>
      <c r="Q90" s="1519"/>
      <c r="R90" s="1518"/>
      <c r="S90" s="1519"/>
      <c r="T90" s="1518"/>
      <c r="U90" s="1519"/>
      <c r="V90" s="1518"/>
      <c r="W90" s="1519"/>
      <c r="X90" s="1518"/>
      <c r="Y90" s="1519"/>
      <c r="Z90" s="1518"/>
      <c r="AA90" s="1519"/>
      <c r="AB90" s="1518"/>
      <c r="AC90" s="1519"/>
      <c r="AD90" s="1466">
        <f>IFERROR(__xludf.DUMMYFUNCTION("""COMPUTED_VALUE"""),95.03541666666666)</f>
        <v>95.03541667</v>
      </c>
      <c r="AE90" s="1474">
        <f>IFERROR(__xludf.DUMMYFUNCTION("""COMPUTED_VALUE"""),8.185998311E18)</f>
        <v>8.186E+18</v>
      </c>
      <c r="AF90" s="1466">
        <f>IFERROR(__xludf.DUMMYFUNCTION("""COMPUTED_VALUE"""),95.03541666666666)</f>
        <v>95.03541667</v>
      </c>
      <c r="AG90" s="1474">
        <f>IFERROR(__xludf.DUMMYFUNCTION("""COMPUTED_VALUE"""),8.185998311E18)</f>
        <v>8.186E+18</v>
      </c>
      <c r="AH90" s="1466">
        <f>IFERROR(__xludf.DUMMYFUNCTION("""COMPUTED_VALUE"""),95.03541666666666)</f>
        <v>95.03541667</v>
      </c>
      <c r="AI90" s="1474">
        <f>IFERROR(__xludf.DUMMYFUNCTION("""COMPUTED_VALUE"""),8.185998311E18)</f>
        <v>8.186E+18</v>
      </c>
      <c r="AJ90" s="1475">
        <f>IFERROR(__xludf.DUMMYFUNCTION("""COMPUTED_VALUE"""),36.89791666666667)</f>
        <v>36.89791667</v>
      </c>
      <c r="AK90" s="1476">
        <f>IFERROR(__xludf.DUMMYFUNCTION("""COMPUTED_VALUE"""),3020000.0)</f>
        <v>3020000</v>
      </c>
      <c r="AL90" s="1475">
        <f>IFERROR(__xludf.DUMMYFUNCTION("""COMPUTED_VALUE"""),36.89791666666667)</f>
        <v>36.89791667</v>
      </c>
      <c r="AM90" s="1476">
        <f>IFERROR(__xludf.DUMMYFUNCTION("""COMPUTED_VALUE"""),3020000.0)</f>
        <v>3020000</v>
      </c>
      <c r="AN90" s="1475">
        <f>IFERROR(__xludf.DUMMYFUNCTION("""COMPUTED_VALUE"""),36.89791666666667)</f>
        <v>36.89791667</v>
      </c>
      <c r="AO90" s="1476">
        <f>IFERROR(__xludf.DUMMYFUNCTION("""COMPUTED_VALUE"""),3020000.0)</f>
        <v>3020000</v>
      </c>
      <c r="AP90" s="1520"/>
      <c r="AQ90" s="1519"/>
      <c r="AR90" s="1475">
        <f>IFERROR(__xludf.DUMMYFUNCTION("""COMPUTED_VALUE"""),36.89791666666667)</f>
        <v>36.89791667</v>
      </c>
      <c r="AS90" s="1476">
        <f>IFERROR(__xludf.DUMMYFUNCTION("""COMPUTED_VALUE"""),3020000.0)</f>
        <v>3020000</v>
      </c>
      <c r="AT90" s="1520"/>
      <c r="AU90" s="1519"/>
      <c r="AV90" s="1520"/>
      <c r="AW90" s="1519"/>
      <c r="AX90" s="1518"/>
      <c r="AY90" s="1568"/>
      <c r="AZ90" s="1518"/>
      <c r="BA90" s="1518"/>
      <c r="BB90" s="1477">
        <f>IFERROR(__xludf.DUMMYFUNCTION("""COMPUTED_VALUE"""),36.89791666666667)</f>
        <v>36.89791667</v>
      </c>
      <c r="BC90" s="1478">
        <f>IFERROR(__xludf.DUMMYFUNCTION("""COMPUTED_VALUE"""),3020000.0)</f>
        <v>3020000</v>
      </c>
      <c r="BD90" s="1477">
        <f>IFERROR(__xludf.DUMMYFUNCTION("""COMPUTED_VALUE"""),36.89791666666667)</f>
        <v>36.89791667</v>
      </c>
      <c r="BE90" s="1478">
        <f>IFERROR(__xludf.DUMMYFUNCTION("""COMPUTED_VALUE"""),3020000.0)</f>
        <v>3020000</v>
      </c>
      <c r="BF90" s="1477">
        <f>IFERROR(__xludf.DUMMYFUNCTION("""COMPUTED_VALUE"""),36.89791666666667)</f>
        <v>36.89791667</v>
      </c>
      <c r="BG90" s="1478">
        <f>IFERROR(__xludf.DUMMYFUNCTION("""COMPUTED_VALUE"""),3020000.0)</f>
        <v>3020000</v>
      </c>
      <c r="BH90" s="1518"/>
      <c r="BI90" s="1519"/>
      <c r="BJ90" s="1518"/>
      <c r="BK90" s="1519"/>
      <c r="BL90" s="1518"/>
      <c r="BM90" s="1519"/>
      <c r="BN90" s="1518"/>
      <c r="BO90" s="1519"/>
      <c r="BP90" s="1518"/>
      <c r="BQ90" s="1519"/>
      <c r="BR90" s="1520"/>
      <c r="BS90" s="1519"/>
      <c r="BT90" s="1520"/>
      <c r="BU90" s="1520"/>
      <c r="BV90" s="1520"/>
      <c r="BW90" s="1520"/>
      <c r="BX90" s="1520"/>
      <c r="BY90" s="1520"/>
      <c r="BZ90" s="1520"/>
      <c r="CA90" s="1520"/>
      <c r="CB90" s="1520"/>
      <c r="CC90" s="1519"/>
      <c r="CD90" s="1520"/>
      <c r="CE90" s="1520"/>
      <c r="CF90" s="1527"/>
      <c r="CG90" s="1560"/>
      <c r="CH90" s="1482">
        <f>IFERROR(__xludf.DUMMYFUNCTION("""COMPUTED_VALUE"""),36.89791666666667)</f>
        <v>36.89791667</v>
      </c>
      <c r="CI90" s="1483">
        <f>IFERROR(__xludf.DUMMYFUNCTION("""COMPUTED_VALUE"""),3020000.0)</f>
        <v>3020000</v>
      </c>
      <c r="CJ90" s="1482">
        <f>IFERROR(__xludf.DUMMYFUNCTION("""COMPUTED_VALUE"""),36.89791666666667)</f>
        <v>36.89791667</v>
      </c>
      <c r="CK90" s="1483">
        <f>IFERROR(__xludf.DUMMYFUNCTION("""COMPUTED_VALUE"""),3020000.0)</f>
        <v>3020000</v>
      </c>
      <c r="CL90" s="1482">
        <f>IFERROR(__xludf.DUMMYFUNCTION("""COMPUTED_VALUE"""),36.89791666666667)</f>
        <v>36.89791667</v>
      </c>
      <c r="CM90" s="1483">
        <f>IFERROR(__xludf.DUMMYFUNCTION("""COMPUTED_VALUE"""),3020000.0)</f>
        <v>3020000</v>
      </c>
      <c r="CN90" s="1482">
        <f>IFERROR(__xludf.DUMMYFUNCTION("""COMPUTED_VALUE"""),36.89791666666667)</f>
        <v>36.89791667</v>
      </c>
      <c r="CO90" s="1483">
        <f>IFERROR(__xludf.DUMMYFUNCTION("""COMPUTED_VALUE"""),3020000.0)</f>
        <v>3020000</v>
      </c>
      <c r="CP90" s="1482">
        <f>IFERROR(__xludf.DUMMYFUNCTION("""COMPUTED_VALUE"""),89.90277777777777)</f>
        <v>89.90277778</v>
      </c>
      <c r="CQ90" s="1483">
        <f>IFERROR(__xludf.DUMMYFUNCTION("""COMPUTED_VALUE"""),1.338E7)</f>
        <v>13380000</v>
      </c>
      <c r="CR90" s="1518"/>
      <c r="CS90" s="1519"/>
      <c r="CT90" s="1520"/>
      <c r="CU90" s="1519"/>
      <c r="CV90" s="1520"/>
      <c r="CW90" s="1519"/>
      <c r="CX90" s="1520"/>
      <c r="CY90" s="1519"/>
      <c r="CZ90" s="1520"/>
      <c r="DA90" s="1520"/>
      <c r="DB90" s="1520"/>
      <c r="DC90" s="1520"/>
      <c r="DD90" s="1520"/>
      <c r="DE90" s="1519"/>
      <c r="DF90" s="1518"/>
      <c r="DG90" s="1519"/>
      <c r="DH90" s="1518"/>
      <c r="DI90" s="1519"/>
      <c r="DJ90" s="1518"/>
      <c r="DK90" s="1519"/>
      <c r="DL90" s="1518"/>
      <c r="DM90" s="1519"/>
      <c r="DN90" s="1518"/>
      <c r="DO90" s="1519"/>
      <c r="DP90" s="1518"/>
      <c r="DQ90" s="1519"/>
      <c r="DR90" s="1518"/>
      <c r="DS90" s="1519"/>
      <c r="DT90" s="1518"/>
      <c r="DU90" s="1519"/>
      <c r="DV90" s="1520"/>
      <c r="DW90" s="1519"/>
      <c r="DX90" s="1518"/>
      <c r="DY90" s="1519"/>
      <c r="DZ90" s="1518"/>
      <c r="EA90" s="1519"/>
      <c r="EB90" s="1518"/>
      <c r="EC90" s="1519"/>
      <c r="ED90" s="1518"/>
      <c r="EE90" s="1519"/>
      <c r="EF90" s="1518"/>
      <c r="EG90" s="1519"/>
      <c r="EH90" s="1518"/>
      <c r="EI90" s="1519"/>
      <c r="EJ90" s="1562"/>
      <c r="EK90" s="1560"/>
      <c r="EL90" s="1562"/>
      <c r="EM90" s="1560"/>
      <c r="EN90" s="1518"/>
      <c r="EO90" s="1519"/>
      <c r="EP90" s="1518"/>
      <c r="EQ90" s="1519"/>
      <c r="ER90" s="1518"/>
      <c r="ES90" s="1519"/>
      <c r="ET90" s="1518"/>
      <c r="EU90" s="1519"/>
      <c r="EV90" s="1518"/>
      <c r="EW90" s="1519"/>
      <c r="EX90" s="1518"/>
      <c r="EY90" s="1519"/>
      <c r="EZ90" s="1518"/>
      <c r="FA90" s="1519"/>
      <c r="FB90" s="1520"/>
      <c r="FC90" s="1519"/>
      <c r="FD90" s="1520"/>
      <c r="FE90" s="1519"/>
      <c r="FF90" s="1520"/>
      <c r="FG90" s="1519"/>
      <c r="FH90" s="1520"/>
      <c r="FI90" s="1520"/>
      <c r="FJ90" s="1520"/>
      <c r="FK90" s="1519"/>
      <c r="FL90" s="1518"/>
      <c r="FM90" s="1519"/>
      <c r="FN90" s="1532"/>
      <c r="FO90" s="1520"/>
      <c r="FP90" s="1532"/>
      <c r="FQ90" s="1520"/>
      <c r="FR90" s="1532"/>
      <c r="FS90" s="1520"/>
      <c r="FT90" s="1532"/>
      <c r="FU90" s="1519"/>
      <c r="FV90" s="1532"/>
      <c r="FW90" s="1519"/>
      <c r="FX90" s="1572"/>
      <c r="FY90" s="1560"/>
      <c r="FZ90" s="1572"/>
      <c r="GA90" s="1560"/>
      <c r="GB90" s="1572"/>
      <c r="GC90" s="1560"/>
      <c r="GD90" s="1527"/>
      <c r="GE90" s="1560"/>
      <c r="GF90" s="1518"/>
      <c r="GG90" s="1519"/>
      <c r="GH90" s="1518"/>
      <c r="GI90" s="1519"/>
      <c r="GJ90" s="1518"/>
      <c r="GK90" s="1519"/>
      <c r="GL90" s="1518"/>
      <c r="GM90" s="1519"/>
      <c r="GN90" s="1520"/>
      <c r="GO90" s="1519"/>
      <c r="GP90" s="1520"/>
      <c r="GQ90" s="1519"/>
      <c r="GR90" s="1518"/>
      <c r="GS90" s="1519"/>
      <c r="GT90" s="1518"/>
      <c r="GU90" s="1519"/>
      <c r="GV90" s="1520"/>
      <c r="GW90" s="1519"/>
      <c r="GX90" s="1561"/>
      <c r="GY90" s="1527"/>
      <c r="GZ90" s="1518"/>
      <c r="HA90" s="1519"/>
      <c r="HB90" s="1501">
        <f>IFERROR(__xludf.DUMMYFUNCTION("""COMPUTED_VALUE"""),4922.396527777778)</f>
        <v>4922.396528</v>
      </c>
      <c r="HC90" s="1502">
        <f>IFERROR(__xludf.DUMMYFUNCTION("""COMPUTED_VALUE"""),9.968E13)</f>
        <v>99680000000000</v>
      </c>
      <c r="HD90" s="1518"/>
      <c r="HE90" s="1519"/>
      <c r="HF90" s="1518"/>
      <c r="HG90" s="1519"/>
      <c r="HH90" s="1518"/>
      <c r="HI90" s="1519"/>
      <c r="HJ90" s="1518"/>
      <c r="HK90" s="1519"/>
      <c r="HL90" s="1518"/>
      <c r="HM90" s="1519"/>
      <c r="HN90" s="1520"/>
      <c r="HO90" s="1519"/>
      <c r="HP90" s="1518"/>
      <c r="HQ90" s="1519"/>
      <c r="HR90" s="1518"/>
      <c r="HS90" s="1519"/>
      <c r="HT90" s="1518"/>
      <c r="HU90" s="1519"/>
      <c r="HV90" s="1518"/>
      <c r="HW90" s="1519"/>
      <c r="HX90" s="1518"/>
      <c r="HY90" s="1519"/>
      <c r="HZ90" s="1518"/>
      <c r="IA90" s="1519"/>
      <c r="IB90" s="1518"/>
      <c r="IC90" s="1519"/>
      <c r="ID90" s="1518"/>
      <c r="IE90" s="1519"/>
      <c r="IF90" s="1518"/>
      <c r="IG90" s="1519"/>
      <c r="IH90" s="1518"/>
      <c r="II90" s="1519"/>
      <c r="IJ90" s="1518"/>
      <c r="IK90" s="1519"/>
      <c r="IL90" s="1518"/>
      <c r="IM90" s="1519"/>
      <c r="IN90" s="1518"/>
      <c r="IO90" s="1519"/>
      <c r="IP90" s="1518"/>
      <c r="IQ90" s="1519"/>
      <c r="IR90" s="1518"/>
      <c r="IS90" s="1519"/>
      <c r="IT90" s="1518"/>
      <c r="IU90" s="1519"/>
      <c r="IV90" s="1518"/>
      <c r="IW90" s="1519"/>
      <c r="IX90" s="1518"/>
      <c r="IY90" s="1519"/>
      <c r="IZ90" s="1518"/>
      <c r="JA90" s="1519"/>
      <c r="JB90" s="1518"/>
      <c r="JC90" s="1519"/>
      <c r="JD90" s="1518"/>
      <c r="JE90" s="1519"/>
      <c r="JF90" s="1518"/>
      <c r="JG90" s="1519"/>
      <c r="JH90" s="1518"/>
      <c r="JI90" s="1519"/>
      <c r="JJ90" s="1562"/>
      <c r="JK90" s="1560"/>
      <c r="JL90" s="1562"/>
      <c r="JM90" s="1560"/>
      <c r="JN90" s="1562"/>
      <c r="JO90" s="1560"/>
      <c r="JP90" s="1562"/>
      <c r="JQ90" s="1560"/>
      <c r="JR90" s="1562"/>
      <c r="JS90" s="1560"/>
      <c r="JT90" s="1562"/>
      <c r="JU90" s="1560"/>
      <c r="JV90" s="1562"/>
      <c r="JW90" s="1560"/>
      <c r="JX90" s="1562"/>
      <c r="JY90" s="1527"/>
      <c r="JZ90" s="1566">
        <f>IFERROR(__xludf.DUMMYFUNCTION("""COMPUTED_VALUE"""),8.333194444)</f>
        <v>8.333194444</v>
      </c>
      <c r="KA90" s="1514">
        <f>IFERROR(__xludf.DUMMYFUNCTION("""COMPUTED_VALUE"""),3.4493E11)</f>
        <v>344930000000</v>
      </c>
      <c r="KB90" s="1562"/>
      <c r="KC90" s="1527"/>
      <c r="KD90" s="1562"/>
      <c r="KE90" s="1527"/>
      <c r="KF90" s="1527"/>
      <c r="KG90" s="1527"/>
      <c r="KH90" s="1527"/>
      <c r="KI90" s="1527"/>
      <c r="KJ90" s="1527"/>
      <c r="KK90" s="1527"/>
      <c r="KL90" s="1527"/>
      <c r="KM90" s="1527"/>
      <c r="KN90" s="1527"/>
      <c r="KO90" s="1527"/>
      <c r="KP90" s="1527"/>
      <c r="KQ90" s="1527"/>
      <c r="KR90" s="1527"/>
      <c r="KS90" s="1527"/>
      <c r="KT90" s="1527"/>
      <c r="KU90" s="1527"/>
      <c r="KV90" s="1527"/>
      <c r="KW90" s="1527"/>
      <c r="KX90" s="1527"/>
      <c r="KY90" s="1527"/>
      <c r="KZ90" s="1527"/>
      <c r="LA90" s="1527"/>
      <c r="LB90" s="1527"/>
      <c r="LC90" s="1527"/>
      <c r="LD90" s="1527"/>
      <c r="LE90" s="1527"/>
      <c r="LF90" s="1527"/>
      <c r="LG90" s="1527"/>
      <c r="LH90" s="1527"/>
      <c r="LI90" s="1527"/>
      <c r="LJ90" s="1527"/>
      <c r="LK90" s="1527"/>
      <c r="LL90" s="1527"/>
      <c r="LM90" s="1527"/>
      <c r="LN90" s="1527"/>
      <c r="LO90" s="1527"/>
      <c r="LP90" s="1527"/>
      <c r="LQ90" s="1527"/>
      <c r="LR90" s="1527"/>
      <c r="LS90" s="1527"/>
      <c r="LT90" s="1527"/>
      <c r="LU90" s="1527"/>
      <c r="LV90" s="1527"/>
      <c r="LW90" s="1527"/>
      <c r="LX90" s="1527"/>
      <c r="LY90" s="1527"/>
      <c r="LZ90" s="1527"/>
      <c r="MA90" s="1527"/>
      <c r="MB90" s="1527"/>
      <c r="MC90" s="1527"/>
      <c r="MD90" s="1527"/>
      <c r="ME90" s="1527"/>
      <c r="MF90" s="1527"/>
      <c r="MG90" s="1527"/>
      <c r="MH90" s="1527"/>
      <c r="MI90" s="1527"/>
      <c r="MJ90" s="1527"/>
      <c r="MK90" s="1527"/>
      <c r="ML90" s="1527"/>
      <c r="MM90" s="1527"/>
      <c r="MN90" s="1527"/>
      <c r="MO90" s="1527"/>
      <c r="MP90" s="1527"/>
      <c r="MQ90" s="1527"/>
      <c r="MR90" s="1527"/>
      <c r="MS90" s="1527"/>
      <c r="MT90" s="1527"/>
      <c r="MU90" s="1527"/>
      <c r="MV90" s="1527"/>
      <c r="MW90" s="1527"/>
      <c r="MX90" s="1527"/>
      <c r="MY90" s="1527"/>
    </row>
    <row r="91">
      <c r="A91" s="1465">
        <f>IFERROR(__xludf.DUMMYFUNCTION("""COMPUTED_VALUE"""),89.0)</f>
        <v>89</v>
      </c>
      <c r="B91" s="1518"/>
      <c r="C91" s="1520"/>
      <c r="D91" s="1466">
        <f>IFERROR(__xludf.DUMMYFUNCTION("""COMPUTED_VALUE"""),37.91875)</f>
        <v>37.91875</v>
      </c>
      <c r="E91" s="1467">
        <f>IFERROR(__xludf.DUMMYFUNCTION("""COMPUTED_VALUE"""),3120000.0)</f>
        <v>3120000</v>
      </c>
      <c r="F91" s="1466">
        <f>IFERROR(__xludf.DUMMYFUNCTION("""COMPUTED_VALUE"""),37.91875)</f>
        <v>37.91875</v>
      </c>
      <c r="G91" s="1467">
        <f>IFERROR(__xludf.DUMMYFUNCTION("""COMPUTED_VALUE"""),3120000.0)</f>
        <v>3120000</v>
      </c>
      <c r="H91" s="1466">
        <f>IFERROR(__xludf.DUMMYFUNCTION("""COMPUTED_VALUE"""),37.91875)</f>
        <v>37.91875</v>
      </c>
      <c r="I91" s="1467">
        <f>IFERROR(__xludf.DUMMYFUNCTION("""COMPUTED_VALUE"""),3120000.0)</f>
        <v>3120000</v>
      </c>
      <c r="J91" s="1466">
        <f>IFERROR(__xludf.DUMMYFUNCTION("""COMPUTED_VALUE"""),37.91875)</f>
        <v>37.91875</v>
      </c>
      <c r="K91" s="1467">
        <f>IFERROR(__xludf.DUMMYFUNCTION("""COMPUTED_VALUE"""),3120000.0)</f>
        <v>3120000</v>
      </c>
      <c r="L91" s="1466">
        <f>IFERROR(__xludf.DUMMYFUNCTION("""COMPUTED_VALUE"""),74.13263888888889)</f>
        <v>74.13263889</v>
      </c>
      <c r="M91" s="1469">
        <f>IFERROR(__xludf.DUMMYFUNCTION("""COMPUTED_VALUE"""),1.02E7)</f>
        <v>10200000</v>
      </c>
      <c r="N91" s="1470">
        <f>IFERROR(__xludf.DUMMYFUNCTION("""COMPUTED_VALUE"""),26.85902777777778)</f>
        <v>26.85902778</v>
      </c>
      <c r="O91" s="1467">
        <f>IFERROR(__xludf.DUMMYFUNCTION("""COMPUTED_VALUE"""),1.387E7)</f>
        <v>13870000</v>
      </c>
      <c r="P91" s="1518"/>
      <c r="Q91" s="1519"/>
      <c r="R91" s="1518"/>
      <c r="S91" s="1519"/>
      <c r="T91" s="1518"/>
      <c r="U91" s="1519"/>
      <c r="V91" s="1518"/>
      <c r="W91" s="1519"/>
      <c r="X91" s="1518"/>
      <c r="Y91" s="1519"/>
      <c r="Z91" s="1518"/>
      <c r="AA91" s="1519"/>
      <c r="AB91" s="1518"/>
      <c r="AC91" s="1519"/>
      <c r="AD91" s="1466">
        <f>IFERROR(__xludf.DUMMYFUNCTION("""COMPUTED_VALUE"""),96.11527777777778)</f>
        <v>96.11527778</v>
      </c>
      <c r="AE91" s="1474">
        <f>IFERROR(__xludf.DUMMYFUNCTION("""COMPUTED_VALUE"""),1.0641797804E19)</f>
        <v>1.06418E+19</v>
      </c>
      <c r="AF91" s="1466">
        <f>IFERROR(__xludf.DUMMYFUNCTION("""COMPUTED_VALUE"""),96.11527777777778)</f>
        <v>96.11527778</v>
      </c>
      <c r="AG91" s="1474">
        <f>IFERROR(__xludf.DUMMYFUNCTION("""COMPUTED_VALUE"""),1.0641797804E19)</f>
        <v>1.06418E+19</v>
      </c>
      <c r="AH91" s="1466">
        <f>IFERROR(__xludf.DUMMYFUNCTION("""COMPUTED_VALUE"""),96.11527777777778)</f>
        <v>96.11527778</v>
      </c>
      <c r="AI91" s="1474">
        <f>IFERROR(__xludf.DUMMYFUNCTION("""COMPUTED_VALUE"""),1.0641797804E19)</f>
        <v>1.06418E+19</v>
      </c>
      <c r="AJ91" s="1475">
        <f>IFERROR(__xludf.DUMMYFUNCTION("""COMPUTED_VALUE"""),37.91875)</f>
        <v>37.91875</v>
      </c>
      <c r="AK91" s="1476">
        <f>IFERROR(__xludf.DUMMYFUNCTION("""COMPUTED_VALUE"""),3120000.0)</f>
        <v>3120000</v>
      </c>
      <c r="AL91" s="1475">
        <f>IFERROR(__xludf.DUMMYFUNCTION("""COMPUTED_VALUE"""),37.91875)</f>
        <v>37.91875</v>
      </c>
      <c r="AM91" s="1476">
        <f>IFERROR(__xludf.DUMMYFUNCTION("""COMPUTED_VALUE"""),3120000.0)</f>
        <v>3120000</v>
      </c>
      <c r="AN91" s="1475">
        <f>IFERROR(__xludf.DUMMYFUNCTION("""COMPUTED_VALUE"""),37.91875)</f>
        <v>37.91875</v>
      </c>
      <c r="AO91" s="1476">
        <f>IFERROR(__xludf.DUMMYFUNCTION("""COMPUTED_VALUE"""),3120000.0)</f>
        <v>3120000</v>
      </c>
      <c r="AP91" s="1520"/>
      <c r="AQ91" s="1519"/>
      <c r="AR91" s="1475">
        <f>IFERROR(__xludf.DUMMYFUNCTION("""COMPUTED_VALUE"""),37.91875)</f>
        <v>37.91875</v>
      </c>
      <c r="AS91" s="1476">
        <f>IFERROR(__xludf.DUMMYFUNCTION("""COMPUTED_VALUE"""),3120000.0)</f>
        <v>3120000</v>
      </c>
      <c r="AT91" s="1520"/>
      <c r="AU91" s="1519"/>
      <c r="AV91" s="1520"/>
      <c r="AW91" s="1519"/>
      <c r="AX91" s="1518"/>
      <c r="AY91" s="1568"/>
      <c r="AZ91" s="1518"/>
      <c r="BA91" s="1518"/>
      <c r="BB91" s="1477">
        <f>IFERROR(__xludf.DUMMYFUNCTION("""COMPUTED_VALUE"""),37.91875)</f>
        <v>37.91875</v>
      </c>
      <c r="BC91" s="1478">
        <f>IFERROR(__xludf.DUMMYFUNCTION("""COMPUTED_VALUE"""),3120000.0)</f>
        <v>3120000</v>
      </c>
      <c r="BD91" s="1477">
        <f>IFERROR(__xludf.DUMMYFUNCTION("""COMPUTED_VALUE"""),37.91875)</f>
        <v>37.91875</v>
      </c>
      <c r="BE91" s="1478">
        <f>IFERROR(__xludf.DUMMYFUNCTION("""COMPUTED_VALUE"""),3120000.0)</f>
        <v>3120000</v>
      </c>
      <c r="BF91" s="1477">
        <f>IFERROR(__xludf.DUMMYFUNCTION("""COMPUTED_VALUE"""),37.91875)</f>
        <v>37.91875</v>
      </c>
      <c r="BG91" s="1478">
        <f>IFERROR(__xludf.DUMMYFUNCTION("""COMPUTED_VALUE"""),3120000.0)</f>
        <v>3120000</v>
      </c>
      <c r="BH91" s="1518"/>
      <c r="BI91" s="1519"/>
      <c r="BJ91" s="1518"/>
      <c r="BK91" s="1519"/>
      <c r="BL91" s="1518"/>
      <c r="BM91" s="1519"/>
      <c r="BN91" s="1518"/>
      <c r="BO91" s="1519"/>
      <c r="BP91" s="1518"/>
      <c r="BQ91" s="1519"/>
      <c r="BR91" s="1520"/>
      <c r="BS91" s="1519"/>
      <c r="BT91" s="1520"/>
      <c r="BU91" s="1520"/>
      <c r="BV91" s="1520"/>
      <c r="BW91" s="1520"/>
      <c r="BX91" s="1520"/>
      <c r="BY91" s="1520"/>
      <c r="BZ91" s="1520"/>
      <c r="CA91" s="1520"/>
      <c r="CB91" s="1520"/>
      <c r="CC91" s="1519"/>
      <c r="CD91" s="1520"/>
      <c r="CE91" s="1520"/>
      <c r="CF91" s="1527"/>
      <c r="CG91" s="1560"/>
      <c r="CH91" s="1482">
        <f>IFERROR(__xludf.DUMMYFUNCTION("""COMPUTED_VALUE"""),37.91875)</f>
        <v>37.91875</v>
      </c>
      <c r="CI91" s="1483">
        <f>IFERROR(__xludf.DUMMYFUNCTION("""COMPUTED_VALUE"""),3120000.0)</f>
        <v>3120000</v>
      </c>
      <c r="CJ91" s="1482">
        <f>IFERROR(__xludf.DUMMYFUNCTION("""COMPUTED_VALUE"""),37.91875)</f>
        <v>37.91875</v>
      </c>
      <c r="CK91" s="1483">
        <f>IFERROR(__xludf.DUMMYFUNCTION("""COMPUTED_VALUE"""),3120000.0)</f>
        <v>3120000</v>
      </c>
      <c r="CL91" s="1482">
        <f>IFERROR(__xludf.DUMMYFUNCTION("""COMPUTED_VALUE"""),37.91875)</f>
        <v>37.91875</v>
      </c>
      <c r="CM91" s="1483">
        <f>IFERROR(__xludf.DUMMYFUNCTION("""COMPUTED_VALUE"""),3120000.0)</f>
        <v>3120000</v>
      </c>
      <c r="CN91" s="1482">
        <f>IFERROR(__xludf.DUMMYFUNCTION("""COMPUTED_VALUE"""),37.91875)</f>
        <v>37.91875</v>
      </c>
      <c r="CO91" s="1483">
        <f>IFERROR(__xludf.DUMMYFUNCTION("""COMPUTED_VALUE"""),3120000.0)</f>
        <v>3120000</v>
      </c>
      <c r="CP91" s="1482">
        <f>IFERROR(__xludf.DUMMYFUNCTION("""COMPUTED_VALUE"""),92.6048611111111)</f>
        <v>92.60486111</v>
      </c>
      <c r="CQ91" s="1483">
        <f>IFERROR(__xludf.DUMMYFUNCTION("""COMPUTED_VALUE"""),1.387E7)</f>
        <v>13870000</v>
      </c>
      <c r="CR91" s="1518"/>
      <c r="CS91" s="1519"/>
      <c r="CT91" s="1520"/>
      <c r="CU91" s="1519"/>
      <c r="CV91" s="1520"/>
      <c r="CW91" s="1519"/>
      <c r="CX91" s="1520"/>
      <c r="CY91" s="1519"/>
      <c r="CZ91" s="1520"/>
      <c r="DA91" s="1520"/>
      <c r="DB91" s="1520"/>
      <c r="DC91" s="1520"/>
      <c r="DD91" s="1520"/>
      <c r="DE91" s="1519"/>
      <c r="DF91" s="1518"/>
      <c r="DG91" s="1519"/>
      <c r="DH91" s="1518"/>
      <c r="DI91" s="1519"/>
      <c r="DJ91" s="1518"/>
      <c r="DK91" s="1519"/>
      <c r="DL91" s="1518"/>
      <c r="DM91" s="1519"/>
      <c r="DN91" s="1518"/>
      <c r="DO91" s="1519"/>
      <c r="DP91" s="1518"/>
      <c r="DQ91" s="1519"/>
      <c r="DR91" s="1518"/>
      <c r="DS91" s="1519"/>
      <c r="DT91" s="1518"/>
      <c r="DU91" s="1519"/>
      <c r="DV91" s="1520"/>
      <c r="DW91" s="1519"/>
      <c r="DX91" s="1518"/>
      <c r="DY91" s="1519"/>
      <c r="DZ91" s="1518"/>
      <c r="EA91" s="1519"/>
      <c r="EB91" s="1518"/>
      <c r="EC91" s="1519"/>
      <c r="ED91" s="1518"/>
      <c r="EE91" s="1519"/>
      <c r="EF91" s="1518"/>
      <c r="EG91" s="1519"/>
      <c r="EH91" s="1518"/>
      <c r="EI91" s="1519"/>
      <c r="EJ91" s="1562"/>
      <c r="EK91" s="1560"/>
      <c r="EL91" s="1562"/>
      <c r="EM91" s="1560"/>
      <c r="EN91" s="1518"/>
      <c r="EO91" s="1519"/>
      <c r="EP91" s="1518"/>
      <c r="EQ91" s="1519"/>
      <c r="ER91" s="1518"/>
      <c r="ES91" s="1519"/>
      <c r="ET91" s="1518"/>
      <c r="EU91" s="1519"/>
      <c r="EV91" s="1518"/>
      <c r="EW91" s="1519"/>
      <c r="EX91" s="1518"/>
      <c r="EY91" s="1519"/>
      <c r="EZ91" s="1518"/>
      <c r="FA91" s="1519"/>
      <c r="FB91" s="1520"/>
      <c r="FC91" s="1519"/>
      <c r="FD91" s="1520"/>
      <c r="FE91" s="1519"/>
      <c r="FF91" s="1520"/>
      <c r="FG91" s="1519"/>
      <c r="FH91" s="1520"/>
      <c r="FI91" s="1520"/>
      <c r="FJ91" s="1520"/>
      <c r="FK91" s="1519"/>
      <c r="FL91" s="1518"/>
      <c r="FM91" s="1519"/>
      <c r="FN91" s="1532"/>
      <c r="FO91" s="1520"/>
      <c r="FP91" s="1532"/>
      <c r="FQ91" s="1520"/>
      <c r="FR91" s="1532"/>
      <c r="FS91" s="1520"/>
      <c r="FT91" s="1532"/>
      <c r="FU91" s="1519"/>
      <c r="FV91" s="1532"/>
      <c r="FW91" s="1519"/>
      <c r="FX91" s="1572"/>
      <c r="FY91" s="1560"/>
      <c r="FZ91" s="1572"/>
      <c r="GA91" s="1560"/>
      <c r="GB91" s="1572"/>
      <c r="GC91" s="1560"/>
      <c r="GD91" s="1527"/>
      <c r="GE91" s="1560"/>
      <c r="GF91" s="1518"/>
      <c r="GG91" s="1519"/>
      <c r="GH91" s="1518"/>
      <c r="GI91" s="1519"/>
      <c r="GJ91" s="1518"/>
      <c r="GK91" s="1519"/>
      <c r="GL91" s="1518"/>
      <c r="GM91" s="1519"/>
      <c r="GN91" s="1520"/>
      <c r="GO91" s="1519"/>
      <c r="GP91" s="1520"/>
      <c r="GQ91" s="1519"/>
      <c r="GR91" s="1518"/>
      <c r="GS91" s="1519"/>
      <c r="GT91" s="1518"/>
      <c r="GU91" s="1519"/>
      <c r="GV91" s="1520"/>
      <c r="GW91" s="1519"/>
      <c r="GX91" s="1561"/>
      <c r="GY91" s="1527"/>
      <c r="GZ91" s="1518"/>
      <c r="HA91" s="1519"/>
      <c r="HB91" s="1501">
        <f>IFERROR(__xludf.DUMMYFUNCTION("""COMPUTED_VALUE"""),5191.621527777777)</f>
        <v>5191.621528</v>
      </c>
      <c r="HC91" s="1502">
        <f>IFERROR(__xludf.DUMMYFUNCTION("""COMPUTED_VALUE"""),1.0555E14)</f>
        <v>105550000000000</v>
      </c>
      <c r="HD91" s="1518"/>
      <c r="HE91" s="1519"/>
      <c r="HF91" s="1518"/>
      <c r="HG91" s="1519"/>
      <c r="HH91" s="1518"/>
      <c r="HI91" s="1519"/>
      <c r="HJ91" s="1518"/>
      <c r="HK91" s="1519"/>
      <c r="HL91" s="1518"/>
      <c r="HM91" s="1519"/>
      <c r="HN91" s="1520"/>
      <c r="HO91" s="1519"/>
      <c r="HP91" s="1518"/>
      <c r="HQ91" s="1519"/>
      <c r="HR91" s="1518"/>
      <c r="HS91" s="1519"/>
      <c r="HT91" s="1518"/>
      <c r="HU91" s="1519"/>
      <c r="HV91" s="1518"/>
      <c r="HW91" s="1519"/>
      <c r="HX91" s="1518"/>
      <c r="HY91" s="1519"/>
      <c r="HZ91" s="1518"/>
      <c r="IA91" s="1519"/>
      <c r="IB91" s="1518"/>
      <c r="IC91" s="1519"/>
      <c r="ID91" s="1518"/>
      <c r="IE91" s="1519"/>
      <c r="IF91" s="1518"/>
      <c r="IG91" s="1519"/>
      <c r="IH91" s="1518"/>
      <c r="II91" s="1519"/>
      <c r="IJ91" s="1518"/>
      <c r="IK91" s="1519"/>
      <c r="IL91" s="1518"/>
      <c r="IM91" s="1519"/>
      <c r="IN91" s="1518"/>
      <c r="IO91" s="1519"/>
      <c r="IP91" s="1518"/>
      <c r="IQ91" s="1519"/>
      <c r="IR91" s="1518"/>
      <c r="IS91" s="1519"/>
      <c r="IT91" s="1518"/>
      <c r="IU91" s="1519"/>
      <c r="IV91" s="1518"/>
      <c r="IW91" s="1519"/>
      <c r="IX91" s="1518"/>
      <c r="IY91" s="1519"/>
      <c r="IZ91" s="1518"/>
      <c r="JA91" s="1519"/>
      <c r="JB91" s="1518"/>
      <c r="JC91" s="1519"/>
      <c r="JD91" s="1518"/>
      <c r="JE91" s="1519"/>
      <c r="JF91" s="1518"/>
      <c r="JG91" s="1519"/>
      <c r="JH91" s="1518"/>
      <c r="JI91" s="1519"/>
      <c r="JJ91" s="1562"/>
      <c r="JK91" s="1560"/>
      <c r="JL91" s="1562"/>
      <c r="JM91" s="1560"/>
      <c r="JN91" s="1562"/>
      <c r="JO91" s="1560"/>
      <c r="JP91" s="1562"/>
      <c r="JQ91" s="1560"/>
      <c r="JR91" s="1562"/>
      <c r="JS91" s="1560"/>
      <c r="JT91" s="1562"/>
      <c r="JU91" s="1560"/>
      <c r="JV91" s="1562"/>
      <c r="JW91" s="1560"/>
      <c r="JX91" s="1562"/>
      <c r="JY91" s="1527"/>
      <c r="JZ91" s="1566">
        <f>IFERROR(__xludf.DUMMYFUNCTION("""COMPUTED_VALUE"""),8.454039352)</f>
        <v>8.454039352</v>
      </c>
      <c r="KA91" s="1514">
        <f>IFERROR(__xludf.DUMMYFUNCTION("""COMPUTED_VALUE"""),3.5574E11)</f>
        <v>355740000000</v>
      </c>
      <c r="KB91" s="1562"/>
      <c r="KC91" s="1527"/>
      <c r="KD91" s="1562"/>
      <c r="KE91" s="1527"/>
      <c r="KF91" s="1527"/>
      <c r="KG91" s="1527"/>
      <c r="KH91" s="1527"/>
      <c r="KI91" s="1527"/>
      <c r="KJ91" s="1527"/>
      <c r="KK91" s="1527"/>
      <c r="KL91" s="1527"/>
      <c r="KM91" s="1527"/>
      <c r="KN91" s="1527"/>
      <c r="KO91" s="1527"/>
      <c r="KP91" s="1527"/>
      <c r="KQ91" s="1527"/>
      <c r="KR91" s="1527"/>
      <c r="KS91" s="1527"/>
      <c r="KT91" s="1527"/>
      <c r="KU91" s="1527"/>
      <c r="KV91" s="1527"/>
      <c r="KW91" s="1527"/>
      <c r="KX91" s="1527"/>
      <c r="KY91" s="1527"/>
      <c r="KZ91" s="1527"/>
      <c r="LA91" s="1527"/>
      <c r="LB91" s="1527"/>
      <c r="LC91" s="1527"/>
      <c r="LD91" s="1527"/>
      <c r="LE91" s="1527"/>
      <c r="LF91" s="1527"/>
      <c r="LG91" s="1527"/>
      <c r="LH91" s="1527"/>
      <c r="LI91" s="1527"/>
      <c r="LJ91" s="1527"/>
      <c r="LK91" s="1527"/>
      <c r="LL91" s="1527"/>
      <c r="LM91" s="1527"/>
      <c r="LN91" s="1527"/>
      <c r="LO91" s="1527"/>
      <c r="LP91" s="1527"/>
      <c r="LQ91" s="1527"/>
      <c r="LR91" s="1527"/>
      <c r="LS91" s="1527"/>
      <c r="LT91" s="1527"/>
      <c r="LU91" s="1527"/>
      <c r="LV91" s="1527"/>
      <c r="LW91" s="1527"/>
      <c r="LX91" s="1527"/>
      <c r="LY91" s="1527"/>
      <c r="LZ91" s="1527"/>
      <c r="MA91" s="1527"/>
      <c r="MB91" s="1527"/>
      <c r="MC91" s="1527"/>
      <c r="MD91" s="1527"/>
      <c r="ME91" s="1527"/>
      <c r="MF91" s="1527"/>
      <c r="MG91" s="1527"/>
      <c r="MH91" s="1527"/>
      <c r="MI91" s="1527"/>
      <c r="MJ91" s="1527"/>
      <c r="MK91" s="1527"/>
      <c r="ML91" s="1527"/>
      <c r="MM91" s="1527"/>
      <c r="MN91" s="1527"/>
      <c r="MO91" s="1527"/>
      <c r="MP91" s="1527"/>
      <c r="MQ91" s="1527"/>
      <c r="MR91" s="1527"/>
      <c r="MS91" s="1527"/>
      <c r="MT91" s="1527"/>
      <c r="MU91" s="1527"/>
      <c r="MV91" s="1527"/>
      <c r="MW91" s="1527"/>
      <c r="MX91" s="1527"/>
      <c r="MY91" s="1527"/>
    </row>
    <row r="92">
      <c r="A92" s="1465">
        <f>IFERROR(__xludf.DUMMYFUNCTION("""COMPUTED_VALUE"""),90.0)</f>
        <v>90</v>
      </c>
      <c r="B92" s="1533"/>
      <c r="C92" s="1541"/>
      <c r="D92" s="1471">
        <f>IFERROR(__xludf.DUMMYFUNCTION("""COMPUTED_VALUE"""),38.95625)</f>
        <v>38.95625</v>
      </c>
      <c r="E92" s="1472">
        <f>IFERROR(__xludf.DUMMYFUNCTION("""COMPUTED_VALUE"""),3220000.0)</f>
        <v>3220000</v>
      </c>
      <c r="F92" s="1471">
        <f>IFERROR(__xludf.DUMMYFUNCTION("""COMPUTED_VALUE"""),38.95625)</f>
        <v>38.95625</v>
      </c>
      <c r="G92" s="1472">
        <f>IFERROR(__xludf.DUMMYFUNCTION("""COMPUTED_VALUE"""),3220000.0)</f>
        <v>3220000</v>
      </c>
      <c r="H92" s="1471">
        <f>IFERROR(__xludf.DUMMYFUNCTION("""COMPUTED_VALUE"""),38.95625)</f>
        <v>38.95625</v>
      </c>
      <c r="I92" s="1472">
        <f>IFERROR(__xludf.DUMMYFUNCTION("""COMPUTED_VALUE"""),3220000.0)</f>
        <v>3220000</v>
      </c>
      <c r="J92" s="1471">
        <f>IFERROR(__xludf.DUMMYFUNCTION("""COMPUTED_VALUE"""),38.95625)</f>
        <v>38.95625</v>
      </c>
      <c r="K92" s="1472">
        <f>IFERROR(__xludf.DUMMYFUNCTION("""COMPUTED_VALUE"""),3220000.0)</f>
        <v>3220000</v>
      </c>
      <c r="L92" s="1471">
        <f>IFERROR(__xludf.DUMMYFUNCTION("""COMPUTED_VALUE"""),76.29027777777777)</f>
        <v>76.29027778</v>
      </c>
      <c r="M92" s="1536">
        <f>IFERROR(__xludf.DUMMYFUNCTION("""COMPUTED_VALUE"""),1.053E7)</f>
        <v>10530000</v>
      </c>
      <c r="N92" s="1537">
        <f>IFERROR(__xludf.DUMMYFUNCTION("""COMPUTED_VALUE"""),27.44236111111111)</f>
        <v>27.44236111</v>
      </c>
      <c r="O92" s="1472">
        <f>IFERROR(__xludf.DUMMYFUNCTION("""COMPUTED_VALUE"""),1.436E7)</f>
        <v>14360000</v>
      </c>
      <c r="P92" s="1533"/>
      <c r="Q92" s="1534"/>
      <c r="R92" s="1533"/>
      <c r="S92" s="1534"/>
      <c r="T92" s="1533"/>
      <c r="U92" s="1534"/>
      <c r="V92" s="1533"/>
      <c r="W92" s="1534"/>
      <c r="X92" s="1533"/>
      <c r="Y92" s="1534"/>
      <c r="Z92" s="1533"/>
      <c r="AA92" s="1534"/>
      <c r="AB92" s="1533"/>
      <c r="AC92" s="1534"/>
      <c r="AD92" s="1471">
        <f>IFERROR(__xludf.DUMMYFUNCTION("""COMPUTED_VALUE"""),97.19513888888889)</f>
        <v>97.19513889</v>
      </c>
      <c r="AE92" s="1538">
        <f>IFERROR(__xludf.DUMMYFUNCTION("""COMPUTED_VALUE"""),1.3834337145E19)</f>
        <v>1.38343E+19</v>
      </c>
      <c r="AF92" s="1471">
        <f>IFERROR(__xludf.DUMMYFUNCTION("""COMPUTED_VALUE"""),97.19513888888889)</f>
        <v>97.19513889</v>
      </c>
      <c r="AG92" s="1538">
        <f>IFERROR(__xludf.DUMMYFUNCTION("""COMPUTED_VALUE"""),1.3834337145E19)</f>
        <v>1.38343E+19</v>
      </c>
      <c r="AH92" s="1471">
        <f>IFERROR(__xludf.DUMMYFUNCTION("""COMPUTED_VALUE"""),97.19513888888889)</f>
        <v>97.19513889</v>
      </c>
      <c r="AI92" s="1538">
        <f>IFERROR(__xludf.DUMMYFUNCTION("""COMPUTED_VALUE"""),1.3834337145E19)</f>
        <v>1.38343E+19</v>
      </c>
      <c r="AJ92" s="1539">
        <f>IFERROR(__xludf.DUMMYFUNCTION("""COMPUTED_VALUE"""),38.95625)</f>
        <v>38.95625</v>
      </c>
      <c r="AK92" s="1540">
        <f>IFERROR(__xludf.DUMMYFUNCTION("""COMPUTED_VALUE"""),3220000.0)</f>
        <v>3220000</v>
      </c>
      <c r="AL92" s="1539">
        <f>IFERROR(__xludf.DUMMYFUNCTION("""COMPUTED_VALUE"""),38.95625)</f>
        <v>38.95625</v>
      </c>
      <c r="AM92" s="1540">
        <f>IFERROR(__xludf.DUMMYFUNCTION("""COMPUTED_VALUE"""),3220000.0)</f>
        <v>3220000</v>
      </c>
      <c r="AN92" s="1539">
        <f>IFERROR(__xludf.DUMMYFUNCTION("""COMPUTED_VALUE"""),38.95625)</f>
        <v>38.95625</v>
      </c>
      <c r="AO92" s="1540">
        <f>IFERROR(__xludf.DUMMYFUNCTION("""COMPUTED_VALUE"""),3220000.0)</f>
        <v>3220000</v>
      </c>
      <c r="AP92" s="1541"/>
      <c r="AQ92" s="1534"/>
      <c r="AR92" s="1539">
        <f>IFERROR(__xludf.DUMMYFUNCTION("""COMPUTED_VALUE"""),38.95625)</f>
        <v>38.95625</v>
      </c>
      <c r="AS92" s="1540">
        <f>IFERROR(__xludf.DUMMYFUNCTION("""COMPUTED_VALUE"""),3220000.0)</f>
        <v>3220000</v>
      </c>
      <c r="AT92" s="1541"/>
      <c r="AU92" s="1534"/>
      <c r="AV92" s="1541"/>
      <c r="AW92" s="1534"/>
      <c r="AX92" s="1533"/>
      <c r="AY92" s="1569"/>
      <c r="AZ92" s="1533"/>
      <c r="BA92" s="1533"/>
      <c r="BB92" s="1479">
        <f>IFERROR(__xludf.DUMMYFUNCTION("""COMPUTED_VALUE"""),38.95625)</f>
        <v>38.95625</v>
      </c>
      <c r="BC92" s="1480">
        <f>IFERROR(__xludf.DUMMYFUNCTION("""COMPUTED_VALUE"""),3220000.0)</f>
        <v>3220000</v>
      </c>
      <c r="BD92" s="1479">
        <f>IFERROR(__xludf.DUMMYFUNCTION("""COMPUTED_VALUE"""),38.95625)</f>
        <v>38.95625</v>
      </c>
      <c r="BE92" s="1480">
        <f>IFERROR(__xludf.DUMMYFUNCTION("""COMPUTED_VALUE"""),3220000.0)</f>
        <v>3220000</v>
      </c>
      <c r="BF92" s="1479">
        <f>IFERROR(__xludf.DUMMYFUNCTION("""COMPUTED_VALUE"""),38.95625)</f>
        <v>38.95625</v>
      </c>
      <c r="BG92" s="1480">
        <f>IFERROR(__xludf.DUMMYFUNCTION("""COMPUTED_VALUE"""),3220000.0)</f>
        <v>3220000</v>
      </c>
      <c r="BH92" s="1533"/>
      <c r="BI92" s="1534"/>
      <c r="BJ92" s="1533"/>
      <c r="BK92" s="1534"/>
      <c r="BL92" s="1533"/>
      <c r="BM92" s="1534"/>
      <c r="BN92" s="1533"/>
      <c r="BO92" s="1534"/>
      <c r="BP92" s="1533"/>
      <c r="BQ92" s="1534"/>
      <c r="BR92" s="1541"/>
      <c r="BS92" s="1534"/>
      <c r="BT92" s="1541"/>
      <c r="BU92" s="1541"/>
      <c r="BV92" s="1541"/>
      <c r="BW92" s="1541"/>
      <c r="BX92" s="1541"/>
      <c r="BY92" s="1541"/>
      <c r="BZ92" s="1541"/>
      <c r="CA92" s="1541"/>
      <c r="CB92" s="1541"/>
      <c r="CC92" s="1534"/>
      <c r="CD92" s="1541"/>
      <c r="CE92" s="1541"/>
      <c r="CF92" s="1550"/>
      <c r="CG92" s="1564"/>
      <c r="CH92" s="1484">
        <f>IFERROR(__xludf.DUMMYFUNCTION("""COMPUTED_VALUE"""),38.95625)</f>
        <v>38.95625</v>
      </c>
      <c r="CI92" s="1485">
        <f>IFERROR(__xludf.DUMMYFUNCTION("""COMPUTED_VALUE"""),3220000.0)</f>
        <v>3220000</v>
      </c>
      <c r="CJ92" s="1484">
        <f>IFERROR(__xludf.DUMMYFUNCTION("""COMPUTED_VALUE"""),38.95625)</f>
        <v>38.95625</v>
      </c>
      <c r="CK92" s="1485">
        <f>IFERROR(__xludf.DUMMYFUNCTION("""COMPUTED_VALUE"""),3220000.0)</f>
        <v>3220000</v>
      </c>
      <c r="CL92" s="1484">
        <f>IFERROR(__xludf.DUMMYFUNCTION("""COMPUTED_VALUE"""),38.95625)</f>
        <v>38.95625</v>
      </c>
      <c r="CM92" s="1485">
        <f>IFERROR(__xludf.DUMMYFUNCTION("""COMPUTED_VALUE"""),3220000.0)</f>
        <v>3220000</v>
      </c>
      <c r="CN92" s="1484">
        <f>IFERROR(__xludf.DUMMYFUNCTION("""COMPUTED_VALUE"""),38.95625)</f>
        <v>38.95625</v>
      </c>
      <c r="CO92" s="1485">
        <f>IFERROR(__xludf.DUMMYFUNCTION("""COMPUTED_VALUE"""),3220000.0)</f>
        <v>3220000</v>
      </c>
      <c r="CP92" s="1484">
        <f>IFERROR(__xludf.DUMMYFUNCTION("""COMPUTED_VALUE"""),95.35624999999999)</f>
        <v>95.35625</v>
      </c>
      <c r="CQ92" s="1485">
        <f>IFERROR(__xludf.DUMMYFUNCTION("""COMPUTED_VALUE"""),1.436E7)</f>
        <v>14360000</v>
      </c>
      <c r="CR92" s="1533"/>
      <c r="CS92" s="1534"/>
      <c r="CT92" s="1541"/>
      <c r="CU92" s="1534"/>
      <c r="CV92" s="1541"/>
      <c r="CW92" s="1534"/>
      <c r="CX92" s="1541"/>
      <c r="CY92" s="1534"/>
      <c r="CZ92" s="1541"/>
      <c r="DA92" s="1541"/>
      <c r="DB92" s="1541"/>
      <c r="DC92" s="1541"/>
      <c r="DD92" s="1541"/>
      <c r="DE92" s="1534"/>
      <c r="DF92" s="1533"/>
      <c r="DG92" s="1534"/>
      <c r="DH92" s="1533"/>
      <c r="DI92" s="1534"/>
      <c r="DJ92" s="1533"/>
      <c r="DK92" s="1534"/>
      <c r="DL92" s="1533"/>
      <c r="DM92" s="1534"/>
      <c r="DN92" s="1533"/>
      <c r="DO92" s="1534"/>
      <c r="DP92" s="1533"/>
      <c r="DQ92" s="1534"/>
      <c r="DR92" s="1533"/>
      <c r="DS92" s="1534"/>
      <c r="DT92" s="1533"/>
      <c r="DU92" s="1534"/>
      <c r="DV92" s="1541"/>
      <c r="DW92" s="1534"/>
      <c r="DX92" s="1533"/>
      <c r="DY92" s="1534"/>
      <c r="DZ92" s="1533"/>
      <c r="EA92" s="1534"/>
      <c r="EB92" s="1533"/>
      <c r="EC92" s="1534"/>
      <c r="ED92" s="1533"/>
      <c r="EE92" s="1534"/>
      <c r="EF92" s="1533"/>
      <c r="EG92" s="1534"/>
      <c r="EH92" s="1533"/>
      <c r="EI92" s="1534"/>
      <c r="EJ92" s="1565"/>
      <c r="EK92" s="1564"/>
      <c r="EL92" s="1565"/>
      <c r="EM92" s="1564"/>
      <c r="EN92" s="1533"/>
      <c r="EO92" s="1534"/>
      <c r="EP92" s="1533"/>
      <c r="EQ92" s="1534"/>
      <c r="ER92" s="1533"/>
      <c r="ES92" s="1534"/>
      <c r="ET92" s="1533"/>
      <c r="EU92" s="1534"/>
      <c r="EV92" s="1533"/>
      <c r="EW92" s="1534"/>
      <c r="EX92" s="1533"/>
      <c r="EY92" s="1534"/>
      <c r="EZ92" s="1533"/>
      <c r="FA92" s="1534"/>
      <c r="FB92" s="1541"/>
      <c r="FC92" s="1534"/>
      <c r="FD92" s="1541"/>
      <c r="FE92" s="1534"/>
      <c r="FF92" s="1541"/>
      <c r="FG92" s="1534"/>
      <c r="FH92" s="1541"/>
      <c r="FI92" s="1541"/>
      <c r="FJ92" s="1541"/>
      <c r="FK92" s="1534"/>
      <c r="FL92" s="1533"/>
      <c r="FM92" s="1534"/>
      <c r="FN92" s="1545"/>
      <c r="FO92" s="1541"/>
      <c r="FP92" s="1545"/>
      <c r="FQ92" s="1541"/>
      <c r="FR92" s="1545"/>
      <c r="FS92" s="1541"/>
      <c r="FT92" s="1545"/>
      <c r="FU92" s="1534"/>
      <c r="FV92" s="1545"/>
      <c r="FW92" s="1534"/>
      <c r="FX92" s="1574"/>
      <c r="FY92" s="1564"/>
      <c r="FZ92" s="1574"/>
      <c r="GA92" s="1564"/>
      <c r="GB92" s="1574"/>
      <c r="GC92" s="1564"/>
      <c r="GD92" s="1550"/>
      <c r="GE92" s="1564"/>
      <c r="GF92" s="1533"/>
      <c r="GG92" s="1534"/>
      <c r="GH92" s="1533"/>
      <c r="GI92" s="1534"/>
      <c r="GJ92" s="1533"/>
      <c r="GK92" s="1534"/>
      <c r="GL92" s="1533"/>
      <c r="GM92" s="1534"/>
      <c r="GN92" s="1541"/>
      <c r="GO92" s="1534"/>
      <c r="GP92" s="1541"/>
      <c r="GQ92" s="1534"/>
      <c r="GR92" s="1533"/>
      <c r="GS92" s="1534"/>
      <c r="GT92" s="1533"/>
      <c r="GU92" s="1534"/>
      <c r="GV92" s="1541"/>
      <c r="GW92" s="1534"/>
      <c r="GX92" s="1549"/>
      <c r="GY92" s="1550"/>
      <c r="GZ92" s="1533"/>
      <c r="HA92" s="1534"/>
      <c r="HB92" s="1551">
        <f>IFERROR(__xludf.DUMMYFUNCTION("""COMPUTED_VALUE"""),5400.666666666667)</f>
        <v>5400.666667</v>
      </c>
      <c r="HC92" s="1552">
        <f>IFERROR(__xludf.DUMMYFUNCTION("""COMPUTED_VALUE"""),1.1168E14)</f>
        <v>111680000000000</v>
      </c>
      <c r="HD92" s="1533"/>
      <c r="HE92" s="1534"/>
      <c r="HF92" s="1533"/>
      <c r="HG92" s="1534"/>
      <c r="HH92" s="1533"/>
      <c r="HI92" s="1534"/>
      <c r="HJ92" s="1533"/>
      <c r="HK92" s="1534"/>
      <c r="HL92" s="1533"/>
      <c r="HM92" s="1534"/>
      <c r="HN92" s="1541"/>
      <c r="HO92" s="1534"/>
      <c r="HP92" s="1533"/>
      <c r="HQ92" s="1534"/>
      <c r="HR92" s="1533"/>
      <c r="HS92" s="1534"/>
      <c r="HT92" s="1533"/>
      <c r="HU92" s="1534"/>
      <c r="HV92" s="1533"/>
      <c r="HW92" s="1534"/>
      <c r="HX92" s="1533"/>
      <c r="HY92" s="1534"/>
      <c r="HZ92" s="1533"/>
      <c r="IA92" s="1534"/>
      <c r="IB92" s="1533"/>
      <c r="IC92" s="1534"/>
      <c r="ID92" s="1533"/>
      <c r="IE92" s="1534"/>
      <c r="IF92" s="1533"/>
      <c r="IG92" s="1534"/>
      <c r="IH92" s="1533"/>
      <c r="II92" s="1534"/>
      <c r="IJ92" s="1533"/>
      <c r="IK92" s="1534"/>
      <c r="IL92" s="1533"/>
      <c r="IM92" s="1534"/>
      <c r="IN92" s="1533"/>
      <c r="IO92" s="1534"/>
      <c r="IP92" s="1533"/>
      <c r="IQ92" s="1534"/>
      <c r="IR92" s="1533"/>
      <c r="IS92" s="1534"/>
      <c r="IT92" s="1533"/>
      <c r="IU92" s="1534"/>
      <c r="IV92" s="1533"/>
      <c r="IW92" s="1534"/>
      <c r="IX92" s="1533"/>
      <c r="IY92" s="1534"/>
      <c r="IZ92" s="1533"/>
      <c r="JA92" s="1534"/>
      <c r="JB92" s="1533"/>
      <c r="JC92" s="1534"/>
      <c r="JD92" s="1533"/>
      <c r="JE92" s="1534"/>
      <c r="JF92" s="1533"/>
      <c r="JG92" s="1534"/>
      <c r="JH92" s="1533"/>
      <c r="JI92" s="1534"/>
      <c r="JJ92" s="1565"/>
      <c r="JK92" s="1564"/>
      <c r="JL92" s="1565"/>
      <c r="JM92" s="1564"/>
      <c r="JN92" s="1565"/>
      <c r="JO92" s="1564"/>
      <c r="JP92" s="1565"/>
      <c r="JQ92" s="1564"/>
      <c r="JR92" s="1565"/>
      <c r="JS92" s="1564"/>
      <c r="JT92" s="1565"/>
      <c r="JU92" s="1564"/>
      <c r="JV92" s="1565"/>
      <c r="JW92" s="1564"/>
      <c r="JX92" s="1562"/>
      <c r="JY92" s="1527"/>
      <c r="JZ92" s="1566">
        <f>IFERROR(__xludf.DUMMYFUNCTION("""COMPUTED_VALUE"""),8.575775463)</f>
        <v>8.575775463</v>
      </c>
      <c r="KA92" s="1514">
        <f>IFERROR(__xludf.DUMMYFUNCTION("""COMPUTED_VALUE"""),3.6676E11)</f>
        <v>366760000000</v>
      </c>
      <c r="KB92" s="1562"/>
      <c r="KC92" s="1527"/>
      <c r="KD92" s="1562"/>
      <c r="KE92" s="1527"/>
      <c r="KF92" s="1527"/>
      <c r="KG92" s="1527"/>
      <c r="KH92" s="1527"/>
      <c r="KI92" s="1527"/>
      <c r="KJ92" s="1527"/>
      <c r="KK92" s="1527"/>
      <c r="KL92" s="1527"/>
      <c r="KM92" s="1527"/>
      <c r="KN92" s="1527"/>
      <c r="KO92" s="1527"/>
      <c r="KP92" s="1527"/>
      <c r="KQ92" s="1527"/>
      <c r="KR92" s="1527"/>
      <c r="KS92" s="1527"/>
      <c r="KT92" s="1527"/>
      <c r="KU92" s="1527"/>
      <c r="KV92" s="1527"/>
      <c r="KW92" s="1527"/>
      <c r="KX92" s="1527"/>
      <c r="KY92" s="1527"/>
      <c r="KZ92" s="1527"/>
      <c r="LA92" s="1527"/>
      <c r="LB92" s="1527"/>
      <c r="LC92" s="1527"/>
      <c r="LD92" s="1527"/>
      <c r="LE92" s="1527"/>
      <c r="LF92" s="1527"/>
      <c r="LG92" s="1527"/>
      <c r="LH92" s="1527"/>
      <c r="LI92" s="1527"/>
      <c r="LJ92" s="1527"/>
      <c r="LK92" s="1527"/>
      <c r="LL92" s="1550"/>
      <c r="LM92" s="1550"/>
      <c r="LN92" s="1527"/>
      <c r="LO92" s="1527"/>
      <c r="LP92" s="1527"/>
      <c r="LQ92" s="1527"/>
      <c r="LR92" s="1527"/>
      <c r="LS92" s="1527"/>
      <c r="LT92" s="1527"/>
      <c r="LU92" s="1527"/>
      <c r="LV92" s="1527"/>
      <c r="LW92" s="1527"/>
      <c r="LX92" s="1527"/>
      <c r="LY92" s="1527"/>
      <c r="LZ92" s="1527"/>
      <c r="MA92" s="1527"/>
      <c r="MB92" s="1527"/>
      <c r="MC92" s="1527"/>
      <c r="MD92" s="1527"/>
      <c r="ME92" s="1527"/>
      <c r="MF92" s="1527"/>
      <c r="MG92" s="1527"/>
      <c r="MH92" s="1527"/>
      <c r="MI92" s="1527"/>
      <c r="MJ92" s="1527"/>
      <c r="MK92" s="1527"/>
      <c r="ML92" s="1527"/>
      <c r="MM92" s="1527"/>
      <c r="MN92" s="1527"/>
      <c r="MO92" s="1527"/>
      <c r="MP92" s="1527"/>
      <c r="MQ92" s="1527"/>
      <c r="MR92" s="1527"/>
      <c r="MS92" s="1527"/>
      <c r="MT92" s="1527"/>
      <c r="MU92" s="1527"/>
      <c r="MV92" s="1527"/>
      <c r="MW92" s="1527"/>
      <c r="MX92" s="1527"/>
      <c r="MY92" s="1527"/>
    </row>
    <row r="93">
      <c r="A93" s="1465">
        <f>IFERROR(__xludf.DUMMYFUNCTION("""COMPUTED_VALUE"""),91.0)</f>
        <v>91</v>
      </c>
      <c r="B93" s="1518"/>
      <c r="C93" s="1520"/>
      <c r="D93" s="1466">
        <f>IFERROR(__xludf.DUMMYFUNCTION("""COMPUTED_VALUE"""),40.010416666666664)</f>
        <v>40.01041667</v>
      </c>
      <c r="E93" s="1467">
        <f>IFERROR(__xludf.DUMMYFUNCTION("""COMPUTED_VALUE"""),3320000.0)</f>
        <v>3320000</v>
      </c>
      <c r="F93" s="1466">
        <f>IFERROR(__xludf.DUMMYFUNCTION("""COMPUTED_VALUE"""),40.010416666666664)</f>
        <v>40.01041667</v>
      </c>
      <c r="G93" s="1467">
        <f>IFERROR(__xludf.DUMMYFUNCTION("""COMPUTED_VALUE"""),3320000.0)</f>
        <v>3320000</v>
      </c>
      <c r="H93" s="1466">
        <f>IFERROR(__xludf.DUMMYFUNCTION("""COMPUTED_VALUE"""),40.010416666666664)</f>
        <v>40.01041667</v>
      </c>
      <c r="I93" s="1467">
        <f>IFERROR(__xludf.DUMMYFUNCTION("""COMPUTED_VALUE"""),3320000.0)</f>
        <v>3320000</v>
      </c>
      <c r="J93" s="1466">
        <f>IFERROR(__xludf.DUMMYFUNCTION("""COMPUTED_VALUE"""),40.010416666666664)</f>
        <v>40.01041667</v>
      </c>
      <c r="K93" s="1467">
        <f>IFERROR(__xludf.DUMMYFUNCTION("""COMPUTED_VALUE"""),3320000.0)</f>
        <v>3320000</v>
      </c>
      <c r="L93" s="1466">
        <f>IFERROR(__xludf.DUMMYFUNCTION("""COMPUTED_VALUE"""),78.48611111111111)</f>
        <v>78.48611111</v>
      </c>
      <c r="M93" s="1469">
        <f>IFERROR(__xludf.DUMMYFUNCTION("""COMPUTED_VALUE"""),1.085E7)</f>
        <v>10850000</v>
      </c>
      <c r="N93" s="1470">
        <f>IFERROR(__xludf.DUMMYFUNCTION("""COMPUTED_VALUE"""),28.030555555555555)</f>
        <v>28.03055556</v>
      </c>
      <c r="O93" s="1467">
        <f>IFERROR(__xludf.DUMMYFUNCTION("""COMPUTED_VALUE"""),1.487E7)</f>
        <v>14870000</v>
      </c>
      <c r="P93" s="1518"/>
      <c r="Q93" s="1519"/>
      <c r="R93" s="1518"/>
      <c r="S93" s="1519"/>
      <c r="T93" s="1518"/>
      <c r="U93" s="1519"/>
      <c r="V93" s="1518"/>
      <c r="W93" s="1519"/>
      <c r="X93" s="1518"/>
      <c r="Y93" s="1519"/>
      <c r="Z93" s="1518"/>
      <c r="AA93" s="1519"/>
      <c r="AB93" s="1518"/>
      <c r="AC93" s="1519"/>
      <c r="AD93" s="1466">
        <f>IFERROR(__xludf.DUMMYFUNCTION("""COMPUTED_VALUE"""),98.275)</f>
        <v>98.275</v>
      </c>
      <c r="AE93" s="1474">
        <f>IFERROR(__xludf.DUMMYFUNCTION("""COMPUTED_VALUE"""),1.7984638289E19)</f>
        <v>1.79846E+19</v>
      </c>
      <c r="AF93" s="1466">
        <f>IFERROR(__xludf.DUMMYFUNCTION("""COMPUTED_VALUE"""),98.275)</f>
        <v>98.275</v>
      </c>
      <c r="AG93" s="1474">
        <f>IFERROR(__xludf.DUMMYFUNCTION("""COMPUTED_VALUE"""),1.7984638289E19)</f>
        <v>1.79846E+19</v>
      </c>
      <c r="AH93" s="1466">
        <f>IFERROR(__xludf.DUMMYFUNCTION("""COMPUTED_VALUE"""),98.275)</f>
        <v>98.275</v>
      </c>
      <c r="AI93" s="1474">
        <f>IFERROR(__xludf.DUMMYFUNCTION("""COMPUTED_VALUE"""),1.7984638289E19)</f>
        <v>1.79846E+19</v>
      </c>
      <c r="AJ93" s="1475">
        <f>IFERROR(__xludf.DUMMYFUNCTION("""COMPUTED_VALUE"""),40.010416666666664)</f>
        <v>40.01041667</v>
      </c>
      <c r="AK93" s="1476">
        <f>IFERROR(__xludf.DUMMYFUNCTION("""COMPUTED_VALUE"""),3320000.0)</f>
        <v>3320000</v>
      </c>
      <c r="AL93" s="1475">
        <f>IFERROR(__xludf.DUMMYFUNCTION("""COMPUTED_VALUE"""),40.010416666666664)</f>
        <v>40.01041667</v>
      </c>
      <c r="AM93" s="1476">
        <f>IFERROR(__xludf.DUMMYFUNCTION("""COMPUTED_VALUE"""),3320000.0)</f>
        <v>3320000</v>
      </c>
      <c r="AN93" s="1475">
        <f>IFERROR(__xludf.DUMMYFUNCTION("""COMPUTED_VALUE"""),40.010416666666664)</f>
        <v>40.01041667</v>
      </c>
      <c r="AO93" s="1476">
        <f>IFERROR(__xludf.DUMMYFUNCTION("""COMPUTED_VALUE"""),3320000.0)</f>
        <v>3320000</v>
      </c>
      <c r="AP93" s="1520"/>
      <c r="AQ93" s="1519"/>
      <c r="AR93" s="1475">
        <f>IFERROR(__xludf.DUMMYFUNCTION("""COMPUTED_VALUE"""),40.010416666666664)</f>
        <v>40.01041667</v>
      </c>
      <c r="AS93" s="1476">
        <f>IFERROR(__xludf.DUMMYFUNCTION("""COMPUTED_VALUE"""),3320000.0)</f>
        <v>3320000</v>
      </c>
      <c r="AT93" s="1520"/>
      <c r="AU93" s="1519"/>
      <c r="AV93" s="1520"/>
      <c r="AW93" s="1519"/>
      <c r="AX93" s="1518"/>
      <c r="AY93" s="1568"/>
      <c r="AZ93" s="1518"/>
      <c r="BA93" s="1518"/>
      <c r="BB93" s="1477">
        <f>IFERROR(__xludf.DUMMYFUNCTION("""COMPUTED_VALUE"""),40.010416666666664)</f>
        <v>40.01041667</v>
      </c>
      <c r="BC93" s="1478">
        <f>IFERROR(__xludf.DUMMYFUNCTION("""COMPUTED_VALUE"""),3320000.0)</f>
        <v>3320000</v>
      </c>
      <c r="BD93" s="1477">
        <f>IFERROR(__xludf.DUMMYFUNCTION("""COMPUTED_VALUE"""),40.010416666666664)</f>
        <v>40.01041667</v>
      </c>
      <c r="BE93" s="1478">
        <f>IFERROR(__xludf.DUMMYFUNCTION("""COMPUTED_VALUE"""),3320000.0)</f>
        <v>3320000</v>
      </c>
      <c r="BF93" s="1477">
        <f>IFERROR(__xludf.DUMMYFUNCTION("""COMPUTED_VALUE"""),40.010416666666664)</f>
        <v>40.01041667</v>
      </c>
      <c r="BG93" s="1478">
        <f>IFERROR(__xludf.DUMMYFUNCTION("""COMPUTED_VALUE"""),3320000.0)</f>
        <v>3320000</v>
      </c>
      <c r="BH93" s="1518"/>
      <c r="BI93" s="1519"/>
      <c r="BJ93" s="1518"/>
      <c r="BK93" s="1519"/>
      <c r="BL93" s="1518"/>
      <c r="BM93" s="1519"/>
      <c r="BN93" s="1518"/>
      <c r="BO93" s="1519"/>
      <c r="BP93" s="1518"/>
      <c r="BQ93" s="1519"/>
      <c r="BR93" s="1520"/>
      <c r="BS93" s="1519"/>
      <c r="BT93" s="1520"/>
      <c r="BU93" s="1520"/>
      <c r="BV93" s="1520"/>
      <c r="BW93" s="1520"/>
      <c r="BX93" s="1520"/>
      <c r="BY93" s="1520"/>
      <c r="BZ93" s="1520"/>
      <c r="CA93" s="1520"/>
      <c r="CB93" s="1520"/>
      <c r="CC93" s="1519"/>
      <c r="CD93" s="1520"/>
      <c r="CE93" s="1520"/>
      <c r="CF93" s="1527"/>
      <c r="CG93" s="1560"/>
      <c r="CH93" s="1482">
        <f>IFERROR(__xludf.DUMMYFUNCTION("""COMPUTED_VALUE"""),40.010416666666664)</f>
        <v>40.01041667</v>
      </c>
      <c r="CI93" s="1483">
        <f>IFERROR(__xludf.DUMMYFUNCTION("""COMPUTED_VALUE"""),3320000.0)</f>
        <v>3320000</v>
      </c>
      <c r="CJ93" s="1482">
        <f>IFERROR(__xludf.DUMMYFUNCTION("""COMPUTED_VALUE"""),40.010416666666664)</f>
        <v>40.01041667</v>
      </c>
      <c r="CK93" s="1483">
        <f>IFERROR(__xludf.DUMMYFUNCTION("""COMPUTED_VALUE"""),3320000.0)</f>
        <v>3320000</v>
      </c>
      <c r="CL93" s="1482">
        <f>IFERROR(__xludf.DUMMYFUNCTION("""COMPUTED_VALUE"""),40.010416666666664)</f>
        <v>40.01041667</v>
      </c>
      <c r="CM93" s="1483">
        <f>IFERROR(__xludf.DUMMYFUNCTION("""COMPUTED_VALUE"""),3320000.0)</f>
        <v>3320000</v>
      </c>
      <c r="CN93" s="1482">
        <f>IFERROR(__xludf.DUMMYFUNCTION("""COMPUTED_VALUE"""),40.010416666666664)</f>
        <v>40.01041667</v>
      </c>
      <c r="CO93" s="1483">
        <f>IFERROR(__xludf.DUMMYFUNCTION("""COMPUTED_VALUE"""),3320000.0)</f>
        <v>3320000</v>
      </c>
      <c r="CP93" s="1482">
        <f>IFERROR(__xludf.DUMMYFUNCTION("""COMPUTED_VALUE"""),98.15763888888888)</f>
        <v>98.15763889</v>
      </c>
      <c r="CQ93" s="1483">
        <f>IFERROR(__xludf.DUMMYFUNCTION("""COMPUTED_VALUE"""),1.487E7)</f>
        <v>14870000</v>
      </c>
      <c r="CR93" s="1518"/>
      <c r="CS93" s="1519"/>
      <c r="CT93" s="1520"/>
      <c r="CU93" s="1519"/>
      <c r="CV93" s="1520"/>
      <c r="CW93" s="1519"/>
      <c r="CX93" s="1520"/>
      <c r="CY93" s="1519"/>
      <c r="CZ93" s="1520"/>
      <c r="DA93" s="1520"/>
      <c r="DB93" s="1520"/>
      <c r="DC93" s="1520"/>
      <c r="DD93" s="1520"/>
      <c r="DE93" s="1519"/>
      <c r="DF93" s="1518"/>
      <c r="DG93" s="1519"/>
      <c r="DH93" s="1518"/>
      <c r="DI93" s="1519"/>
      <c r="DJ93" s="1518"/>
      <c r="DK93" s="1519"/>
      <c r="DL93" s="1518"/>
      <c r="DM93" s="1519"/>
      <c r="DN93" s="1518"/>
      <c r="DO93" s="1519"/>
      <c r="DP93" s="1518"/>
      <c r="DQ93" s="1519"/>
      <c r="DR93" s="1518"/>
      <c r="DS93" s="1519"/>
      <c r="DT93" s="1518"/>
      <c r="DU93" s="1519"/>
      <c r="DV93" s="1520"/>
      <c r="DW93" s="1519"/>
      <c r="DX93" s="1518"/>
      <c r="DY93" s="1519"/>
      <c r="DZ93" s="1518"/>
      <c r="EA93" s="1519"/>
      <c r="EB93" s="1518"/>
      <c r="EC93" s="1519"/>
      <c r="ED93" s="1518"/>
      <c r="EE93" s="1519"/>
      <c r="EF93" s="1518"/>
      <c r="EG93" s="1519"/>
      <c r="EH93" s="1518"/>
      <c r="EI93" s="1519"/>
      <c r="EJ93" s="1562"/>
      <c r="EK93" s="1560"/>
      <c r="EL93" s="1562"/>
      <c r="EM93" s="1560"/>
      <c r="EN93" s="1518"/>
      <c r="EO93" s="1519"/>
      <c r="EP93" s="1518"/>
      <c r="EQ93" s="1519"/>
      <c r="ER93" s="1518"/>
      <c r="ES93" s="1519"/>
      <c r="ET93" s="1518"/>
      <c r="EU93" s="1519"/>
      <c r="EV93" s="1518"/>
      <c r="EW93" s="1519"/>
      <c r="EX93" s="1518"/>
      <c r="EY93" s="1519"/>
      <c r="EZ93" s="1518"/>
      <c r="FA93" s="1519"/>
      <c r="FB93" s="1520"/>
      <c r="FC93" s="1519"/>
      <c r="FD93" s="1520"/>
      <c r="FE93" s="1519"/>
      <c r="FF93" s="1520"/>
      <c r="FG93" s="1519"/>
      <c r="FH93" s="1520"/>
      <c r="FI93" s="1520"/>
      <c r="FJ93" s="1520"/>
      <c r="FK93" s="1519"/>
      <c r="FL93" s="1518"/>
      <c r="FM93" s="1519"/>
      <c r="FN93" s="1532"/>
      <c r="FO93" s="1520"/>
      <c r="FP93" s="1532"/>
      <c r="FQ93" s="1520"/>
      <c r="FR93" s="1532"/>
      <c r="FS93" s="1520"/>
      <c r="FT93" s="1532"/>
      <c r="FU93" s="1519"/>
      <c r="FV93" s="1532"/>
      <c r="FW93" s="1519"/>
      <c r="FX93" s="1572"/>
      <c r="FY93" s="1560"/>
      <c r="FZ93" s="1572"/>
      <c r="GA93" s="1560"/>
      <c r="GB93" s="1572"/>
      <c r="GC93" s="1560"/>
      <c r="GD93" s="1527"/>
      <c r="GE93" s="1560"/>
      <c r="GF93" s="1518"/>
      <c r="GG93" s="1519"/>
      <c r="GH93" s="1518"/>
      <c r="GI93" s="1519"/>
      <c r="GJ93" s="1518"/>
      <c r="GK93" s="1519"/>
      <c r="GL93" s="1518"/>
      <c r="GM93" s="1519"/>
      <c r="GN93" s="1520"/>
      <c r="GO93" s="1519"/>
      <c r="GP93" s="1520"/>
      <c r="GQ93" s="1519"/>
      <c r="GR93" s="1518"/>
      <c r="GS93" s="1519"/>
      <c r="GT93" s="1518"/>
      <c r="GU93" s="1519"/>
      <c r="GV93" s="1520"/>
      <c r="GW93" s="1519"/>
      <c r="GX93" s="1561"/>
      <c r="GY93" s="1527"/>
      <c r="GZ93" s="1518"/>
      <c r="HA93" s="1519"/>
      <c r="HB93" s="1501">
        <f>IFERROR(__xludf.DUMMYFUNCTION("""COMPUTED_VALUE"""),5615.729166666667)</f>
        <v>5615.729167</v>
      </c>
      <c r="HC93" s="1502">
        <f>IFERROR(__xludf.DUMMYFUNCTION("""COMPUTED_VALUE"""),1.181E14)</f>
        <v>118100000000000</v>
      </c>
      <c r="HD93" s="1518"/>
      <c r="HE93" s="1519"/>
      <c r="HF93" s="1518"/>
      <c r="HG93" s="1519"/>
      <c r="HH93" s="1518"/>
      <c r="HI93" s="1519"/>
      <c r="HJ93" s="1518"/>
      <c r="HK93" s="1519"/>
      <c r="HL93" s="1518"/>
      <c r="HM93" s="1519"/>
      <c r="HN93" s="1520"/>
      <c r="HO93" s="1519"/>
      <c r="HP93" s="1518"/>
      <c r="HQ93" s="1519"/>
      <c r="HR93" s="1518"/>
      <c r="HS93" s="1519"/>
      <c r="HT93" s="1518"/>
      <c r="HU93" s="1519"/>
      <c r="HV93" s="1518"/>
      <c r="HW93" s="1519"/>
      <c r="HX93" s="1518"/>
      <c r="HY93" s="1519"/>
      <c r="HZ93" s="1518"/>
      <c r="IA93" s="1519"/>
      <c r="IB93" s="1518"/>
      <c r="IC93" s="1519"/>
      <c r="ID93" s="1518"/>
      <c r="IE93" s="1519"/>
      <c r="IF93" s="1518"/>
      <c r="IG93" s="1519"/>
      <c r="IH93" s="1518"/>
      <c r="II93" s="1519"/>
      <c r="IJ93" s="1518"/>
      <c r="IK93" s="1519"/>
      <c r="IL93" s="1518"/>
      <c r="IM93" s="1519"/>
      <c r="IN93" s="1518"/>
      <c r="IO93" s="1519"/>
      <c r="IP93" s="1518"/>
      <c r="IQ93" s="1519"/>
      <c r="IR93" s="1518"/>
      <c r="IS93" s="1519"/>
      <c r="IT93" s="1518"/>
      <c r="IU93" s="1519"/>
      <c r="IV93" s="1518"/>
      <c r="IW93" s="1519"/>
      <c r="IX93" s="1518"/>
      <c r="IY93" s="1519"/>
      <c r="IZ93" s="1518"/>
      <c r="JA93" s="1519"/>
      <c r="JB93" s="1518"/>
      <c r="JC93" s="1519"/>
      <c r="JD93" s="1518"/>
      <c r="JE93" s="1519"/>
      <c r="JF93" s="1518"/>
      <c r="JG93" s="1519"/>
      <c r="JH93" s="1518"/>
      <c r="JI93" s="1519"/>
      <c r="JJ93" s="1562"/>
      <c r="JK93" s="1560"/>
      <c r="JL93" s="1562"/>
      <c r="JM93" s="1560"/>
      <c r="JN93" s="1562"/>
      <c r="JO93" s="1560"/>
      <c r="JP93" s="1562"/>
      <c r="JQ93" s="1560"/>
      <c r="JR93" s="1562"/>
      <c r="JS93" s="1560"/>
      <c r="JT93" s="1562"/>
      <c r="JU93" s="1560"/>
      <c r="JV93" s="1562"/>
      <c r="JW93" s="1560"/>
      <c r="JX93" s="1562"/>
      <c r="JY93" s="1527"/>
      <c r="JZ93" s="1566">
        <f>IFERROR(__xludf.DUMMYFUNCTION("""COMPUTED_VALUE"""),8.698402778)</f>
        <v>8.698402778</v>
      </c>
      <c r="KA93" s="1514">
        <f>IFERROR(__xludf.DUMMYFUNCTION("""COMPUTED_VALUE"""),3.78E11)</f>
        <v>378000000000</v>
      </c>
      <c r="KB93" s="1562"/>
      <c r="KC93" s="1527"/>
      <c r="KD93" s="1562"/>
      <c r="KE93" s="1527"/>
      <c r="KF93" s="1527"/>
      <c r="KG93" s="1527"/>
      <c r="KH93" s="1527"/>
      <c r="KI93" s="1527"/>
      <c r="KJ93" s="1527"/>
      <c r="KK93" s="1527"/>
      <c r="KL93" s="1527"/>
      <c r="KM93" s="1527"/>
      <c r="KN93" s="1527"/>
      <c r="KO93" s="1527"/>
      <c r="KP93" s="1527"/>
      <c r="KQ93" s="1527"/>
      <c r="KR93" s="1527"/>
      <c r="KS93" s="1527"/>
      <c r="KT93" s="1527"/>
      <c r="KU93" s="1527"/>
      <c r="KV93" s="1527"/>
      <c r="KW93" s="1527"/>
      <c r="KX93" s="1527"/>
      <c r="KY93" s="1527"/>
      <c r="KZ93" s="1527"/>
      <c r="LA93" s="1527"/>
      <c r="LB93" s="1527"/>
      <c r="LC93" s="1527"/>
      <c r="LD93" s="1527"/>
      <c r="LE93" s="1527"/>
      <c r="LF93" s="1527"/>
      <c r="LG93" s="1527"/>
      <c r="LH93" s="1527"/>
      <c r="LI93" s="1527"/>
      <c r="LJ93" s="1527"/>
      <c r="LK93" s="1527"/>
      <c r="LL93" s="1527"/>
      <c r="LM93" s="1527"/>
      <c r="LN93" s="1527"/>
      <c r="LO93" s="1527"/>
      <c r="LP93" s="1527"/>
      <c r="LQ93" s="1527"/>
      <c r="LR93" s="1527"/>
      <c r="LS93" s="1527"/>
      <c r="LT93" s="1527"/>
      <c r="LU93" s="1527"/>
      <c r="LV93" s="1527"/>
      <c r="LW93" s="1527"/>
      <c r="LX93" s="1527"/>
      <c r="LY93" s="1527"/>
      <c r="LZ93" s="1527"/>
      <c r="MA93" s="1527"/>
      <c r="MB93" s="1527"/>
      <c r="MC93" s="1527"/>
      <c r="MD93" s="1527"/>
      <c r="ME93" s="1527"/>
      <c r="MF93" s="1527"/>
      <c r="MG93" s="1527"/>
      <c r="MH93" s="1527"/>
      <c r="MI93" s="1527"/>
      <c r="MJ93" s="1527"/>
      <c r="MK93" s="1527"/>
      <c r="ML93" s="1527"/>
      <c r="MM93" s="1527"/>
      <c r="MN93" s="1527"/>
      <c r="MO93" s="1527"/>
      <c r="MP93" s="1527"/>
      <c r="MQ93" s="1527"/>
      <c r="MR93" s="1527"/>
      <c r="MS93" s="1527"/>
      <c r="MT93" s="1527"/>
      <c r="MU93" s="1527"/>
      <c r="MV93" s="1527"/>
      <c r="MW93" s="1527"/>
      <c r="MX93" s="1527"/>
      <c r="MY93" s="1527"/>
    </row>
    <row r="94">
      <c r="A94" s="1465">
        <f>IFERROR(__xludf.DUMMYFUNCTION("""COMPUTED_VALUE"""),92.0)</f>
        <v>92</v>
      </c>
      <c r="B94" s="1518"/>
      <c r="C94" s="1520"/>
      <c r="D94" s="1466">
        <f>IFERROR(__xludf.DUMMYFUNCTION("""COMPUTED_VALUE"""),41.080555555555556)</f>
        <v>41.08055556</v>
      </c>
      <c r="E94" s="1467">
        <f>IFERROR(__xludf.DUMMYFUNCTION("""COMPUTED_VALUE"""),3420000.0)</f>
        <v>3420000</v>
      </c>
      <c r="F94" s="1466">
        <f>IFERROR(__xludf.DUMMYFUNCTION("""COMPUTED_VALUE"""),41.080555555555556)</f>
        <v>41.08055556</v>
      </c>
      <c r="G94" s="1467">
        <f>IFERROR(__xludf.DUMMYFUNCTION("""COMPUTED_VALUE"""),3420000.0)</f>
        <v>3420000</v>
      </c>
      <c r="H94" s="1466">
        <f>IFERROR(__xludf.DUMMYFUNCTION("""COMPUTED_VALUE"""),41.080555555555556)</f>
        <v>41.08055556</v>
      </c>
      <c r="I94" s="1467">
        <f>IFERROR(__xludf.DUMMYFUNCTION("""COMPUTED_VALUE"""),3420000.0)</f>
        <v>3420000</v>
      </c>
      <c r="J94" s="1466">
        <f>IFERROR(__xludf.DUMMYFUNCTION("""COMPUTED_VALUE"""),41.080555555555556)</f>
        <v>41.08055556</v>
      </c>
      <c r="K94" s="1467">
        <f>IFERROR(__xludf.DUMMYFUNCTION("""COMPUTED_VALUE"""),3420000.0)</f>
        <v>3420000</v>
      </c>
      <c r="L94" s="1466">
        <f>IFERROR(__xludf.DUMMYFUNCTION("""COMPUTED_VALUE"""),80.72013888888888)</f>
        <v>80.72013889</v>
      </c>
      <c r="M94" s="1469">
        <f>IFERROR(__xludf.DUMMYFUNCTION("""COMPUTED_VALUE"""),1.118E7)</f>
        <v>11180000</v>
      </c>
      <c r="N94" s="1470">
        <f>IFERROR(__xludf.DUMMYFUNCTION("""COMPUTED_VALUE"""),28.62361111111111)</f>
        <v>28.62361111</v>
      </c>
      <c r="O94" s="1467">
        <f>IFERROR(__xludf.DUMMYFUNCTION("""COMPUTED_VALUE"""),1.538E7)</f>
        <v>15380000</v>
      </c>
      <c r="P94" s="1518"/>
      <c r="Q94" s="1519"/>
      <c r="R94" s="1518"/>
      <c r="S94" s="1519"/>
      <c r="T94" s="1518"/>
      <c r="U94" s="1519"/>
      <c r="V94" s="1518"/>
      <c r="W94" s="1519"/>
      <c r="X94" s="1518"/>
      <c r="Y94" s="1519"/>
      <c r="Z94" s="1518"/>
      <c r="AA94" s="1519"/>
      <c r="AB94" s="1518"/>
      <c r="AC94" s="1519"/>
      <c r="AD94" s="1466">
        <f>IFERROR(__xludf.DUMMYFUNCTION("""COMPUTED_VALUE"""),99.35555555555555)</f>
        <v>99.35555556</v>
      </c>
      <c r="AE94" s="1474">
        <f>IFERROR(__xludf.DUMMYFUNCTION("""COMPUTED_VALUE"""),2.3380029776E19)</f>
        <v>2.338E+19</v>
      </c>
      <c r="AF94" s="1466">
        <f>IFERROR(__xludf.DUMMYFUNCTION("""COMPUTED_VALUE"""),99.35555555555555)</f>
        <v>99.35555556</v>
      </c>
      <c r="AG94" s="1474">
        <f>IFERROR(__xludf.DUMMYFUNCTION("""COMPUTED_VALUE"""),2.3380029776E19)</f>
        <v>2.338E+19</v>
      </c>
      <c r="AH94" s="1466">
        <f>IFERROR(__xludf.DUMMYFUNCTION("""COMPUTED_VALUE"""),99.35555555555555)</f>
        <v>99.35555556</v>
      </c>
      <c r="AI94" s="1474">
        <f>IFERROR(__xludf.DUMMYFUNCTION("""COMPUTED_VALUE"""),2.3380029776E19)</f>
        <v>2.338E+19</v>
      </c>
      <c r="AJ94" s="1475">
        <f>IFERROR(__xludf.DUMMYFUNCTION("""COMPUTED_VALUE"""),41.080555555555556)</f>
        <v>41.08055556</v>
      </c>
      <c r="AK94" s="1476">
        <f>IFERROR(__xludf.DUMMYFUNCTION("""COMPUTED_VALUE"""),3420000.0)</f>
        <v>3420000</v>
      </c>
      <c r="AL94" s="1475">
        <f>IFERROR(__xludf.DUMMYFUNCTION("""COMPUTED_VALUE"""),41.080555555555556)</f>
        <v>41.08055556</v>
      </c>
      <c r="AM94" s="1476">
        <f>IFERROR(__xludf.DUMMYFUNCTION("""COMPUTED_VALUE"""),3420000.0)</f>
        <v>3420000</v>
      </c>
      <c r="AN94" s="1475">
        <f>IFERROR(__xludf.DUMMYFUNCTION("""COMPUTED_VALUE"""),41.080555555555556)</f>
        <v>41.08055556</v>
      </c>
      <c r="AO94" s="1476">
        <f>IFERROR(__xludf.DUMMYFUNCTION("""COMPUTED_VALUE"""),3420000.0)</f>
        <v>3420000</v>
      </c>
      <c r="AP94" s="1520"/>
      <c r="AQ94" s="1519"/>
      <c r="AR94" s="1475">
        <f>IFERROR(__xludf.DUMMYFUNCTION("""COMPUTED_VALUE"""),41.080555555555556)</f>
        <v>41.08055556</v>
      </c>
      <c r="AS94" s="1476">
        <f>IFERROR(__xludf.DUMMYFUNCTION("""COMPUTED_VALUE"""),3420000.0)</f>
        <v>3420000</v>
      </c>
      <c r="AT94" s="1520"/>
      <c r="AU94" s="1519"/>
      <c r="AV94" s="1520"/>
      <c r="AW94" s="1519"/>
      <c r="AX94" s="1518"/>
      <c r="AY94" s="1568"/>
      <c r="AZ94" s="1518"/>
      <c r="BA94" s="1518"/>
      <c r="BB94" s="1477">
        <f>IFERROR(__xludf.DUMMYFUNCTION("""COMPUTED_VALUE"""),41.080555555555556)</f>
        <v>41.08055556</v>
      </c>
      <c r="BC94" s="1478">
        <f>IFERROR(__xludf.DUMMYFUNCTION("""COMPUTED_VALUE"""),3420000.0)</f>
        <v>3420000</v>
      </c>
      <c r="BD94" s="1477">
        <f>IFERROR(__xludf.DUMMYFUNCTION("""COMPUTED_VALUE"""),41.080555555555556)</f>
        <v>41.08055556</v>
      </c>
      <c r="BE94" s="1478">
        <f>IFERROR(__xludf.DUMMYFUNCTION("""COMPUTED_VALUE"""),3420000.0)</f>
        <v>3420000</v>
      </c>
      <c r="BF94" s="1477">
        <f>IFERROR(__xludf.DUMMYFUNCTION("""COMPUTED_VALUE"""),41.080555555555556)</f>
        <v>41.08055556</v>
      </c>
      <c r="BG94" s="1478">
        <f>IFERROR(__xludf.DUMMYFUNCTION("""COMPUTED_VALUE"""),3420000.0)</f>
        <v>3420000</v>
      </c>
      <c r="BH94" s="1518"/>
      <c r="BI94" s="1519"/>
      <c r="BJ94" s="1518"/>
      <c r="BK94" s="1519"/>
      <c r="BL94" s="1518"/>
      <c r="BM94" s="1519"/>
      <c r="BN94" s="1518"/>
      <c r="BO94" s="1519"/>
      <c r="BP94" s="1518"/>
      <c r="BQ94" s="1519"/>
      <c r="BR94" s="1520"/>
      <c r="BS94" s="1519"/>
      <c r="BT94" s="1520"/>
      <c r="BU94" s="1520"/>
      <c r="BV94" s="1520"/>
      <c r="BW94" s="1520"/>
      <c r="BX94" s="1520"/>
      <c r="BY94" s="1520"/>
      <c r="BZ94" s="1520"/>
      <c r="CA94" s="1520"/>
      <c r="CB94" s="1520"/>
      <c r="CC94" s="1519"/>
      <c r="CD94" s="1520"/>
      <c r="CE94" s="1520"/>
      <c r="CF94" s="1527"/>
      <c r="CG94" s="1560"/>
      <c r="CH94" s="1482">
        <f>IFERROR(__xludf.DUMMYFUNCTION("""COMPUTED_VALUE"""),41.080555555555556)</f>
        <v>41.08055556</v>
      </c>
      <c r="CI94" s="1483">
        <f>IFERROR(__xludf.DUMMYFUNCTION("""COMPUTED_VALUE"""),3420000.0)</f>
        <v>3420000</v>
      </c>
      <c r="CJ94" s="1482">
        <f>IFERROR(__xludf.DUMMYFUNCTION("""COMPUTED_VALUE"""),41.080555555555556)</f>
        <v>41.08055556</v>
      </c>
      <c r="CK94" s="1483">
        <f>IFERROR(__xludf.DUMMYFUNCTION("""COMPUTED_VALUE"""),3420000.0)</f>
        <v>3420000</v>
      </c>
      <c r="CL94" s="1482">
        <f>IFERROR(__xludf.DUMMYFUNCTION("""COMPUTED_VALUE"""),41.080555555555556)</f>
        <v>41.08055556</v>
      </c>
      <c r="CM94" s="1483">
        <f>IFERROR(__xludf.DUMMYFUNCTION("""COMPUTED_VALUE"""),3420000.0)</f>
        <v>3420000</v>
      </c>
      <c r="CN94" s="1482">
        <f>IFERROR(__xludf.DUMMYFUNCTION("""COMPUTED_VALUE"""),41.080555555555556)</f>
        <v>41.08055556</v>
      </c>
      <c r="CO94" s="1483">
        <f>IFERROR(__xludf.DUMMYFUNCTION("""COMPUTED_VALUE"""),3420000.0)</f>
        <v>3420000</v>
      </c>
      <c r="CP94" s="1482">
        <f>IFERROR(__xludf.DUMMYFUNCTION("""COMPUTED_VALUE"""),101.00902777777777)</f>
        <v>101.0090278</v>
      </c>
      <c r="CQ94" s="1483">
        <f>IFERROR(__xludf.DUMMYFUNCTION("""COMPUTED_VALUE"""),1.538E7)</f>
        <v>15380000</v>
      </c>
      <c r="CR94" s="1518"/>
      <c r="CS94" s="1519"/>
      <c r="CT94" s="1520"/>
      <c r="CU94" s="1519"/>
      <c r="CV94" s="1520"/>
      <c r="CW94" s="1519"/>
      <c r="CX94" s="1520"/>
      <c r="CY94" s="1519"/>
      <c r="CZ94" s="1520"/>
      <c r="DA94" s="1520"/>
      <c r="DB94" s="1520"/>
      <c r="DC94" s="1520"/>
      <c r="DD94" s="1520"/>
      <c r="DE94" s="1519"/>
      <c r="DF94" s="1518"/>
      <c r="DG94" s="1519"/>
      <c r="DH94" s="1518"/>
      <c r="DI94" s="1519"/>
      <c r="DJ94" s="1518"/>
      <c r="DK94" s="1519"/>
      <c r="DL94" s="1518"/>
      <c r="DM94" s="1519"/>
      <c r="DN94" s="1518"/>
      <c r="DO94" s="1519"/>
      <c r="DP94" s="1518"/>
      <c r="DQ94" s="1519"/>
      <c r="DR94" s="1518"/>
      <c r="DS94" s="1519"/>
      <c r="DT94" s="1518"/>
      <c r="DU94" s="1519"/>
      <c r="DV94" s="1520"/>
      <c r="DW94" s="1519"/>
      <c r="DX94" s="1518"/>
      <c r="DY94" s="1519"/>
      <c r="DZ94" s="1518"/>
      <c r="EA94" s="1519"/>
      <c r="EB94" s="1518"/>
      <c r="EC94" s="1519"/>
      <c r="ED94" s="1518"/>
      <c r="EE94" s="1519"/>
      <c r="EF94" s="1518"/>
      <c r="EG94" s="1519"/>
      <c r="EH94" s="1518"/>
      <c r="EI94" s="1519"/>
      <c r="EJ94" s="1562"/>
      <c r="EK94" s="1560"/>
      <c r="EL94" s="1562"/>
      <c r="EM94" s="1560"/>
      <c r="EN94" s="1518"/>
      <c r="EO94" s="1519"/>
      <c r="EP94" s="1518"/>
      <c r="EQ94" s="1519"/>
      <c r="ER94" s="1518"/>
      <c r="ES94" s="1519"/>
      <c r="ET94" s="1518"/>
      <c r="EU94" s="1519"/>
      <c r="EV94" s="1518"/>
      <c r="EW94" s="1519"/>
      <c r="EX94" s="1518"/>
      <c r="EY94" s="1519"/>
      <c r="EZ94" s="1518"/>
      <c r="FA94" s="1519"/>
      <c r="FB94" s="1520"/>
      <c r="FC94" s="1519"/>
      <c r="FD94" s="1520"/>
      <c r="FE94" s="1519"/>
      <c r="FF94" s="1520"/>
      <c r="FG94" s="1519"/>
      <c r="FH94" s="1520"/>
      <c r="FI94" s="1520"/>
      <c r="FJ94" s="1520"/>
      <c r="FK94" s="1519"/>
      <c r="FL94" s="1518"/>
      <c r="FM94" s="1519"/>
      <c r="FN94" s="1532"/>
      <c r="FO94" s="1520"/>
      <c r="FP94" s="1532"/>
      <c r="FQ94" s="1520"/>
      <c r="FR94" s="1532"/>
      <c r="FS94" s="1520"/>
      <c r="FT94" s="1532"/>
      <c r="FU94" s="1519"/>
      <c r="FV94" s="1532"/>
      <c r="FW94" s="1519"/>
      <c r="FX94" s="1572"/>
      <c r="FY94" s="1560"/>
      <c r="FZ94" s="1572"/>
      <c r="GA94" s="1560"/>
      <c r="GB94" s="1572"/>
      <c r="GC94" s="1560"/>
      <c r="GD94" s="1527"/>
      <c r="GE94" s="1560"/>
      <c r="GF94" s="1518"/>
      <c r="GG94" s="1519"/>
      <c r="GH94" s="1518"/>
      <c r="GI94" s="1519"/>
      <c r="GJ94" s="1518"/>
      <c r="GK94" s="1519"/>
      <c r="GL94" s="1518"/>
      <c r="GM94" s="1519"/>
      <c r="GN94" s="1520"/>
      <c r="GO94" s="1519"/>
      <c r="GP94" s="1520"/>
      <c r="GQ94" s="1519"/>
      <c r="GR94" s="1518"/>
      <c r="GS94" s="1519"/>
      <c r="GT94" s="1518"/>
      <c r="GU94" s="1519"/>
      <c r="GV94" s="1520"/>
      <c r="GW94" s="1519"/>
      <c r="GX94" s="1561"/>
      <c r="GY94" s="1527"/>
      <c r="GZ94" s="1518"/>
      <c r="HA94" s="1519"/>
      <c r="HB94" s="1501">
        <f>IFERROR(__xludf.DUMMYFUNCTION("""COMPUTED_VALUE"""),5836.8125)</f>
        <v>5836.8125</v>
      </c>
      <c r="HC94" s="1502">
        <f>IFERROR(__xludf.DUMMYFUNCTION("""COMPUTED_VALUE"""),1.2481E14)</f>
        <v>124810000000000</v>
      </c>
      <c r="HD94" s="1518"/>
      <c r="HE94" s="1519"/>
      <c r="HF94" s="1518"/>
      <c r="HG94" s="1519"/>
      <c r="HH94" s="1518"/>
      <c r="HI94" s="1519"/>
      <c r="HJ94" s="1518"/>
      <c r="HK94" s="1519"/>
      <c r="HL94" s="1518"/>
      <c r="HM94" s="1519"/>
      <c r="HN94" s="1520"/>
      <c r="HO94" s="1519"/>
      <c r="HP94" s="1518"/>
      <c r="HQ94" s="1519"/>
      <c r="HR94" s="1518"/>
      <c r="HS94" s="1519"/>
      <c r="HT94" s="1518"/>
      <c r="HU94" s="1519"/>
      <c r="HV94" s="1518"/>
      <c r="HW94" s="1519"/>
      <c r="HX94" s="1518"/>
      <c r="HY94" s="1519"/>
      <c r="HZ94" s="1518"/>
      <c r="IA94" s="1519"/>
      <c r="IB94" s="1518"/>
      <c r="IC94" s="1519"/>
      <c r="ID94" s="1518"/>
      <c r="IE94" s="1519"/>
      <c r="IF94" s="1518"/>
      <c r="IG94" s="1519"/>
      <c r="IH94" s="1518"/>
      <c r="II94" s="1519"/>
      <c r="IJ94" s="1518"/>
      <c r="IK94" s="1519"/>
      <c r="IL94" s="1518"/>
      <c r="IM94" s="1519"/>
      <c r="IN94" s="1518"/>
      <c r="IO94" s="1519"/>
      <c r="IP94" s="1518"/>
      <c r="IQ94" s="1519"/>
      <c r="IR94" s="1518"/>
      <c r="IS94" s="1519"/>
      <c r="IT94" s="1518"/>
      <c r="IU94" s="1519"/>
      <c r="IV94" s="1518"/>
      <c r="IW94" s="1519"/>
      <c r="IX94" s="1518"/>
      <c r="IY94" s="1519"/>
      <c r="IZ94" s="1518"/>
      <c r="JA94" s="1519"/>
      <c r="JB94" s="1518"/>
      <c r="JC94" s="1519"/>
      <c r="JD94" s="1518"/>
      <c r="JE94" s="1519"/>
      <c r="JF94" s="1518"/>
      <c r="JG94" s="1519"/>
      <c r="JH94" s="1518"/>
      <c r="JI94" s="1519"/>
      <c r="JJ94" s="1562"/>
      <c r="JK94" s="1560"/>
      <c r="JL94" s="1562"/>
      <c r="JM94" s="1560"/>
      <c r="JN94" s="1562"/>
      <c r="JO94" s="1560"/>
      <c r="JP94" s="1562"/>
      <c r="JQ94" s="1560"/>
      <c r="JR94" s="1562"/>
      <c r="JS94" s="1560"/>
      <c r="JT94" s="1562"/>
      <c r="JU94" s="1560"/>
      <c r="JV94" s="1562"/>
      <c r="JW94" s="1560"/>
      <c r="JX94" s="1562"/>
      <c r="JY94" s="1527"/>
      <c r="JZ94" s="1566">
        <f>IFERROR(__xludf.DUMMYFUNCTION("""COMPUTED_VALUE"""),8.821898148)</f>
        <v>8.821898148</v>
      </c>
      <c r="KA94" s="1514">
        <f>IFERROR(__xludf.DUMMYFUNCTION("""COMPUTED_VALUE"""),3.8944E11)</f>
        <v>389440000000</v>
      </c>
      <c r="KB94" s="1562"/>
      <c r="KC94" s="1527"/>
      <c r="KD94" s="1562"/>
      <c r="KE94" s="1527"/>
      <c r="KF94" s="1527"/>
      <c r="KG94" s="1527"/>
      <c r="KH94" s="1527"/>
      <c r="KI94" s="1527"/>
      <c r="KJ94" s="1527"/>
      <c r="KK94" s="1527"/>
      <c r="KL94" s="1527"/>
      <c r="KM94" s="1527"/>
      <c r="KN94" s="1527"/>
      <c r="KO94" s="1527"/>
      <c r="KP94" s="1527"/>
      <c r="KQ94" s="1527"/>
      <c r="KR94" s="1527"/>
      <c r="KS94" s="1527"/>
      <c r="KT94" s="1527"/>
      <c r="KU94" s="1527"/>
      <c r="KV94" s="1527"/>
      <c r="KW94" s="1527"/>
      <c r="KX94" s="1527"/>
      <c r="KY94" s="1527"/>
      <c r="KZ94" s="1527"/>
      <c r="LA94" s="1527"/>
      <c r="LB94" s="1527"/>
      <c r="LC94" s="1527"/>
      <c r="LD94" s="1527"/>
      <c r="LE94" s="1527"/>
      <c r="LF94" s="1527"/>
      <c r="LG94" s="1527"/>
      <c r="LH94" s="1527"/>
      <c r="LI94" s="1527"/>
      <c r="LJ94" s="1527"/>
      <c r="LK94" s="1527"/>
      <c r="LL94" s="1527"/>
      <c r="LM94" s="1527"/>
      <c r="LN94" s="1527"/>
      <c r="LO94" s="1527"/>
      <c r="LP94" s="1527"/>
      <c r="LQ94" s="1527"/>
      <c r="LR94" s="1527"/>
      <c r="LS94" s="1527"/>
      <c r="LT94" s="1527"/>
      <c r="LU94" s="1527"/>
      <c r="LV94" s="1527"/>
      <c r="LW94" s="1527"/>
      <c r="LX94" s="1527"/>
      <c r="LY94" s="1527"/>
      <c r="LZ94" s="1527"/>
      <c r="MA94" s="1527"/>
      <c r="MB94" s="1527"/>
      <c r="MC94" s="1527"/>
      <c r="MD94" s="1527"/>
      <c r="ME94" s="1527"/>
      <c r="MF94" s="1527"/>
      <c r="MG94" s="1527"/>
      <c r="MH94" s="1527"/>
      <c r="MI94" s="1527"/>
      <c r="MJ94" s="1527"/>
      <c r="MK94" s="1527"/>
      <c r="ML94" s="1527"/>
      <c r="MM94" s="1527"/>
      <c r="MN94" s="1527"/>
      <c r="MO94" s="1527"/>
      <c r="MP94" s="1527"/>
      <c r="MQ94" s="1527"/>
      <c r="MR94" s="1527"/>
      <c r="MS94" s="1527"/>
      <c r="MT94" s="1527"/>
      <c r="MU94" s="1527"/>
      <c r="MV94" s="1527"/>
      <c r="MW94" s="1527"/>
      <c r="MX94" s="1527"/>
      <c r="MY94" s="1527"/>
    </row>
    <row r="95">
      <c r="A95" s="1465">
        <f>IFERROR(__xludf.DUMMYFUNCTION("""COMPUTED_VALUE"""),93.0)</f>
        <v>93</v>
      </c>
      <c r="B95" s="1518"/>
      <c r="C95" s="1520"/>
      <c r="D95" s="1466">
        <f>IFERROR(__xludf.DUMMYFUNCTION("""COMPUTED_VALUE"""),42.16736111111111)</f>
        <v>42.16736111</v>
      </c>
      <c r="E95" s="1467">
        <f>IFERROR(__xludf.DUMMYFUNCTION("""COMPUTED_VALUE"""),3520000.0)</f>
        <v>3520000</v>
      </c>
      <c r="F95" s="1466">
        <f>IFERROR(__xludf.DUMMYFUNCTION("""COMPUTED_VALUE"""),42.16736111111111)</f>
        <v>42.16736111</v>
      </c>
      <c r="G95" s="1467">
        <f>IFERROR(__xludf.DUMMYFUNCTION("""COMPUTED_VALUE"""),3520000.0)</f>
        <v>3520000</v>
      </c>
      <c r="H95" s="1466">
        <f>IFERROR(__xludf.DUMMYFUNCTION("""COMPUTED_VALUE"""),42.16736111111111)</f>
        <v>42.16736111</v>
      </c>
      <c r="I95" s="1467">
        <f>IFERROR(__xludf.DUMMYFUNCTION("""COMPUTED_VALUE"""),3520000.0)</f>
        <v>3520000</v>
      </c>
      <c r="J95" s="1466">
        <f>IFERROR(__xludf.DUMMYFUNCTION("""COMPUTED_VALUE"""),42.16736111111111)</f>
        <v>42.16736111</v>
      </c>
      <c r="K95" s="1467">
        <f>IFERROR(__xludf.DUMMYFUNCTION("""COMPUTED_VALUE"""),3520000.0)</f>
        <v>3520000</v>
      </c>
      <c r="L95" s="1466">
        <f>IFERROR(__xludf.DUMMYFUNCTION("""COMPUTED_VALUE"""),82.99236111111111)</f>
        <v>82.99236111</v>
      </c>
      <c r="M95" s="1469">
        <f>IFERROR(__xludf.DUMMYFUNCTION("""COMPUTED_VALUE"""),1.152E7)</f>
        <v>11520000</v>
      </c>
      <c r="N95" s="1470">
        <f>IFERROR(__xludf.DUMMYFUNCTION("""COMPUTED_VALUE"""),29.22222222222222)</f>
        <v>29.22222222</v>
      </c>
      <c r="O95" s="1467">
        <f>IFERROR(__xludf.DUMMYFUNCTION("""COMPUTED_VALUE"""),1.591E7)</f>
        <v>15910000</v>
      </c>
      <c r="P95" s="1518"/>
      <c r="Q95" s="1519"/>
      <c r="R95" s="1518"/>
      <c r="S95" s="1519"/>
      <c r="T95" s="1518"/>
      <c r="U95" s="1519"/>
      <c r="V95" s="1518"/>
      <c r="W95" s="1519"/>
      <c r="X95" s="1518"/>
      <c r="Y95" s="1519"/>
      <c r="Z95" s="1518"/>
      <c r="AA95" s="1519"/>
      <c r="AB95" s="1518"/>
      <c r="AC95" s="1519"/>
      <c r="AD95" s="1466">
        <f>IFERROR(__xludf.DUMMYFUNCTION("""COMPUTED_VALUE"""),100.43541666666667)</f>
        <v>100.4354167</v>
      </c>
      <c r="AE95" s="1474">
        <f>IFERROR(__xludf.DUMMYFUNCTION("""COMPUTED_VALUE"""),3.0394038708E19)</f>
        <v>3.0394E+19</v>
      </c>
      <c r="AF95" s="1466">
        <f>IFERROR(__xludf.DUMMYFUNCTION("""COMPUTED_VALUE"""),100.43541666666667)</f>
        <v>100.4354167</v>
      </c>
      <c r="AG95" s="1474">
        <f>IFERROR(__xludf.DUMMYFUNCTION("""COMPUTED_VALUE"""),3.0394038708E19)</f>
        <v>3.0394E+19</v>
      </c>
      <c r="AH95" s="1466">
        <f>IFERROR(__xludf.DUMMYFUNCTION("""COMPUTED_VALUE"""),100.43541666666667)</f>
        <v>100.4354167</v>
      </c>
      <c r="AI95" s="1474">
        <f>IFERROR(__xludf.DUMMYFUNCTION("""COMPUTED_VALUE"""),3.0394038708E19)</f>
        <v>3.0394E+19</v>
      </c>
      <c r="AJ95" s="1475">
        <f>IFERROR(__xludf.DUMMYFUNCTION("""COMPUTED_VALUE"""),42.16736111111111)</f>
        <v>42.16736111</v>
      </c>
      <c r="AK95" s="1476">
        <f>IFERROR(__xludf.DUMMYFUNCTION("""COMPUTED_VALUE"""),3520000.0)</f>
        <v>3520000</v>
      </c>
      <c r="AL95" s="1475">
        <f>IFERROR(__xludf.DUMMYFUNCTION("""COMPUTED_VALUE"""),42.16736111111111)</f>
        <v>42.16736111</v>
      </c>
      <c r="AM95" s="1476">
        <f>IFERROR(__xludf.DUMMYFUNCTION("""COMPUTED_VALUE"""),3520000.0)</f>
        <v>3520000</v>
      </c>
      <c r="AN95" s="1475">
        <f>IFERROR(__xludf.DUMMYFUNCTION("""COMPUTED_VALUE"""),42.16736111111111)</f>
        <v>42.16736111</v>
      </c>
      <c r="AO95" s="1476">
        <f>IFERROR(__xludf.DUMMYFUNCTION("""COMPUTED_VALUE"""),3520000.0)</f>
        <v>3520000</v>
      </c>
      <c r="AP95" s="1520"/>
      <c r="AQ95" s="1519"/>
      <c r="AR95" s="1475">
        <f>IFERROR(__xludf.DUMMYFUNCTION("""COMPUTED_VALUE"""),42.16736111111111)</f>
        <v>42.16736111</v>
      </c>
      <c r="AS95" s="1476">
        <f>IFERROR(__xludf.DUMMYFUNCTION("""COMPUTED_VALUE"""),3520000.0)</f>
        <v>3520000</v>
      </c>
      <c r="AT95" s="1520"/>
      <c r="AU95" s="1519"/>
      <c r="AV95" s="1520"/>
      <c r="AW95" s="1519"/>
      <c r="AX95" s="1518"/>
      <c r="AY95" s="1568"/>
      <c r="AZ95" s="1518"/>
      <c r="BA95" s="1518"/>
      <c r="BB95" s="1477">
        <f>IFERROR(__xludf.DUMMYFUNCTION("""COMPUTED_VALUE"""),42.16736111111111)</f>
        <v>42.16736111</v>
      </c>
      <c r="BC95" s="1478">
        <f>IFERROR(__xludf.DUMMYFUNCTION("""COMPUTED_VALUE"""),3520000.0)</f>
        <v>3520000</v>
      </c>
      <c r="BD95" s="1477">
        <f>IFERROR(__xludf.DUMMYFUNCTION("""COMPUTED_VALUE"""),42.16736111111111)</f>
        <v>42.16736111</v>
      </c>
      <c r="BE95" s="1478">
        <f>IFERROR(__xludf.DUMMYFUNCTION("""COMPUTED_VALUE"""),3520000.0)</f>
        <v>3520000</v>
      </c>
      <c r="BF95" s="1477">
        <f>IFERROR(__xludf.DUMMYFUNCTION("""COMPUTED_VALUE"""),42.16736111111111)</f>
        <v>42.16736111</v>
      </c>
      <c r="BG95" s="1478">
        <f>IFERROR(__xludf.DUMMYFUNCTION("""COMPUTED_VALUE"""),3520000.0)</f>
        <v>3520000</v>
      </c>
      <c r="BH95" s="1518"/>
      <c r="BI95" s="1519"/>
      <c r="BJ95" s="1518"/>
      <c r="BK95" s="1519"/>
      <c r="BL95" s="1518"/>
      <c r="BM95" s="1519"/>
      <c r="BN95" s="1518"/>
      <c r="BO95" s="1519"/>
      <c r="BP95" s="1518"/>
      <c r="BQ95" s="1519"/>
      <c r="BR95" s="1520"/>
      <c r="BS95" s="1519"/>
      <c r="BT95" s="1520"/>
      <c r="BU95" s="1520"/>
      <c r="BV95" s="1520"/>
      <c r="BW95" s="1520"/>
      <c r="BX95" s="1520"/>
      <c r="BY95" s="1520"/>
      <c r="BZ95" s="1520"/>
      <c r="CA95" s="1520"/>
      <c r="CB95" s="1520"/>
      <c r="CC95" s="1519"/>
      <c r="CD95" s="1520"/>
      <c r="CE95" s="1520"/>
      <c r="CF95" s="1527"/>
      <c r="CG95" s="1560"/>
      <c r="CH95" s="1482">
        <f>IFERROR(__xludf.DUMMYFUNCTION("""COMPUTED_VALUE"""),42.16736111111111)</f>
        <v>42.16736111</v>
      </c>
      <c r="CI95" s="1483">
        <f>IFERROR(__xludf.DUMMYFUNCTION("""COMPUTED_VALUE"""),3520000.0)</f>
        <v>3520000</v>
      </c>
      <c r="CJ95" s="1482">
        <f>IFERROR(__xludf.DUMMYFUNCTION("""COMPUTED_VALUE"""),42.16736111111111)</f>
        <v>42.16736111</v>
      </c>
      <c r="CK95" s="1483">
        <f>IFERROR(__xludf.DUMMYFUNCTION("""COMPUTED_VALUE"""),3520000.0)</f>
        <v>3520000</v>
      </c>
      <c r="CL95" s="1482">
        <f>IFERROR(__xludf.DUMMYFUNCTION("""COMPUTED_VALUE"""),42.16736111111111)</f>
        <v>42.16736111</v>
      </c>
      <c r="CM95" s="1483">
        <f>IFERROR(__xludf.DUMMYFUNCTION("""COMPUTED_VALUE"""),3520000.0)</f>
        <v>3520000</v>
      </c>
      <c r="CN95" s="1482">
        <f>IFERROR(__xludf.DUMMYFUNCTION("""COMPUTED_VALUE"""),42.16736111111111)</f>
        <v>42.16736111</v>
      </c>
      <c r="CO95" s="1483">
        <f>IFERROR(__xludf.DUMMYFUNCTION("""COMPUTED_VALUE"""),3520000.0)</f>
        <v>3520000</v>
      </c>
      <c r="CP95" s="1482">
        <f>IFERROR(__xludf.DUMMYFUNCTION("""COMPUTED_VALUE"""),103.91111111111111)</f>
        <v>103.9111111</v>
      </c>
      <c r="CQ95" s="1483">
        <f>IFERROR(__xludf.DUMMYFUNCTION("""COMPUTED_VALUE"""),1.591E7)</f>
        <v>15910000</v>
      </c>
      <c r="CR95" s="1518"/>
      <c r="CS95" s="1519"/>
      <c r="CT95" s="1520"/>
      <c r="CU95" s="1519"/>
      <c r="CV95" s="1520"/>
      <c r="CW95" s="1519"/>
      <c r="CX95" s="1520"/>
      <c r="CY95" s="1519"/>
      <c r="CZ95" s="1520"/>
      <c r="DA95" s="1520"/>
      <c r="DB95" s="1520"/>
      <c r="DC95" s="1520"/>
      <c r="DD95" s="1520"/>
      <c r="DE95" s="1519"/>
      <c r="DF95" s="1518"/>
      <c r="DG95" s="1519"/>
      <c r="DH95" s="1518"/>
      <c r="DI95" s="1519"/>
      <c r="DJ95" s="1518"/>
      <c r="DK95" s="1519"/>
      <c r="DL95" s="1518"/>
      <c r="DM95" s="1519"/>
      <c r="DN95" s="1518"/>
      <c r="DO95" s="1519"/>
      <c r="DP95" s="1518"/>
      <c r="DQ95" s="1519"/>
      <c r="DR95" s="1518"/>
      <c r="DS95" s="1519"/>
      <c r="DT95" s="1518"/>
      <c r="DU95" s="1519"/>
      <c r="DV95" s="1520"/>
      <c r="DW95" s="1519"/>
      <c r="DX95" s="1518"/>
      <c r="DY95" s="1519"/>
      <c r="DZ95" s="1518"/>
      <c r="EA95" s="1519"/>
      <c r="EB95" s="1518"/>
      <c r="EC95" s="1519"/>
      <c r="ED95" s="1518"/>
      <c r="EE95" s="1519"/>
      <c r="EF95" s="1518"/>
      <c r="EG95" s="1519"/>
      <c r="EH95" s="1518"/>
      <c r="EI95" s="1519"/>
      <c r="EJ95" s="1562"/>
      <c r="EK95" s="1560"/>
      <c r="EL95" s="1562"/>
      <c r="EM95" s="1560"/>
      <c r="EN95" s="1518"/>
      <c r="EO95" s="1519"/>
      <c r="EP95" s="1518"/>
      <c r="EQ95" s="1519"/>
      <c r="ER95" s="1518"/>
      <c r="ES95" s="1519"/>
      <c r="ET95" s="1518"/>
      <c r="EU95" s="1519"/>
      <c r="EV95" s="1518"/>
      <c r="EW95" s="1519"/>
      <c r="EX95" s="1518"/>
      <c r="EY95" s="1519"/>
      <c r="EZ95" s="1518"/>
      <c r="FA95" s="1519"/>
      <c r="FB95" s="1520"/>
      <c r="FC95" s="1519"/>
      <c r="FD95" s="1520"/>
      <c r="FE95" s="1519"/>
      <c r="FF95" s="1520"/>
      <c r="FG95" s="1519"/>
      <c r="FH95" s="1520"/>
      <c r="FI95" s="1520"/>
      <c r="FJ95" s="1520"/>
      <c r="FK95" s="1519"/>
      <c r="FL95" s="1518"/>
      <c r="FM95" s="1519"/>
      <c r="FN95" s="1532"/>
      <c r="FO95" s="1520"/>
      <c r="FP95" s="1532"/>
      <c r="FQ95" s="1520"/>
      <c r="FR95" s="1532"/>
      <c r="FS95" s="1520"/>
      <c r="FT95" s="1532"/>
      <c r="FU95" s="1519"/>
      <c r="FV95" s="1532"/>
      <c r="FW95" s="1519"/>
      <c r="FX95" s="1572"/>
      <c r="FY95" s="1560"/>
      <c r="FZ95" s="1572"/>
      <c r="GA95" s="1560"/>
      <c r="GB95" s="1572"/>
      <c r="GC95" s="1560"/>
      <c r="GD95" s="1527"/>
      <c r="GE95" s="1560"/>
      <c r="GF95" s="1518"/>
      <c r="GG95" s="1519"/>
      <c r="GH95" s="1518"/>
      <c r="GI95" s="1519"/>
      <c r="GJ95" s="1518"/>
      <c r="GK95" s="1519"/>
      <c r="GL95" s="1518"/>
      <c r="GM95" s="1519"/>
      <c r="GN95" s="1520"/>
      <c r="GO95" s="1519"/>
      <c r="GP95" s="1520"/>
      <c r="GQ95" s="1519"/>
      <c r="GR95" s="1518"/>
      <c r="GS95" s="1519"/>
      <c r="GT95" s="1518"/>
      <c r="GU95" s="1519"/>
      <c r="GV95" s="1520"/>
      <c r="GW95" s="1519"/>
      <c r="GX95" s="1561"/>
      <c r="GY95" s="1527"/>
      <c r="GZ95" s="1518"/>
      <c r="HA95" s="1519"/>
      <c r="HB95" s="1501">
        <f>IFERROR(__xludf.DUMMYFUNCTION("""COMPUTED_VALUE"""),6064.049305555555)</f>
        <v>6064.049306</v>
      </c>
      <c r="HC95" s="1502">
        <f>IFERROR(__xludf.DUMMYFUNCTION("""COMPUTED_VALUE"""),1.3182E14)</f>
        <v>131820000000000</v>
      </c>
      <c r="HD95" s="1518"/>
      <c r="HE95" s="1519"/>
      <c r="HF95" s="1518"/>
      <c r="HG95" s="1519"/>
      <c r="HH95" s="1518"/>
      <c r="HI95" s="1519"/>
      <c r="HJ95" s="1518"/>
      <c r="HK95" s="1519"/>
      <c r="HL95" s="1518"/>
      <c r="HM95" s="1519"/>
      <c r="HN95" s="1520"/>
      <c r="HO95" s="1519"/>
      <c r="HP95" s="1518"/>
      <c r="HQ95" s="1519"/>
      <c r="HR95" s="1518"/>
      <c r="HS95" s="1519"/>
      <c r="HT95" s="1518"/>
      <c r="HU95" s="1519"/>
      <c r="HV95" s="1518"/>
      <c r="HW95" s="1519"/>
      <c r="HX95" s="1518"/>
      <c r="HY95" s="1519"/>
      <c r="HZ95" s="1518"/>
      <c r="IA95" s="1519"/>
      <c r="IB95" s="1518"/>
      <c r="IC95" s="1519"/>
      <c r="ID95" s="1518"/>
      <c r="IE95" s="1519"/>
      <c r="IF95" s="1518"/>
      <c r="IG95" s="1519"/>
      <c r="IH95" s="1518"/>
      <c r="II95" s="1519"/>
      <c r="IJ95" s="1518"/>
      <c r="IK95" s="1519"/>
      <c r="IL95" s="1518"/>
      <c r="IM95" s="1519"/>
      <c r="IN95" s="1518"/>
      <c r="IO95" s="1519"/>
      <c r="IP95" s="1518"/>
      <c r="IQ95" s="1519"/>
      <c r="IR95" s="1518"/>
      <c r="IS95" s="1519"/>
      <c r="IT95" s="1518"/>
      <c r="IU95" s="1519"/>
      <c r="IV95" s="1518"/>
      <c r="IW95" s="1519"/>
      <c r="IX95" s="1518"/>
      <c r="IY95" s="1519"/>
      <c r="IZ95" s="1518"/>
      <c r="JA95" s="1519"/>
      <c r="JB95" s="1518"/>
      <c r="JC95" s="1519"/>
      <c r="JD95" s="1518"/>
      <c r="JE95" s="1519"/>
      <c r="JF95" s="1518"/>
      <c r="JG95" s="1519"/>
      <c r="JH95" s="1518"/>
      <c r="JI95" s="1519"/>
      <c r="JJ95" s="1562"/>
      <c r="JK95" s="1560"/>
      <c r="JL95" s="1562"/>
      <c r="JM95" s="1560"/>
      <c r="JN95" s="1562"/>
      <c r="JO95" s="1560"/>
      <c r="JP95" s="1562"/>
      <c r="JQ95" s="1560"/>
      <c r="JR95" s="1562"/>
      <c r="JS95" s="1560"/>
      <c r="JT95" s="1562"/>
      <c r="JU95" s="1560"/>
      <c r="JV95" s="1562"/>
      <c r="JW95" s="1560"/>
      <c r="JX95" s="1562"/>
      <c r="JY95" s="1527"/>
      <c r="JZ95" s="1566">
        <f>IFERROR(__xludf.DUMMYFUNCTION("""COMPUTED_VALUE"""),8.946284722)</f>
        <v>8.946284722</v>
      </c>
      <c r="KA95" s="1514">
        <f>IFERROR(__xludf.DUMMYFUNCTION("""COMPUTED_VALUE"""),4.0111E11)</f>
        <v>401110000000</v>
      </c>
      <c r="KB95" s="1562"/>
      <c r="KC95" s="1527"/>
      <c r="KD95" s="1562"/>
      <c r="KE95" s="1527"/>
      <c r="KF95" s="1527"/>
      <c r="KG95" s="1527"/>
      <c r="KH95" s="1527"/>
      <c r="KI95" s="1527"/>
      <c r="KJ95" s="1527"/>
      <c r="KK95" s="1527"/>
      <c r="KL95" s="1527"/>
      <c r="KM95" s="1527"/>
      <c r="KN95" s="1527"/>
      <c r="KO95" s="1527"/>
      <c r="KP95" s="1527"/>
      <c r="KQ95" s="1527"/>
      <c r="KR95" s="1527"/>
      <c r="KS95" s="1527"/>
      <c r="KT95" s="1527"/>
      <c r="KU95" s="1527"/>
      <c r="KV95" s="1527"/>
      <c r="KW95" s="1527"/>
      <c r="KX95" s="1527"/>
      <c r="KY95" s="1527"/>
      <c r="KZ95" s="1527"/>
      <c r="LA95" s="1527"/>
      <c r="LB95" s="1527"/>
      <c r="LC95" s="1527"/>
      <c r="LD95" s="1527"/>
      <c r="LE95" s="1527"/>
      <c r="LF95" s="1527"/>
      <c r="LG95" s="1527"/>
      <c r="LH95" s="1527"/>
      <c r="LI95" s="1527"/>
      <c r="LJ95" s="1527"/>
      <c r="LK95" s="1527"/>
      <c r="LL95" s="1527"/>
      <c r="LM95" s="1527"/>
      <c r="LN95" s="1527"/>
      <c r="LO95" s="1527"/>
      <c r="LP95" s="1527"/>
      <c r="LQ95" s="1527"/>
      <c r="LR95" s="1527"/>
      <c r="LS95" s="1527"/>
      <c r="LT95" s="1527"/>
      <c r="LU95" s="1527"/>
      <c r="LV95" s="1527"/>
      <c r="LW95" s="1527"/>
      <c r="LX95" s="1527"/>
      <c r="LY95" s="1527"/>
      <c r="LZ95" s="1527"/>
      <c r="MA95" s="1527"/>
      <c r="MB95" s="1527"/>
      <c r="MC95" s="1527"/>
      <c r="MD95" s="1527"/>
      <c r="ME95" s="1527"/>
      <c r="MF95" s="1527"/>
      <c r="MG95" s="1527"/>
      <c r="MH95" s="1527"/>
      <c r="MI95" s="1527"/>
      <c r="MJ95" s="1527"/>
      <c r="MK95" s="1527"/>
      <c r="ML95" s="1527"/>
      <c r="MM95" s="1527"/>
      <c r="MN95" s="1527"/>
      <c r="MO95" s="1527"/>
      <c r="MP95" s="1527"/>
      <c r="MQ95" s="1527"/>
      <c r="MR95" s="1527"/>
      <c r="MS95" s="1527"/>
      <c r="MT95" s="1527"/>
      <c r="MU95" s="1527"/>
      <c r="MV95" s="1527"/>
      <c r="MW95" s="1527"/>
      <c r="MX95" s="1527"/>
      <c r="MY95" s="1527"/>
    </row>
    <row r="96">
      <c r="A96" s="1465">
        <f>IFERROR(__xludf.DUMMYFUNCTION("""COMPUTED_VALUE"""),94.0)</f>
        <v>94</v>
      </c>
      <c r="B96" s="1518"/>
      <c r="C96" s="1520"/>
      <c r="D96" s="1466">
        <f>IFERROR(__xludf.DUMMYFUNCTION("""COMPUTED_VALUE"""),43.270833333333336)</f>
        <v>43.27083333</v>
      </c>
      <c r="E96" s="1467">
        <f>IFERROR(__xludf.DUMMYFUNCTION("""COMPUTED_VALUE"""),3630000.0)</f>
        <v>3630000</v>
      </c>
      <c r="F96" s="1466">
        <f>IFERROR(__xludf.DUMMYFUNCTION("""COMPUTED_VALUE"""),43.270833333333336)</f>
        <v>43.27083333</v>
      </c>
      <c r="G96" s="1467">
        <f>IFERROR(__xludf.DUMMYFUNCTION("""COMPUTED_VALUE"""),3630000.0)</f>
        <v>3630000</v>
      </c>
      <c r="H96" s="1466">
        <f>IFERROR(__xludf.DUMMYFUNCTION("""COMPUTED_VALUE"""),43.270833333333336)</f>
        <v>43.27083333</v>
      </c>
      <c r="I96" s="1467">
        <f>IFERROR(__xludf.DUMMYFUNCTION("""COMPUTED_VALUE"""),3630000.0)</f>
        <v>3630000</v>
      </c>
      <c r="J96" s="1466">
        <f>IFERROR(__xludf.DUMMYFUNCTION("""COMPUTED_VALUE"""),43.270833333333336)</f>
        <v>43.27083333</v>
      </c>
      <c r="K96" s="1467">
        <f>IFERROR(__xludf.DUMMYFUNCTION("""COMPUTED_VALUE"""),3630000.0)</f>
        <v>3630000</v>
      </c>
      <c r="L96" s="1466">
        <f>IFERROR(__xludf.DUMMYFUNCTION("""COMPUTED_VALUE"""),85.30277777777778)</f>
        <v>85.30277778</v>
      </c>
      <c r="M96" s="1469">
        <f>IFERROR(__xludf.DUMMYFUNCTION("""COMPUTED_VALUE"""),1.186E7)</f>
        <v>11860000</v>
      </c>
      <c r="N96" s="1470">
        <f>IFERROR(__xludf.DUMMYFUNCTION("""COMPUTED_VALUE"""),29.825694444444444)</f>
        <v>29.82569444</v>
      </c>
      <c r="O96" s="1467">
        <f>IFERROR(__xludf.DUMMYFUNCTION("""COMPUTED_VALUE"""),1.646E7)</f>
        <v>16460000</v>
      </c>
      <c r="P96" s="1518"/>
      <c r="Q96" s="1519"/>
      <c r="R96" s="1518"/>
      <c r="S96" s="1519"/>
      <c r="T96" s="1518"/>
      <c r="U96" s="1519"/>
      <c r="V96" s="1518"/>
      <c r="W96" s="1519"/>
      <c r="X96" s="1518"/>
      <c r="Y96" s="1519"/>
      <c r="Z96" s="1518"/>
      <c r="AA96" s="1519"/>
      <c r="AB96" s="1518"/>
      <c r="AC96" s="1519"/>
      <c r="AD96" s="1466">
        <f>IFERROR(__xludf.DUMMYFUNCTION("""COMPUTED_VALUE"""),101.51527777777778)</f>
        <v>101.5152778</v>
      </c>
      <c r="AE96" s="1474">
        <f>IFERROR(__xludf.DUMMYFUNCTION("""COMPUTED_VALUE"""),3.9512250321E19)</f>
        <v>3.95123E+19</v>
      </c>
      <c r="AF96" s="1466">
        <f>IFERROR(__xludf.DUMMYFUNCTION("""COMPUTED_VALUE"""),101.51527777777778)</f>
        <v>101.5152778</v>
      </c>
      <c r="AG96" s="1474">
        <f>IFERROR(__xludf.DUMMYFUNCTION("""COMPUTED_VALUE"""),3.9512250321E19)</f>
        <v>3.95123E+19</v>
      </c>
      <c r="AH96" s="1466">
        <f>IFERROR(__xludf.DUMMYFUNCTION("""COMPUTED_VALUE"""),101.51527777777778)</f>
        <v>101.5152778</v>
      </c>
      <c r="AI96" s="1474">
        <f>IFERROR(__xludf.DUMMYFUNCTION("""COMPUTED_VALUE"""),3.9512250321E19)</f>
        <v>3.95123E+19</v>
      </c>
      <c r="AJ96" s="1475">
        <f>IFERROR(__xludf.DUMMYFUNCTION("""COMPUTED_VALUE"""),43.270833333333336)</f>
        <v>43.27083333</v>
      </c>
      <c r="AK96" s="1476">
        <f>IFERROR(__xludf.DUMMYFUNCTION("""COMPUTED_VALUE"""),3630000.0)</f>
        <v>3630000</v>
      </c>
      <c r="AL96" s="1475">
        <f>IFERROR(__xludf.DUMMYFUNCTION("""COMPUTED_VALUE"""),43.270833333333336)</f>
        <v>43.27083333</v>
      </c>
      <c r="AM96" s="1476">
        <f>IFERROR(__xludf.DUMMYFUNCTION("""COMPUTED_VALUE"""),3630000.0)</f>
        <v>3630000</v>
      </c>
      <c r="AN96" s="1475">
        <f>IFERROR(__xludf.DUMMYFUNCTION("""COMPUTED_VALUE"""),43.270833333333336)</f>
        <v>43.27083333</v>
      </c>
      <c r="AO96" s="1476">
        <f>IFERROR(__xludf.DUMMYFUNCTION("""COMPUTED_VALUE"""),3630000.0)</f>
        <v>3630000</v>
      </c>
      <c r="AP96" s="1520"/>
      <c r="AQ96" s="1519"/>
      <c r="AR96" s="1475">
        <f>IFERROR(__xludf.DUMMYFUNCTION("""COMPUTED_VALUE"""),43.270833333333336)</f>
        <v>43.27083333</v>
      </c>
      <c r="AS96" s="1476">
        <f>IFERROR(__xludf.DUMMYFUNCTION("""COMPUTED_VALUE"""),3630000.0)</f>
        <v>3630000</v>
      </c>
      <c r="AT96" s="1520"/>
      <c r="AU96" s="1519"/>
      <c r="AV96" s="1520"/>
      <c r="AW96" s="1519"/>
      <c r="AX96" s="1518"/>
      <c r="AY96" s="1568"/>
      <c r="AZ96" s="1518"/>
      <c r="BA96" s="1518"/>
      <c r="BB96" s="1477">
        <f>IFERROR(__xludf.DUMMYFUNCTION("""COMPUTED_VALUE"""),43.270833333333336)</f>
        <v>43.27083333</v>
      </c>
      <c r="BC96" s="1478">
        <f>IFERROR(__xludf.DUMMYFUNCTION("""COMPUTED_VALUE"""),3630000.0)</f>
        <v>3630000</v>
      </c>
      <c r="BD96" s="1477">
        <f>IFERROR(__xludf.DUMMYFUNCTION("""COMPUTED_VALUE"""),43.270833333333336)</f>
        <v>43.27083333</v>
      </c>
      <c r="BE96" s="1478">
        <f>IFERROR(__xludf.DUMMYFUNCTION("""COMPUTED_VALUE"""),3630000.0)</f>
        <v>3630000</v>
      </c>
      <c r="BF96" s="1477">
        <f>IFERROR(__xludf.DUMMYFUNCTION("""COMPUTED_VALUE"""),43.270833333333336)</f>
        <v>43.27083333</v>
      </c>
      <c r="BG96" s="1478">
        <f>IFERROR(__xludf.DUMMYFUNCTION("""COMPUTED_VALUE"""),3630000.0)</f>
        <v>3630000</v>
      </c>
      <c r="BH96" s="1518"/>
      <c r="BI96" s="1519"/>
      <c r="BJ96" s="1518"/>
      <c r="BK96" s="1519"/>
      <c r="BL96" s="1518"/>
      <c r="BM96" s="1519"/>
      <c r="BN96" s="1518"/>
      <c r="BO96" s="1519"/>
      <c r="BP96" s="1518"/>
      <c r="BQ96" s="1519"/>
      <c r="BR96" s="1520"/>
      <c r="BS96" s="1519"/>
      <c r="BT96" s="1520"/>
      <c r="BU96" s="1520"/>
      <c r="BV96" s="1520"/>
      <c r="BW96" s="1520"/>
      <c r="BX96" s="1520"/>
      <c r="BY96" s="1520"/>
      <c r="BZ96" s="1520"/>
      <c r="CA96" s="1520"/>
      <c r="CB96" s="1520"/>
      <c r="CC96" s="1519"/>
      <c r="CD96" s="1520"/>
      <c r="CE96" s="1520"/>
      <c r="CF96" s="1527"/>
      <c r="CG96" s="1560"/>
      <c r="CH96" s="1482">
        <f>IFERROR(__xludf.DUMMYFUNCTION("""COMPUTED_VALUE"""),43.270833333333336)</f>
        <v>43.27083333</v>
      </c>
      <c r="CI96" s="1483">
        <f>IFERROR(__xludf.DUMMYFUNCTION("""COMPUTED_VALUE"""),3630000.0)</f>
        <v>3630000</v>
      </c>
      <c r="CJ96" s="1482">
        <f>IFERROR(__xludf.DUMMYFUNCTION("""COMPUTED_VALUE"""),43.270833333333336)</f>
        <v>43.27083333</v>
      </c>
      <c r="CK96" s="1483">
        <f>IFERROR(__xludf.DUMMYFUNCTION("""COMPUTED_VALUE"""),3630000.0)</f>
        <v>3630000</v>
      </c>
      <c r="CL96" s="1482">
        <f>IFERROR(__xludf.DUMMYFUNCTION("""COMPUTED_VALUE"""),43.270833333333336)</f>
        <v>43.27083333</v>
      </c>
      <c r="CM96" s="1483">
        <f>IFERROR(__xludf.DUMMYFUNCTION("""COMPUTED_VALUE"""),3630000.0)</f>
        <v>3630000</v>
      </c>
      <c r="CN96" s="1482">
        <f>IFERROR(__xludf.DUMMYFUNCTION("""COMPUTED_VALUE"""),43.270833333333336)</f>
        <v>43.27083333</v>
      </c>
      <c r="CO96" s="1483">
        <f>IFERROR(__xludf.DUMMYFUNCTION("""COMPUTED_VALUE"""),3630000.0)</f>
        <v>3630000</v>
      </c>
      <c r="CP96" s="1482">
        <f>IFERROR(__xludf.DUMMYFUNCTION("""COMPUTED_VALUE"""),106.86388888888888)</f>
        <v>106.8638889</v>
      </c>
      <c r="CQ96" s="1483">
        <f>IFERROR(__xludf.DUMMYFUNCTION("""COMPUTED_VALUE"""),1.646E7)</f>
        <v>16460000</v>
      </c>
      <c r="CR96" s="1518"/>
      <c r="CS96" s="1519"/>
      <c r="CT96" s="1520"/>
      <c r="CU96" s="1519"/>
      <c r="CV96" s="1520"/>
      <c r="CW96" s="1519"/>
      <c r="CX96" s="1520"/>
      <c r="CY96" s="1519"/>
      <c r="CZ96" s="1520"/>
      <c r="DA96" s="1520"/>
      <c r="DB96" s="1520"/>
      <c r="DC96" s="1520"/>
      <c r="DD96" s="1520"/>
      <c r="DE96" s="1519"/>
      <c r="DF96" s="1518"/>
      <c r="DG96" s="1519"/>
      <c r="DH96" s="1518"/>
      <c r="DI96" s="1519"/>
      <c r="DJ96" s="1518"/>
      <c r="DK96" s="1519"/>
      <c r="DL96" s="1518"/>
      <c r="DM96" s="1519"/>
      <c r="DN96" s="1518"/>
      <c r="DO96" s="1519"/>
      <c r="DP96" s="1518"/>
      <c r="DQ96" s="1519"/>
      <c r="DR96" s="1518"/>
      <c r="DS96" s="1519"/>
      <c r="DT96" s="1518"/>
      <c r="DU96" s="1519"/>
      <c r="DV96" s="1520"/>
      <c r="DW96" s="1519"/>
      <c r="DX96" s="1518"/>
      <c r="DY96" s="1519"/>
      <c r="DZ96" s="1518"/>
      <c r="EA96" s="1519"/>
      <c r="EB96" s="1518"/>
      <c r="EC96" s="1519"/>
      <c r="ED96" s="1518"/>
      <c r="EE96" s="1519"/>
      <c r="EF96" s="1518"/>
      <c r="EG96" s="1519"/>
      <c r="EH96" s="1518"/>
      <c r="EI96" s="1519"/>
      <c r="EJ96" s="1562"/>
      <c r="EK96" s="1560"/>
      <c r="EL96" s="1562"/>
      <c r="EM96" s="1560"/>
      <c r="EN96" s="1518"/>
      <c r="EO96" s="1519"/>
      <c r="EP96" s="1518"/>
      <c r="EQ96" s="1519"/>
      <c r="ER96" s="1518"/>
      <c r="ES96" s="1519"/>
      <c r="ET96" s="1518"/>
      <c r="EU96" s="1519"/>
      <c r="EV96" s="1518"/>
      <c r="EW96" s="1519"/>
      <c r="EX96" s="1518"/>
      <c r="EY96" s="1519"/>
      <c r="EZ96" s="1518"/>
      <c r="FA96" s="1519"/>
      <c r="FB96" s="1520"/>
      <c r="FC96" s="1519"/>
      <c r="FD96" s="1520"/>
      <c r="FE96" s="1519"/>
      <c r="FF96" s="1520"/>
      <c r="FG96" s="1519"/>
      <c r="FH96" s="1520"/>
      <c r="FI96" s="1520"/>
      <c r="FJ96" s="1520"/>
      <c r="FK96" s="1519"/>
      <c r="FL96" s="1518"/>
      <c r="FM96" s="1519"/>
      <c r="FN96" s="1532"/>
      <c r="FO96" s="1520"/>
      <c r="FP96" s="1532"/>
      <c r="FQ96" s="1520"/>
      <c r="FR96" s="1532"/>
      <c r="FS96" s="1520"/>
      <c r="FT96" s="1532"/>
      <c r="FU96" s="1519"/>
      <c r="FV96" s="1532"/>
      <c r="FW96" s="1519"/>
      <c r="FX96" s="1572"/>
      <c r="FY96" s="1560"/>
      <c r="FZ96" s="1572"/>
      <c r="GA96" s="1560"/>
      <c r="GB96" s="1572"/>
      <c r="GC96" s="1560"/>
      <c r="GD96" s="1527"/>
      <c r="GE96" s="1560"/>
      <c r="GF96" s="1518"/>
      <c r="GG96" s="1519"/>
      <c r="GH96" s="1518"/>
      <c r="GI96" s="1519"/>
      <c r="GJ96" s="1518"/>
      <c r="GK96" s="1519"/>
      <c r="GL96" s="1518"/>
      <c r="GM96" s="1519"/>
      <c r="GN96" s="1520"/>
      <c r="GO96" s="1519"/>
      <c r="GP96" s="1520"/>
      <c r="GQ96" s="1519"/>
      <c r="GR96" s="1518"/>
      <c r="GS96" s="1519"/>
      <c r="GT96" s="1518"/>
      <c r="GU96" s="1519"/>
      <c r="GV96" s="1520"/>
      <c r="GW96" s="1519"/>
      <c r="GX96" s="1561"/>
      <c r="GY96" s="1527"/>
      <c r="GZ96" s="1518"/>
      <c r="HA96" s="1519"/>
      <c r="HB96" s="1501">
        <f>IFERROR(__xludf.DUMMYFUNCTION("""COMPUTED_VALUE"""),6297.541666666667)</f>
        <v>6297.541667</v>
      </c>
      <c r="HC96" s="1502">
        <f>IFERROR(__xludf.DUMMYFUNCTION("""COMPUTED_VALUE"""),1.3914E14)</f>
        <v>139140000000000</v>
      </c>
      <c r="HD96" s="1518"/>
      <c r="HE96" s="1519"/>
      <c r="HF96" s="1518"/>
      <c r="HG96" s="1519"/>
      <c r="HH96" s="1518"/>
      <c r="HI96" s="1519"/>
      <c r="HJ96" s="1518"/>
      <c r="HK96" s="1519"/>
      <c r="HL96" s="1518"/>
      <c r="HM96" s="1519"/>
      <c r="HN96" s="1520"/>
      <c r="HO96" s="1519"/>
      <c r="HP96" s="1518"/>
      <c r="HQ96" s="1519"/>
      <c r="HR96" s="1518"/>
      <c r="HS96" s="1519"/>
      <c r="HT96" s="1518"/>
      <c r="HU96" s="1519"/>
      <c r="HV96" s="1518"/>
      <c r="HW96" s="1519"/>
      <c r="HX96" s="1518"/>
      <c r="HY96" s="1519"/>
      <c r="HZ96" s="1518"/>
      <c r="IA96" s="1519"/>
      <c r="IB96" s="1518"/>
      <c r="IC96" s="1519"/>
      <c r="ID96" s="1518"/>
      <c r="IE96" s="1519"/>
      <c r="IF96" s="1518"/>
      <c r="IG96" s="1519"/>
      <c r="IH96" s="1518"/>
      <c r="II96" s="1519"/>
      <c r="IJ96" s="1518"/>
      <c r="IK96" s="1519"/>
      <c r="IL96" s="1518"/>
      <c r="IM96" s="1519"/>
      <c r="IN96" s="1518"/>
      <c r="IO96" s="1519"/>
      <c r="IP96" s="1518"/>
      <c r="IQ96" s="1519"/>
      <c r="IR96" s="1518"/>
      <c r="IS96" s="1519"/>
      <c r="IT96" s="1518"/>
      <c r="IU96" s="1519"/>
      <c r="IV96" s="1518"/>
      <c r="IW96" s="1519"/>
      <c r="IX96" s="1518"/>
      <c r="IY96" s="1519"/>
      <c r="IZ96" s="1518"/>
      <c r="JA96" s="1519"/>
      <c r="JB96" s="1518"/>
      <c r="JC96" s="1519"/>
      <c r="JD96" s="1518"/>
      <c r="JE96" s="1519"/>
      <c r="JF96" s="1518"/>
      <c r="JG96" s="1519"/>
      <c r="JH96" s="1518"/>
      <c r="JI96" s="1519"/>
      <c r="JJ96" s="1562"/>
      <c r="JK96" s="1560"/>
      <c r="JL96" s="1562"/>
      <c r="JM96" s="1560"/>
      <c r="JN96" s="1562"/>
      <c r="JO96" s="1560"/>
      <c r="JP96" s="1562"/>
      <c r="JQ96" s="1560"/>
      <c r="JR96" s="1562"/>
      <c r="JS96" s="1560"/>
      <c r="JT96" s="1562"/>
      <c r="JU96" s="1560"/>
      <c r="JV96" s="1562"/>
      <c r="JW96" s="1560"/>
      <c r="JX96" s="1562"/>
      <c r="JY96" s="1527"/>
      <c r="JZ96" s="1566">
        <f>IFERROR(__xludf.DUMMYFUNCTION("""COMPUTED_VALUE"""),9.071550926)</f>
        <v>9.071550926</v>
      </c>
      <c r="KA96" s="1514">
        <f>IFERROR(__xludf.DUMMYFUNCTION("""COMPUTED_VALUE"""),4.1299E11)</f>
        <v>412990000000</v>
      </c>
      <c r="KB96" s="1562"/>
      <c r="KC96" s="1527"/>
      <c r="KD96" s="1562"/>
      <c r="KE96" s="1527"/>
      <c r="KF96" s="1527"/>
      <c r="KG96" s="1527"/>
      <c r="KH96" s="1527"/>
      <c r="KI96" s="1527"/>
      <c r="KJ96" s="1527"/>
      <c r="KK96" s="1527"/>
      <c r="KL96" s="1527"/>
      <c r="KM96" s="1527"/>
      <c r="KN96" s="1527"/>
      <c r="KO96" s="1527"/>
      <c r="KP96" s="1527"/>
      <c r="KQ96" s="1527"/>
      <c r="KR96" s="1527"/>
      <c r="KS96" s="1527"/>
      <c r="KT96" s="1527"/>
      <c r="KU96" s="1527"/>
      <c r="KV96" s="1527"/>
      <c r="KW96" s="1527"/>
      <c r="KX96" s="1527"/>
      <c r="KY96" s="1527"/>
      <c r="KZ96" s="1527"/>
      <c r="LA96" s="1527"/>
      <c r="LB96" s="1527"/>
      <c r="LC96" s="1527"/>
      <c r="LD96" s="1527"/>
      <c r="LE96" s="1527"/>
      <c r="LF96" s="1527"/>
      <c r="LG96" s="1527"/>
      <c r="LH96" s="1527"/>
      <c r="LI96" s="1527"/>
      <c r="LJ96" s="1527"/>
      <c r="LK96" s="1527"/>
      <c r="LL96" s="1527"/>
      <c r="LM96" s="1527"/>
      <c r="LN96" s="1527"/>
      <c r="LO96" s="1527"/>
      <c r="LP96" s="1527"/>
      <c r="LQ96" s="1527"/>
      <c r="LR96" s="1527"/>
      <c r="LS96" s="1527"/>
      <c r="LT96" s="1527"/>
      <c r="LU96" s="1527"/>
      <c r="LV96" s="1527"/>
      <c r="LW96" s="1527"/>
      <c r="LX96" s="1527"/>
      <c r="LY96" s="1527"/>
      <c r="LZ96" s="1527"/>
      <c r="MA96" s="1527"/>
      <c r="MB96" s="1527"/>
      <c r="MC96" s="1527"/>
      <c r="MD96" s="1527"/>
      <c r="ME96" s="1527"/>
      <c r="MF96" s="1527"/>
      <c r="MG96" s="1527"/>
      <c r="MH96" s="1527"/>
      <c r="MI96" s="1527"/>
      <c r="MJ96" s="1527"/>
      <c r="MK96" s="1527"/>
      <c r="ML96" s="1527"/>
      <c r="MM96" s="1527"/>
      <c r="MN96" s="1527"/>
      <c r="MO96" s="1527"/>
      <c r="MP96" s="1527"/>
      <c r="MQ96" s="1527"/>
      <c r="MR96" s="1527"/>
      <c r="MS96" s="1527"/>
      <c r="MT96" s="1527"/>
      <c r="MU96" s="1527"/>
      <c r="MV96" s="1527"/>
      <c r="MW96" s="1527"/>
      <c r="MX96" s="1527"/>
      <c r="MY96" s="1527"/>
    </row>
    <row r="97">
      <c r="A97" s="1465">
        <f>IFERROR(__xludf.DUMMYFUNCTION("""COMPUTED_VALUE"""),95.0)</f>
        <v>95</v>
      </c>
      <c r="B97" s="1518"/>
      <c r="C97" s="1520"/>
      <c r="D97" s="1466">
        <f>IFERROR(__xludf.DUMMYFUNCTION("""COMPUTED_VALUE"""),44.390972222222224)</f>
        <v>44.39097222</v>
      </c>
      <c r="E97" s="1467">
        <f>IFERROR(__xludf.DUMMYFUNCTION("""COMPUTED_VALUE"""),3740000.0)</f>
        <v>3740000</v>
      </c>
      <c r="F97" s="1466">
        <f>IFERROR(__xludf.DUMMYFUNCTION("""COMPUTED_VALUE"""),44.390972222222224)</f>
        <v>44.39097222</v>
      </c>
      <c r="G97" s="1467">
        <f>IFERROR(__xludf.DUMMYFUNCTION("""COMPUTED_VALUE"""),3740000.0)</f>
        <v>3740000</v>
      </c>
      <c r="H97" s="1466">
        <f>IFERROR(__xludf.DUMMYFUNCTION("""COMPUTED_VALUE"""),44.390972222222224)</f>
        <v>44.39097222</v>
      </c>
      <c r="I97" s="1467">
        <f>IFERROR(__xludf.DUMMYFUNCTION("""COMPUTED_VALUE"""),3740000.0)</f>
        <v>3740000</v>
      </c>
      <c r="J97" s="1466">
        <f>IFERROR(__xludf.DUMMYFUNCTION("""COMPUTED_VALUE"""),44.390972222222224)</f>
        <v>44.39097222</v>
      </c>
      <c r="K97" s="1467">
        <f>IFERROR(__xludf.DUMMYFUNCTION("""COMPUTED_VALUE"""),3740000.0)</f>
        <v>3740000</v>
      </c>
      <c r="L97" s="1466">
        <f>IFERROR(__xludf.DUMMYFUNCTION("""COMPUTED_VALUE"""),87.65208333333334)</f>
        <v>87.65208333</v>
      </c>
      <c r="M97" s="1469">
        <f>IFERROR(__xludf.DUMMYFUNCTION("""COMPUTED_VALUE"""),1.221E7)</f>
        <v>12210000</v>
      </c>
      <c r="N97" s="1470">
        <f>IFERROR(__xludf.DUMMYFUNCTION("""COMPUTED_VALUE"""),30.434722222222224)</f>
        <v>30.43472222</v>
      </c>
      <c r="O97" s="1467">
        <f>IFERROR(__xludf.DUMMYFUNCTION("""COMPUTED_VALUE"""),1.701E7)</f>
        <v>17010000</v>
      </c>
      <c r="P97" s="1518"/>
      <c r="Q97" s="1519"/>
      <c r="R97" s="1518"/>
      <c r="S97" s="1519"/>
      <c r="T97" s="1518"/>
      <c r="U97" s="1519"/>
      <c r="V97" s="1518"/>
      <c r="W97" s="1519"/>
      <c r="X97" s="1518"/>
      <c r="Y97" s="1519"/>
      <c r="Z97" s="1518"/>
      <c r="AA97" s="1519"/>
      <c r="AB97" s="1518"/>
      <c r="AC97" s="1519"/>
      <c r="AD97" s="1466">
        <f>IFERROR(__xludf.DUMMYFUNCTION("""COMPUTED_VALUE"""),102.59513888888888)</f>
        <v>102.5951389</v>
      </c>
      <c r="AE97" s="1474">
        <f>IFERROR(__xludf.DUMMYFUNCTION("""COMPUTED_VALUE"""),5.1365925417E19)</f>
        <v>5.13659E+19</v>
      </c>
      <c r="AF97" s="1466">
        <f>IFERROR(__xludf.DUMMYFUNCTION("""COMPUTED_VALUE"""),102.59513888888888)</f>
        <v>102.5951389</v>
      </c>
      <c r="AG97" s="1474">
        <f>IFERROR(__xludf.DUMMYFUNCTION("""COMPUTED_VALUE"""),5.1365925417E19)</f>
        <v>5.13659E+19</v>
      </c>
      <c r="AH97" s="1466">
        <f>IFERROR(__xludf.DUMMYFUNCTION("""COMPUTED_VALUE"""),102.59513888888888)</f>
        <v>102.5951389</v>
      </c>
      <c r="AI97" s="1474">
        <f>IFERROR(__xludf.DUMMYFUNCTION("""COMPUTED_VALUE"""),5.1365925417E19)</f>
        <v>5.13659E+19</v>
      </c>
      <c r="AJ97" s="1475">
        <f>IFERROR(__xludf.DUMMYFUNCTION("""COMPUTED_VALUE"""),44.390972222222224)</f>
        <v>44.39097222</v>
      </c>
      <c r="AK97" s="1476">
        <f>IFERROR(__xludf.DUMMYFUNCTION("""COMPUTED_VALUE"""),3740000.0)</f>
        <v>3740000</v>
      </c>
      <c r="AL97" s="1475">
        <f>IFERROR(__xludf.DUMMYFUNCTION("""COMPUTED_VALUE"""),44.390972222222224)</f>
        <v>44.39097222</v>
      </c>
      <c r="AM97" s="1476">
        <f>IFERROR(__xludf.DUMMYFUNCTION("""COMPUTED_VALUE"""),3740000.0)</f>
        <v>3740000</v>
      </c>
      <c r="AN97" s="1475">
        <f>IFERROR(__xludf.DUMMYFUNCTION("""COMPUTED_VALUE"""),44.390972222222224)</f>
        <v>44.39097222</v>
      </c>
      <c r="AO97" s="1476">
        <f>IFERROR(__xludf.DUMMYFUNCTION("""COMPUTED_VALUE"""),3740000.0)</f>
        <v>3740000</v>
      </c>
      <c r="AP97" s="1520"/>
      <c r="AQ97" s="1519"/>
      <c r="AR97" s="1475">
        <f>IFERROR(__xludf.DUMMYFUNCTION("""COMPUTED_VALUE"""),44.390972222222224)</f>
        <v>44.39097222</v>
      </c>
      <c r="AS97" s="1476">
        <f>IFERROR(__xludf.DUMMYFUNCTION("""COMPUTED_VALUE"""),3740000.0)</f>
        <v>3740000</v>
      </c>
      <c r="AT97" s="1520"/>
      <c r="AU97" s="1519"/>
      <c r="AV97" s="1520"/>
      <c r="AW97" s="1519"/>
      <c r="AX97" s="1518"/>
      <c r="AY97" s="1568"/>
      <c r="AZ97" s="1518"/>
      <c r="BA97" s="1518"/>
      <c r="BB97" s="1477">
        <f>IFERROR(__xludf.DUMMYFUNCTION("""COMPUTED_VALUE"""),44.390972222222224)</f>
        <v>44.39097222</v>
      </c>
      <c r="BC97" s="1478">
        <f>IFERROR(__xludf.DUMMYFUNCTION("""COMPUTED_VALUE"""),3740000.0)</f>
        <v>3740000</v>
      </c>
      <c r="BD97" s="1477">
        <f>IFERROR(__xludf.DUMMYFUNCTION("""COMPUTED_VALUE"""),44.390972222222224)</f>
        <v>44.39097222</v>
      </c>
      <c r="BE97" s="1478">
        <f>IFERROR(__xludf.DUMMYFUNCTION("""COMPUTED_VALUE"""),3740000.0)</f>
        <v>3740000</v>
      </c>
      <c r="BF97" s="1477">
        <f>IFERROR(__xludf.DUMMYFUNCTION("""COMPUTED_VALUE"""),44.390972222222224)</f>
        <v>44.39097222</v>
      </c>
      <c r="BG97" s="1478">
        <f>IFERROR(__xludf.DUMMYFUNCTION("""COMPUTED_VALUE"""),3740000.0)</f>
        <v>3740000</v>
      </c>
      <c r="BH97" s="1518"/>
      <c r="BI97" s="1519"/>
      <c r="BJ97" s="1518"/>
      <c r="BK97" s="1519"/>
      <c r="BL97" s="1518"/>
      <c r="BM97" s="1519"/>
      <c r="BN97" s="1518"/>
      <c r="BO97" s="1519"/>
      <c r="BP97" s="1518"/>
      <c r="BQ97" s="1519"/>
      <c r="BR97" s="1520"/>
      <c r="BS97" s="1519"/>
      <c r="BT97" s="1520"/>
      <c r="BU97" s="1520"/>
      <c r="BV97" s="1520"/>
      <c r="BW97" s="1520"/>
      <c r="BX97" s="1520"/>
      <c r="BY97" s="1520"/>
      <c r="BZ97" s="1520"/>
      <c r="CA97" s="1520"/>
      <c r="CB97" s="1520"/>
      <c r="CC97" s="1519"/>
      <c r="CD97" s="1520"/>
      <c r="CE97" s="1520"/>
      <c r="CF97" s="1527"/>
      <c r="CG97" s="1560"/>
      <c r="CH97" s="1482">
        <f>IFERROR(__xludf.DUMMYFUNCTION("""COMPUTED_VALUE"""),44.390972222222224)</f>
        <v>44.39097222</v>
      </c>
      <c r="CI97" s="1483">
        <f>IFERROR(__xludf.DUMMYFUNCTION("""COMPUTED_VALUE"""),3740000.0)</f>
        <v>3740000</v>
      </c>
      <c r="CJ97" s="1482">
        <f>IFERROR(__xludf.DUMMYFUNCTION("""COMPUTED_VALUE"""),44.390972222222224)</f>
        <v>44.39097222</v>
      </c>
      <c r="CK97" s="1483">
        <f>IFERROR(__xludf.DUMMYFUNCTION("""COMPUTED_VALUE"""),3740000.0)</f>
        <v>3740000</v>
      </c>
      <c r="CL97" s="1482">
        <f>IFERROR(__xludf.DUMMYFUNCTION("""COMPUTED_VALUE"""),44.390972222222224)</f>
        <v>44.39097222</v>
      </c>
      <c r="CM97" s="1483">
        <f>IFERROR(__xludf.DUMMYFUNCTION("""COMPUTED_VALUE"""),3740000.0)</f>
        <v>3740000</v>
      </c>
      <c r="CN97" s="1482">
        <f>IFERROR(__xludf.DUMMYFUNCTION("""COMPUTED_VALUE"""),44.390972222222224)</f>
        <v>44.39097222</v>
      </c>
      <c r="CO97" s="1483">
        <f>IFERROR(__xludf.DUMMYFUNCTION("""COMPUTED_VALUE"""),3740000.0)</f>
        <v>3740000</v>
      </c>
      <c r="CP97" s="1482">
        <f>IFERROR(__xludf.DUMMYFUNCTION("""COMPUTED_VALUE"""),109.86805555555556)</f>
        <v>109.8680556</v>
      </c>
      <c r="CQ97" s="1483">
        <f>IFERROR(__xludf.DUMMYFUNCTION("""COMPUTED_VALUE"""),1.701E7)</f>
        <v>17010000</v>
      </c>
      <c r="CR97" s="1518"/>
      <c r="CS97" s="1519"/>
      <c r="CT97" s="1520"/>
      <c r="CU97" s="1519"/>
      <c r="CV97" s="1520"/>
      <c r="CW97" s="1519"/>
      <c r="CX97" s="1520"/>
      <c r="CY97" s="1519"/>
      <c r="CZ97" s="1520"/>
      <c r="DA97" s="1520"/>
      <c r="DB97" s="1520"/>
      <c r="DC97" s="1520"/>
      <c r="DD97" s="1520"/>
      <c r="DE97" s="1519"/>
      <c r="DF97" s="1518"/>
      <c r="DG97" s="1519"/>
      <c r="DH97" s="1518"/>
      <c r="DI97" s="1519"/>
      <c r="DJ97" s="1518"/>
      <c r="DK97" s="1519"/>
      <c r="DL97" s="1518"/>
      <c r="DM97" s="1519"/>
      <c r="DN97" s="1518"/>
      <c r="DO97" s="1519"/>
      <c r="DP97" s="1518"/>
      <c r="DQ97" s="1519"/>
      <c r="DR97" s="1518"/>
      <c r="DS97" s="1519"/>
      <c r="DT97" s="1518"/>
      <c r="DU97" s="1519"/>
      <c r="DV97" s="1520"/>
      <c r="DW97" s="1519"/>
      <c r="DX97" s="1518"/>
      <c r="DY97" s="1519"/>
      <c r="DZ97" s="1518"/>
      <c r="EA97" s="1519"/>
      <c r="EB97" s="1518"/>
      <c r="EC97" s="1519"/>
      <c r="ED97" s="1518"/>
      <c r="EE97" s="1519"/>
      <c r="EF97" s="1518"/>
      <c r="EG97" s="1519"/>
      <c r="EH97" s="1518"/>
      <c r="EI97" s="1519"/>
      <c r="EJ97" s="1562"/>
      <c r="EK97" s="1560"/>
      <c r="EL97" s="1562"/>
      <c r="EM97" s="1560"/>
      <c r="EN97" s="1518"/>
      <c r="EO97" s="1519"/>
      <c r="EP97" s="1518"/>
      <c r="EQ97" s="1519"/>
      <c r="ER97" s="1518"/>
      <c r="ES97" s="1519"/>
      <c r="ET97" s="1518"/>
      <c r="EU97" s="1519"/>
      <c r="EV97" s="1518"/>
      <c r="EW97" s="1519"/>
      <c r="EX97" s="1518"/>
      <c r="EY97" s="1519"/>
      <c r="EZ97" s="1518"/>
      <c r="FA97" s="1519"/>
      <c r="FB97" s="1520"/>
      <c r="FC97" s="1519"/>
      <c r="FD97" s="1520"/>
      <c r="FE97" s="1519"/>
      <c r="FF97" s="1520"/>
      <c r="FG97" s="1519"/>
      <c r="FH97" s="1520"/>
      <c r="FI97" s="1520"/>
      <c r="FJ97" s="1520"/>
      <c r="FK97" s="1519"/>
      <c r="FL97" s="1518"/>
      <c r="FM97" s="1519"/>
      <c r="FN97" s="1532"/>
      <c r="FO97" s="1520"/>
      <c r="FP97" s="1532"/>
      <c r="FQ97" s="1520"/>
      <c r="FR97" s="1532"/>
      <c r="FS97" s="1520"/>
      <c r="FT97" s="1532"/>
      <c r="FU97" s="1519"/>
      <c r="FV97" s="1532"/>
      <c r="FW97" s="1519"/>
      <c r="FX97" s="1572"/>
      <c r="FY97" s="1560"/>
      <c r="FZ97" s="1572"/>
      <c r="GA97" s="1560"/>
      <c r="GB97" s="1572"/>
      <c r="GC97" s="1560"/>
      <c r="GD97" s="1527"/>
      <c r="GE97" s="1560"/>
      <c r="GF97" s="1518"/>
      <c r="GG97" s="1519"/>
      <c r="GH97" s="1518"/>
      <c r="GI97" s="1519"/>
      <c r="GJ97" s="1518"/>
      <c r="GK97" s="1519"/>
      <c r="GL97" s="1518"/>
      <c r="GM97" s="1519"/>
      <c r="GN97" s="1520"/>
      <c r="GO97" s="1519"/>
      <c r="GP97" s="1520"/>
      <c r="GQ97" s="1519"/>
      <c r="GR97" s="1518"/>
      <c r="GS97" s="1519"/>
      <c r="GT97" s="1518"/>
      <c r="GU97" s="1519"/>
      <c r="GV97" s="1520"/>
      <c r="GW97" s="1519"/>
      <c r="GX97" s="1561"/>
      <c r="GY97" s="1527"/>
      <c r="GZ97" s="1518"/>
      <c r="HA97" s="1519"/>
      <c r="HB97" s="1501">
        <f>IFERROR(__xludf.DUMMYFUNCTION("""COMPUTED_VALUE"""),6537.392361111111)</f>
        <v>6537.392361</v>
      </c>
      <c r="HC97" s="1502">
        <f>IFERROR(__xludf.DUMMYFUNCTION("""COMPUTED_VALUE"""),1.4678E14)</f>
        <v>146780000000000</v>
      </c>
      <c r="HD97" s="1518"/>
      <c r="HE97" s="1519"/>
      <c r="HF97" s="1518"/>
      <c r="HG97" s="1519"/>
      <c r="HH97" s="1518"/>
      <c r="HI97" s="1519"/>
      <c r="HJ97" s="1518"/>
      <c r="HK97" s="1519"/>
      <c r="HL97" s="1518"/>
      <c r="HM97" s="1519"/>
      <c r="HN97" s="1520"/>
      <c r="HO97" s="1519"/>
      <c r="HP97" s="1518"/>
      <c r="HQ97" s="1519"/>
      <c r="HR97" s="1518"/>
      <c r="HS97" s="1519"/>
      <c r="HT97" s="1518"/>
      <c r="HU97" s="1519"/>
      <c r="HV97" s="1518"/>
      <c r="HW97" s="1519"/>
      <c r="HX97" s="1518"/>
      <c r="HY97" s="1519"/>
      <c r="HZ97" s="1518"/>
      <c r="IA97" s="1519"/>
      <c r="IB97" s="1518"/>
      <c r="IC97" s="1519"/>
      <c r="ID97" s="1518"/>
      <c r="IE97" s="1519"/>
      <c r="IF97" s="1518"/>
      <c r="IG97" s="1519"/>
      <c r="IH97" s="1518"/>
      <c r="II97" s="1519"/>
      <c r="IJ97" s="1518"/>
      <c r="IK97" s="1519"/>
      <c r="IL97" s="1518"/>
      <c r="IM97" s="1519"/>
      <c r="IN97" s="1518"/>
      <c r="IO97" s="1519"/>
      <c r="IP97" s="1518"/>
      <c r="IQ97" s="1519"/>
      <c r="IR97" s="1518"/>
      <c r="IS97" s="1519"/>
      <c r="IT97" s="1518"/>
      <c r="IU97" s="1519"/>
      <c r="IV97" s="1518"/>
      <c r="IW97" s="1519"/>
      <c r="IX97" s="1518"/>
      <c r="IY97" s="1519"/>
      <c r="IZ97" s="1518"/>
      <c r="JA97" s="1519"/>
      <c r="JB97" s="1518"/>
      <c r="JC97" s="1519"/>
      <c r="JD97" s="1518"/>
      <c r="JE97" s="1519"/>
      <c r="JF97" s="1518"/>
      <c r="JG97" s="1519"/>
      <c r="JH97" s="1518"/>
      <c r="JI97" s="1519"/>
      <c r="JJ97" s="1562"/>
      <c r="JK97" s="1560"/>
      <c r="JL97" s="1562"/>
      <c r="JM97" s="1560"/>
      <c r="JN97" s="1562"/>
      <c r="JO97" s="1560"/>
      <c r="JP97" s="1562"/>
      <c r="JQ97" s="1560"/>
      <c r="JR97" s="1562"/>
      <c r="JS97" s="1560"/>
      <c r="JT97" s="1562"/>
      <c r="JU97" s="1560"/>
      <c r="JV97" s="1562"/>
      <c r="JW97" s="1560"/>
      <c r="JX97" s="1562"/>
      <c r="JY97" s="1527"/>
      <c r="JZ97" s="1566">
        <f>IFERROR(__xludf.DUMMYFUNCTION("""COMPUTED_VALUE"""),9.197696759)</f>
        <v>9.197696759</v>
      </c>
      <c r="KA97" s="1514">
        <f>IFERROR(__xludf.DUMMYFUNCTION("""COMPUTED_VALUE"""),4.2509E11)</f>
        <v>425090000000</v>
      </c>
      <c r="KB97" s="1562"/>
      <c r="KC97" s="1527"/>
      <c r="KD97" s="1562"/>
      <c r="KE97" s="1527"/>
      <c r="KF97" s="1527"/>
      <c r="KG97" s="1527"/>
      <c r="KH97" s="1527"/>
      <c r="KI97" s="1527"/>
      <c r="KJ97" s="1527"/>
      <c r="KK97" s="1527"/>
      <c r="KL97" s="1527"/>
      <c r="KM97" s="1527"/>
      <c r="KN97" s="1527"/>
      <c r="KO97" s="1527"/>
      <c r="KP97" s="1527"/>
      <c r="KQ97" s="1527"/>
      <c r="KR97" s="1527"/>
      <c r="KS97" s="1527"/>
      <c r="KT97" s="1527"/>
      <c r="KU97" s="1527"/>
      <c r="KV97" s="1527"/>
      <c r="KW97" s="1527"/>
      <c r="KX97" s="1527"/>
      <c r="KY97" s="1527"/>
      <c r="KZ97" s="1527"/>
      <c r="LA97" s="1527"/>
      <c r="LB97" s="1527"/>
      <c r="LC97" s="1527"/>
      <c r="LD97" s="1527"/>
      <c r="LE97" s="1527"/>
      <c r="LF97" s="1527"/>
      <c r="LG97" s="1527"/>
      <c r="LH97" s="1527"/>
      <c r="LI97" s="1527"/>
      <c r="LJ97" s="1527"/>
      <c r="LK97" s="1527"/>
      <c r="LL97" s="1527"/>
      <c r="LM97" s="1527"/>
      <c r="LN97" s="1527"/>
      <c r="LO97" s="1527"/>
      <c r="LP97" s="1527"/>
      <c r="LQ97" s="1527"/>
      <c r="LR97" s="1527"/>
      <c r="LS97" s="1527"/>
      <c r="LT97" s="1527"/>
      <c r="LU97" s="1527"/>
      <c r="LV97" s="1527"/>
      <c r="LW97" s="1527"/>
      <c r="LX97" s="1527"/>
      <c r="LY97" s="1527"/>
      <c r="LZ97" s="1527"/>
      <c r="MA97" s="1527"/>
      <c r="MB97" s="1527"/>
      <c r="MC97" s="1527"/>
      <c r="MD97" s="1527"/>
      <c r="ME97" s="1527"/>
      <c r="MF97" s="1527"/>
      <c r="MG97" s="1527"/>
      <c r="MH97" s="1527"/>
      <c r="MI97" s="1527"/>
      <c r="MJ97" s="1527"/>
      <c r="MK97" s="1527"/>
      <c r="ML97" s="1527"/>
      <c r="MM97" s="1527"/>
      <c r="MN97" s="1527"/>
      <c r="MO97" s="1527"/>
      <c r="MP97" s="1527"/>
      <c r="MQ97" s="1527"/>
      <c r="MR97" s="1527"/>
      <c r="MS97" s="1527"/>
      <c r="MT97" s="1527"/>
      <c r="MU97" s="1527"/>
      <c r="MV97" s="1527"/>
      <c r="MW97" s="1527"/>
      <c r="MX97" s="1527"/>
      <c r="MY97" s="1527"/>
    </row>
    <row r="98">
      <c r="A98" s="1465">
        <f>IFERROR(__xludf.DUMMYFUNCTION("""COMPUTED_VALUE"""),96.0)</f>
        <v>96</v>
      </c>
      <c r="B98" s="1518"/>
      <c r="C98" s="1520"/>
      <c r="D98" s="1466">
        <f>IFERROR(__xludf.DUMMYFUNCTION("""COMPUTED_VALUE"""),45.52777777777778)</f>
        <v>45.52777778</v>
      </c>
      <c r="E98" s="1467">
        <f>IFERROR(__xludf.DUMMYFUNCTION("""COMPUTED_VALUE"""),3850000.0)</f>
        <v>3850000</v>
      </c>
      <c r="F98" s="1466">
        <f>IFERROR(__xludf.DUMMYFUNCTION("""COMPUTED_VALUE"""),45.52777777777778)</f>
        <v>45.52777778</v>
      </c>
      <c r="G98" s="1467">
        <f>IFERROR(__xludf.DUMMYFUNCTION("""COMPUTED_VALUE"""),3850000.0)</f>
        <v>3850000</v>
      </c>
      <c r="H98" s="1466">
        <f>IFERROR(__xludf.DUMMYFUNCTION("""COMPUTED_VALUE"""),45.52777777777778)</f>
        <v>45.52777778</v>
      </c>
      <c r="I98" s="1467">
        <f>IFERROR(__xludf.DUMMYFUNCTION("""COMPUTED_VALUE"""),3850000.0)</f>
        <v>3850000</v>
      </c>
      <c r="J98" s="1466">
        <f>IFERROR(__xludf.DUMMYFUNCTION("""COMPUTED_VALUE"""),45.52777777777778)</f>
        <v>45.52777778</v>
      </c>
      <c r="K98" s="1467">
        <f>IFERROR(__xludf.DUMMYFUNCTION("""COMPUTED_VALUE"""),3850000.0)</f>
        <v>3850000</v>
      </c>
      <c r="L98" s="1466">
        <f>IFERROR(__xludf.DUMMYFUNCTION("""COMPUTED_VALUE"""),90.04097222222222)</f>
        <v>90.04097222</v>
      </c>
      <c r="M98" s="1469">
        <f>IFERROR(__xludf.DUMMYFUNCTION("""COMPUTED_VALUE"""),1.257E7)</f>
        <v>12570000</v>
      </c>
      <c r="N98" s="1470">
        <f>IFERROR(__xludf.DUMMYFUNCTION("""COMPUTED_VALUE"""),31.04861111111111)</f>
        <v>31.04861111</v>
      </c>
      <c r="O98" s="1467">
        <f>IFERROR(__xludf.DUMMYFUNCTION("""COMPUTED_VALUE"""),1.758E7)</f>
        <v>17580000</v>
      </c>
      <c r="P98" s="1518"/>
      <c r="Q98" s="1519"/>
      <c r="R98" s="1518"/>
      <c r="S98" s="1519"/>
      <c r="T98" s="1518"/>
      <c r="U98" s="1519"/>
      <c r="V98" s="1518"/>
      <c r="W98" s="1519"/>
      <c r="X98" s="1518"/>
      <c r="Y98" s="1519"/>
      <c r="Z98" s="1518"/>
      <c r="AA98" s="1519"/>
      <c r="AB98" s="1518"/>
      <c r="AC98" s="1519"/>
      <c r="AD98" s="1466">
        <f>IFERROR(__xludf.DUMMYFUNCTION("""COMPUTED_VALUE"""),103.675)</f>
        <v>103.675</v>
      </c>
      <c r="AE98" s="1474">
        <f>IFERROR(__xludf.DUMMYFUNCTION("""COMPUTED_VALUE"""),6.6775703042E19)</f>
        <v>6.67757E+19</v>
      </c>
      <c r="AF98" s="1466">
        <f>IFERROR(__xludf.DUMMYFUNCTION("""COMPUTED_VALUE"""),103.675)</f>
        <v>103.675</v>
      </c>
      <c r="AG98" s="1474">
        <f>IFERROR(__xludf.DUMMYFUNCTION("""COMPUTED_VALUE"""),6.6775703042E19)</f>
        <v>6.67757E+19</v>
      </c>
      <c r="AH98" s="1466">
        <f>IFERROR(__xludf.DUMMYFUNCTION("""COMPUTED_VALUE"""),103.675)</f>
        <v>103.675</v>
      </c>
      <c r="AI98" s="1474">
        <f>IFERROR(__xludf.DUMMYFUNCTION("""COMPUTED_VALUE"""),6.6775703042E19)</f>
        <v>6.67757E+19</v>
      </c>
      <c r="AJ98" s="1475">
        <f>IFERROR(__xludf.DUMMYFUNCTION("""COMPUTED_VALUE"""),45.52777777777778)</f>
        <v>45.52777778</v>
      </c>
      <c r="AK98" s="1476">
        <f>IFERROR(__xludf.DUMMYFUNCTION("""COMPUTED_VALUE"""),3850000.0)</f>
        <v>3850000</v>
      </c>
      <c r="AL98" s="1475">
        <f>IFERROR(__xludf.DUMMYFUNCTION("""COMPUTED_VALUE"""),45.52777777777778)</f>
        <v>45.52777778</v>
      </c>
      <c r="AM98" s="1476">
        <f>IFERROR(__xludf.DUMMYFUNCTION("""COMPUTED_VALUE"""),3850000.0)</f>
        <v>3850000</v>
      </c>
      <c r="AN98" s="1475">
        <f>IFERROR(__xludf.DUMMYFUNCTION("""COMPUTED_VALUE"""),45.52777777777778)</f>
        <v>45.52777778</v>
      </c>
      <c r="AO98" s="1476">
        <f>IFERROR(__xludf.DUMMYFUNCTION("""COMPUTED_VALUE"""),3850000.0)</f>
        <v>3850000</v>
      </c>
      <c r="AP98" s="1520"/>
      <c r="AQ98" s="1519"/>
      <c r="AR98" s="1475">
        <f>IFERROR(__xludf.DUMMYFUNCTION("""COMPUTED_VALUE"""),45.52777777777778)</f>
        <v>45.52777778</v>
      </c>
      <c r="AS98" s="1476">
        <f>IFERROR(__xludf.DUMMYFUNCTION("""COMPUTED_VALUE"""),3850000.0)</f>
        <v>3850000</v>
      </c>
      <c r="AT98" s="1520"/>
      <c r="AU98" s="1519"/>
      <c r="AV98" s="1520"/>
      <c r="AW98" s="1519"/>
      <c r="AX98" s="1518"/>
      <c r="AY98" s="1568"/>
      <c r="AZ98" s="1518"/>
      <c r="BA98" s="1518"/>
      <c r="BB98" s="1477">
        <f>IFERROR(__xludf.DUMMYFUNCTION("""COMPUTED_VALUE"""),45.52777777777778)</f>
        <v>45.52777778</v>
      </c>
      <c r="BC98" s="1478">
        <f>IFERROR(__xludf.DUMMYFUNCTION("""COMPUTED_VALUE"""),3850000.0)</f>
        <v>3850000</v>
      </c>
      <c r="BD98" s="1477">
        <f>IFERROR(__xludf.DUMMYFUNCTION("""COMPUTED_VALUE"""),45.52777777777778)</f>
        <v>45.52777778</v>
      </c>
      <c r="BE98" s="1478">
        <f>IFERROR(__xludf.DUMMYFUNCTION("""COMPUTED_VALUE"""),3850000.0)</f>
        <v>3850000</v>
      </c>
      <c r="BF98" s="1477">
        <f>IFERROR(__xludf.DUMMYFUNCTION("""COMPUTED_VALUE"""),45.52777777777778)</f>
        <v>45.52777778</v>
      </c>
      <c r="BG98" s="1478">
        <f>IFERROR(__xludf.DUMMYFUNCTION("""COMPUTED_VALUE"""),3850000.0)</f>
        <v>3850000</v>
      </c>
      <c r="BH98" s="1518"/>
      <c r="BI98" s="1519"/>
      <c r="BJ98" s="1518"/>
      <c r="BK98" s="1519"/>
      <c r="BL98" s="1518"/>
      <c r="BM98" s="1519"/>
      <c r="BN98" s="1518"/>
      <c r="BO98" s="1519"/>
      <c r="BP98" s="1518"/>
      <c r="BQ98" s="1519"/>
      <c r="BR98" s="1520"/>
      <c r="BS98" s="1519"/>
      <c r="BT98" s="1520"/>
      <c r="BU98" s="1520"/>
      <c r="BV98" s="1520"/>
      <c r="BW98" s="1520"/>
      <c r="BX98" s="1520"/>
      <c r="BY98" s="1520"/>
      <c r="BZ98" s="1520"/>
      <c r="CA98" s="1520"/>
      <c r="CB98" s="1520"/>
      <c r="CC98" s="1519"/>
      <c r="CD98" s="1520"/>
      <c r="CE98" s="1520"/>
      <c r="CF98" s="1527"/>
      <c r="CG98" s="1560"/>
      <c r="CH98" s="1482">
        <f>IFERROR(__xludf.DUMMYFUNCTION("""COMPUTED_VALUE"""),45.52777777777778)</f>
        <v>45.52777778</v>
      </c>
      <c r="CI98" s="1483">
        <f>IFERROR(__xludf.DUMMYFUNCTION("""COMPUTED_VALUE"""),3850000.0)</f>
        <v>3850000</v>
      </c>
      <c r="CJ98" s="1482">
        <f>IFERROR(__xludf.DUMMYFUNCTION("""COMPUTED_VALUE"""),45.52777777777778)</f>
        <v>45.52777778</v>
      </c>
      <c r="CK98" s="1483">
        <f>IFERROR(__xludf.DUMMYFUNCTION("""COMPUTED_VALUE"""),3850000.0)</f>
        <v>3850000</v>
      </c>
      <c r="CL98" s="1482">
        <f>IFERROR(__xludf.DUMMYFUNCTION("""COMPUTED_VALUE"""),45.52777777777778)</f>
        <v>45.52777778</v>
      </c>
      <c r="CM98" s="1483">
        <f>IFERROR(__xludf.DUMMYFUNCTION("""COMPUTED_VALUE"""),3850000.0)</f>
        <v>3850000</v>
      </c>
      <c r="CN98" s="1482">
        <f>IFERROR(__xludf.DUMMYFUNCTION("""COMPUTED_VALUE"""),45.52777777777778)</f>
        <v>45.52777778</v>
      </c>
      <c r="CO98" s="1483">
        <f>IFERROR(__xludf.DUMMYFUNCTION("""COMPUTED_VALUE"""),3850000.0)</f>
        <v>3850000</v>
      </c>
      <c r="CP98" s="1482">
        <f>IFERROR(__xludf.DUMMYFUNCTION("""COMPUTED_VALUE"""),112.92361111111111)</f>
        <v>112.9236111</v>
      </c>
      <c r="CQ98" s="1483">
        <f>IFERROR(__xludf.DUMMYFUNCTION("""COMPUTED_VALUE"""),1.758E7)</f>
        <v>17580000</v>
      </c>
      <c r="CR98" s="1518"/>
      <c r="CS98" s="1519"/>
      <c r="CT98" s="1520"/>
      <c r="CU98" s="1519"/>
      <c r="CV98" s="1520"/>
      <c r="CW98" s="1519"/>
      <c r="CX98" s="1520"/>
      <c r="CY98" s="1519"/>
      <c r="CZ98" s="1520"/>
      <c r="DA98" s="1520"/>
      <c r="DB98" s="1520"/>
      <c r="DC98" s="1520"/>
      <c r="DD98" s="1520"/>
      <c r="DE98" s="1519"/>
      <c r="DF98" s="1518"/>
      <c r="DG98" s="1519"/>
      <c r="DH98" s="1518"/>
      <c r="DI98" s="1519"/>
      <c r="DJ98" s="1518"/>
      <c r="DK98" s="1519"/>
      <c r="DL98" s="1518"/>
      <c r="DM98" s="1519"/>
      <c r="DN98" s="1518"/>
      <c r="DO98" s="1519"/>
      <c r="DP98" s="1518"/>
      <c r="DQ98" s="1519"/>
      <c r="DR98" s="1518"/>
      <c r="DS98" s="1519"/>
      <c r="DT98" s="1518"/>
      <c r="DU98" s="1519"/>
      <c r="DV98" s="1520"/>
      <c r="DW98" s="1519"/>
      <c r="DX98" s="1518"/>
      <c r="DY98" s="1519"/>
      <c r="DZ98" s="1518"/>
      <c r="EA98" s="1519"/>
      <c r="EB98" s="1518"/>
      <c r="EC98" s="1519"/>
      <c r="ED98" s="1518"/>
      <c r="EE98" s="1519"/>
      <c r="EF98" s="1518"/>
      <c r="EG98" s="1519"/>
      <c r="EH98" s="1518"/>
      <c r="EI98" s="1519"/>
      <c r="EJ98" s="1562"/>
      <c r="EK98" s="1560"/>
      <c r="EL98" s="1562"/>
      <c r="EM98" s="1560"/>
      <c r="EN98" s="1518"/>
      <c r="EO98" s="1519"/>
      <c r="EP98" s="1518"/>
      <c r="EQ98" s="1519"/>
      <c r="ER98" s="1518"/>
      <c r="ES98" s="1519"/>
      <c r="ET98" s="1518"/>
      <c r="EU98" s="1519"/>
      <c r="EV98" s="1518"/>
      <c r="EW98" s="1519"/>
      <c r="EX98" s="1518"/>
      <c r="EY98" s="1519"/>
      <c r="EZ98" s="1518"/>
      <c r="FA98" s="1519"/>
      <c r="FB98" s="1520"/>
      <c r="FC98" s="1519"/>
      <c r="FD98" s="1520"/>
      <c r="FE98" s="1519"/>
      <c r="FF98" s="1520"/>
      <c r="FG98" s="1519"/>
      <c r="FH98" s="1520"/>
      <c r="FI98" s="1520"/>
      <c r="FJ98" s="1520"/>
      <c r="FK98" s="1519"/>
      <c r="FL98" s="1518"/>
      <c r="FM98" s="1519"/>
      <c r="FN98" s="1532"/>
      <c r="FO98" s="1520"/>
      <c r="FP98" s="1532"/>
      <c r="FQ98" s="1520"/>
      <c r="FR98" s="1532"/>
      <c r="FS98" s="1520"/>
      <c r="FT98" s="1532"/>
      <c r="FU98" s="1519"/>
      <c r="FV98" s="1532"/>
      <c r="FW98" s="1519"/>
      <c r="FX98" s="1572"/>
      <c r="FY98" s="1560"/>
      <c r="FZ98" s="1572"/>
      <c r="GA98" s="1560"/>
      <c r="GB98" s="1572"/>
      <c r="GC98" s="1560"/>
      <c r="GD98" s="1527"/>
      <c r="GE98" s="1560"/>
      <c r="GF98" s="1518"/>
      <c r="GG98" s="1519"/>
      <c r="GH98" s="1518"/>
      <c r="GI98" s="1519"/>
      <c r="GJ98" s="1518"/>
      <c r="GK98" s="1519"/>
      <c r="GL98" s="1518"/>
      <c r="GM98" s="1519"/>
      <c r="GN98" s="1520"/>
      <c r="GO98" s="1519"/>
      <c r="GP98" s="1520"/>
      <c r="GQ98" s="1519"/>
      <c r="GR98" s="1518"/>
      <c r="GS98" s="1519"/>
      <c r="GT98" s="1518"/>
      <c r="GU98" s="1519"/>
      <c r="GV98" s="1520"/>
      <c r="GW98" s="1519"/>
      <c r="GX98" s="1561"/>
      <c r="GY98" s="1527"/>
      <c r="GZ98" s="1518"/>
      <c r="HA98" s="1519"/>
      <c r="HB98" s="1501">
        <f>IFERROR(__xludf.DUMMYFUNCTION("""COMPUTED_VALUE"""),6783.704861111111)</f>
        <v>6783.704861</v>
      </c>
      <c r="HC98" s="1502">
        <f>IFERROR(__xludf.DUMMYFUNCTION("""COMPUTED_VALUE"""),1.5476E14)</f>
        <v>154760000000000</v>
      </c>
      <c r="HD98" s="1518"/>
      <c r="HE98" s="1519"/>
      <c r="HF98" s="1518"/>
      <c r="HG98" s="1519"/>
      <c r="HH98" s="1518"/>
      <c r="HI98" s="1519"/>
      <c r="HJ98" s="1518"/>
      <c r="HK98" s="1519"/>
      <c r="HL98" s="1518"/>
      <c r="HM98" s="1519"/>
      <c r="HN98" s="1520"/>
      <c r="HO98" s="1519"/>
      <c r="HP98" s="1518"/>
      <c r="HQ98" s="1519"/>
      <c r="HR98" s="1518"/>
      <c r="HS98" s="1519"/>
      <c r="HT98" s="1518"/>
      <c r="HU98" s="1519"/>
      <c r="HV98" s="1518"/>
      <c r="HW98" s="1519"/>
      <c r="HX98" s="1518"/>
      <c r="HY98" s="1519"/>
      <c r="HZ98" s="1518"/>
      <c r="IA98" s="1519"/>
      <c r="IB98" s="1518"/>
      <c r="IC98" s="1519"/>
      <c r="ID98" s="1518"/>
      <c r="IE98" s="1519"/>
      <c r="IF98" s="1518"/>
      <c r="IG98" s="1519"/>
      <c r="IH98" s="1518"/>
      <c r="II98" s="1519"/>
      <c r="IJ98" s="1518"/>
      <c r="IK98" s="1519"/>
      <c r="IL98" s="1518"/>
      <c r="IM98" s="1519"/>
      <c r="IN98" s="1518"/>
      <c r="IO98" s="1519"/>
      <c r="IP98" s="1518"/>
      <c r="IQ98" s="1519"/>
      <c r="IR98" s="1518"/>
      <c r="IS98" s="1519"/>
      <c r="IT98" s="1518"/>
      <c r="IU98" s="1519"/>
      <c r="IV98" s="1518"/>
      <c r="IW98" s="1519"/>
      <c r="IX98" s="1518"/>
      <c r="IY98" s="1519"/>
      <c r="IZ98" s="1518"/>
      <c r="JA98" s="1519"/>
      <c r="JB98" s="1518"/>
      <c r="JC98" s="1519"/>
      <c r="JD98" s="1518"/>
      <c r="JE98" s="1519"/>
      <c r="JF98" s="1518"/>
      <c r="JG98" s="1519"/>
      <c r="JH98" s="1518"/>
      <c r="JI98" s="1519"/>
      <c r="JJ98" s="1562"/>
      <c r="JK98" s="1560"/>
      <c r="JL98" s="1562"/>
      <c r="JM98" s="1560"/>
      <c r="JN98" s="1562"/>
      <c r="JO98" s="1560"/>
      <c r="JP98" s="1562"/>
      <c r="JQ98" s="1560"/>
      <c r="JR98" s="1562"/>
      <c r="JS98" s="1560"/>
      <c r="JT98" s="1562"/>
      <c r="JU98" s="1560"/>
      <c r="JV98" s="1562"/>
      <c r="JW98" s="1560"/>
      <c r="JX98" s="1562"/>
      <c r="JY98" s="1527"/>
      <c r="JZ98" s="1566">
        <f>IFERROR(__xludf.DUMMYFUNCTION("""COMPUTED_VALUE"""),9.324722222)</f>
        <v>9.324722222</v>
      </c>
      <c r="KA98" s="1514">
        <f>IFERROR(__xludf.DUMMYFUNCTION("""COMPUTED_VALUE"""),4.3741E11)</f>
        <v>437410000000</v>
      </c>
      <c r="KB98" s="1562"/>
      <c r="KC98" s="1527"/>
      <c r="KD98" s="1562"/>
      <c r="KE98" s="1527"/>
      <c r="KF98" s="1527"/>
      <c r="KG98" s="1527"/>
      <c r="KH98" s="1527"/>
      <c r="KI98" s="1527"/>
      <c r="KJ98" s="1527"/>
      <c r="KK98" s="1527"/>
      <c r="KL98" s="1527"/>
      <c r="KM98" s="1527"/>
      <c r="KN98" s="1527"/>
      <c r="KO98" s="1527"/>
      <c r="KP98" s="1527"/>
      <c r="KQ98" s="1527"/>
      <c r="KR98" s="1527"/>
      <c r="KS98" s="1527"/>
      <c r="KT98" s="1527"/>
      <c r="KU98" s="1527"/>
      <c r="KV98" s="1527"/>
      <c r="KW98" s="1527"/>
      <c r="KX98" s="1527"/>
      <c r="KY98" s="1527"/>
      <c r="KZ98" s="1527"/>
      <c r="LA98" s="1527"/>
      <c r="LB98" s="1527"/>
      <c r="LC98" s="1527"/>
      <c r="LD98" s="1527"/>
      <c r="LE98" s="1527"/>
      <c r="LF98" s="1527"/>
      <c r="LG98" s="1527"/>
      <c r="LH98" s="1527"/>
      <c r="LI98" s="1527"/>
      <c r="LJ98" s="1527"/>
      <c r="LK98" s="1527"/>
      <c r="LL98" s="1527"/>
      <c r="LM98" s="1527"/>
      <c r="LN98" s="1527"/>
      <c r="LO98" s="1527"/>
      <c r="LP98" s="1527"/>
      <c r="LQ98" s="1527"/>
      <c r="LR98" s="1527"/>
      <c r="LS98" s="1527"/>
      <c r="LT98" s="1527"/>
      <c r="LU98" s="1527"/>
      <c r="LV98" s="1527"/>
      <c r="LW98" s="1527"/>
      <c r="LX98" s="1527"/>
      <c r="LY98" s="1527"/>
      <c r="LZ98" s="1527"/>
      <c r="MA98" s="1527"/>
      <c r="MB98" s="1527"/>
      <c r="MC98" s="1527"/>
      <c r="MD98" s="1527"/>
      <c r="ME98" s="1527"/>
      <c r="MF98" s="1527"/>
      <c r="MG98" s="1527"/>
      <c r="MH98" s="1527"/>
      <c r="MI98" s="1527"/>
      <c r="MJ98" s="1527"/>
      <c r="MK98" s="1527"/>
      <c r="ML98" s="1527"/>
      <c r="MM98" s="1527"/>
      <c r="MN98" s="1527"/>
      <c r="MO98" s="1527"/>
      <c r="MP98" s="1527"/>
      <c r="MQ98" s="1527"/>
      <c r="MR98" s="1527"/>
      <c r="MS98" s="1527"/>
      <c r="MT98" s="1527"/>
      <c r="MU98" s="1527"/>
      <c r="MV98" s="1527"/>
      <c r="MW98" s="1527"/>
      <c r="MX98" s="1527"/>
      <c r="MY98" s="1527"/>
    </row>
    <row r="99">
      <c r="A99" s="1465">
        <f>IFERROR(__xludf.DUMMYFUNCTION("""COMPUTED_VALUE"""),97.0)</f>
        <v>97</v>
      </c>
      <c r="B99" s="1518"/>
      <c r="C99" s="1520"/>
      <c r="D99" s="1466">
        <f>IFERROR(__xludf.DUMMYFUNCTION("""COMPUTED_VALUE"""),46.68194444444445)</f>
        <v>46.68194444</v>
      </c>
      <c r="E99" s="1467">
        <f>IFERROR(__xludf.DUMMYFUNCTION("""COMPUTED_VALUE"""),3960000.0)</f>
        <v>3960000</v>
      </c>
      <c r="F99" s="1466">
        <f>IFERROR(__xludf.DUMMYFUNCTION("""COMPUTED_VALUE"""),46.68194444444445)</f>
        <v>46.68194444</v>
      </c>
      <c r="G99" s="1467">
        <f>IFERROR(__xludf.DUMMYFUNCTION("""COMPUTED_VALUE"""),3960000.0)</f>
        <v>3960000</v>
      </c>
      <c r="H99" s="1466">
        <f>IFERROR(__xludf.DUMMYFUNCTION("""COMPUTED_VALUE"""),46.68194444444445)</f>
        <v>46.68194444</v>
      </c>
      <c r="I99" s="1467">
        <f>IFERROR(__xludf.DUMMYFUNCTION("""COMPUTED_VALUE"""),3960000.0)</f>
        <v>3960000</v>
      </c>
      <c r="J99" s="1466">
        <f>IFERROR(__xludf.DUMMYFUNCTION("""COMPUTED_VALUE"""),46.68194444444445)</f>
        <v>46.68194444</v>
      </c>
      <c r="K99" s="1467">
        <f>IFERROR(__xludf.DUMMYFUNCTION("""COMPUTED_VALUE"""),3960000.0)</f>
        <v>3960000</v>
      </c>
      <c r="L99" s="1466">
        <f>IFERROR(__xludf.DUMMYFUNCTION("""COMPUTED_VALUE"""),92.46805555555555)</f>
        <v>92.46805556</v>
      </c>
      <c r="M99" s="1469">
        <f>IFERROR(__xludf.DUMMYFUNCTION("""COMPUTED_VALUE"""),1.293E7)</f>
        <v>12930000</v>
      </c>
      <c r="N99" s="1470">
        <f>IFERROR(__xludf.DUMMYFUNCTION("""COMPUTED_VALUE"""),31.666666666666668)</f>
        <v>31.66666667</v>
      </c>
      <c r="O99" s="1467">
        <f>IFERROR(__xludf.DUMMYFUNCTION("""COMPUTED_VALUE"""),1.816E7)</f>
        <v>18160000</v>
      </c>
      <c r="P99" s="1518"/>
      <c r="Q99" s="1519"/>
      <c r="R99" s="1518"/>
      <c r="S99" s="1519"/>
      <c r="T99" s="1518"/>
      <c r="U99" s="1519"/>
      <c r="V99" s="1518"/>
      <c r="W99" s="1519"/>
      <c r="X99" s="1518"/>
      <c r="Y99" s="1519"/>
      <c r="Z99" s="1518"/>
      <c r="AA99" s="1519"/>
      <c r="AB99" s="1518"/>
      <c r="AC99" s="1519"/>
      <c r="AD99" s="1466">
        <f>IFERROR(__xludf.DUMMYFUNCTION("""COMPUTED_VALUE"""),104.75486111111111)</f>
        <v>104.7548611</v>
      </c>
      <c r="AE99" s="1474">
        <f>IFERROR(__xludf.DUMMYFUNCTION("""COMPUTED_VALUE"""),8.6808413955E19)</f>
        <v>8.68084E+19</v>
      </c>
      <c r="AF99" s="1466">
        <f>IFERROR(__xludf.DUMMYFUNCTION("""COMPUTED_VALUE"""),104.75486111111111)</f>
        <v>104.7548611</v>
      </c>
      <c r="AG99" s="1474">
        <f>IFERROR(__xludf.DUMMYFUNCTION("""COMPUTED_VALUE"""),8.6808413955E19)</f>
        <v>8.68084E+19</v>
      </c>
      <c r="AH99" s="1466">
        <f>IFERROR(__xludf.DUMMYFUNCTION("""COMPUTED_VALUE"""),104.75486111111111)</f>
        <v>104.7548611</v>
      </c>
      <c r="AI99" s="1474">
        <f>IFERROR(__xludf.DUMMYFUNCTION("""COMPUTED_VALUE"""),8.6808413955E19)</f>
        <v>8.68084E+19</v>
      </c>
      <c r="AJ99" s="1475">
        <f>IFERROR(__xludf.DUMMYFUNCTION("""COMPUTED_VALUE"""),46.68194444444445)</f>
        <v>46.68194444</v>
      </c>
      <c r="AK99" s="1476">
        <f>IFERROR(__xludf.DUMMYFUNCTION("""COMPUTED_VALUE"""),3960000.0)</f>
        <v>3960000</v>
      </c>
      <c r="AL99" s="1475">
        <f>IFERROR(__xludf.DUMMYFUNCTION("""COMPUTED_VALUE"""),46.68194444444445)</f>
        <v>46.68194444</v>
      </c>
      <c r="AM99" s="1476">
        <f>IFERROR(__xludf.DUMMYFUNCTION("""COMPUTED_VALUE"""),3960000.0)</f>
        <v>3960000</v>
      </c>
      <c r="AN99" s="1475">
        <f>IFERROR(__xludf.DUMMYFUNCTION("""COMPUTED_VALUE"""),46.68194444444445)</f>
        <v>46.68194444</v>
      </c>
      <c r="AO99" s="1476">
        <f>IFERROR(__xludf.DUMMYFUNCTION("""COMPUTED_VALUE"""),3960000.0)</f>
        <v>3960000</v>
      </c>
      <c r="AP99" s="1520"/>
      <c r="AQ99" s="1519"/>
      <c r="AR99" s="1475">
        <f>IFERROR(__xludf.DUMMYFUNCTION("""COMPUTED_VALUE"""),46.68194444444445)</f>
        <v>46.68194444</v>
      </c>
      <c r="AS99" s="1476">
        <f>IFERROR(__xludf.DUMMYFUNCTION("""COMPUTED_VALUE"""),3960000.0)</f>
        <v>3960000</v>
      </c>
      <c r="AT99" s="1520"/>
      <c r="AU99" s="1519"/>
      <c r="AV99" s="1520"/>
      <c r="AW99" s="1519"/>
      <c r="AX99" s="1518"/>
      <c r="AY99" s="1568"/>
      <c r="AZ99" s="1518"/>
      <c r="BA99" s="1518"/>
      <c r="BB99" s="1477">
        <f>IFERROR(__xludf.DUMMYFUNCTION("""COMPUTED_VALUE"""),46.68194444444445)</f>
        <v>46.68194444</v>
      </c>
      <c r="BC99" s="1478">
        <f>IFERROR(__xludf.DUMMYFUNCTION("""COMPUTED_VALUE"""),3960000.0)</f>
        <v>3960000</v>
      </c>
      <c r="BD99" s="1477">
        <f>IFERROR(__xludf.DUMMYFUNCTION("""COMPUTED_VALUE"""),46.68194444444445)</f>
        <v>46.68194444</v>
      </c>
      <c r="BE99" s="1478">
        <f>IFERROR(__xludf.DUMMYFUNCTION("""COMPUTED_VALUE"""),3960000.0)</f>
        <v>3960000</v>
      </c>
      <c r="BF99" s="1477">
        <f>IFERROR(__xludf.DUMMYFUNCTION("""COMPUTED_VALUE"""),46.68194444444445)</f>
        <v>46.68194444</v>
      </c>
      <c r="BG99" s="1478">
        <f>IFERROR(__xludf.DUMMYFUNCTION("""COMPUTED_VALUE"""),3960000.0)</f>
        <v>3960000</v>
      </c>
      <c r="BH99" s="1518"/>
      <c r="BI99" s="1519"/>
      <c r="BJ99" s="1518"/>
      <c r="BK99" s="1519"/>
      <c r="BL99" s="1518"/>
      <c r="BM99" s="1519"/>
      <c r="BN99" s="1518"/>
      <c r="BO99" s="1519"/>
      <c r="BP99" s="1518"/>
      <c r="BQ99" s="1519"/>
      <c r="BR99" s="1520"/>
      <c r="BS99" s="1519"/>
      <c r="BT99" s="1520"/>
      <c r="BU99" s="1520"/>
      <c r="BV99" s="1520"/>
      <c r="BW99" s="1520"/>
      <c r="BX99" s="1520"/>
      <c r="BY99" s="1520"/>
      <c r="BZ99" s="1520"/>
      <c r="CA99" s="1520"/>
      <c r="CB99" s="1520"/>
      <c r="CC99" s="1519"/>
      <c r="CD99" s="1520"/>
      <c r="CE99" s="1520"/>
      <c r="CF99" s="1527"/>
      <c r="CG99" s="1560"/>
      <c r="CH99" s="1482">
        <f>IFERROR(__xludf.DUMMYFUNCTION("""COMPUTED_VALUE"""),46.68194444444445)</f>
        <v>46.68194444</v>
      </c>
      <c r="CI99" s="1483">
        <f>IFERROR(__xludf.DUMMYFUNCTION("""COMPUTED_VALUE"""),3960000.0)</f>
        <v>3960000</v>
      </c>
      <c r="CJ99" s="1482">
        <f>IFERROR(__xludf.DUMMYFUNCTION("""COMPUTED_VALUE"""),46.68194444444445)</f>
        <v>46.68194444</v>
      </c>
      <c r="CK99" s="1483">
        <f>IFERROR(__xludf.DUMMYFUNCTION("""COMPUTED_VALUE"""),3960000.0)</f>
        <v>3960000</v>
      </c>
      <c r="CL99" s="1482">
        <f>IFERROR(__xludf.DUMMYFUNCTION("""COMPUTED_VALUE"""),46.68194444444445)</f>
        <v>46.68194444</v>
      </c>
      <c r="CM99" s="1483">
        <f>IFERROR(__xludf.DUMMYFUNCTION("""COMPUTED_VALUE"""),3960000.0)</f>
        <v>3960000</v>
      </c>
      <c r="CN99" s="1482">
        <f>IFERROR(__xludf.DUMMYFUNCTION("""COMPUTED_VALUE"""),46.68194444444445)</f>
        <v>46.68194444</v>
      </c>
      <c r="CO99" s="1483">
        <f>IFERROR(__xludf.DUMMYFUNCTION("""COMPUTED_VALUE"""),3960000.0)</f>
        <v>3960000</v>
      </c>
      <c r="CP99" s="1482">
        <f>IFERROR(__xludf.DUMMYFUNCTION("""COMPUTED_VALUE"""),116.03055555555555)</f>
        <v>116.0305556</v>
      </c>
      <c r="CQ99" s="1483">
        <f>IFERROR(__xludf.DUMMYFUNCTION("""COMPUTED_VALUE"""),1.816E7)</f>
        <v>18160000</v>
      </c>
      <c r="CR99" s="1518"/>
      <c r="CS99" s="1519"/>
      <c r="CT99" s="1520"/>
      <c r="CU99" s="1519"/>
      <c r="CV99" s="1520"/>
      <c r="CW99" s="1519"/>
      <c r="CX99" s="1520"/>
      <c r="CY99" s="1519"/>
      <c r="CZ99" s="1520"/>
      <c r="DA99" s="1520"/>
      <c r="DB99" s="1520"/>
      <c r="DC99" s="1520"/>
      <c r="DD99" s="1520"/>
      <c r="DE99" s="1519"/>
      <c r="DF99" s="1518"/>
      <c r="DG99" s="1519"/>
      <c r="DH99" s="1518"/>
      <c r="DI99" s="1519"/>
      <c r="DJ99" s="1518"/>
      <c r="DK99" s="1519"/>
      <c r="DL99" s="1518"/>
      <c r="DM99" s="1519"/>
      <c r="DN99" s="1518"/>
      <c r="DO99" s="1519"/>
      <c r="DP99" s="1518"/>
      <c r="DQ99" s="1519"/>
      <c r="DR99" s="1518"/>
      <c r="DS99" s="1519"/>
      <c r="DT99" s="1518"/>
      <c r="DU99" s="1519"/>
      <c r="DV99" s="1520"/>
      <c r="DW99" s="1519"/>
      <c r="DX99" s="1518"/>
      <c r="DY99" s="1519"/>
      <c r="DZ99" s="1518"/>
      <c r="EA99" s="1519"/>
      <c r="EB99" s="1518"/>
      <c r="EC99" s="1519"/>
      <c r="ED99" s="1518"/>
      <c r="EE99" s="1519"/>
      <c r="EF99" s="1518"/>
      <c r="EG99" s="1519"/>
      <c r="EH99" s="1518"/>
      <c r="EI99" s="1519"/>
      <c r="EJ99" s="1562"/>
      <c r="EK99" s="1560"/>
      <c r="EL99" s="1562"/>
      <c r="EM99" s="1560"/>
      <c r="EN99" s="1518"/>
      <c r="EO99" s="1519"/>
      <c r="EP99" s="1518"/>
      <c r="EQ99" s="1519"/>
      <c r="ER99" s="1518"/>
      <c r="ES99" s="1519"/>
      <c r="ET99" s="1518"/>
      <c r="EU99" s="1519"/>
      <c r="EV99" s="1518"/>
      <c r="EW99" s="1519"/>
      <c r="EX99" s="1518"/>
      <c r="EY99" s="1519"/>
      <c r="EZ99" s="1518"/>
      <c r="FA99" s="1519"/>
      <c r="FB99" s="1520"/>
      <c r="FC99" s="1519"/>
      <c r="FD99" s="1520"/>
      <c r="FE99" s="1519"/>
      <c r="FF99" s="1520"/>
      <c r="FG99" s="1519"/>
      <c r="FH99" s="1520"/>
      <c r="FI99" s="1520"/>
      <c r="FJ99" s="1520"/>
      <c r="FK99" s="1519"/>
      <c r="FL99" s="1518"/>
      <c r="FM99" s="1519"/>
      <c r="FN99" s="1532"/>
      <c r="FO99" s="1520"/>
      <c r="FP99" s="1532"/>
      <c r="FQ99" s="1520"/>
      <c r="FR99" s="1532"/>
      <c r="FS99" s="1520"/>
      <c r="FT99" s="1532"/>
      <c r="FU99" s="1519"/>
      <c r="FV99" s="1532"/>
      <c r="FW99" s="1519"/>
      <c r="FX99" s="1572"/>
      <c r="FY99" s="1560"/>
      <c r="FZ99" s="1572"/>
      <c r="GA99" s="1560"/>
      <c r="GB99" s="1572"/>
      <c r="GC99" s="1560"/>
      <c r="GD99" s="1527"/>
      <c r="GE99" s="1560"/>
      <c r="GF99" s="1518"/>
      <c r="GG99" s="1519"/>
      <c r="GH99" s="1518"/>
      <c r="GI99" s="1519"/>
      <c r="GJ99" s="1518"/>
      <c r="GK99" s="1519"/>
      <c r="GL99" s="1518"/>
      <c r="GM99" s="1519"/>
      <c r="GN99" s="1520"/>
      <c r="GO99" s="1519"/>
      <c r="GP99" s="1520"/>
      <c r="GQ99" s="1519"/>
      <c r="GR99" s="1518"/>
      <c r="GS99" s="1519"/>
      <c r="GT99" s="1518"/>
      <c r="GU99" s="1519"/>
      <c r="GV99" s="1520"/>
      <c r="GW99" s="1519"/>
      <c r="GX99" s="1561"/>
      <c r="GY99" s="1527"/>
      <c r="GZ99" s="1518"/>
      <c r="HA99" s="1519"/>
      <c r="HB99" s="1501">
        <f>IFERROR(__xludf.DUMMYFUNCTION("""COMPUTED_VALUE"""),7036.579861111111)</f>
        <v>7036.579861</v>
      </c>
      <c r="HC99" s="1502">
        <f>IFERROR(__xludf.DUMMYFUNCTION("""COMPUTED_VALUE"""),1.6307E14)</f>
        <v>163070000000000</v>
      </c>
      <c r="HD99" s="1518"/>
      <c r="HE99" s="1519"/>
      <c r="HF99" s="1518"/>
      <c r="HG99" s="1519"/>
      <c r="HH99" s="1518"/>
      <c r="HI99" s="1519"/>
      <c r="HJ99" s="1518"/>
      <c r="HK99" s="1519"/>
      <c r="HL99" s="1518"/>
      <c r="HM99" s="1519"/>
      <c r="HN99" s="1520"/>
      <c r="HO99" s="1519"/>
      <c r="HP99" s="1518"/>
      <c r="HQ99" s="1519"/>
      <c r="HR99" s="1518"/>
      <c r="HS99" s="1519"/>
      <c r="HT99" s="1518"/>
      <c r="HU99" s="1519"/>
      <c r="HV99" s="1518"/>
      <c r="HW99" s="1519"/>
      <c r="HX99" s="1518"/>
      <c r="HY99" s="1519"/>
      <c r="HZ99" s="1518"/>
      <c r="IA99" s="1519"/>
      <c r="IB99" s="1518"/>
      <c r="IC99" s="1519"/>
      <c r="ID99" s="1518"/>
      <c r="IE99" s="1519"/>
      <c r="IF99" s="1518"/>
      <c r="IG99" s="1519"/>
      <c r="IH99" s="1518"/>
      <c r="II99" s="1519"/>
      <c r="IJ99" s="1518"/>
      <c r="IK99" s="1519"/>
      <c r="IL99" s="1518"/>
      <c r="IM99" s="1519"/>
      <c r="IN99" s="1518"/>
      <c r="IO99" s="1519"/>
      <c r="IP99" s="1518"/>
      <c r="IQ99" s="1519"/>
      <c r="IR99" s="1518"/>
      <c r="IS99" s="1519"/>
      <c r="IT99" s="1518"/>
      <c r="IU99" s="1519"/>
      <c r="IV99" s="1518"/>
      <c r="IW99" s="1519"/>
      <c r="IX99" s="1518"/>
      <c r="IY99" s="1519"/>
      <c r="IZ99" s="1518"/>
      <c r="JA99" s="1519"/>
      <c r="JB99" s="1518"/>
      <c r="JC99" s="1519"/>
      <c r="JD99" s="1518"/>
      <c r="JE99" s="1519"/>
      <c r="JF99" s="1518"/>
      <c r="JG99" s="1519"/>
      <c r="JH99" s="1518"/>
      <c r="JI99" s="1519"/>
      <c r="JJ99" s="1562"/>
      <c r="JK99" s="1560"/>
      <c r="JL99" s="1562"/>
      <c r="JM99" s="1560"/>
      <c r="JN99" s="1562"/>
      <c r="JO99" s="1560"/>
      <c r="JP99" s="1562"/>
      <c r="JQ99" s="1560"/>
      <c r="JR99" s="1562"/>
      <c r="JS99" s="1560"/>
      <c r="JT99" s="1562"/>
      <c r="JU99" s="1560"/>
      <c r="JV99" s="1562"/>
      <c r="JW99" s="1560"/>
      <c r="JX99" s="1562"/>
      <c r="JY99" s="1527"/>
      <c r="JZ99" s="1566">
        <f>IFERROR(__xludf.DUMMYFUNCTION("""COMPUTED_VALUE"""),9.452638889)</f>
        <v>9.452638889</v>
      </c>
      <c r="KA99" s="1514">
        <f>IFERROR(__xludf.DUMMYFUNCTION("""COMPUTED_VALUE"""),4.4995E11)</f>
        <v>449950000000</v>
      </c>
      <c r="KB99" s="1562"/>
      <c r="KC99" s="1527"/>
      <c r="KD99" s="1562"/>
      <c r="KE99" s="1527"/>
      <c r="KF99" s="1527"/>
      <c r="KG99" s="1527"/>
      <c r="KH99" s="1527"/>
      <c r="KI99" s="1527"/>
      <c r="KJ99" s="1527"/>
      <c r="KK99" s="1527"/>
      <c r="KL99" s="1527"/>
      <c r="KM99" s="1527"/>
      <c r="KN99" s="1527"/>
      <c r="KO99" s="1527"/>
      <c r="KP99" s="1527"/>
      <c r="KQ99" s="1527"/>
      <c r="KR99" s="1527"/>
      <c r="KS99" s="1527"/>
      <c r="KT99" s="1527"/>
      <c r="KU99" s="1527"/>
      <c r="KV99" s="1527"/>
      <c r="KW99" s="1527"/>
      <c r="KX99" s="1527"/>
      <c r="KY99" s="1527"/>
      <c r="KZ99" s="1527"/>
      <c r="LA99" s="1527"/>
      <c r="LB99" s="1527"/>
      <c r="LC99" s="1527"/>
      <c r="LD99" s="1527"/>
      <c r="LE99" s="1527"/>
      <c r="LF99" s="1527"/>
      <c r="LG99" s="1527"/>
      <c r="LH99" s="1527"/>
      <c r="LI99" s="1527"/>
      <c r="LJ99" s="1527"/>
      <c r="LK99" s="1527"/>
      <c r="LL99" s="1527"/>
      <c r="LM99" s="1527"/>
      <c r="LN99" s="1527"/>
      <c r="LO99" s="1527"/>
      <c r="LP99" s="1527"/>
      <c r="LQ99" s="1527"/>
      <c r="LR99" s="1527"/>
      <c r="LS99" s="1527"/>
      <c r="LT99" s="1527"/>
      <c r="LU99" s="1527"/>
      <c r="LV99" s="1527"/>
      <c r="LW99" s="1527"/>
      <c r="LX99" s="1527"/>
      <c r="LY99" s="1527"/>
      <c r="LZ99" s="1527"/>
      <c r="MA99" s="1527"/>
      <c r="MB99" s="1527"/>
      <c r="MC99" s="1527"/>
      <c r="MD99" s="1527"/>
      <c r="ME99" s="1527"/>
      <c r="MF99" s="1527"/>
      <c r="MG99" s="1527"/>
      <c r="MH99" s="1527"/>
      <c r="MI99" s="1527"/>
      <c r="MJ99" s="1527"/>
      <c r="MK99" s="1527"/>
      <c r="ML99" s="1527"/>
      <c r="MM99" s="1527"/>
      <c r="MN99" s="1527"/>
      <c r="MO99" s="1527"/>
      <c r="MP99" s="1527"/>
      <c r="MQ99" s="1527"/>
      <c r="MR99" s="1527"/>
      <c r="MS99" s="1527"/>
      <c r="MT99" s="1527"/>
      <c r="MU99" s="1527"/>
      <c r="MV99" s="1527"/>
      <c r="MW99" s="1527"/>
      <c r="MX99" s="1527"/>
      <c r="MY99" s="1527"/>
    </row>
    <row r="100">
      <c r="A100" s="1465">
        <f>IFERROR(__xludf.DUMMYFUNCTION("""COMPUTED_VALUE"""),98.0)</f>
        <v>98</v>
      </c>
      <c r="B100" s="1518"/>
      <c r="C100" s="1520"/>
      <c r="D100" s="1466">
        <f>IFERROR(__xludf.DUMMYFUNCTION("""COMPUTED_VALUE"""),47.85208333333333)</f>
        <v>47.85208333</v>
      </c>
      <c r="E100" s="1467">
        <f>IFERROR(__xludf.DUMMYFUNCTION("""COMPUTED_VALUE"""),4070000.0)</f>
        <v>4070000</v>
      </c>
      <c r="F100" s="1466">
        <f>IFERROR(__xludf.DUMMYFUNCTION("""COMPUTED_VALUE"""),47.85208333333333)</f>
        <v>47.85208333</v>
      </c>
      <c r="G100" s="1467">
        <f>IFERROR(__xludf.DUMMYFUNCTION("""COMPUTED_VALUE"""),4070000.0)</f>
        <v>4070000</v>
      </c>
      <c r="H100" s="1466">
        <f>IFERROR(__xludf.DUMMYFUNCTION("""COMPUTED_VALUE"""),47.85208333333333)</f>
        <v>47.85208333</v>
      </c>
      <c r="I100" s="1467">
        <f>IFERROR(__xludf.DUMMYFUNCTION("""COMPUTED_VALUE"""),4070000.0)</f>
        <v>4070000</v>
      </c>
      <c r="J100" s="1466">
        <f>IFERROR(__xludf.DUMMYFUNCTION("""COMPUTED_VALUE"""),47.85208333333333)</f>
        <v>47.85208333</v>
      </c>
      <c r="K100" s="1467">
        <f>IFERROR(__xludf.DUMMYFUNCTION("""COMPUTED_VALUE"""),4070000.0)</f>
        <v>4070000</v>
      </c>
      <c r="L100" s="1466">
        <f>IFERROR(__xludf.DUMMYFUNCTION("""COMPUTED_VALUE"""),94.93541666666667)</f>
        <v>94.93541667</v>
      </c>
      <c r="M100" s="1469">
        <f>IFERROR(__xludf.DUMMYFUNCTION("""COMPUTED_VALUE"""),1.329E7)</f>
        <v>13290000</v>
      </c>
      <c r="N100" s="1470">
        <f>IFERROR(__xludf.DUMMYFUNCTION("""COMPUTED_VALUE"""),32.29097222222222)</f>
        <v>32.29097222</v>
      </c>
      <c r="O100" s="1467">
        <f>IFERROR(__xludf.DUMMYFUNCTION("""COMPUTED_VALUE"""),1.875E7)</f>
        <v>18750000</v>
      </c>
      <c r="P100" s="1518"/>
      <c r="Q100" s="1519"/>
      <c r="R100" s="1518"/>
      <c r="S100" s="1519"/>
      <c r="T100" s="1518"/>
      <c r="U100" s="1519"/>
      <c r="V100" s="1518"/>
      <c r="W100" s="1519"/>
      <c r="X100" s="1518"/>
      <c r="Y100" s="1519"/>
      <c r="Z100" s="1518"/>
      <c r="AA100" s="1519"/>
      <c r="AB100" s="1518"/>
      <c r="AC100" s="1519"/>
      <c r="AD100" s="1466">
        <f>IFERROR(__xludf.DUMMYFUNCTION("""COMPUTED_VALUE"""),105.83472222222223)</f>
        <v>105.8347222</v>
      </c>
      <c r="AE100" s="1474">
        <f>IFERROR(__xludf.DUMMYFUNCTION("""COMPUTED_VALUE"""),1.12850938141E20)</f>
        <v>1.12851E+20</v>
      </c>
      <c r="AF100" s="1466">
        <f>IFERROR(__xludf.DUMMYFUNCTION("""COMPUTED_VALUE"""),105.83472222222223)</f>
        <v>105.8347222</v>
      </c>
      <c r="AG100" s="1474">
        <f>IFERROR(__xludf.DUMMYFUNCTION("""COMPUTED_VALUE"""),1.12850938141E20)</f>
        <v>1.12851E+20</v>
      </c>
      <c r="AH100" s="1466">
        <f>IFERROR(__xludf.DUMMYFUNCTION("""COMPUTED_VALUE"""),105.83472222222223)</f>
        <v>105.8347222</v>
      </c>
      <c r="AI100" s="1474">
        <f>IFERROR(__xludf.DUMMYFUNCTION("""COMPUTED_VALUE"""),1.12850938141E20)</f>
        <v>1.12851E+20</v>
      </c>
      <c r="AJ100" s="1475">
        <f>IFERROR(__xludf.DUMMYFUNCTION("""COMPUTED_VALUE"""),47.85208333333333)</f>
        <v>47.85208333</v>
      </c>
      <c r="AK100" s="1476">
        <f>IFERROR(__xludf.DUMMYFUNCTION("""COMPUTED_VALUE"""),4070000.0)</f>
        <v>4070000</v>
      </c>
      <c r="AL100" s="1475">
        <f>IFERROR(__xludf.DUMMYFUNCTION("""COMPUTED_VALUE"""),47.85208333333333)</f>
        <v>47.85208333</v>
      </c>
      <c r="AM100" s="1476">
        <f>IFERROR(__xludf.DUMMYFUNCTION("""COMPUTED_VALUE"""),4070000.0)</f>
        <v>4070000</v>
      </c>
      <c r="AN100" s="1475">
        <f>IFERROR(__xludf.DUMMYFUNCTION("""COMPUTED_VALUE"""),47.85208333333333)</f>
        <v>47.85208333</v>
      </c>
      <c r="AO100" s="1476">
        <f>IFERROR(__xludf.DUMMYFUNCTION("""COMPUTED_VALUE"""),4070000.0)</f>
        <v>4070000</v>
      </c>
      <c r="AP100" s="1520"/>
      <c r="AQ100" s="1519"/>
      <c r="AR100" s="1475">
        <f>IFERROR(__xludf.DUMMYFUNCTION("""COMPUTED_VALUE"""),47.85208333333333)</f>
        <v>47.85208333</v>
      </c>
      <c r="AS100" s="1476">
        <f>IFERROR(__xludf.DUMMYFUNCTION("""COMPUTED_VALUE"""),4070000.0)</f>
        <v>4070000</v>
      </c>
      <c r="AT100" s="1520"/>
      <c r="AU100" s="1519"/>
      <c r="AV100" s="1520"/>
      <c r="AW100" s="1519"/>
      <c r="AX100" s="1518"/>
      <c r="AY100" s="1568"/>
      <c r="AZ100" s="1518"/>
      <c r="BA100" s="1518"/>
      <c r="BB100" s="1477">
        <f>IFERROR(__xludf.DUMMYFUNCTION("""COMPUTED_VALUE"""),47.85208333333333)</f>
        <v>47.85208333</v>
      </c>
      <c r="BC100" s="1478">
        <f>IFERROR(__xludf.DUMMYFUNCTION("""COMPUTED_VALUE"""),4070000.0)</f>
        <v>4070000</v>
      </c>
      <c r="BD100" s="1477">
        <f>IFERROR(__xludf.DUMMYFUNCTION("""COMPUTED_VALUE"""),47.85208333333333)</f>
        <v>47.85208333</v>
      </c>
      <c r="BE100" s="1478">
        <f>IFERROR(__xludf.DUMMYFUNCTION("""COMPUTED_VALUE"""),4070000.0)</f>
        <v>4070000</v>
      </c>
      <c r="BF100" s="1477">
        <f>IFERROR(__xludf.DUMMYFUNCTION("""COMPUTED_VALUE"""),47.85208333333333)</f>
        <v>47.85208333</v>
      </c>
      <c r="BG100" s="1478">
        <f>IFERROR(__xludf.DUMMYFUNCTION("""COMPUTED_VALUE"""),4070000.0)</f>
        <v>4070000</v>
      </c>
      <c r="BH100" s="1518"/>
      <c r="BI100" s="1519"/>
      <c r="BJ100" s="1518"/>
      <c r="BK100" s="1519"/>
      <c r="BL100" s="1518"/>
      <c r="BM100" s="1519"/>
      <c r="BN100" s="1518"/>
      <c r="BO100" s="1519"/>
      <c r="BP100" s="1518"/>
      <c r="BQ100" s="1519"/>
      <c r="BR100" s="1520"/>
      <c r="BS100" s="1519"/>
      <c r="BT100" s="1520"/>
      <c r="BU100" s="1520"/>
      <c r="BV100" s="1520"/>
      <c r="BW100" s="1520"/>
      <c r="BX100" s="1520"/>
      <c r="BY100" s="1520"/>
      <c r="BZ100" s="1520"/>
      <c r="CA100" s="1520"/>
      <c r="CB100" s="1520"/>
      <c r="CC100" s="1519"/>
      <c r="CD100" s="1520"/>
      <c r="CE100" s="1520"/>
      <c r="CF100" s="1527"/>
      <c r="CG100" s="1560"/>
      <c r="CH100" s="1482">
        <f>IFERROR(__xludf.DUMMYFUNCTION("""COMPUTED_VALUE"""),47.85208333333333)</f>
        <v>47.85208333</v>
      </c>
      <c r="CI100" s="1483">
        <f>IFERROR(__xludf.DUMMYFUNCTION("""COMPUTED_VALUE"""),4070000.0)</f>
        <v>4070000</v>
      </c>
      <c r="CJ100" s="1482">
        <f>IFERROR(__xludf.DUMMYFUNCTION("""COMPUTED_VALUE"""),47.85208333333333)</f>
        <v>47.85208333</v>
      </c>
      <c r="CK100" s="1483">
        <f>IFERROR(__xludf.DUMMYFUNCTION("""COMPUTED_VALUE"""),4070000.0)</f>
        <v>4070000</v>
      </c>
      <c r="CL100" s="1482">
        <f>IFERROR(__xludf.DUMMYFUNCTION("""COMPUTED_VALUE"""),47.85208333333333)</f>
        <v>47.85208333</v>
      </c>
      <c r="CM100" s="1483">
        <f>IFERROR(__xludf.DUMMYFUNCTION("""COMPUTED_VALUE"""),4070000.0)</f>
        <v>4070000</v>
      </c>
      <c r="CN100" s="1482">
        <f>IFERROR(__xludf.DUMMYFUNCTION("""COMPUTED_VALUE"""),47.85208333333333)</f>
        <v>47.85208333</v>
      </c>
      <c r="CO100" s="1483">
        <f>IFERROR(__xludf.DUMMYFUNCTION("""COMPUTED_VALUE"""),4070000.0)</f>
        <v>4070000</v>
      </c>
      <c r="CP100" s="1482">
        <f>IFERROR(__xludf.DUMMYFUNCTION("""COMPUTED_VALUE"""),119.19027777777778)</f>
        <v>119.1902778</v>
      </c>
      <c r="CQ100" s="1483">
        <f>IFERROR(__xludf.DUMMYFUNCTION("""COMPUTED_VALUE"""),1.875E7)</f>
        <v>18750000</v>
      </c>
      <c r="CR100" s="1518"/>
      <c r="CS100" s="1519"/>
      <c r="CT100" s="1520"/>
      <c r="CU100" s="1519"/>
      <c r="CV100" s="1520"/>
      <c r="CW100" s="1519"/>
      <c r="CX100" s="1520"/>
      <c r="CY100" s="1519"/>
      <c r="CZ100" s="1520"/>
      <c r="DA100" s="1520"/>
      <c r="DB100" s="1520"/>
      <c r="DC100" s="1520"/>
      <c r="DD100" s="1520"/>
      <c r="DE100" s="1519"/>
      <c r="DF100" s="1518"/>
      <c r="DG100" s="1519"/>
      <c r="DH100" s="1518"/>
      <c r="DI100" s="1519"/>
      <c r="DJ100" s="1518"/>
      <c r="DK100" s="1519"/>
      <c r="DL100" s="1518"/>
      <c r="DM100" s="1519"/>
      <c r="DN100" s="1518"/>
      <c r="DO100" s="1519"/>
      <c r="DP100" s="1518"/>
      <c r="DQ100" s="1519"/>
      <c r="DR100" s="1518"/>
      <c r="DS100" s="1519"/>
      <c r="DT100" s="1518"/>
      <c r="DU100" s="1519"/>
      <c r="DV100" s="1520"/>
      <c r="DW100" s="1519"/>
      <c r="DX100" s="1518"/>
      <c r="DY100" s="1519"/>
      <c r="DZ100" s="1518"/>
      <c r="EA100" s="1519"/>
      <c r="EB100" s="1518"/>
      <c r="EC100" s="1519"/>
      <c r="ED100" s="1518"/>
      <c r="EE100" s="1519"/>
      <c r="EF100" s="1518"/>
      <c r="EG100" s="1519"/>
      <c r="EH100" s="1518"/>
      <c r="EI100" s="1519"/>
      <c r="EJ100" s="1562"/>
      <c r="EK100" s="1560"/>
      <c r="EL100" s="1562"/>
      <c r="EM100" s="1560"/>
      <c r="EN100" s="1518"/>
      <c r="EO100" s="1519"/>
      <c r="EP100" s="1518"/>
      <c r="EQ100" s="1519"/>
      <c r="ER100" s="1518"/>
      <c r="ES100" s="1519"/>
      <c r="ET100" s="1518"/>
      <c r="EU100" s="1519"/>
      <c r="EV100" s="1518"/>
      <c r="EW100" s="1519"/>
      <c r="EX100" s="1518"/>
      <c r="EY100" s="1519"/>
      <c r="EZ100" s="1518"/>
      <c r="FA100" s="1519"/>
      <c r="FB100" s="1520"/>
      <c r="FC100" s="1519"/>
      <c r="FD100" s="1520"/>
      <c r="FE100" s="1519"/>
      <c r="FF100" s="1520"/>
      <c r="FG100" s="1519"/>
      <c r="FH100" s="1520"/>
      <c r="FI100" s="1520"/>
      <c r="FJ100" s="1520"/>
      <c r="FK100" s="1519"/>
      <c r="FL100" s="1518"/>
      <c r="FM100" s="1519"/>
      <c r="FN100" s="1532"/>
      <c r="FO100" s="1520"/>
      <c r="FP100" s="1532"/>
      <c r="FQ100" s="1520"/>
      <c r="FR100" s="1532"/>
      <c r="FS100" s="1520"/>
      <c r="FT100" s="1532"/>
      <c r="FU100" s="1519"/>
      <c r="FV100" s="1532"/>
      <c r="FW100" s="1519"/>
      <c r="FX100" s="1572"/>
      <c r="FY100" s="1560"/>
      <c r="FZ100" s="1572"/>
      <c r="GA100" s="1560"/>
      <c r="GB100" s="1572"/>
      <c r="GC100" s="1560"/>
      <c r="GD100" s="1527"/>
      <c r="GE100" s="1560"/>
      <c r="GF100" s="1518"/>
      <c r="GG100" s="1519"/>
      <c r="GH100" s="1518"/>
      <c r="GI100" s="1519"/>
      <c r="GJ100" s="1518"/>
      <c r="GK100" s="1519"/>
      <c r="GL100" s="1518"/>
      <c r="GM100" s="1519"/>
      <c r="GN100" s="1520"/>
      <c r="GO100" s="1519"/>
      <c r="GP100" s="1520"/>
      <c r="GQ100" s="1519"/>
      <c r="GR100" s="1518"/>
      <c r="GS100" s="1519"/>
      <c r="GT100" s="1518"/>
      <c r="GU100" s="1519"/>
      <c r="GV100" s="1520"/>
      <c r="GW100" s="1519"/>
      <c r="GX100" s="1561"/>
      <c r="GY100" s="1527"/>
      <c r="GZ100" s="1518"/>
      <c r="HA100" s="1519"/>
      <c r="HB100" s="1501">
        <f>IFERROR(__xludf.DUMMYFUNCTION("""COMPUTED_VALUE"""),7296.124305555555)</f>
        <v>7296.124306</v>
      </c>
      <c r="HC100" s="1502">
        <f>IFERROR(__xludf.DUMMYFUNCTION("""COMPUTED_VALUE"""),1.7175E14)</f>
        <v>171750000000000</v>
      </c>
      <c r="HD100" s="1518"/>
      <c r="HE100" s="1519"/>
      <c r="HF100" s="1518"/>
      <c r="HG100" s="1519"/>
      <c r="HH100" s="1518"/>
      <c r="HI100" s="1519"/>
      <c r="HJ100" s="1518"/>
      <c r="HK100" s="1519"/>
      <c r="HL100" s="1518"/>
      <c r="HM100" s="1519"/>
      <c r="HN100" s="1520"/>
      <c r="HO100" s="1519"/>
      <c r="HP100" s="1518"/>
      <c r="HQ100" s="1519"/>
      <c r="HR100" s="1518"/>
      <c r="HS100" s="1519"/>
      <c r="HT100" s="1518"/>
      <c r="HU100" s="1519"/>
      <c r="HV100" s="1518"/>
      <c r="HW100" s="1519"/>
      <c r="HX100" s="1518"/>
      <c r="HY100" s="1519"/>
      <c r="HZ100" s="1518"/>
      <c r="IA100" s="1519"/>
      <c r="IB100" s="1518"/>
      <c r="IC100" s="1519"/>
      <c r="ID100" s="1518"/>
      <c r="IE100" s="1519"/>
      <c r="IF100" s="1518"/>
      <c r="IG100" s="1519"/>
      <c r="IH100" s="1518"/>
      <c r="II100" s="1519"/>
      <c r="IJ100" s="1518"/>
      <c r="IK100" s="1519"/>
      <c r="IL100" s="1518"/>
      <c r="IM100" s="1519"/>
      <c r="IN100" s="1518"/>
      <c r="IO100" s="1519"/>
      <c r="IP100" s="1518"/>
      <c r="IQ100" s="1519"/>
      <c r="IR100" s="1518"/>
      <c r="IS100" s="1519"/>
      <c r="IT100" s="1518"/>
      <c r="IU100" s="1519"/>
      <c r="IV100" s="1518"/>
      <c r="IW100" s="1519"/>
      <c r="IX100" s="1518"/>
      <c r="IY100" s="1519"/>
      <c r="IZ100" s="1518"/>
      <c r="JA100" s="1519"/>
      <c r="JB100" s="1518"/>
      <c r="JC100" s="1519"/>
      <c r="JD100" s="1518"/>
      <c r="JE100" s="1519"/>
      <c r="JF100" s="1518"/>
      <c r="JG100" s="1519"/>
      <c r="JH100" s="1518"/>
      <c r="JI100" s="1519"/>
      <c r="JJ100" s="1562"/>
      <c r="JK100" s="1560"/>
      <c r="JL100" s="1562"/>
      <c r="JM100" s="1560"/>
      <c r="JN100" s="1562"/>
      <c r="JO100" s="1560"/>
      <c r="JP100" s="1562"/>
      <c r="JQ100" s="1560"/>
      <c r="JR100" s="1562"/>
      <c r="JS100" s="1560"/>
      <c r="JT100" s="1562"/>
      <c r="JU100" s="1560"/>
      <c r="JV100" s="1562"/>
      <c r="JW100" s="1560"/>
      <c r="JX100" s="1562"/>
      <c r="JY100" s="1527"/>
      <c r="JZ100" s="1566">
        <f>IFERROR(__xludf.DUMMYFUNCTION("""COMPUTED_VALUE"""),9.581423611)</f>
        <v>9.581423611</v>
      </c>
      <c r="KA100" s="1514">
        <f>IFERROR(__xludf.DUMMYFUNCTION("""COMPUTED_VALUE"""),4.6272E11)</f>
        <v>462720000000</v>
      </c>
      <c r="KB100" s="1562"/>
      <c r="KC100" s="1527"/>
      <c r="KD100" s="1562"/>
      <c r="KE100" s="1527"/>
      <c r="KF100" s="1527"/>
      <c r="KG100" s="1527"/>
      <c r="KH100" s="1527"/>
      <c r="KI100" s="1527"/>
      <c r="KJ100" s="1527"/>
      <c r="KK100" s="1527"/>
      <c r="KL100" s="1527"/>
      <c r="KM100" s="1527"/>
      <c r="KN100" s="1527"/>
      <c r="KO100" s="1527"/>
      <c r="KP100" s="1527"/>
      <c r="KQ100" s="1527"/>
      <c r="KR100" s="1527"/>
      <c r="KS100" s="1527"/>
      <c r="KT100" s="1527"/>
      <c r="KU100" s="1527"/>
      <c r="KV100" s="1527"/>
      <c r="KW100" s="1527"/>
      <c r="KX100" s="1527"/>
      <c r="KY100" s="1527"/>
      <c r="KZ100" s="1527"/>
      <c r="LA100" s="1527"/>
      <c r="LB100" s="1527"/>
      <c r="LC100" s="1527"/>
      <c r="LD100" s="1527"/>
      <c r="LE100" s="1527"/>
      <c r="LF100" s="1527"/>
      <c r="LG100" s="1527"/>
      <c r="LH100" s="1527"/>
      <c r="LI100" s="1527"/>
      <c r="LJ100" s="1527"/>
      <c r="LK100" s="1527"/>
      <c r="LL100" s="1527"/>
      <c r="LM100" s="1527"/>
      <c r="LN100" s="1527"/>
      <c r="LO100" s="1527"/>
      <c r="LP100" s="1527"/>
      <c r="LQ100" s="1527"/>
      <c r="LR100" s="1527"/>
      <c r="LS100" s="1527"/>
      <c r="LT100" s="1527"/>
      <c r="LU100" s="1527"/>
      <c r="LV100" s="1527"/>
      <c r="LW100" s="1527"/>
      <c r="LX100" s="1527"/>
      <c r="LY100" s="1527"/>
      <c r="LZ100" s="1527"/>
      <c r="MA100" s="1527"/>
      <c r="MB100" s="1527"/>
      <c r="MC100" s="1527"/>
      <c r="MD100" s="1527"/>
      <c r="ME100" s="1527"/>
      <c r="MF100" s="1527"/>
      <c r="MG100" s="1527"/>
      <c r="MH100" s="1527"/>
      <c r="MI100" s="1527"/>
      <c r="MJ100" s="1527"/>
      <c r="MK100" s="1527"/>
      <c r="ML100" s="1527"/>
      <c r="MM100" s="1527"/>
      <c r="MN100" s="1527"/>
      <c r="MO100" s="1527"/>
      <c r="MP100" s="1527"/>
      <c r="MQ100" s="1527"/>
      <c r="MR100" s="1527"/>
      <c r="MS100" s="1527"/>
      <c r="MT100" s="1527"/>
      <c r="MU100" s="1527"/>
      <c r="MV100" s="1527"/>
      <c r="MW100" s="1527"/>
      <c r="MX100" s="1527"/>
      <c r="MY100" s="1527"/>
    </row>
    <row r="101">
      <c r="A101" s="1465">
        <f>IFERROR(__xludf.DUMMYFUNCTION("""COMPUTED_VALUE"""),99.0)</f>
        <v>99</v>
      </c>
      <c r="B101" s="1518"/>
      <c r="C101" s="1520"/>
      <c r="D101" s="1466">
        <f>IFERROR(__xludf.DUMMYFUNCTION("""COMPUTED_VALUE"""),49.03958333333333)</f>
        <v>49.03958333</v>
      </c>
      <c r="E101" s="1467">
        <f>IFERROR(__xludf.DUMMYFUNCTION("""COMPUTED_VALUE"""),4190000.0)</f>
        <v>4190000</v>
      </c>
      <c r="F101" s="1466">
        <f>IFERROR(__xludf.DUMMYFUNCTION("""COMPUTED_VALUE"""),49.03958333333333)</f>
        <v>49.03958333</v>
      </c>
      <c r="G101" s="1467">
        <f>IFERROR(__xludf.DUMMYFUNCTION("""COMPUTED_VALUE"""),4190000.0)</f>
        <v>4190000</v>
      </c>
      <c r="H101" s="1466">
        <f>IFERROR(__xludf.DUMMYFUNCTION("""COMPUTED_VALUE"""),49.03958333333333)</f>
        <v>49.03958333</v>
      </c>
      <c r="I101" s="1467">
        <f>IFERROR(__xludf.DUMMYFUNCTION("""COMPUTED_VALUE"""),4190000.0)</f>
        <v>4190000</v>
      </c>
      <c r="J101" s="1466">
        <f>IFERROR(__xludf.DUMMYFUNCTION("""COMPUTED_VALUE"""),49.03958333333333)</f>
        <v>49.03958333</v>
      </c>
      <c r="K101" s="1467">
        <f>IFERROR(__xludf.DUMMYFUNCTION("""COMPUTED_VALUE"""),4190000.0)</f>
        <v>4190000</v>
      </c>
      <c r="L101" s="1466">
        <f>IFERROR(__xludf.DUMMYFUNCTION("""COMPUTED_VALUE"""),97.44166666666666)</f>
        <v>97.44166667</v>
      </c>
      <c r="M101" s="1469">
        <f>IFERROR(__xludf.DUMMYFUNCTION("""COMPUTED_VALUE"""),1.367E7)</f>
        <v>13670000</v>
      </c>
      <c r="N101" s="1470">
        <f>IFERROR(__xludf.DUMMYFUNCTION("""COMPUTED_VALUE"""),32.919444444444444)</f>
        <v>32.91944444</v>
      </c>
      <c r="O101" s="1467">
        <f>IFERROR(__xludf.DUMMYFUNCTION("""COMPUTED_VALUE"""),1.936E7)</f>
        <v>19360000</v>
      </c>
      <c r="P101" s="1518"/>
      <c r="Q101" s="1519"/>
      <c r="R101" s="1518"/>
      <c r="S101" s="1519"/>
      <c r="T101" s="1518"/>
      <c r="U101" s="1519"/>
      <c r="V101" s="1518"/>
      <c r="W101" s="1519"/>
      <c r="X101" s="1518"/>
      <c r="Y101" s="1519"/>
      <c r="Z101" s="1518"/>
      <c r="AA101" s="1519"/>
      <c r="AB101" s="1518"/>
      <c r="AC101" s="1519"/>
      <c r="AD101" s="1466">
        <f>IFERROR(__xludf.DUMMYFUNCTION("""COMPUTED_VALUE"""),106.91458333333334)</f>
        <v>106.9145833</v>
      </c>
      <c r="AE101" s="1474">
        <f>IFERROR(__xludf.DUMMYFUNCTION("""COMPUTED_VALUE"""),1.46706219584E20)</f>
        <v>1.46706E+20</v>
      </c>
      <c r="AF101" s="1466">
        <f>IFERROR(__xludf.DUMMYFUNCTION("""COMPUTED_VALUE"""),106.91458333333334)</f>
        <v>106.9145833</v>
      </c>
      <c r="AG101" s="1474">
        <f>IFERROR(__xludf.DUMMYFUNCTION("""COMPUTED_VALUE"""),1.46706219584E20)</f>
        <v>1.46706E+20</v>
      </c>
      <c r="AH101" s="1466">
        <f>IFERROR(__xludf.DUMMYFUNCTION("""COMPUTED_VALUE"""),106.91458333333334)</f>
        <v>106.9145833</v>
      </c>
      <c r="AI101" s="1474">
        <f>IFERROR(__xludf.DUMMYFUNCTION("""COMPUTED_VALUE"""),1.46706219584E20)</f>
        <v>1.46706E+20</v>
      </c>
      <c r="AJ101" s="1475">
        <f>IFERROR(__xludf.DUMMYFUNCTION("""COMPUTED_VALUE"""),49.03958333333333)</f>
        <v>49.03958333</v>
      </c>
      <c r="AK101" s="1476">
        <f>IFERROR(__xludf.DUMMYFUNCTION("""COMPUTED_VALUE"""),4190000.0)</f>
        <v>4190000</v>
      </c>
      <c r="AL101" s="1475">
        <f>IFERROR(__xludf.DUMMYFUNCTION("""COMPUTED_VALUE"""),49.03958333333333)</f>
        <v>49.03958333</v>
      </c>
      <c r="AM101" s="1476">
        <f>IFERROR(__xludf.DUMMYFUNCTION("""COMPUTED_VALUE"""),4190000.0)</f>
        <v>4190000</v>
      </c>
      <c r="AN101" s="1475">
        <f>IFERROR(__xludf.DUMMYFUNCTION("""COMPUTED_VALUE"""),49.03958333333333)</f>
        <v>49.03958333</v>
      </c>
      <c r="AO101" s="1476">
        <f>IFERROR(__xludf.DUMMYFUNCTION("""COMPUTED_VALUE"""),4190000.0)</f>
        <v>4190000</v>
      </c>
      <c r="AP101" s="1520"/>
      <c r="AQ101" s="1519"/>
      <c r="AR101" s="1475">
        <f>IFERROR(__xludf.DUMMYFUNCTION("""COMPUTED_VALUE"""),49.040277777777774)</f>
        <v>49.04027778</v>
      </c>
      <c r="AS101" s="1476">
        <f>IFERROR(__xludf.DUMMYFUNCTION("""COMPUTED_VALUE"""),4190000.0)</f>
        <v>4190000</v>
      </c>
      <c r="AT101" s="1520"/>
      <c r="AU101" s="1519"/>
      <c r="AV101" s="1520"/>
      <c r="AW101" s="1519"/>
      <c r="AX101" s="1518"/>
      <c r="AY101" s="1568"/>
      <c r="AZ101" s="1518"/>
      <c r="BA101" s="1518"/>
      <c r="BB101" s="1477">
        <f>IFERROR(__xludf.DUMMYFUNCTION("""COMPUTED_VALUE"""),49.03958333333333)</f>
        <v>49.03958333</v>
      </c>
      <c r="BC101" s="1478">
        <f>IFERROR(__xludf.DUMMYFUNCTION("""COMPUTED_VALUE"""),4190000.0)</f>
        <v>4190000</v>
      </c>
      <c r="BD101" s="1477">
        <f>IFERROR(__xludf.DUMMYFUNCTION("""COMPUTED_VALUE"""),49.03958333333333)</f>
        <v>49.03958333</v>
      </c>
      <c r="BE101" s="1478">
        <f>IFERROR(__xludf.DUMMYFUNCTION("""COMPUTED_VALUE"""),4190000.0)</f>
        <v>4190000</v>
      </c>
      <c r="BF101" s="1477">
        <f>IFERROR(__xludf.DUMMYFUNCTION("""COMPUTED_VALUE"""),49.03958333333333)</f>
        <v>49.03958333</v>
      </c>
      <c r="BG101" s="1478">
        <f>IFERROR(__xludf.DUMMYFUNCTION("""COMPUTED_VALUE"""),4190000.0)</f>
        <v>4190000</v>
      </c>
      <c r="BH101" s="1518"/>
      <c r="BI101" s="1519"/>
      <c r="BJ101" s="1518"/>
      <c r="BK101" s="1519"/>
      <c r="BL101" s="1518"/>
      <c r="BM101" s="1519"/>
      <c r="BN101" s="1518"/>
      <c r="BO101" s="1519"/>
      <c r="BP101" s="1518"/>
      <c r="BQ101" s="1519"/>
      <c r="BR101" s="1520"/>
      <c r="BS101" s="1519"/>
      <c r="BT101" s="1520"/>
      <c r="BU101" s="1520"/>
      <c r="BV101" s="1520"/>
      <c r="BW101" s="1520"/>
      <c r="BX101" s="1520"/>
      <c r="BY101" s="1520"/>
      <c r="BZ101" s="1520"/>
      <c r="CA101" s="1520"/>
      <c r="CB101" s="1520"/>
      <c r="CC101" s="1519"/>
      <c r="CD101" s="1520"/>
      <c r="CE101" s="1520"/>
      <c r="CF101" s="1527"/>
      <c r="CG101" s="1560"/>
      <c r="CH101" s="1482">
        <f>IFERROR(__xludf.DUMMYFUNCTION("""COMPUTED_VALUE"""),49.040277777777774)</f>
        <v>49.04027778</v>
      </c>
      <c r="CI101" s="1483">
        <f>IFERROR(__xludf.DUMMYFUNCTION("""COMPUTED_VALUE"""),4190000.0)</f>
        <v>4190000</v>
      </c>
      <c r="CJ101" s="1482">
        <f>IFERROR(__xludf.DUMMYFUNCTION("""COMPUTED_VALUE"""),49.040277777777774)</f>
        <v>49.04027778</v>
      </c>
      <c r="CK101" s="1483">
        <f>IFERROR(__xludf.DUMMYFUNCTION("""COMPUTED_VALUE"""),4190000.0)</f>
        <v>4190000</v>
      </c>
      <c r="CL101" s="1482">
        <f>IFERROR(__xludf.DUMMYFUNCTION("""COMPUTED_VALUE"""),49.040277777777774)</f>
        <v>49.04027778</v>
      </c>
      <c r="CM101" s="1483">
        <f>IFERROR(__xludf.DUMMYFUNCTION("""COMPUTED_VALUE"""),4190000.0)</f>
        <v>4190000</v>
      </c>
      <c r="CN101" s="1482">
        <f>IFERROR(__xludf.DUMMYFUNCTION("""COMPUTED_VALUE"""),49.040277777777774)</f>
        <v>49.04027778</v>
      </c>
      <c r="CO101" s="1483">
        <f>IFERROR(__xludf.DUMMYFUNCTION("""COMPUTED_VALUE"""),4190000.0)</f>
        <v>4190000</v>
      </c>
      <c r="CP101" s="1482">
        <f>IFERROR(__xludf.DUMMYFUNCTION("""COMPUTED_VALUE"""),122.40208333333334)</f>
        <v>122.4020833</v>
      </c>
      <c r="CQ101" s="1483">
        <f>IFERROR(__xludf.DUMMYFUNCTION("""COMPUTED_VALUE"""),1.936E7)</f>
        <v>19360000</v>
      </c>
      <c r="CR101" s="1518"/>
      <c r="CS101" s="1519"/>
      <c r="CT101" s="1520"/>
      <c r="CU101" s="1519"/>
      <c r="CV101" s="1520"/>
      <c r="CW101" s="1519"/>
      <c r="CX101" s="1520"/>
      <c r="CY101" s="1519"/>
      <c r="CZ101" s="1520"/>
      <c r="DA101" s="1520"/>
      <c r="DB101" s="1520"/>
      <c r="DC101" s="1520"/>
      <c r="DD101" s="1520"/>
      <c r="DE101" s="1519"/>
      <c r="DF101" s="1518"/>
      <c r="DG101" s="1519"/>
      <c r="DH101" s="1518"/>
      <c r="DI101" s="1519"/>
      <c r="DJ101" s="1518"/>
      <c r="DK101" s="1519"/>
      <c r="DL101" s="1518"/>
      <c r="DM101" s="1519"/>
      <c r="DN101" s="1518"/>
      <c r="DO101" s="1519"/>
      <c r="DP101" s="1518"/>
      <c r="DQ101" s="1519"/>
      <c r="DR101" s="1518"/>
      <c r="DS101" s="1519"/>
      <c r="DT101" s="1518"/>
      <c r="DU101" s="1519"/>
      <c r="DV101" s="1520"/>
      <c r="DW101" s="1519"/>
      <c r="DX101" s="1518"/>
      <c r="DY101" s="1519"/>
      <c r="DZ101" s="1518"/>
      <c r="EA101" s="1519"/>
      <c r="EB101" s="1518"/>
      <c r="EC101" s="1519"/>
      <c r="ED101" s="1518"/>
      <c r="EE101" s="1519"/>
      <c r="EF101" s="1518"/>
      <c r="EG101" s="1519"/>
      <c r="EH101" s="1518"/>
      <c r="EI101" s="1519"/>
      <c r="EJ101" s="1562"/>
      <c r="EK101" s="1560"/>
      <c r="EL101" s="1562"/>
      <c r="EM101" s="1560"/>
      <c r="EN101" s="1518"/>
      <c r="EO101" s="1519"/>
      <c r="EP101" s="1518"/>
      <c r="EQ101" s="1519"/>
      <c r="ER101" s="1518"/>
      <c r="ES101" s="1519"/>
      <c r="ET101" s="1518"/>
      <c r="EU101" s="1519"/>
      <c r="EV101" s="1518"/>
      <c r="EW101" s="1519"/>
      <c r="EX101" s="1518"/>
      <c r="EY101" s="1519"/>
      <c r="EZ101" s="1518"/>
      <c r="FA101" s="1519"/>
      <c r="FB101" s="1520"/>
      <c r="FC101" s="1519"/>
      <c r="FD101" s="1520"/>
      <c r="FE101" s="1519"/>
      <c r="FF101" s="1520"/>
      <c r="FG101" s="1519"/>
      <c r="FH101" s="1520"/>
      <c r="FI101" s="1520"/>
      <c r="FJ101" s="1520"/>
      <c r="FK101" s="1519"/>
      <c r="FL101" s="1518"/>
      <c r="FM101" s="1519"/>
      <c r="FN101" s="1532"/>
      <c r="FO101" s="1520"/>
      <c r="FP101" s="1532"/>
      <c r="FQ101" s="1520"/>
      <c r="FR101" s="1532"/>
      <c r="FS101" s="1520"/>
      <c r="FT101" s="1532"/>
      <c r="FU101" s="1519"/>
      <c r="FV101" s="1532"/>
      <c r="FW101" s="1519"/>
      <c r="FX101" s="1572"/>
      <c r="FY101" s="1560"/>
      <c r="FZ101" s="1572"/>
      <c r="GA101" s="1560"/>
      <c r="GB101" s="1572"/>
      <c r="GC101" s="1560"/>
      <c r="GD101" s="1527"/>
      <c r="GE101" s="1560"/>
      <c r="GF101" s="1518"/>
      <c r="GG101" s="1519"/>
      <c r="GH101" s="1518"/>
      <c r="GI101" s="1519"/>
      <c r="GJ101" s="1518"/>
      <c r="GK101" s="1519"/>
      <c r="GL101" s="1518"/>
      <c r="GM101" s="1519"/>
      <c r="GN101" s="1520"/>
      <c r="GO101" s="1519"/>
      <c r="GP101" s="1520"/>
      <c r="GQ101" s="1519"/>
      <c r="GR101" s="1518"/>
      <c r="GS101" s="1519"/>
      <c r="GT101" s="1518"/>
      <c r="GU101" s="1519"/>
      <c r="GV101" s="1520"/>
      <c r="GW101" s="1519"/>
      <c r="GX101" s="1561"/>
      <c r="GY101" s="1527"/>
      <c r="GZ101" s="1518"/>
      <c r="HA101" s="1519"/>
      <c r="HB101" s="1501">
        <f>IFERROR(__xludf.DUMMYFUNCTION("""COMPUTED_VALUE"""),7562.438888888889)</f>
        <v>7562.438889</v>
      </c>
      <c r="HC101" s="1502">
        <f>IFERROR(__xludf.DUMMYFUNCTION("""COMPUTED_VALUE"""),1.8078E14)</f>
        <v>180780000000000</v>
      </c>
      <c r="HD101" s="1518"/>
      <c r="HE101" s="1519"/>
      <c r="HF101" s="1518"/>
      <c r="HG101" s="1519"/>
      <c r="HH101" s="1518"/>
      <c r="HI101" s="1519"/>
      <c r="HJ101" s="1518"/>
      <c r="HK101" s="1519"/>
      <c r="HL101" s="1518"/>
      <c r="HM101" s="1519"/>
      <c r="HN101" s="1520"/>
      <c r="HO101" s="1519"/>
      <c r="HP101" s="1518"/>
      <c r="HQ101" s="1519"/>
      <c r="HR101" s="1518"/>
      <c r="HS101" s="1519"/>
      <c r="HT101" s="1518"/>
      <c r="HU101" s="1519"/>
      <c r="HV101" s="1518"/>
      <c r="HW101" s="1519"/>
      <c r="HX101" s="1518"/>
      <c r="HY101" s="1519"/>
      <c r="HZ101" s="1518"/>
      <c r="IA101" s="1519"/>
      <c r="IB101" s="1518"/>
      <c r="IC101" s="1519"/>
      <c r="ID101" s="1518"/>
      <c r="IE101" s="1519"/>
      <c r="IF101" s="1518"/>
      <c r="IG101" s="1519"/>
      <c r="IH101" s="1518"/>
      <c r="II101" s="1519"/>
      <c r="IJ101" s="1518"/>
      <c r="IK101" s="1519"/>
      <c r="IL101" s="1518"/>
      <c r="IM101" s="1519"/>
      <c r="IN101" s="1518"/>
      <c r="IO101" s="1519"/>
      <c r="IP101" s="1518"/>
      <c r="IQ101" s="1519"/>
      <c r="IR101" s="1518"/>
      <c r="IS101" s="1519"/>
      <c r="IT101" s="1518"/>
      <c r="IU101" s="1519"/>
      <c r="IV101" s="1518"/>
      <c r="IW101" s="1519"/>
      <c r="IX101" s="1518"/>
      <c r="IY101" s="1519"/>
      <c r="IZ101" s="1518"/>
      <c r="JA101" s="1519"/>
      <c r="JB101" s="1518"/>
      <c r="JC101" s="1519"/>
      <c r="JD101" s="1518"/>
      <c r="JE101" s="1519"/>
      <c r="JF101" s="1518"/>
      <c r="JG101" s="1519"/>
      <c r="JH101" s="1518"/>
      <c r="JI101" s="1519"/>
      <c r="JJ101" s="1562"/>
      <c r="JK101" s="1560"/>
      <c r="JL101" s="1562"/>
      <c r="JM101" s="1560"/>
      <c r="JN101" s="1562"/>
      <c r="JO101" s="1560"/>
      <c r="JP101" s="1562"/>
      <c r="JQ101" s="1560"/>
      <c r="JR101" s="1562"/>
      <c r="JS101" s="1560"/>
      <c r="JT101" s="1562"/>
      <c r="JU101" s="1560"/>
      <c r="JV101" s="1562"/>
      <c r="JW101" s="1560"/>
      <c r="JX101" s="1562"/>
      <c r="JY101" s="1527"/>
      <c r="JZ101" s="1566">
        <f>IFERROR(__xludf.DUMMYFUNCTION("""COMPUTED_VALUE"""),9.711076389)</f>
        <v>9.711076389</v>
      </c>
      <c r="KA101" s="1514">
        <f>IFERROR(__xludf.DUMMYFUNCTION("""COMPUTED_VALUE"""),4.7571E11)</f>
        <v>475710000000</v>
      </c>
      <c r="KB101" s="1562"/>
      <c r="KC101" s="1527"/>
      <c r="KD101" s="1562"/>
      <c r="KE101" s="1527"/>
      <c r="KF101" s="1527"/>
      <c r="KG101" s="1527"/>
      <c r="KH101" s="1527"/>
      <c r="KI101" s="1527"/>
      <c r="KJ101" s="1527"/>
      <c r="KK101" s="1527"/>
      <c r="KL101" s="1527"/>
      <c r="KM101" s="1527"/>
      <c r="KN101" s="1527"/>
      <c r="KO101" s="1527"/>
      <c r="KP101" s="1527"/>
      <c r="KQ101" s="1527"/>
      <c r="KR101" s="1527"/>
      <c r="KS101" s="1527"/>
      <c r="KT101" s="1527"/>
      <c r="KU101" s="1527"/>
      <c r="KV101" s="1527"/>
      <c r="KW101" s="1527"/>
      <c r="KX101" s="1527"/>
      <c r="KY101" s="1527"/>
      <c r="KZ101" s="1527"/>
      <c r="LA101" s="1527"/>
      <c r="LB101" s="1527"/>
      <c r="LC101" s="1527"/>
      <c r="LD101" s="1527"/>
      <c r="LE101" s="1527"/>
      <c r="LF101" s="1527"/>
      <c r="LG101" s="1527"/>
      <c r="LH101" s="1527"/>
      <c r="LI101" s="1527"/>
      <c r="LJ101" s="1527"/>
      <c r="LK101" s="1527"/>
      <c r="LL101" s="1527"/>
      <c r="LM101" s="1527"/>
      <c r="LN101" s="1527"/>
      <c r="LO101" s="1527"/>
      <c r="LP101" s="1527"/>
      <c r="LQ101" s="1527"/>
      <c r="LR101" s="1527"/>
      <c r="LS101" s="1527"/>
      <c r="LT101" s="1527"/>
      <c r="LU101" s="1527"/>
      <c r="LV101" s="1527"/>
      <c r="LW101" s="1527"/>
      <c r="LX101" s="1527"/>
      <c r="LY101" s="1527"/>
      <c r="LZ101" s="1527"/>
      <c r="MA101" s="1527"/>
      <c r="MB101" s="1527"/>
      <c r="MC101" s="1527"/>
      <c r="MD101" s="1527"/>
      <c r="ME101" s="1527"/>
      <c r="MF101" s="1527"/>
      <c r="MG101" s="1527"/>
      <c r="MH101" s="1527"/>
      <c r="MI101" s="1527"/>
      <c r="MJ101" s="1527"/>
      <c r="MK101" s="1527"/>
      <c r="ML101" s="1527"/>
      <c r="MM101" s="1527"/>
      <c r="MN101" s="1527"/>
      <c r="MO101" s="1527"/>
      <c r="MP101" s="1527"/>
      <c r="MQ101" s="1527"/>
      <c r="MR101" s="1527"/>
      <c r="MS101" s="1527"/>
      <c r="MT101" s="1527"/>
      <c r="MU101" s="1527"/>
      <c r="MV101" s="1527"/>
      <c r="MW101" s="1527"/>
      <c r="MX101" s="1527"/>
      <c r="MY101" s="1527"/>
    </row>
    <row r="102">
      <c r="A102" s="1465">
        <f>IFERROR(__xludf.DUMMYFUNCTION("""COMPUTED_VALUE"""),100.0)</f>
        <v>100</v>
      </c>
      <c r="B102" s="1533"/>
      <c r="C102" s="1541"/>
      <c r="D102" s="1533"/>
      <c r="E102" s="1534"/>
      <c r="F102" s="1533"/>
      <c r="G102" s="1534"/>
      <c r="H102" s="1533"/>
      <c r="I102" s="1534"/>
      <c r="J102" s="1533"/>
      <c r="K102" s="1534"/>
      <c r="L102" s="1533"/>
      <c r="M102" s="1534"/>
      <c r="N102" s="1533"/>
      <c r="O102" s="1534"/>
      <c r="P102" s="1533"/>
      <c r="Q102" s="1534"/>
      <c r="R102" s="1533"/>
      <c r="S102" s="1534"/>
      <c r="T102" s="1533"/>
      <c r="U102" s="1534"/>
      <c r="V102" s="1533"/>
      <c r="W102" s="1534"/>
      <c r="X102" s="1533"/>
      <c r="Y102" s="1534"/>
      <c r="Z102" s="1533"/>
      <c r="AA102" s="1534"/>
      <c r="AB102" s="1533"/>
      <c r="AC102" s="1534"/>
      <c r="AD102" s="1471">
        <f>IFERROR(__xludf.DUMMYFUNCTION("""COMPUTED_VALUE"""),107.99513888888889)</f>
        <v>107.9951389</v>
      </c>
      <c r="AE102" s="1538">
        <f>IFERROR(__xludf.DUMMYFUNCTION("""COMPUTED_VALUE"""),1.90718085459E20)</f>
        <v>1.90718E+20</v>
      </c>
      <c r="AF102" s="1471">
        <f>IFERROR(__xludf.DUMMYFUNCTION("""COMPUTED_VALUE"""),107.99513888888889)</f>
        <v>107.9951389</v>
      </c>
      <c r="AG102" s="1538">
        <f>IFERROR(__xludf.DUMMYFUNCTION("""COMPUTED_VALUE"""),1.90718085459E20)</f>
        <v>1.90718E+20</v>
      </c>
      <c r="AH102" s="1471">
        <f>IFERROR(__xludf.DUMMYFUNCTION("""COMPUTED_VALUE"""),107.99513888888889)</f>
        <v>107.9951389</v>
      </c>
      <c r="AI102" s="1538">
        <f>IFERROR(__xludf.DUMMYFUNCTION("""COMPUTED_VALUE"""),1.90718085459E20)</f>
        <v>1.90718E+20</v>
      </c>
      <c r="AJ102" s="1539">
        <f>IFERROR(__xludf.DUMMYFUNCTION("""COMPUTED_VALUE"""),50.24444444444445)</f>
        <v>50.24444444</v>
      </c>
      <c r="AK102" s="1540">
        <f>IFERROR(__xludf.DUMMYFUNCTION("""COMPUTED_VALUE"""),4310000.0)</f>
        <v>4310000</v>
      </c>
      <c r="AL102" s="1533"/>
      <c r="AM102" s="1534"/>
      <c r="AN102" s="1541"/>
      <c r="AO102" s="1534"/>
      <c r="AP102" s="1541"/>
      <c r="AQ102" s="1534"/>
      <c r="AR102" s="1533"/>
      <c r="AS102" s="1534"/>
      <c r="AT102" s="1541"/>
      <c r="AU102" s="1534"/>
      <c r="AV102" s="1541"/>
      <c r="AW102" s="1534"/>
      <c r="AX102" s="1533"/>
      <c r="AY102" s="1569"/>
      <c r="AZ102" s="1533"/>
      <c r="BA102" s="1533"/>
      <c r="BB102" s="1479">
        <f>IFERROR(__xludf.DUMMYFUNCTION("""COMPUTED_VALUE"""),50.24444444444445)</f>
        <v>50.24444444</v>
      </c>
      <c r="BC102" s="1480">
        <f>IFERROR(__xludf.DUMMYFUNCTION("""COMPUTED_VALUE"""),4310000.0)</f>
        <v>4310000</v>
      </c>
      <c r="BD102" s="1479">
        <f>IFERROR(__xludf.DUMMYFUNCTION("""COMPUTED_VALUE"""),50.24444444444445)</f>
        <v>50.24444444</v>
      </c>
      <c r="BE102" s="1480">
        <f>IFERROR(__xludf.DUMMYFUNCTION("""COMPUTED_VALUE"""),4310000.0)</f>
        <v>4310000</v>
      </c>
      <c r="BF102" s="1479">
        <f>IFERROR(__xludf.DUMMYFUNCTION("""COMPUTED_VALUE"""),50.24444444444445)</f>
        <v>50.24444444</v>
      </c>
      <c r="BG102" s="1480">
        <f>IFERROR(__xludf.DUMMYFUNCTION("""COMPUTED_VALUE"""),4310000.0)</f>
        <v>4310000</v>
      </c>
      <c r="BH102" s="1533"/>
      <c r="BI102" s="1534"/>
      <c r="BJ102" s="1533"/>
      <c r="BK102" s="1534"/>
      <c r="BL102" s="1533"/>
      <c r="BM102" s="1534"/>
      <c r="BN102" s="1533"/>
      <c r="BO102" s="1534"/>
      <c r="BP102" s="1533"/>
      <c r="BQ102" s="1534"/>
      <c r="BR102" s="1541"/>
      <c r="BS102" s="1534"/>
      <c r="BT102" s="1541"/>
      <c r="BU102" s="1541"/>
      <c r="BV102" s="1541"/>
      <c r="BW102" s="1541"/>
      <c r="BX102" s="1541"/>
      <c r="BY102" s="1541"/>
      <c r="BZ102" s="1541"/>
      <c r="CA102" s="1541"/>
      <c r="CB102" s="1541"/>
      <c r="CC102" s="1534"/>
      <c r="CD102" s="1541"/>
      <c r="CE102" s="1541"/>
      <c r="CF102" s="1550"/>
      <c r="CG102" s="1550"/>
      <c r="CH102" s="1541"/>
      <c r="CI102" s="1534"/>
      <c r="CJ102" s="1533"/>
      <c r="CK102" s="1534"/>
      <c r="CL102" s="1533"/>
      <c r="CM102" s="1534"/>
      <c r="CN102" s="1533"/>
      <c r="CO102" s="1534"/>
      <c r="CP102" s="1541"/>
      <c r="CQ102" s="1534"/>
      <c r="CR102" s="1533"/>
      <c r="CS102" s="1534"/>
      <c r="CT102" s="1541"/>
      <c r="CU102" s="1534"/>
      <c r="CV102" s="1541"/>
      <c r="CW102" s="1534"/>
      <c r="CX102" s="1541"/>
      <c r="CY102" s="1534"/>
      <c r="CZ102" s="1541"/>
      <c r="DA102" s="1541"/>
      <c r="DB102" s="1541"/>
      <c r="DC102" s="1541"/>
      <c r="DD102" s="1541"/>
      <c r="DE102" s="1534"/>
      <c r="DF102" s="1533"/>
      <c r="DG102" s="1534"/>
      <c r="DH102" s="1533"/>
      <c r="DI102" s="1534"/>
      <c r="DJ102" s="1533"/>
      <c r="DK102" s="1534"/>
      <c r="DL102" s="1533"/>
      <c r="DM102" s="1534"/>
      <c r="DN102" s="1533"/>
      <c r="DO102" s="1534"/>
      <c r="DP102" s="1533"/>
      <c r="DQ102" s="1534"/>
      <c r="DR102" s="1533"/>
      <c r="DS102" s="1534"/>
      <c r="DT102" s="1533"/>
      <c r="DU102" s="1534"/>
      <c r="DV102" s="1541"/>
      <c r="DW102" s="1534"/>
      <c r="DX102" s="1533"/>
      <c r="DY102" s="1534"/>
      <c r="DZ102" s="1533"/>
      <c r="EA102" s="1534"/>
      <c r="EB102" s="1533"/>
      <c r="EC102" s="1534"/>
      <c r="ED102" s="1533"/>
      <c r="EE102" s="1534"/>
      <c r="EF102" s="1533"/>
      <c r="EG102" s="1534"/>
      <c r="EH102" s="1533"/>
      <c r="EI102" s="1534"/>
      <c r="EJ102" s="1565"/>
      <c r="EK102" s="1564"/>
      <c r="EL102" s="1565"/>
      <c r="EM102" s="1564"/>
      <c r="EN102" s="1533"/>
      <c r="EO102" s="1534"/>
      <c r="EP102" s="1533"/>
      <c r="EQ102" s="1534"/>
      <c r="ER102" s="1533"/>
      <c r="ES102" s="1534"/>
      <c r="ET102" s="1533"/>
      <c r="EU102" s="1534"/>
      <c r="EV102" s="1533"/>
      <c r="EW102" s="1534"/>
      <c r="EX102" s="1533"/>
      <c r="EY102" s="1534"/>
      <c r="EZ102" s="1533"/>
      <c r="FA102" s="1534"/>
      <c r="FB102" s="1541"/>
      <c r="FC102" s="1534"/>
      <c r="FD102" s="1541"/>
      <c r="FE102" s="1534"/>
      <c r="FF102" s="1541"/>
      <c r="FG102" s="1534"/>
      <c r="FH102" s="1541"/>
      <c r="FI102" s="1541"/>
      <c r="FJ102" s="1541"/>
      <c r="FK102" s="1534"/>
      <c r="FL102" s="1533"/>
      <c r="FM102" s="1534"/>
      <c r="FN102" s="1545"/>
      <c r="FO102" s="1541"/>
      <c r="FP102" s="1545"/>
      <c r="FQ102" s="1541"/>
      <c r="FR102" s="1545"/>
      <c r="FS102" s="1541"/>
      <c r="FT102" s="1545"/>
      <c r="FU102" s="1534"/>
      <c r="FV102" s="1545"/>
      <c r="FW102" s="1534"/>
      <c r="FX102" s="1574"/>
      <c r="FY102" s="1564"/>
      <c r="FZ102" s="1574"/>
      <c r="GA102" s="1564"/>
      <c r="GB102" s="1574"/>
      <c r="GC102" s="1564"/>
      <c r="GD102" s="1550"/>
      <c r="GE102" s="1564"/>
      <c r="GF102" s="1533"/>
      <c r="GG102" s="1534"/>
      <c r="GH102" s="1533"/>
      <c r="GI102" s="1534"/>
      <c r="GJ102" s="1533"/>
      <c r="GK102" s="1534"/>
      <c r="GL102" s="1533"/>
      <c r="GM102" s="1534"/>
      <c r="GN102" s="1541"/>
      <c r="GO102" s="1534"/>
      <c r="GP102" s="1541"/>
      <c r="GQ102" s="1534"/>
      <c r="GR102" s="1533"/>
      <c r="GS102" s="1534"/>
      <c r="GT102" s="1533"/>
      <c r="GU102" s="1534"/>
      <c r="GV102" s="1541"/>
      <c r="GW102" s="1534"/>
      <c r="GX102" s="1565"/>
      <c r="GY102" s="1550"/>
      <c r="GZ102" s="1533"/>
      <c r="HA102" s="1534"/>
      <c r="HB102" s="1551">
        <f>IFERROR(__xludf.DUMMYFUNCTION("""COMPUTED_VALUE"""),7835.634027777778)</f>
        <v>7835.634028</v>
      </c>
      <c r="HC102" s="1552">
        <f>IFERROR(__xludf.DUMMYFUNCTION("""COMPUTED_VALUE"""),1.902E14)</f>
        <v>190200000000000</v>
      </c>
      <c r="HD102" s="1533"/>
      <c r="HE102" s="1534"/>
      <c r="HF102" s="1533"/>
      <c r="HG102" s="1534"/>
      <c r="HH102" s="1533"/>
      <c r="HI102" s="1534"/>
      <c r="HJ102" s="1533"/>
      <c r="HK102" s="1534"/>
      <c r="HL102" s="1533"/>
      <c r="HM102" s="1534"/>
      <c r="HN102" s="1541"/>
      <c r="HO102" s="1534"/>
      <c r="HP102" s="1533"/>
      <c r="HQ102" s="1534"/>
      <c r="HR102" s="1533"/>
      <c r="HS102" s="1534"/>
      <c r="HT102" s="1533"/>
      <c r="HU102" s="1534"/>
      <c r="HV102" s="1533"/>
      <c r="HW102" s="1534"/>
      <c r="HX102" s="1533"/>
      <c r="HY102" s="1534"/>
      <c r="HZ102" s="1533"/>
      <c r="IA102" s="1534"/>
      <c r="IB102" s="1533"/>
      <c r="IC102" s="1534"/>
      <c r="ID102" s="1533"/>
      <c r="IE102" s="1534"/>
      <c r="IF102" s="1533"/>
      <c r="IG102" s="1534"/>
      <c r="IH102" s="1533"/>
      <c r="II102" s="1534"/>
      <c r="IJ102" s="1533"/>
      <c r="IK102" s="1534"/>
      <c r="IL102" s="1533"/>
      <c r="IM102" s="1534"/>
      <c r="IN102" s="1533"/>
      <c r="IO102" s="1534"/>
      <c r="IP102" s="1533"/>
      <c r="IQ102" s="1534"/>
      <c r="IR102" s="1533"/>
      <c r="IS102" s="1534"/>
      <c r="IT102" s="1533"/>
      <c r="IU102" s="1534"/>
      <c r="IV102" s="1533"/>
      <c r="IW102" s="1534"/>
      <c r="IX102" s="1533"/>
      <c r="IY102" s="1534"/>
      <c r="IZ102" s="1533"/>
      <c r="JA102" s="1534"/>
      <c r="JB102" s="1533"/>
      <c r="JC102" s="1534"/>
      <c r="JD102" s="1533"/>
      <c r="JE102" s="1534"/>
      <c r="JF102" s="1533"/>
      <c r="JG102" s="1534"/>
      <c r="JH102" s="1533"/>
      <c r="JI102" s="1534"/>
      <c r="JJ102" s="1565"/>
      <c r="JK102" s="1564"/>
      <c r="JL102" s="1565"/>
      <c r="JM102" s="1564"/>
      <c r="JN102" s="1565"/>
      <c r="JO102" s="1564"/>
      <c r="JP102" s="1565"/>
      <c r="JQ102" s="1564"/>
      <c r="JR102" s="1565"/>
      <c r="JS102" s="1564"/>
      <c r="JT102" s="1565"/>
      <c r="JU102" s="1564"/>
      <c r="JV102" s="1565"/>
      <c r="JW102" s="1564"/>
      <c r="JX102" s="1562"/>
      <c r="JY102" s="1527"/>
      <c r="JZ102" s="1566">
        <f>IFERROR(__xludf.DUMMYFUNCTION("""COMPUTED_VALUE"""),9.841608796)</f>
        <v>9.841608796</v>
      </c>
      <c r="KA102" s="1514">
        <f>IFERROR(__xludf.DUMMYFUNCTION("""COMPUTED_VALUE"""),4.8893E11)</f>
        <v>488930000000</v>
      </c>
      <c r="KB102" s="1562"/>
      <c r="KC102" s="1527"/>
      <c r="KD102" s="1562"/>
      <c r="KE102" s="1527"/>
      <c r="KF102" s="1527"/>
      <c r="KG102" s="1527"/>
      <c r="KH102" s="1527"/>
      <c r="KI102" s="1527"/>
      <c r="KJ102" s="1527"/>
      <c r="KK102" s="1527"/>
      <c r="KL102" s="1527"/>
      <c r="KM102" s="1527"/>
      <c r="KN102" s="1527"/>
      <c r="KO102" s="1527"/>
      <c r="KP102" s="1527"/>
      <c r="KQ102" s="1527"/>
      <c r="KR102" s="1527"/>
      <c r="KS102" s="1527"/>
      <c r="KT102" s="1527"/>
      <c r="KU102" s="1527"/>
      <c r="KV102" s="1527"/>
      <c r="KW102" s="1527"/>
      <c r="KX102" s="1527"/>
      <c r="KY102" s="1527"/>
      <c r="KZ102" s="1527"/>
      <c r="LA102" s="1527"/>
      <c r="LB102" s="1527"/>
      <c r="LC102" s="1527"/>
      <c r="LD102" s="1527"/>
      <c r="LE102" s="1527"/>
      <c r="LF102" s="1527"/>
      <c r="LG102" s="1527"/>
      <c r="LH102" s="1527"/>
      <c r="LI102" s="1527"/>
      <c r="LJ102" s="1527"/>
      <c r="LK102" s="1527"/>
      <c r="LL102" s="1550"/>
      <c r="LM102" s="1550"/>
      <c r="LN102" s="1527"/>
      <c r="LO102" s="1527"/>
      <c r="LP102" s="1527"/>
      <c r="LQ102" s="1527"/>
      <c r="LR102" s="1527"/>
      <c r="LS102" s="1527"/>
      <c r="LT102" s="1527"/>
      <c r="LU102" s="1527"/>
      <c r="LV102" s="1527"/>
      <c r="LW102" s="1527"/>
      <c r="LX102" s="1527"/>
      <c r="LY102" s="1527"/>
      <c r="LZ102" s="1527"/>
      <c r="MA102" s="1527"/>
      <c r="MB102" s="1527"/>
      <c r="MC102" s="1527"/>
      <c r="MD102" s="1527"/>
      <c r="ME102" s="1527"/>
      <c r="MF102" s="1527"/>
      <c r="MG102" s="1527"/>
      <c r="MH102" s="1527"/>
      <c r="MI102" s="1527"/>
      <c r="MJ102" s="1527"/>
      <c r="MK102" s="1527"/>
      <c r="ML102" s="1527"/>
      <c r="MM102" s="1527"/>
      <c r="MN102" s="1527"/>
      <c r="MO102" s="1527"/>
      <c r="MP102" s="1527"/>
      <c r="MQ102" s="1527"/>
      <c r="MR102" s="1527"/>
      <c r="MS102" s="1527"/>
      <c r="MT102" s="1527"/>
      <c r="MU102" s="1527"/>
      <c r="MV102" s="1527"/>
      <c r="MW102" s="1527"/>
      <c r="MX102" s="1527"/>
      <c r="MY102" s="1527"/>
    </row>
    <row r="103">
      <c r="A103" s="1575">
        <f>IFERROR(__xludf.DUMMYFUNCTION("""COMPUTED_VALUE"""),999.0)</f>
        <v>999</v>
      </c>
      <c r="B103" s="1466">
        <f>IFERROR(__xludf.DUMMYFUNCTION("""COMPUTED_VALUE"""),45.3277662037037)</f>
        <v>45.3277662</v>
      </c>
      <c r="C103" s="1466">
        <f>IFERROR(__xludf.DUMMYFUNCTION("""COMPUTED_VALUE"""),1714800.0)</f>
        <v>1714800</v>
      </c>
      <c r="D103" s="1466">
        <f>IFERROR(__xludf.DUMMYFUNCTION("""COMPUTED_VALUE"""),1444.977303240741)</f>
        <v>1444.977303</v>
      </c>
      <c r="E103" s="1466">
        <f>IFERROR(__xludf.DUMMYFUNCTION("""COMPUTED_VALUE"""),1.11695939E8)</f>
        <v>111695939</v>
      </c>
      <c r="F103" s="1466">
        <f>IFERROR(__xludf.DUMMYFUNCTION("""COMPUTED_VALUE"""),1444.977303240741)</f>
        <v>1444.977303</v>
      </c>
      <c r="G103" s="1466">
        <f>IFERROR(__xludf.DUMMYFUNCTION("""COMPUTED_VALUE"""),1.11695939E8)</f>
        <v>111695939</v>
      </c>
      <c r="H103" s="1466">
        <f>IFERROR(__xludf.DUMMYFUNCTION("""COMPUTED_VALUE"""),1444.977303240741)</f>
        <v>1444.977303</v>
      </c>
      <c r="I103" s="1466">
        <f>IFERROR(__xludf.DUMMYFUNCTION("""COMPUTED_VALUE"""),1.11695939E8)</f>
        <v>111695939</v>
      </c>
      <c r="J103" s="1466">
        <f>IFERROR(__xludf.DUMMYFUNCTION("""COMPUTED_VALUE"""),1444.977303240741)</f>
        <v>1444.977303</v>
      </c>
      <c r="K103" s="1466">
        <f>IFERROR(__xludf.DUMMYFUNCTION("""COMPUTED_VALUE"""),1.11695939E8)</f>
        <v>111695939</v>
      </c>
      <c r="L103" s="1466">
        <f>IFERROR(__xludf.DUMMYFUNCTION("""COMPUTED_VALUE"""),2751.0086689814816)</f>
        <v>2751.008669</v>
      </c>
      <c r="M103" s="1466">
        <f>IFERROR(__xludf.DUMMYFUNCTION("""COMPUTED_VALUE"""),3.6023611E8)</f>
        <v>360236110</v>
      </c>
      <c r="N103" s="1466">
        <f>IFERROR(__xludf.DUMMYFUNCTION("""COMPUTED_VALUE"""),1110.6147222222223)</f>
        <v>1110.614722</v>
      </c>
      <c r="O103" s="1466">
        <f>IFERROR(__xludf.DUMMYFUNCTION("""COMPUTED_VALUE"""),4.72468456E8)</f>
        <v>472468456</v>
      </c>
      <c r="P103" s="1466">
        <f>IFERROR(__xludf.DUMMYFUNCTION("""COMPUTED_VALUE"""),3.74443287037037)</f>
        <v>3.74443287</v>
      </c>
      <c r="Q103" s="1466">
        <f>IFERROR(__xludf.DUMMYFUNCTION("""COMPUTED_VALUE"""),562500.0)</f>
        <v>562500</v>
      </c>
      <c r="R103" s="1466">
        <f>IFERROR(__xludf.DUMMYFUNCTION("""COMPUTED_VALUE"""),0.49930555555555556)</f>
        <v>0.4993055556</v>
      </c>
      <c r="S103" s="1466">
        <f>IFERROR(__xludf.DUMMYFUNCTION("""COMPUTED_VALUE"""),250000.0)</f>
        <v>250000</v>
      </c>
      <c r="T103" s="1466">
        <f>IFERROR(__xludf.DUMMYFUNCTION("""COMPUTED_VALUE"""),9.999305555555555)</f>
        <v>9.999305556</v>
      </c>
      <c r="U103" s="1466">
        <f>IFERROR(__xludf.DUMMYFUNCTION("""COMPUTED_VALUE"""),1.001E9)</f>
        <v>1001000000</v>
      </c>
      <c r="V103" s="1466">
        <f>IFERROR(__xludf.DUMMYFUNCTION("""COMPUTED_VALUE"""),0.5784722222222223)</f>
        <v>0.5784722222</v>
      </c>
      <c r="W103" s="1466">
        <f>IFERROR(__xludf.DUMMYFUNCTION("""COMPUTED_VALUE"""),350000.0)</f>
        <v>350000</v>
      </c>
      <c r="X103" s="1466">
        <f>IFERROR(__xludf.DUMMYFUNCTION("""COMPUTED_VALUE"""),2.5458333333333334)</f>
        <v>2.545833333</v>
      </c>
      <c r="Y103" s="1466">
        <f>IFERROR(__xludf.DUMMYFUNCTION("""COMPUTED_VALUE"""),3000000.0)</f>
        <v>3000000</v>
      </c>
      <c r="Z103" s="1466">
        <f>IFERROR(__xludf.DUMMYFUNCTION("""COMPUTED_VALUE"""),1.6666550925925927)</f>
        <v>1.666655093</v>
      </c>
      <c r="AA103" s="1466">
        <f>IFERROR(__xludf.DUMMYFUNCTION("""COMPUTED_VALUE"""),2.0E7)</f>
        <v>20000000</v>
      </c>
      <c r="AB103" s="1466">
        <f>IFERROR(__xludf.DUMMYFUNCTION("""COMPUTED_VALUE"""),6.666655092592593)</f>
        <v>6.666655093</v>
      </c>
      <c r="AC103" s="1466">
        <f>IFERROR(__xludf.DUMMYFUNCTION("""COMPUTED_VALUE"""),5.0E9)</f>
        <v>5000000000</v>
      </c>
      <c r="AD103" s="1466">
        <f>IFERROR(__xludf.DUMMYFUNCTION("""COMPUTED_VALUE"""),5453.722916666666)</f>
        <v>5453.722917</v>
      </c>
      <c r="AE103" s="1466">
        <f>IFERROR(__xludf.DUMMYFUNCTION("""COMPUTED_VALUE"""),8.26445036986818E20)</f>
        <v>8.26445E+20</v>
      </c>
      <c r="AF103" s="1466">
        <f>IFERROR(__xludf.DUMMYFUNCTION("""COMPUTED_VALUE"""),5453.722916666666)</f>
        <v>5453.722917</v>
      </c>
      <c r="AG103" s="1466">
        <f>IFERROR(__xludf.DUMMYFUNCTION("""COMPUTED_VALUE"""),8.26445036986818E20)</f>
        <v>8.26445E+20</v>
      </c>
      <c r="AH103" s="1466">
        <f>IFERROR(__xludf.DUMMYFUNCTION("""COMPUTED_VALUE"""),5453.722916666666)</f>
        <v>5453.722917</v>
      </c>
      <c r="AI103" s="1466">
        <f>IFERROR(__xludf.DUMMYFUNCTION("""COMPUTED_VALUE"""),8.26445036986818E20)</f>
        <v>8.26445E+20</v>
      </c>
      <c r="AJ103" s="1466">
        <f>IFERROR(__xludf.DUMMYFUNCTION("""COMPUTED_VALUE"""),1495.2217476851856)</f>
        <v>1495.221748</v>
      </c>
      <c r="AK103" s="1466">
        <f>IFERROR(__xludf.DUMMYFUNCTION("""COMPUTED_VALUE"""),1.16005939E8)</f>
        <v>116005939</v>
      </c>
      <c r="AL103" s="1466">
        <f>IFERROR(__xludf.DUMMYFUNCTION("""COMPUTED_VALUE"""),1444.977303240741)</f>
        <v>1444.977303</v>
      </c>
      <c r="AM103" s="1466">
        <f>IFERROR(__xludf.DUMMYFUNCTION("""COMPUTED_VALUE"""),1.11695939E8)</f>
        <v>111695939</v>
      </c>
      <c r="AN103" s="1466">
        <f>IFERROR(__xludf.DUMMYFUNCTION("""COMPUTED_VALUE"""),1444.977303240741)</f>
        <v>1444.977303</v>
      </c>
      <c r="AO103" s="1466">
        <f>IFERROR(__xludf.DUMMYFUNCTION("""COMPUTED_VALUE"""),1.11695939E8)</f>
        <v>111695939</v>
      </c>
      <c r="AP103" s="1466">
        <f>IFERROR(__xludf.DUMMYFUNCTION("""COMPUTED_VALUE"""),700.1363310185185)</f>
        <v>700.136331</v>
      </c>
      <c r="AQ103" s="1466">
        <f>IFERROR(__xludf.DUMMYFUNCTION("""COMPUTED_VALUE"""),5.0035939E7)</f>
        <v>50035939</v>
      </c>
      <c r="AR103" s="1466">
        <f>IFERROR(__xludf.DUMMYFUNCTION("""COMPUTED_VALUE"""),1444.9836111111115)</f>
        <v>1444.983611</v>
      </c>
      <c r="AS103" s="1466">
        <f>IFERROR(__xludf.DUMMYFUNCTION("""COMPUTED_VALUE"""),1.11696469E8)</f>
        <v>111696469</v>
      </c>
      <c r="AT103" s="1466">
        <f>IFERROR(__xludf.DUMMYFUNCTION("""COMPUTED_VALUE"""),101777.22847222221)</f>
        <v>101777.2285</v>
      </c>
      <c r="AU103" s="1466">
        <f>IFERROR(__xludf.DUMMYFUNCTION("""COMPUTED_VALUE"""),8.0035936176E11)</f>
        <v>800359361760</v>
      </c>
      <c r="AV103" s="1466">
        <f>IFERROR(__xludf.DUMMYFUNCTION("""COMPUTED_VALUE"""),16070.509027777778)</f>
        <v>16070.50903</v>
      </c>
      <c r="AW103" s="1466">
        <f>IFERROR(__xludf.DUMMYFUNCTION("""COMPUTED_VALUE"""),2.2117936176E11)</f>
        <v>221179361760</v>
      </c>
      <c r="AX103" s="1466">
        <f>IFERROR(__xludf.DUMMYFUNCTION("""COMPUTED_VALUE"""),368.6777777777778)</f>
        <v>368.6777778</v>
      </c>
      <c r="AY103" s="1466">
        <f>IFERROR(__xludf.DUMMYFUNCTION("""COMPUTED_VALUE"""),2.457181E13)</f>
        <v>24571810000000</v>
      </c>
      <c r="AZ103" s="1466"/>
      <c r="BA103" s="1466"/>
      <c r="BB103" s="1466">
        <f>IFERROR(__xludf.DUMMYFUNCTION("""COMPUTED_VALUE"""),1495.2217476851856)</f>
        <v>1495.221748</v>
      </c>
      <c r="BC103" s="1466">
        <f>IFERROR(__xludf.DUMMYFUNCTION("""COMPUTED_VALUE"""),1.16005939E8)</f>
        <v>116005939</v>
      </c>
      <c r="BD103" s="1466">
        <f>IFERROR(__xludf.DUMMYFUNCTION("""COMPUTED_VALUE"""),1495.2217476851856)</f>
        <v>1495.221748</v>
      </c>
      <c r="BE103" s="1466">
        <f>IFERROR(__xludf.DUMMYFUNCTION("""COMPUTED_VALUE"""),1.16005939E8)</f>
        <v>116005939</v>
      </c>
      <c r="BF103" s="1466">
        <f>IFERROR(__xludf.DUMMYFUNCTION("""COMPUTED_VALUE"""),1495.2217476851856)</f>
        <v>1495.221748</v>
      </c>
      <c r="BG103" s="1466">
        <f>IFERROR(__xludf.DUMMYFUNCTION("""COMPUTED_VALUE"""),1.16005939E8)</f>
        <v>116005939</v>
      </c>
      <c r="BH103" s="1466">
        <f>IFERROR(__xludf.DUMMYFUNCTION("""COMPUTED_VALUE"""),3689.5312384259255)</f>
        <v>3689.531238</v>
      </c>
      <c r="BI103" s="1466">
        <f>IFERROR(__xludf.DUMMYFUNCTION("""COMPUTED_VALUE"""),5.94284315E10)</f>
        <v>59428431500</v>
      </c>
      <c r="BJ103" s="1466">
        <f>IFERROR(__xludf.DUMMYFUNCTION("""COMPUTED_VALUE"""),101.51527777777778)</f>
        <v>101.5152778</v>
      </c>
      <c r="BK103" s="1466">
        <f>IFERROR(__xludf.DUMMYFUNCTION("""COMPUTED_VALUE"""),3.71253777E9)</f>
        <v>3712537770</v>
      </c>
      <c r="BL103" s="1466">
        <f>IFERROR(__xludf.DUMMYFUNCTION("""COMPUTED_VALUE"""),142.52708333333334)</f>
        <v>142.5270833</v>
      </c>
      <c r="BM103" s="1466">
        <f>IFERROR(__xludf.DUMMYFUNCTION("""COMPUTED_VALUE"""),1.293631698E10)</f>
        <v>12936316980</v>
      </c>
      <c r="BN103" s="1466">
        <f>IFERROR(__xludf.DUMMYFUNCTION("""COMPUTED_VALUE"""),1582.3888888888887)</f>
        <v>1582.388889</v>
      </c>
      <c r="BO103" s="1466">
        <f>IFERROR(__xludf.DUMMYFUNCTION("""COMPUTED_VALUE"""),2.6655631698E11)</f>
        <v>266556316980</v>
      </c>
      <c r="BP103" s="1466">
        <f>IFERROR(__xludf.DUMMYFUNCTION("""COMPUTED_VALUE"""),206.46875000000003)</f>
        <v>206.46875</v>
      </c>
      <c r="BQ103" s="1466">
        <f>IFERROR(__xludf.DUMMYFUNCTION("""COMPUTED_VALUE"""),1.293787398E10)</f>
        <v>12937873980</v>
      </c>
      <c r="BR103" s="1466">
        <f>IFERROR(__xludf.DUMMYFUNCTION("""COMPUTED_VALUE"""),32.69097222222222)</f>
        <v>32.69097222</v>
      </c>
      <c r="BS103" s="1466">
        <f>IFERROR(__xludf.DUMMYFUNCTION("""COMPUTED_VALUE"""),7.695E10)</f>
        <v>76950000000</v>
      </c>
      <c r="BT103" s="1466">
        <f>IFERROR(__xludf.DUMMYFUNCTION("""COMPUTED_VALUE"""),152.02291666666665)</f>
        <v>152.0229167</v>
      </c>
      <c r="BU103" s="1466">
        <f>IFERROR(__xludf.DUMMYFUNCTION("""COMPUTED_VALUE"""),7.4504E11)</f>
        <v>745040000000</v>
      </c>
      <c r="BV103" s="1466">
        <f>IFERROR(__xludf.DUMMYFUNCTION("""COMPUTED_VALUE"""),250.60625)</f>
        <v>250.60625</v>
      </c>
      <c r="BW103" s="1466">
        <f>IFERROR(__xludf.DUMMYFUNCTION("""COMPUTED_VALUE"""),1.939E11)</f>
        <v>193900000000</v>
      </c>
      <c r="BX103" s="1466">
        <f>IFERROR(__xludf.DUMMYFUNCTION("""COMPUTED_VALUE"""),2056.7241203703707)</f>
        <v>2056.72412</v>
      </c>
      <c r="BY103" s="1466">
        <f>IFERROR(__xludf.DUMMYFUNCTION("""COMPUTED_VALUE"""),3.54084E12)</f>
        <v>3540840000000</v>
      </c>
      <c r="BZ103" s="1466">
        <f>IFERROR(__xludf.DUMMYFUNCTION("""COMPUTED_VALUE"""),1137.2222222222222)</f>
        <v>1137.222222</v>
      </c>
      <c r="CA103" s="1466">
        <f>IFERROR(__xludf.DUMMYFUNCTION("""COMPUTED_VALUE"""),2.26611E12)</f>
        <v>2266110000000</v>
      </c>
      <c r="CB103" s="1466">
        <f>IFERROR(__xludf.DUMMYFUNCTION("""COMPUTED_VALUE"""),83.75694444444444)</f>
        <v>83.75694444</v>
      </c>
      <c r="CC103" s="1466">
        <f>IFERROR(__xludf.DUMMYFUNCTION("""COMPUTED_VALUE"""),5.38372E12)</f>
        <v>5383720000000</v>
      </c>
      <c r="CD103" s="1466"/>
      <c r="CE103" s="1466"/>
      <c r="CF103" s="1466">
        <f>IFERROR(__xludf.DUMMYFUNCTION("""COMPUTED_VALUE"""),25.378113425925925)</f>
        <v>25.37811343</v>
      </c>
      <c r="CG103" s="1466">
        <f>IFERROR(__xludf.DUMMYFUNCTION("""COMPUTED_VALUE"""),1350000.0)</f>
        <v>1350000</v>
      </c>
      <c r="CH103" s="1466">
        <f>IFERROR(__xludf.DUMMYFUNCTION("""COMPUTED_VALUE"""),1444.9836111111115)</f>
        <v>1444.983611</v>
      </c>
      <c r="CI103" s="1466">
        <f>IFERROR(__xludf.DUMMYFUNCTION("""COMPUTED_VALUE"""),1.11696469E8)</f>
        <v>111696469</v>
      </c>
      <c r="CJ103" s="1466">
        <f>IFERROR(__xludf.DUMMYFUNCTION("""COMPUTED_VALUE"""),1444.9836111111115)</f>
        <v>1444.983611</v>
      </c>
      <c r="CK103" s="1466">
        <f>IFERROR(__xludf.DUMMYFUNCTION("""COMPUTED_VALUE"""),1.11696469E8)</f>
        <v>111696469</v>
      </c>
      <c r="CL103" s="1466">
        <f>IFERROR(__xludf.DUMMYFUNCTION("""COMPUTED_VALUE"""),1444.9836111111115)</f>
        <v>1444.983611</v>
      </c>
      <c r="CM103" s="1466">
        <f>IFERROR(__xludf.DUMMYFUNCTION("""COMPUTED_VALUE"""),1.11696469E8)</f>
        <v>111696469</v>
      </c>
      <c r="CN103" s="1466">
        <f>IFERROR(__xludf.DUMMYFUNCTION("""COMPUTED_VALUE"""),1444.9836111111115)</f>
        <v>1444.983611</v>
      </c>
      <c r="CO103" s="1466">
        <f>IFERROR(__xludf.DUMMYFUNCTION("""COMPUTED_VALUE"""),1.11696469E8)</f>
        <v>111696469</v>
      </c>
      <c r="CP103" s="1466">
        <f>IFERROR(__xludf.DUMMYFUNCTION("""COMPUTED_VALUE"""),3405.8709375000003)</f>
        <v>3405.870938</v>
      </c>
      <c r="CQ103" s="1466">
        <f>IFERROR(__xludf.DUMMYFUNCTION("""COMPUTED_VALUE"""),4.72468836E8)</f>
        <v>472468836</v>
      </c>
      <c r="CR103" s="1466">
        <f>IFERROR(__xludf.DUMMYFUNCTION("""COMPUTED_VALUE"""),101.51920138888889)</f>
        <v>101.5192014</v>
      </c>
      <c r="CS103" s="1466">
        <f>IFERROR(__xludf.DUMMYFUNCTION("""COMPUTED_VALUE"""),2304140.0)</f>
        <v>2304140</v>
      </c>
      <c r="CT103" s="1466">
        <f>IFERROR(__xludf.DUMMYFUNCTION("""COMPUTED_VALUE"""),8.10138888888889)</f>
        <v>8.101388889</v>
      </c>
      <c r="CU103" s="1466">
        <f>IFERROR(__xludf.DUMMYFUNCTION("""COMPUTED_VALUE"""),1.0E9)</f>
        <v>1000000000</v>
      </c>
      <c r="CV103" s="1466">
        <f>IFERROR(__xludf.DUMMYFUNCTION("""COMPUTED_VALUE"""),263.3381944444444)</f>
        <v>263.3381944</v>
      </c>
      <c r="CW103" s="1466">
        <f>IFERROR(__xludf.DUMMYFUNCTION("""COMPUTED_VALUE"""),2.96819E12)</f>
        <v>2968190000000</v>
      </c>
      <c r="CX103" s="1466">
        <f>IFERROR(__xludf.DUMMYFUNCTION("""COMPUTED_VALUE"""),263.3381944444444)</f>
        <v>263.3381944</v>
      </c>
      <c r="CY103" s="1466">
        <f>IFERROR(__xludf.DUMMYFUNCTION("""COMPUTED_VALUE"""),2.96293E12)</f>
        <v>2962930000000</v>
      </c>
      <c r="CZ103" s="1466">
        <f>IFERROR(__xludf.DUMMYFUNCTION("""COMPUTED_VALUE"""),263.3381944444444)</f>
        <v>263.3381944</v>
      </c>
      <c r="DA103" s="1466">
        <f>IFERROR(__xludf.DUMMYFUNCTION("""COMPUTED_VALUE"""),2.96819E12)</f>
        <v>2968190000000</v>
      </c>
      <c r="DB103" s="1466">
        <f>IFERROR(__xludf.DUMMYFUNCTION("""COMPUTED_VALUE"""),130.30138888888888)</f>
        <v>130.3013889</v>
      </c>
      <c r="DC103" s="1466">
        <f>IFERROR(__xludf.DUMMYFUNCTION("""COMPUTED_VALUE"""),7.4523E11)</f>
        <v>745230000000</v>
      </c>
      <c r="DD103" s="1466">
        <f>IFERROR(__xludf.DUMMYFUNCTION("""COMPUTED_VALUE"""),130.30138888888888)</f>
        <v>130.3013889</v>
      </c>
      <c r="DE103" s="1466">
        <f>IFERROR(__xludf.DUMMYFUNCTION("""COMPUTED_VALUE"""),7.4523E11)</f>
        <v>745230000000</v>
      </c>
      <c r="DF103" s="1466">
        <f>IFERROR(__xludf.DUMMYFUNCTION("""COMPUTED_VALUE"""),157.8048611111111)</f>
        <v>157.8048611</v>
      </c>
      <c r="DG103" s="1466">
        <f>IFERROR(__xludf.DUMMYFUNCTION("""COMPUTED_VALUE"""),1.294177198E10)</f>
        <v>12941771980</v>
      </c>
      <c r="DH103" s="1466">
        <f>IFERROR(__xludf.DUMMYFUNCTION("""COMPUTED_VALUE"""),0.9326388888888889)</f>
        <v>0.9326388889</v>
      </c>
      <c r="DI103" s="1466">
        <f>IFERROR(__xludf.DUMMYFUNCTION("""COMPUTED_VALUE"""),900000.0)</f>
        <v>900000</v>
      </c>
      <c r="DJ103" s="1466">
        <f>IFERROR(__xludf.DUMMYFUNCTION("""COMPUTED_VALUE"""),173.54513888888886)</f>
        <v>173.5451389</v>
      </c>
      <c r="DK103" s="1466">
        <f>IFERROR(__xludf.DUMMYFUNCTION("""COMPUTED_VALUE"""),1.2960025E10)</f>
        <v>12960025000</v>
      </c>
      <c r="DL103" s="1466">
        <f>IFERROR(__xludf.DUMMYFUNCTION("""COMPUTED_VALUE"""),825.425)</f>
        <v>825.425</v>
      </c>
      <c r="DM103" s="1466">
        <f>IFERROR(__xludf.DUMMYFUNCTION("""COMPUTED_VALUE"""),1.1624177198E11)</f>
        <v>116241771980</v>
      </c>
      <c r="DN103" s="1466">
        <f>IFERROR(__xludf.DUMMYFUNCTION("""COMPUTED_VALUE"""),0.69375)</f>
        <v>0.69375</v>
      </c>
      <c r="DO103" s="1466">
        <f>IFERROR(__xludf.DUMMYFUNCTION("""COMPUTED_VALUE"""),750000.0)</f>
        <v>750000</v>
      </c>
      <c r="DP103" s="1466">
        <f>IFERROR(__xludf.DUMMYFUNCTION("""COMPUTED_VALUE"""),825.425)</f>
        <v>825.425</v>
      </c>
      <c r="DQ103" s="1466">
        <f>IFERROR(__xludf.DUMMYFUNCTION("""COMPUTED_VALUE"""),1.1624177198E11)</f>
        <v>116241771980</v>
      </c>
      <c r="DR103" s="1466">
        <f>IFERROR(__xludf.DUMMYFUNCTION("""COMPUTED_VALUE"""),825.425)</f>
        <v>825.425</v>
      </c>
      <c r="DS103" s="1466">
        <f>IFERROR(__xludf.DUMMYFUNCTION("""COMPUTED_VALUE"""),1.1624177198E11)</f>
        <v>116241771980</v>
      </c>
      <c r="DT103" s="1466">
        <f>IFERROR(__xludf.DUMMYFUNCTION("""COMPUTED_VALUE"""),0.8326388888888889)</f>
        <v>0.8326388889</v>
      </c>
      <c r="DU103" s="1466">
        <f>IFERROR(__xludf.DUMMYFUNCTION("""COMPUTED_VALUE"""),700000.0)</f>
        <v>700000</v>
      </c>
      <c r="DV103" s="1466">
        <f>IFERROR(__xludf.DUMMYFUNCTION("""COMPUTED_VALUE"""),825.425)</f>
        <v>825.425</v>
      </c>
      <c r="DW103" s="1466">
        <f>IFERROR(__xludf.DUMMYFUNCTION("""COMPUTED_VALUE"""),1.1624177198E11)</f>
        <v>116241771980</v>
      </c>
      <c r="DX103" s="1466">
        <f>IFERROR(__xludf.DUMMYFUNCTION("""COMPUTED_VALUE"""),825.425)</f>
        <v>825.425</v>
      </c>
      <c r="DY103" s="1466">
        <f>IFERROR(__xludf.DUMMYFUNCTION("""COMPUTED_VALUE"""),1.1624177198E11)</f>
        <v>116241771980</v>
      </c>
      <c r="DZ103" s="1466">
        <f>IFERROR(__xludf.DUMMYFUNCTION("""COMPUTED_VALUE"""),466.5583333333333)</f>
        <v>466.5583333</v>
      </c>
      <c r="EA103" s="1466">
        <f>IFERROR(__xludf.DUMMYFUNCTION("""COMPUTED_VALUE"""),1.2484879E11)</f>
        <v>124848790000</v>
      </c>
      <c r="EB103" s="1466">
        <f>IFERROR(__xludf.DUMMYFUNCTION("""COMPUTED_VALUE"""),214.05555555555557)</f>
        <v>214.0555556</v>
      </c>
      <c r="EC103" s="1466">
        <f>IFERROR(__xludf.DUMMYFUNCTION("""COMPUTED_VALUE"""),3.438879E10)</f>
        <v>34388790000</v>
      </c>
      <c r="ED103" s="1466">
        <f>IFERROR(__xludf.DUMMYFUNCTION("""COMPUTED_VALUE"""),0.9951388888888889)</f>
        <v>0.9951388889</v>
      </c>
      <c r="EE103" s="1466">
        <f>IFERROR(__xludf.DUMMYFUNCTION("""COMPUTED_VALUE"""),950000.0)</f>
        <v>950000</v>
      </c>
      <c r="EF103" s="1466">
        <f>IFERROR(__xludf.DUMMYFUNCTION("""COMPUTED_VALUE"""),916.0506944444444)</f>
        <v>916.0506944</v>
      </c>
      <c r="EG103" s="1466">
        <f>IFERROR(__xludf.DUMMYFUNCTION("""COMPUTED_VALUE"""),3.5651979E11)</f>
        <v>356519790000</v>
      </c>
      <c r="EH103" s="1466">
        <f>IFERROR(__xludf.DUMMYFUNCTION("""COMPUTED_VALUE"""),65.15347222222222)</f>
        <v>65.15347222</v>
      </c>
      <c r="EI103" s="1466">
        <f>IFERROR(__xludf.DUMMYFUNCTION("""COMPUTED_VALUE"""),4.31979E9)</f>
        <v>4319790000</v>
      </c>
      <c r="EJ103" s="1466">
        <f>IFERROR(__xludf.DUMMYFUNCTION("""COMPUTED_VALUE"""),264.96050925925925)</f>
        <v>264.9605093</v>
      </c>
      <c r="EK103" s="1466">
        <f>IFERROR(__xludf.DUMMYFUNCTION("""COMPUTED_VALUE"""),1.579039E10)</f>
        <v>15790390000</v>
      </c>
      <c r="EL103" s="1466">
        <f>IFERROR(__xludf.DUMMYFUNCTION("""COMPUTED_VALUE"""),197.31196759259257)</f>
        <v>197.3119676</v>
      </c>
      <c r="EM103" s="1466">
        <f>IFERROR(__xludf.DUMMYFUNCTION("""COMPUTED_VALUE"""),3.437979E10)</f>
        <v>34379790000</v>
      </c>
      <c r="EN103" s="1466">
        <f>IFERROR(__xludf.DUMMYFUNCTION("""COMPUTED_VALUE"""),197.38888888888886)</f>
        <v>197.3888889</v>
      </c>
      <c r="EO103" s="1466">
        <f>IFERROR(__xludf.DUMMYFUNCTION("""COMPUTED_VALUE"""),3.437979E10)</f>
        <v>34379790000</v>
      </c>
      <c r="EP103" s="1466">
        <f>IFERROR(__xludf.DUMMYFUNCTION("""COMPUTED_VALUE"""),197.38888888888886)</f>
        <v>197.3888889</v>
      </c>
      <c r="EQ103" s="1466">
        <f>IFERROR(__xludf.DUMMYFUNCTION("""COMPUTED_VALUE"""),3.437979E10)</f>
        <v>34379790000</v>
      </c>
      <c r="ER103" s="1466">
        <f>IFERROR(__xludf.DUMMYFUNCTION("""COMPUTED_VALUE"""),197.38888888888886)</f>
        <v>197.3888889</v>
      </c>
      <c r="ES103" s="1466">
        <f>IFERROR(__xludf.DUMMYFUNCTION("""COMPUTED_VALUE"""),3.437979E10)</f>
        <v>34379790000</v>
      </c>
      <c r="ET103" s="1466">
        <f>IFERROR(__xludf.DUMMYFUNCTION("""COMPUTED_VALUE"""),445.72430555555553)</f>
        <v>445.7243056</v>
      </c>
      <c r="EU103" s="1466">
        <f>IFERROR(__xludf.DUMMYFUNCTION("""COMPUTED_VALUE"""),1.2484609E11)</f>
        <v>124846090000</v>
      </c>
      <c r="EV103" s="1466">
        <f>IFERROR(__xludf.DUMMYFUNCTION("""COMPUTED_VALUE"""),6.665972222222222)</f>
        <v>6.665972222</v>
      </c>
      <c r="EW103" s="1466">
        <f>IFERROR(__xludf.DUMMYFUNCTION("""COMPUTED_VALUE"""),1500000.0)</f>
        <v>1500000</v>
      </c>
      <c r="EX103" s="1466">
        <f>IFERROR(__xludf.DUMMYFUNCTION("""COMPUTED_VALUE"""),19.80833333333333)</f>
        <v>19.80833333</v>
      </c>
      <c r="EY103" s="1466">
        <f>IFERROR(__xludf.DUMMYFUNCTION("""COMPUTED_VALUE"""),5.9E7)</f>
        <v>59000000</v>
      </c>
      <c r="EZ103" s="1466">
        <f>IFERROR(__xludf.DUMMYFUNCTION("""COMPUTED_VALUE"""),13.888194444444444)</f>
        <v>13.88819444</v>
      </c>
      <c r="FA103" s="1466">
        <f>IFERROR(__xludf.DUMMYFUNCTION("""COMPUTED_VALUE"""),2.5E8)</f>
        <v>250000000</v>
      </c>
      <c r="FB103" s="1466">
        <f>IFERROR(__xludf.DUMMYFUNCTION("""COMPUTED_VALUE"""),36.77569444444445)</f>
        <v>36.77569444</v>
      </c>
      <c r="FC103" s="1466">
        <f>IFERROR(__xludf.DUMMYFUNCTION("""COMPUTED_VALUE"""),8.2052E8)</f>
        <v>820520000</v>
      </c>
      <c r="FD103" s="1466">
        <f>IFERROR(__xludf.DUMMYFUNCTION("""COMPUTED_VALUE"""),17.360416666666666)</f>
        <v>17.36041667</v>
      </c>
      <c r="FE103" s="1466">
        <f>IFERROR(__xludf.DUMMYFUNCTION("""COMPUTED_VALUE"""),1.5E10)</f>
        <v>15000000000</v>
      </c>
      <c r="FF103" s="1466">
        <f>IFERROR(__xludf.DUMMYFUNCTION("""COMPUTED_VALUE"""),214.05452546296294)</f>
        <v>214.0545255</v>
      </c>
      <c r="FG103" s="1466">
        <f>IFERROR(__xludf.DUMMYFUNCTION("""COMPUTED_VALUE"""),9.1921243243E10)</f>
        <v>91921243243</v>
      </c>
      <c r="FH103" s="1466">
        <f>IFERROR(__xludf.DUMMYFUNCTION("""COMPUTED_VALUE"""),214.05452546296294)</f>
        <v>214.0545255</v>
      </c>
      <c r="FI103" s="1466">
        <f>IFERROR(__xludf.DUMMYFUNCTION("""COMPUTED_VALUE"""),9.1921243243E10)</f>
        <v>91921243243</v>
      </c>
      <c r="FJ103" s="1466">
        <f>IFERROR(__xludf.DUMMYFUNCTION("""COMPUTED_VALUE"""),243.59868055555555)</f>
        <v>243.5986806</v>
      </c>
      <c r="FK103" s="1466">
        <f>IFERROR(__xludf.DUMMYFUNCTION("""COMPUTED_VALUE"""),2.2233286486E10)</f>
        <v>22233286486</v>
      </c>
      <c r="FL103" s="1520"/>
      <c r="FM103" s="1520"/>
      <c r="FN103" s="1466">
        <f>IFERROR(__xludf.DUMMYFUNCTION("""COMPUTED_VALUE"""),120.0458912037037)</f>
        <v>120.0458912</v>
      </c>
      <c r="FO103" s="1468">
        <f>IFERROR(__xludf.DUMMYFUNCTION("""COMPUTED_VALUE"""),1.443E13)</f>
        <v>14430000000000</v>
      </c>
      <c r="FP103" s="1466">
        <f>IFERROR(__xludf.DUMMYFUNCTION("""COMPUTED_VALUE"""),2011.1056250000004)</f>
        <v>2011.105625</v>
      </c>
      <c r="FQ103" s="1468">
        <f>IFERROR(__xludf.DUMMYFUNCTION("""COMPUTED_VALUE"""),3.834433813E16)</f>
        <v>3.83443E+16</v>
      </c>
      <c r="FR103" s="1466">
        <f>IFERROR(__xludf.DUMMYFUNCTION("""COMPUTED_VALUE"""),67.62652777777778)</f>
        <v>67.62652778</v>
      </c>
      <c r="FS103" s="1468">
        <f>IFERROR(__xludf.DUMMYFUNCTION("""COMPUTED_VALUE"""),2.07813E12)</f>
        <v>2078130000000</v>
      </c>
      <c r="FT103" s="1466">
        <f>IFERROR(__xludf.DUMMYFUNCTION("""COMPUTED_VALUE"""),2011.1056250000004)</f>
        <v>2011.105625</v>
      </c>
      <c r="FU103" s="1468">
        <f>IFERROR(__xludf.DUMMYFUNCTION("""COMPUTED_VALUE"""),3.834433813E16)</f>
        <v>3.83443E+16</v>
      </c>
      <c r="FV103" s="1466">
        <f>IFERROR(__xludf.DUMMYFUNCTION("""COMPUTED_VALUE"""),2011.1056250000004)</f>
        <v>2011.105625</v>
      </c>
      <c r="FW103" s="1468">
        <f>IFERROR(__xludf.DUMMYFUNCTION("""COMPUTED_VALUE"""),3.834433813E16)</f>
        <v>3.83443E+16</v>
      </c>
      <c r="FX103" s="1466">
        <f>IFERROR(__xludf.DUMMYFUNCTION("""COMPUTED_VALUE"""),230.63998842592596)</f>
        <v>230.6399884</v>
      </c>
      <c r="FY103" s="1466">
        <f>IFERROR(__xludf.DUMMYFUNCTION("""COMPUTED_VALUE"""),6.65379E12)</f>
        <v>6653790000000</v>
      </c>
      <c r="FZ103" s="1466">
        <f>IFERROR(__xludf.DUMMYFUNCTION("""COMPUTED_VALUE"""),2011.4807754629633)</f>
        <v>2011.480775</v>
      </c>
      <c r="GA103" s="1466">
        <f>IFERROR(__xludf.DUMMYFUNCTION("""COMPUTED_VALUE"""),3.8344345625E16)</f>
        <v>3.83443E+16</v>
      </c>
      <c r="GB103" s="1466">
        <f>IFERROR(__xludf.DUMMYFUNCTION("""COMPUTED_VALUE"""),283.2667592592593)</f>
        <v>283.2667593</v>
      </c>
      <c r="GC103" s="1466">
        <f>IFERROR(__xludf.DUMMYFUNCTION("""COMPUTED_VALUE"""),2.6593125E14)</f>
        <v>265931250000000</v>
      </c>
      <c r="GD103" s="1466">
        <f>IFERROR(__xludf.DUMMYFUNCTION("""COMPUTED_VALUE"""),916.6666666666666)</f>
        <v>916.6666667</v>
      </c>
      <c r="GE103" s="1466">
        <f>IFERROR(__xludf.DUMMYFUNCTION("""COMPUTED_VALUE"""),1.2475E18)</f>
        <v>1.2475E+18</v>
      </c>
      <c r="GF103" s="1466">
        <f>IFERROR(__xludf.DUMMYFUNCTION("""COMPUTED_VALUE"""),8.678472222222222)</f>
        <v>8.678472222</v>
      </c>
      <c r="GG103" s="1468">
        <f>IFERROR(__xludf.DUMMYFUNCTION("""COMPUTED_VALUE"""),8.43E7)</f>
        <v>84300000</v>
      </c>
      <c r="GH103" s="1466">
        <f>IFERROR(__xludf.DUMMYFUNCTION("""COMPUTED_VALUE"""),892.3006828703703)</f>
        <v>892.3006829</v>
      </c>
      <c r="GI103" s="1576">
        <f>IFERROR(__xludf.DUMMYFUNCTION("""COMPUTED_VALUE"""),1.09707675E12)</f>
        <v>1097076750000</v>
      </c>
      <c r="GJ103" s="1466">
        <f>IFERROR(__xludf.DUMMYFUNCTION("""COMPUTED_VALUE"""),2.082638888888889)</f>
        <v>2.082638889</v>
      </c>
      <c r="GK103" s="1576">
        <f>IFERROR(__xludf.DUMMYFUNCTION("""COMPUTED_VALUE"""),1500000.0)</f>
        <v>1500000</v>
      </c>
      <c r="GL103" s="1466">
        <f>IFERROR(__xludf.DUMMYFUNCTION("""COMPUTED_VALUE"""),7.406944444444444)</f>
        <v>7.406944444</v>
      </c>
      <c r="GM103" s="1576">
        <f>IFERROR(__xludf.DUMMYFUNCTION("""COMPUTED_VALUE"""),9.25E8)</f>
        <v>925000000</v>
      </c>
      <c r="GN103" s="1466">
        <f>IFERROR(__xludf.DUMMYFUNCTION("""COMPUTED_VALUE"""),43.980555555555554)</f>
        <v>43.98055556</v>
      </c>
      <c r="GO103" s="1576">
        <f>IFERROR(__xludf.DUMMYFUNCTION("""COMPUTED_VALUE"""),8.9E11)</f>
        <v>890000000000</v>
      </c>
      <c r="GP103" s="1466">
        <f>IFERROR(__xludf.DUMMYFUNCTION("""COMPUTED_VALUE"""),897.3)</f>
        <v>897.3</v>
      </c>
      <c r="GQ103" s="1576">
        <f>IFERROR(__xludf.DUMMYFUNCTION("""COMPUTED_VALUE"""),1.198931E13)</f>
        <v>11989310000000</v>
      </c>
      <c r="GR103" s="1466">
        <f>IFERROR(__xludf.DUMMYFUNCTION("""COMPUTED_VALUE"""),120.04586805555556)</f>
        <v>120.0458681</v>
      </c>
      <c r="GS103" s="1576">
        <f>IFERROR(__xludf.DUMMYFUNCTION("""COMPUTED_VALUE"""),1.443E13)</f>
        <v>14430000000000</v>
      </c>
      <c r="GT103" s="1466">
        <f>IFERROR(__xludf.DUMMYFUNCTION("""COMPUTED_VALUE"""),120.04586805555556)</f>
        <v>120.0458681</v>
      </c>
      <c r="GU103" s="1576">
        <f>IFERROR(__xludf.DUMMYFUNCTION("""COMPUTED_VALUE"""),1.443E13)</f>
        <v>14430000000000</v>
      </c>
      <c r="GV103" s="1466">
        <f>IFERROR(__xludf.DUMMYFUNCTION("""COMPUTED_VALUE"""),120.0458912037037)</f>
        <v>120.0458912</v>
      </c>
      <c r="GW103" s="1576">
        <f>IFERROR(__xludf.DUMMYFUNCTION("""COMPUTED_VALUE"""),1.443E13)</f>
        <v>14430000000000</v>
      </c>
      <c r="GX103" s="1466">
        <f>IFERROR(__xludf.DUMMYFUNCTION("""COMPUTED_VALUE"""),281.25)</f>
        <v>281.25</v>
      </c>
      <c r="GY103" s="1466">
        <f>IFERROR(__xludf.DUMMYFUNCTION("""COMPUTED_VALUE"""),5.0E16)</f>
        <v>5E+16</v>
      </c>
      <c r="GZ103" s="1466">
        <f>IFERROR(__xludf.DUMMYFUNCTION("""COMPUTED_VALUE"""),3.4715277777777778)</f>
        <v>3.471527778</v>
      </c>
      <c r="HA103" s="1576">
        <f>IFERROR(__xludf.DUMMYFUNCTION("""COMPUTED_VALUE"""),1500000.0)</f>
        <v>1500000</v>
      </c>
      <c r="HB103" s="1466">
        <f>IFERROR(__xludf.DUMMYFUNCTION("""COMPUTED_VALUE"""),176683.76250000007)</f>
        <v>176683.7625</v>
      </c>
      <c r="HC103" s="1576">
        <f>IFERROR(__xludf.DUMMYFUNCTION("""COMPUTED_VALUE"""),3.23416452002E15)</f>
        <v>3.23416E+15</v>
      </c>
      <c r="HD103" s="1466">
        <f>IFERROR(__xludf.DUMMYFUNCTION("""COMPUTED_VALUE"""),4.976388888888889)</f>
        <v>4.976388889</v>
      </c>
      <c r="HE103" s="1576">
        <f>IFERROR(__xludf.DUMMYFUNCTION("""COMPUTED_VALUE"""),1.0E8)</f>
        <v>100000000</v>
      </c>
      <c r="HF103" s="1466">
        <f>IFERROR(__xludf.DUMMYFUNCTION("""COMPUTED_VALUE"""),371.06875)</f>
        <v>371.06875</v>
      </c>
      <c r="HG103" s="1576">
        <f>IFERROR(__xludf.DUMMYFUNCTION("""COMPUTED_VALUE"""),1.07913958E12)</f>
        <v>1079139580000</v>
      </c>
      <c r="HH103" s="1466">
        <f>IFERROR(__xludf.DUMMYFUNCTION("""COMPUTED_VALUE"""),15.161111111111111)</f>
        <v>15.16111111</v>
      </c>
      <c r="HI103" s="1576">
        <f>IFERROR(__xludf.DUMMYFUNCTION("""COMPUTED_VALUE"""),2.2E9)</f>
        <v>2200000000</v>
      </c>
      <c r="HJ103" s="1466">
        <f>IFERROR(__xludf.DUMMYFUNCTION("""COMPUTED_VALUE"""),4.629166666666666)</f>
        <v>4.629166667</v>
      </c>
      <c r="HK103" s="1576">
        <f>IFERROR(__xludf.DUMMYFUNCTION("""COMPUTED_VALUE"""),1.0E9)</f>
        <v>1000000000</v>
      </c>
      <c r="HL103" s="1466">
        <f>IFERROR(__xludf.DUMMYFUNCTION("""COMPUTED_VALUE"""),662.0354050925926)</f>
        <v>662.0354051</v>
      </c>
      <c r="HM103" s="1576">
        <f>IFERROR(__xludf.DUMMYFUNCTION("""COMPUTED_VALUE"""),1.10111611E15)</f>
        <v>1.10112E+15</v>
      </c>
      <c r="HN103" s="1466">
        <f>IFERROR(__xludf.DUMMYFUNCTION("""COMPUTED_VALUE"""),41.949305555555554)</f>
        <v>41.94930556</v>
      </c>
      <c r="HO103" s="1576">
        <f>IFERROR(__xludf.DUMMYFUNCTION("""COMPUTED_VALUE"""),1.726135E10)</f>
        <v>17261350000</v>
      </c>
      <c r="HP103" s="1466">
        <f>IFERROR(__xludf.DUMMYFUNCTION("""COMPUTED_VALUE"""),16.39283564814815)</f>
        <v>16.39283565</v>
      </c>
      <c r="HQ103" s="1576">
        <f>IFERROR(__xludf.DUMMYFUNCTION("""COMPUTED_VALUE"""),9.4848859882E11)</f>
        <v>948488598820</v>
      </c>
      <c r="HR103" s="1466">
        <f>IFERROR(__xludf.DUMMYFUNCTION("""COMPUTED_VALUE"""),576.6761574074073)</f>
        <v>576.6761574</v>
      </c>
      <c r="HS103" s="1576">
        <f>IFERROR(__xludf.DUMMYFUNCTION("""COMPUTED_VALUE"""),1.80824005E12)</f>
        <v>1808240050000</v>
      </c>
      <c r="HT103" s="1466">
        <f>IFERROR(__xludf.DUMMYFUNCTION("""COMPUTED_VALUE"""),576.6761574074073)</f>
        <v>576.6761574</v>
      </c>
      <c r="HU103" s="1576">
        <f>IFERROR(__xludf.DUMMYFUNCTION("""COMPUTED_VALUE"""),1.80824005E12)</f>
        <v>1808240050000</v>
      </c>
      <c r="HV103" s="1466">
        <f>IFERROR(__xludf.DUMMYFUNCTION("""COMPUTED_VALUE"""),576.6761574074073)</f>
        <v>576.6761574</v>
      </c>
      <c r="HW103" s="1576">
        <f>IFERROR(__xludf.DUMMYFUNCTION("""COMPUTED_VALUE"""),1.80824005E12)</f>
        <v>1808240050000</v>
      </c>
      <c r="HX103" s="1466">
        <f>IFERROR(__xludf.DUMMYFUNCTION("""COMPUTED_VALUE"""),576.6761574074073)</f>
        <v>576.6761574</v>
      </c>
      <c r="HY103" s="1576">
        <f>IFERROR(__xludf.DUMMYFUNCTION("""COMPUTED_VALUE"""),1.80824005E12)</f>
        <v>1808240050000</v>
      </c>
      <c r="HZ103" s="1466">
        <f>IFERROR(__xludf.DUMMYFUNCTION("""COMPUTED_VALUE"""),307.621099537037)</f>
        <v>307.6210995</v>
      </c>
      <c r="IA103" s="1576">
        <f>IFERROR(__xludf.DUMMYFUNCTION("""COMPUTED_VALUE"""),5.6707E14)</f>
        <v>567070000000000</v>
      </c>
      <c r="IB103" s="1466">
        <f>IFERROR(__xludf.DUMMYFUNCTION("""COMPUTED_VALUE"""),853.6961111111111)</f>
        <v>853.6961111</v>
      </c>
      <c r="IC103" s="1576">
        <f>IFERROR(__xludf.DUMMYFUNCTION("""COMPUTED_VALUE"""),6.6483813E14)</f>
        <v>664838130000000</v>
      </c>
      <c r="ID103" s="1466">
        <f>IFERROR(__xludf.DUMMYFUNCTION("""COMPUTED_VALUE"""),853.6961111111111)</f>
        <v>853.6961111</v>
      </c>
      <c r="IE103" s="1576">
        <f>IFERROR(__xludf.DUMMYFUNCTION("""COMPUTED_VALUE"""),6.6483813E14)</f>
        <v>664838130000000</v>
      </c>
      <c r="IF103" s="1466">
        <f>IFERROR(__xludf.DUMMYFUNCTION("""COMPUTED_VALUE"""),853.6961111111111)</f>
        <v>853.6961111</v>
      </c>
      <c r="IG103" s="1576">
        <f>IFERROR(__xludf.DUMMYFUNCTION("""COMPUTED_VALUE"""),6.6483813E14)</f>
        <v>664838130000000</v>
      </c>
      <c r="IH103" s="1466">
        <f>IFERROR(__xludf.DUMMYFUNCTION("""COMPUTED_VALUE"""),1235.936111111111)</f>
        <v>1235.936111</v>
      </c>
      <c r="II103" s="1576">
        <f>IFERROR(__xludf.DUMMYFUNCTION("""COMPUTED_VALUE"""),2.111654E13)</f>
        <v>21116540000000</v>
      </c>
      <c r="IJ103" s="1466">
        <f>IFERROR(__xludf.DUMMYFUNCTION("""COMPUTED_VALUE"""),1235.936111111111)</f>
        <v>1235.936111</v>
      </c>
      <c r="IK103" s="1576">
        <f>IFERROR(__xludf.DUMMYFUNCTION("""COMPUTED_VALUE"""),2.111654E13)</f>
        <v>21116540000000</v>
      </c>
      <c r="IL103" s="1466">
        <f>IFERROR(__xludf.DUMMYFUNCTION("""COMPUTED_VALUE"""),1235.936111111111)</f>
        <v>1235.936111</v>
      </c>
      <c r="IM103" s="1576">
        <f>IFERROR(__xludf.DUMMYFUNCTION("""COMPUTED_VALUE"""),2.576819E13)</f>
        <v>25768190000000</v>
      </c>
      <c r="IN103" s="1466">
        <f>IFERROR(__xludf.DUMMYFUNCTION("""COMPUTED_VALUE"""),1235.936111111111)</f>
        <v>1235.936111</v>
      </c>
      <c r="IO103" s="1576">
        <f>IFERROR(__xludf.DUMMYFUNCTION("""COMPUTED_VALUE"""),2.576819E13)</f>
        <v>25768190000000</v>
      </c>
      <c r="IP103" s="1466">
        <f>IFERROR(__xludf.DUMMYFUNCTION("""COMPUTED_VALUE"""),1249.8256944444445)</f>
        <v>1249.825694</v>
      </c>
      <c r="IQ103" s="1576">
        <f>IFERROR(__xludf.DUMMYFUNCTION("""COMPUTED_VALUE"""),3.97164E13)</f>
        <v>39716400000000</v>
      </c>
      <c r="IR103" s="1466">
        <f>IFERROR(__xludf.DUMMYFUNCTION("""COMPUTED_VALUE"""),1235.936111111111)</f>
        <v>1235.936111</v>
      </c>
      <c r="IS103" s="1576">
        <f>IFERROR(__xludf.DUMMYFUNCTION("""COMPUTED_VALUE"""),2.576819E13)</f>
        <v>25768190000000</v>
      </c>
      <c r="IT103" s="1466">
        <f>IFERROR(__xludf.DUMMYFUNCTION("""COMPUTED_VALUE"""),1235.936111111111)</f>
        <v>1235.936111</v>
      </c>
      <c r="IU103" s="1576">
        <f>IFERROR(__xludf.DUMMYFUNCTION("""COMPUTED_VALUE"""),2.576819E13)</f>
        <v>25768190000000</v>
      </c>
      <c r="IV103" s="1466">
        <f>IFERROR(__xludf.DUMMYFUNCTION("""COMPUTED_VALUE"""),1235.936111111111)</f>
        <v>1235.936111</v>
      </c>
      <c r="IW103" s="1576">
        <f>IFERROR(__xludf.DUMMYFUNCTION("""COMPUTED_VALUE"""),2.576819E13)</f>
        <v>25768190000000</v>
      </c>
      <c r="IX103" s="1466">
        <f>IFERROR(__xludf.DUMMYFUNCTION("""COMPUTED_VALUE"""),1235.936111111111)</f>
        <v>1235.936111</v>
      </c>
      <c r="IY103" s="1576">
        <f>IFERROR(__xludf.DUMMYFUNCTION("""COMPUTED_VALUE"""),2.576819E13)</f>
        <v>25768190000000</v>
      </c>
      <c r="IZ103" s="1466">
        <f>IFERROR(__xludf.DUMMYFUNCTION("""COMPUTED_VALUE"""),1235.936111111111)</f>
        <v>1235.936111</v>
      </c>
      <c r="JA103" s="1576">
        <f>IFERROR(__xludf.DUMMYFUNCTION("""COMPUTED_VALUE"""),3.041214E13)</f>
        <v>30412140000000</v>
      </c>
      <c r="JB103" s="1466">
        <f>IFERROR(__xludf.DUMMYFUNCTION("""COMPUTED_VALUE"""),1235.936111111111)</f>
        <v>1235.936111</v>
      </c>
      <c r="JC103" s="1576">
        <f>IFERROR(__xludf.DUMMYFUNCTION("""COMPUTED_VALUE"""),3.041214E13)</f>
        <v>30412140000000</v>
      </c>
      <c r="JD103" s="1466">
        <f>IFERROR(__xludf.DUMMYFUNCTION("""COMPUTED_VALUE"""),1235.936111111111)</f>
        <v>1235.936111</v>
      </c>
      <c r="JE103" s="1576">
        <f>IFERROR(__xludf.DUMMYFUNCTION("""COMPUTED_VALUE"""),3.041214E13)</f>
        <v>30412140000000</v>
      </c>
      <c r="JF103" s="1466">
        <f>IFERROR(__xludf.DUMMYFUNCTION("""COMPUTED_VALUE"""),1235.936111111111)</f>
        <v>1235.936111</v>
      </c>
      <c r="JG103" s="1576">
        <f>IFERROR(__xludf.DUMMYFUNCTION("""COMPUTED_VALUE"""),3.041214E13)</f>
        <v>30412140000000</v>
      </c>
      <c r="JH103" s="1466">
        <f>IFERROR(__xludf.DUMMYFUNCTION("""COMPUTED_VALUE"""),272.59722222222223)</f>
        <v>272.5972222</v>
      </c>
      <c r="JI103" s="1576">
        <f>IFERROR(__xludf.DUMMYFUNCTION("""COMPUTED_VALUE"""),1.652089E13)</f>
        <v>16520890000000</v>
      </c>
      <c r="JJ103" s="1466">
        <f>IFERROR(__xludf.DUMMYFUNCTION("""COMPUTED_VALUE"""),5021.766666666666)</f>
        <v>5021.766667</v>
      </c>
      <c r="JK103" s="1576">
        <f>IFERROR(__xludf.DUMMYFUNCTION("""COMPUTED_VALUE"""),1.1625E20)</f>
        <v>1.1625E+20</v>
      </c>
      <c r="JL103" s="1466">
        <f>IFERROR(__xludf.DUMMYFUNCTION("""COMPUTED_VALUE"""),5021.766666666666)</f>
        <v>5021.766667</v>
      </c>
      <c r="JM103" s="1576">
        <f>IFERROR(__xludf.DUMMYFUNCTION("""COMPUTED_VALUE"""),1.1625E20)</f>
        <v>1.1625E+20</v>
      </c>
      <c r="JN103" s="1466">
        <f>IFERROR(__xludf.DUMMYFUNCTION("""COMPUTED_VALUE"""),5021.766666666666)</f>
        <v>5021.766667</v>
      </c>
      <c r="JO103" s="1576">
        <f>IFERROR(__xludf.DUMMYFUNCTION("""COMPUTED_VALUE"""),1.1625E20)</f>
        <v>1.1625E+20</v>
      </c>
      <c r="JP103" s="1466">
        <f>IFERROR(__xludf.DUMMYFUNCTION("""COMPUTED_VALUE"""),5021.766666666666)</f>
        <v>5021.766667</v>
      </c>
      <c r="JQ103" s="1576">
        <f>IFERROR(__xludf.DUMMYFUNCTION("""COMPUTED_VALUE"""),1.1625E20)</f>
        <v>1.1625E+20</v>
      </c>
      <c r="JR103" s="1466">
        <f>IFERROR(__xludf.DUMMYFUNCTION("""COMPUTED_VALUE"""),5021.766666666666)</f>
        <v>5021.766667</v>
      </c>
      <c r="JS103" s="1576">
        <f>IFERROR(__xludf.DUMMYFUNCTION("""COMPUTED_VALUE"""),1.1625E20)</f>
        <v>1.1625E+20</v>
      </c>
      <c r="JT103" s="1466">
        <f>IFERROR(__xludf.DUMMYFUNCTION("""COMPUTED_VALUE"""),5021.766666666666)</f>
        <v>5021.766667</v>
      </c>
      <c r="JU103" s="1576">
        <f>IFERROR(__xludf.DUMMYFUNCTION("""COMPUTED_VALUE"""),1.1625E20)</f>
        <v>1.1625E+20</v>
      </c>
      <c r="JV103" s="1466">
        <f>IFERROR(__xludf.DUMMYFUNCTION("""COMPUTED_VALUE"""),1255.4333333333334)</f>
        <v>1255.433333</v>
      </c>
      <c r="JW103" s="1576">
        <f>IFERROR(__xludf.DUMMYFUNCTION("""COMPUTED_VALUE"""),6.050108089305E16)</f>
        <v>6.05011E+16</v>
      </c>
      <c r="JX103" s="1466">
        <f>IFERROR(__xludf.DUMMYFUNCTION("""COMPUTED_VALUE"""),59.74105324199999)</f>
        <v>59.74105324</v>
      </c>
      <c r="JY103" s="1576">
        <f>IFERROR(__xludf.DUMMYFUNCTION("""COMPUTED_VALUE"""),1.988198E10)</f>
        <v>19881980000</v>
      </c>
      <c r="JZ103" s="1466">
        <f>IFERROR(__xludf.DUMMYFUNCTION("""COMPUTED_VALUE"""),484.4889814770002)</f>
        <v>484.4889815</v>
      </c>
      <c r="KA103" s="1576">
        <f>IFERROR(__xludf.DUMMYFUNCTION("""COMPUTED_VALUE"""),1.332787041E13)</f>
        <v>13327870410000</v>
      </c>
      <c r="KB103" s="1466">
        <f>IFERROR(__xludf.DUMMYFUNCTION("""COMPUTED_VALUE"""),249.60554397700002)</f>
        <v>249.605544</v>
      </c>
      <c r="KC103" s="1576">
        <f>IFERROR(__xludf.DUMMYFUNCTION("""COMPUTED_VALUE"""),4.50192103E12)</f>
        <v>4501921030000</v>
      </c>
      <c r="KD103" s="1466">
        <f>IFERROR(__xludf.DUMMYFUNCTION("""COMPUTED_VALUE"""),314.204189801)</f>
        <v>314.2041898</v>
      </c>
      <c r="KE103" s="1576">
        <f>IFERROR(__xludf.DUMMYFUNCTION("""COMPUTED_VALUE"""),3.561415E13)</f>
        <v>35614150000000</v>
      </c>
      <c r="KF103" s="1466">
        <f>IFERROR(__xludf.DUMMYFUNCTION("""COMPUTED_VALUE"""),314.204189801)</f>
        <v>314.2041898</v>
      </c>
      <c r="KG103" s="1576">
        <f>IFERROR(__xludf.DUMMYFUNCTION("""COMPUTED_VALUE"""),3.561415E13)</f>
        <v>35614150000000</v>
      </c>
      <c r="KH103" s="1466">
        <f>IFERROR(__xludf.DUMMYFUNCTION("""COMPUTED_VALUE"""),110.088310182)</f>
        <v>110.0883102</v>
      </c>
      <c r="KI103" s="1576">
        <f>IFERROR(__xludf.DUMMYFUNCTION("""COMPUTED_VALUE"""),2.84254E13)</f>
        <v>28425400000000</v>
      </c>
      <c r="KJ103" s="1466">
        <f>IFERROR(__xludf.DUMMYFUNCTION("""COMPUTED_VALUE"""),2.0)</f>
        <v>2</v>
      </c>
      <c r="KK103" s="1576">
        <f>IFERROR(__xludf.DUMMYFUNCTION("""COMPUTED_VALUE"""),1.0E7)</f>
        <v>10000000</v>
      </c>
      <c r="KL103" s="1466">
        <f>IFERROR(__xludf.DUMMYFUNCTION("""COMPUTED_VALUE"""),1472.853738425926)</f>
        <v>1472.853738</v>
      </c>
      <c r="KM103" s="1576">
        <f>IFERROR(__xludf.DUMMYFUNCTION("""COMPUTED_VALUE"""),2.06356E15)</f>
        <v>2.06356E+15</v>
      </c>
      <c r="KN103" s="1466">
        <f>IFERROR(__xludf.DUMMYFUNCTION("""COMPUTED_VALUE"""),495.83333333333337)</f>
        <v>495.8333333</v>
      </c>
      <c r="KO103" s="1576">
        <f>IFERROR(__xludf.DUMMYFUNCTION("""COMPUTED_VALUE"""),5.50505E16)</f>
        <v>5.50505E+16</v>
      </c>
      <c r="KP103" s="1466">
        <f>IFERROR(__xludf.DUMMYFUNCTION("""COMPUTED_VALUE"""),495.83333333333337)</f>
        <v>495.8333333</v>
      </c>
      <c r="KQ103" s="1576">
        <f>IFERROR(__xludf.DUMMYFUNCTION("""COMPUTED_VALUE"""),5.50505E16)</f>
        <v>5.50505E+16</v>
      </c>
      <c r="KR103" s="1466">
        <f>IFERROR(__xludf.DUMMYFUNCTION("""COMPUTED_VALUE"""),429.16666666666663)</f>
        <v>429.1666667</v>
      </c>
      <c r="KS103" s="1576">
        <f>IFERROR(__xludf.DUMMYFUNCTION("""COMPUTED_VALUE"""),5.0505E16)</f>
        <v>5.0505E+16</v>
      </c>
      <c r="KT103" s="1466">
        <f>IFERROR(__xludf.DUMMYFUNCTION("""COMPUTED_VALUE"""),912.5)</f>
        <v>912.5</v>
      </c>
      <c r="KU103" s="1576">
        <f>IFERROR(__xludf.DUMMYFUNCTION("""COMPUTED_VALUE"""),5.5555505E17)</f>
        <v>5.55555E+17</v>
      </c>
      <c r="KV103" s="1577"/>
      <c r="KW103" s="1577"/>
      <c r="KX103" s="1577"/>
      <c r="KY103" s="1577"/>
      <c r="KZ103" s="1577"/>
      <c r="LA103" s="1577"/>
      <c r="LB103" s="1577"/>
      <c r="LC103" s="1577"/>
      <c r="LD103" s="1577"/>
      <c r="LE103" s="1577"/>
      <c r="LF103" s="1577"/>
      <c r="LG103" s="1577"/>
      <c r="LH103" s="1577"/>
      <c r="LI103" s="1577"/>
      <c r="LJ103" s="1577"/>
      <c r="LK103" s="1577"/>
      <c r="LL103" s="1466">
        <f>IFERROR(__xludf.DUMMYFUNCTION("""COMPUTED_VALUE"""),916.6666666666666)</f>
        <v>916.6666667</v>
      </c>
      <c r="LM103" s="1466">
        <f>IFERROR(__xludf.DUMMYFUNCTION("""COMPUTED_VALUE"""),1.2475E18)</f>
        <v>1.2475E+18</v>
      </c>
      <c r="LN103" s="1466">
        <f>IFERROR(__xludf.DUMMYFUNCTION("""COMPUTED_VALUE"""),2834.867361111111)</f>
        <v>2834.867361</v>
      </c>
      <c r="LO103" s="1576">
        <f>IFERROR(__xludf.DUMMYFUNCTION("""COMPUTED_VALUE"""),4.2E19)</f>
        <v>4.2E+19</v>
      </c>
      <c r="LP103" s="1578"/>
      <c r="LQ103" s="1578"/>
      <c r="LR103" s="1466">
        <f>IFERROR(__xludf.DUMMYFUNCTION("""COMPUTED_VALUE"""),2834.867361111111)</f>
        <v>2834.867361</v>
      </c>
      <c r="LS103" s="1576">
        <f>IFERROR(__xludf.DUMMYFUNCTION("""COMPUTED_VALUE"""),4.2E19)</f>
        <v>4.2E+19</v>
      </c>
      <c r="LT103" s="1578"/>
      <c r="LU103" s="1578"/>
      <c r="LV103" s="1466">
        <f>IFERROR(__xludf.DUMMYFUNCTION("""COMPUTED_VALUE"""),2834.867361111111)</f>
        <v>2834.867361</v>
      </c>
      <c r="LW103" s="1576">
        <f>IFERROR(__xludf.DUMMYFUNCTION("""COMPUTED_VALUE"""),4.2E19)</f>
        <v>4.2E+19</v>
      </c>
      <c r="LX103" s="1578"/>
      <c r="LY103" s="1578"/>
      <c r="LZ103" s="1466">
        <f>IFERROR(__xludf.DUMMYFUNCTION("""COMPUTED_VALUE"""),3401.8402777777783)</f>
        <v>3401.840278</v>
      </c>
      <c r="MA103" s="1576">
        <f>IFERROR(__xludf.DUMMYFUNCTION("""COMPUTED_VALUE"""),1.05E20)</f>
        <v>1.05E+20</v>
      </c>
      <c r="MB103" s="1578"/>
      <c r="MC103" s="1578"/>
      <c r="MD103" s="1466">
        <f>IFERROR(__xludf.DUMMYFUNCTION("""COMPUTED_VALUE"""),3401.8402777777783)</f>
        <v>3401.840278</v>
      </c>
      <c r="ME103" s="1576">
        <f>IFERROR(__xludf.DUMMYFUNCTION("""COMPUTED_VALUE"""),1.05E20)</f>
        <v>1.05E+20</v>
      </c>
      <c r="MF103" s="1578"/>
      <c r="MG103" s="1578"/>
      <c r="MH103" s="1466">
        <f>IFERROR(__xludf.DUMMYFUNCTION("""COMPUTED_VALUE"""),755.9631944444444)</f>
        <v>755.9631944</v>
      </c>
      <c r="MI103" s="1576">
        <f>IFERROR(__xludf.DUMMYFUNCTION("""COMPUTED_VALUE"""),1.13330078125E20)</f>
        <v>1.1333E+20</v>
      </c>
      <c r="MJ103" s="1578"/>
      <c r="MK103" s="1578"/>
      <c r="ML103" s="1466">
        <f>IFERROR(__xludf.DUMMYFUNCTION("""COMPUTED_VALUE"""),755.9631944444444)</f>
        <v>755.9631944</v>
      </c>
      <c r="MM103" s="1576">
        <f>IFERROR(__xludf.DUMMYFUNCTION("""COMPUTED_VALUE"""),1.13330078125E20)</f>
        <v>1.1333E+20</v>
      </c>
      <c r="MN103" s="1578"/>
      <c r="MO103" s="1578"/>
      <c r="MP103" s="1466">
        <f>IFERROR(__xludf.DUMMYFUNCTION("""COMPUTED_VALUE"""),755.9631944444444)</f>
        <v>755.9631944</v>
      </c>
      <c r="MQ103" s="1576">
        <f>IFERROR(__xludf.DUMMYFUNCTION("""COMPUTED_VALUE"""),1.13330078125E20)</f>
        <v>1.1333E+20</v>
      </c>
      <c r="MR103" s="1578"/>
      <c r="MS103" s="1578"/>
      <c r="MT103" s="1466">
        <f>IFERROR(__xludf.DUMMYFUNCTION("""COMPUTED_VALUE"""),1071.8486111111113)</f>
        <v>1071.848611</v>
      </c>
      <c r="MU103" s="1576">
        <f>IFERROR(__xludf.DUMMYFUNCTION("""COMPUTED_VALUE"""),2.046E21)</f>
        <v>2.046E+21</v>
      </c>
      <c r="MV103" s="1578"/>
      <c r="MW103" s="1578"/>
      <c r="MX103" s="1466">
        <f>IFERROR(__xludf.DUMMYFUNCTION("""COMPUTED_VALUE"""),1071.8486111111113)</f>
        <v>1071.848611</v>
      </c>
      <c r="MY103" s="1576">
        <f>IFERROR(__xludf.DUMMYFUNCTION("""COMPUTED_VALUE"""),2.046E21)</f>
        <v>2.046E+21</v>
      </c>
    </row>
  </sheetData>
  <mergeCells count="180">
    <mergeCell ref="B1:C1"/>
    <mergeCell ref="D1:E1"/>
    <mergeCell ref="F1:G1"/>
    <mergeCell ref="H1:I1"/>
    <mergeCell ref="J1:K1"/>
    <mergeCell ref="L1:M1"/>
    <mergeCell ref="N1:O1"/>
    <mergeCell ref="P1:Q1"/>
    <mergeCell ref="R1:S1"/>
    <mergeCell ref="T1:U1"/>
    <mergeCell ref="V1:W1"/>
    <mergeCell ref="X1:Y1"/>
    <mergeCell ref="Z1:AA1"/>
    <mergeCell ref="AB1:AC1"/>
    <mergeCell ref="AD1:AE1"/>
    <mergeCell ref="AF1:AG1"/>
    <mergeCell ref="AH1:AI1"/>
    <mergeCell ref="AJ1:AK1"/>
    <mergeCell ref="AL1:AM1"/>
    <mergeCell ref="AN1:AO1"/>
    <mergeCell ref="AP1:AQ1"/>
    <mergeCell ref="AR1:AS1"/>
    <mergeCell ref="AT1:AU1"/>
    <mergeCell ref="AV1:AW1"/>
    <mergeCell ref="AX1:AY1"/>
    <mergeCell ref="AZ1:BA1"/>
    <mergeCell ref="BB1:BC1"/>
    <mergeCell ref="BD1:BE1"/>
    <mergeCell ref="BF1:BG1"/>
    <mergeCell ref="BH1:BI1"/>
    <mergeCell ref="BJ1:BK1"/>
    <mergeCell ref="BL1:BM1"/>
    <mergeCell ref="BN1:BO1"/>
    <mergeCell ref="BP1:BQ1"/>
    <mergeCell ref="BR1:BS1"/>
    <mergeCell ref="BT1:BU1"/>
    <mergeCell ref="BV1:BW1"/>
    <mergeCell ref="BX1:BY1"/>
    <mergeCell ref="BZ1:CA1"/>
    <mergeCell ref="CB1:CC1"/>
    <mergeCell ref="CD1:CE1"/>
    <mergeCell ref="CF1:CG1"/>
    <mergeCell ref="CH1:CI1"/>
    <mergeCell ref="CJ1:CK1"/>
    <mergeCell ref="CL1:CM1"/>
    <mergeCell ref="CN1:CO1"/>
    <mergeCell ref="CP1:CQ1"/>
    <mergeCell ref="CR1:CS1"/>
    <mergeCell ref="CT1:CU1"/>
    <mergeCell ref="CV1:CW1"/>
    <mergeCell ref="CX1:CY1"/>
    <mergeCell ref="CZ1:DA1"/>
    <mergeCell ref="DB1:DC1"/>
    <mergeCell ref="DD1:DE1"/>
    <mergeCell ref="DF1:DG1"/>
    <mergeCell ref="DH1:DI1"/>
    <mergeCell ref="DJ1:DK1"/>
    <mergeCell ref="DL1:DM1"/>
    <mergeCell ref="DN1:DO1"/>
    <mergeCell ref="DP1:DQ1"/>
    <mergeCell ref="DR1:DS1"/>
    <mergeCell ref="DT1:DU1"/>
    <mergeCell ref="DV1:DW1"/>
    <mergeCell ref="DX1:DY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FN1:FO1"/>
    <mergeCell ref="FP1:FQ1"/>
    <mergeCell ref="FR1:FS1"/>
    <mergeCell ref="FT1:FU1"/>
    <mergeCell ref="FV1:FW1"/>
    <mergeCell ref="FX1:FY1"/>
    <mergeCell ref="FZ1:GA1"/>
    <mergeCell ref="GB1:GC1"/>
    <mergeCell ref="GD1:GE1"/>
    <mergeCell ref="GF1:GG1"/>
    <mergeCell ref="GH1:GI1"/>
    <mergeCell ref="GJ1:GK1"/>
    <mergeCell ref="GL1:GM1"/>
    <mergeCell ref="GN1:GO1"/>
    <mergeCell ref="KL1:KM1"/>
    <mergeCell ref="KN1:KO1"/>
    <mergeCell ref="KP1:KQ1"/>
    <mergeCell ref="KR1:KS1"/>
    <mergeCell ref="KT1:KU1"/>
    <mergeCell ref="KV1:KW1"/>
    <mergeCell ref="KX1:KY1"/>
    <mergeCell ref="KZ1:LA1"/>
    <mergeCell ref="LB1:LC1"/>
    <mergeCell ref="LD1:LE1"/>
    <mergeCell ref="LF1:LG1"/>
    <mergeCell ref="LH1:LI1"/>
    <mergeCell ref="LJ1:LK1"/>
    <mergeCell ref="LL1:LM1"/>
    <mergeCell ref="LN1:LO1"/>
    <mergeCell ref="LP1:LQ1"/>
    <mergeCell ref="LR1:LS1"/>
    <mergeCell ref="LT1:LU1"/>
    <mergeCell ref="LV1:LW1"/>
    <mergeCell ref="LX1:LY1"/>
    <mergeCell ref="LZ1:MA1"/>
    <mergeCell ref="MP1:MQ1"/>
    <mergeCell ref="MR1:MS1"/>
    <mergeCell ref="MT1:MU1"/>
    <mergeCell ref="MV1:MW1"/>
    <mergeCell ref="MX1:MY1"/>
    <mergeCell ref="MB1:MC1"/>
    <mergeCell ref="MD1:ME1"/>
    <mergeCell ref="MF1:MG1"/>
    <mergeCell ref="MH1:MI1"/>
    <mergeCell ref="MJ1:MK1"/>
    <mergeCell ref="ML1:MM1"/>
    <mergeCell ref="MN1:MO1"/>
    <mergeCell ref="GP1:GQ1"/>
    <mergeCell ref="GR1:GS1"/>
    <mergeCell ref="GT1:GU1"/>
    <mergeCell ref="GV1:GW1"/>
    <mergeCell ref="GZ1:HA1"/>
    <mergeCell ref="HB1:HC1"/>
    <mergeCell ref="HD1:HE1"/>
    <mergeCell ref="HF1:HG1"/>
    <mergeCell ref="HH1:HI1"/>
    <mergeCell ref="HJ1:HK1"/>
    <mergeCell ref="HL1:HM1"/>
    <mergeCell ref="HN1:HO1"/>
    <mergeCell ref="HP1:HQ1"/>
    <mergeCell ref="HR1:HS1"/>
    <mergeCell ref="HT1:HU1"/>
    <mergeCell ref="HV1:HW1"/>
    <mergeCell ref="HX1:HY1"/>
    <mergeCell ref="HZ1:IA1"/>
    <mergeCell ref="IB1:IC1"/>
    <mergeCell ref="ID1:IE1"/>
    <mergeCell ref="IF1:IG1"/>
    <mergeCell ref="IH1:II1"/>
    <mergeCell ref="IJ1:IK1"/>
    <mergeCell ref="IL1:IM1"/>
    <mergeCell ref="IN1:IO1"/>
    <mergeCell ref="IP1:IQ1"/>
    <mergeCell ref="IR1:IS1"/>
    <mergeCell ref="IT1:IU1"/>
    <mergeCell ref="IV1:IW1"/>
    <mergeCell ref="IX1:IY1"/>
    <mergeCell ref="IZ1:JA1"/>
    <mergeCell ref="JB1:JC1"/>
    <mergeCell ref="JD1:JE1"/>
    <mergeCell ref="JF1:JG1"/>
    <mergeCell ref="JH1:JI1"/>
    <mergeCell ref="JJ1:JK1"/>
    <mergeCell ref="JL1:JM1"/>
    <mergeCell ref="JN1:JO1"/>
    <mergeCell ref="JP1:JQ1"/>
    <mergeCell ref="JR1:JS1"/>
    <mergeCell ref="JT1:JU1"/>
    <mergeCell ref="JV1:JW1"/>
    <mergeCell ref="JX1:JY1"/>
    <mergeCell ref="JZ1:KA1"/>
    <mergeCell ref="KB1:KC1"/>
    <mergeCell ref="KD1:KE1"/>
    <mergeCell ref="KF1:KG1"/>
    <mergeCell ref="KH1:KI1"/>
    <mergeCell ref="KJ1:KK1"/>
  </mergeCells>
  <conditionalFormatting sqref="Q89">
    <cfRule type="notContainsBlanks" dxfId="16" priority="1">
      <formula>LEN(TRIM(Q89))&gt;0</formula>
    </cfRule>
  </conditionalFormatting>
  <drawing r:id="rId1"/>
</worksheet>
</file>