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user\DOCUME~1\MobaXterm\slash\RemoteFiles\526986_2_17\"/>
    </mc:Choice>
  </mc:AlternateContent>
  <xr:revisionPtr revIDLastSave="0" documentId="13_ncr:1_{38588C2D-14C8-4FBC-9E8C-1EC3BCF3A771}" xr6:coauthVersionLast="47" xr6:coauthVersionMax="47" xr10:uidLastSave="{00000000-0000-0000-0000-000000000000}"/>
  <bookViews>
    <workbookView xWindow="-108" yWindow="-108" windowWidth="23256" windowHeight="12576" activeTab="4" xr2:uid="{00000000-000D-0000-FFFF-FFFF00000000}"/>
  </bookViews>
  <sheets>
    <sheet name="현황" sheetId="1" r:id="rId1"/>
    <sheet name="유형1" sheetId="2" r:id="rId2"/>
    <sheet name="유형2" sheetId="3" r:id="rId3"/>
    <sheet name="유형3" sheetId="4" r:id="rId4"/>
    <sheet name="유형4" sheetId="5" r:id="rId5"/>
    <sheet name="유형5" sheetId="6" r:id="rId6"/>
    <sheet name="유형6" sheetId="7" r:id="rId7"/>
    <sheet name="유형7" sheetId="8" r:id="rId8"/>
    <sheet name="유형8" sheetId="9" r:id="rId9"/>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81" i="9" l="1"/>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99" i="9"/>
  <c r="D98" i="9"/>
  <c r="D97"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D8" i="7"/>
  <c r="D3" i="7"/>
  <c r="D2" i="7"/>
  <c r="D102" i="6"/>
  <c r="D98" i="6"/>
  <c r="D97" i="6"/>
  <c r="D96" i="6"/>
  <c r="D95" i="6"/>
  <c r="D84" i="6"/>
  <c r="D83" i="6"/>
  <c r="D82" i="6"/>
  <c r="D81" i="6"/>
  <c r="D79" i="6"/>
  <c r="D78" i="6"/>
  <c r="D77" i="6"/>
  <c r="D75" i="6"/>
  <c r="D64" i="6"/>
  <c r="D63" i="6"/>
  <c r="D62" i="6"/>
  <c r="D61" i="6"/>
  <c r="D60" i="6"/>
  <c r="D59" i="6"/>
  <c r="D55" i="6"/>
  <c r="D39" i="6"/>
  <c r="D38" i="6"/>
  <c r="D37" i="6"/>
  <c r="D36" i="6"/>
  <c r="D35" i="6"/>
  <c r="D14" i="6"/>
  <c r="D4" i="5"/>
  <c r="D3" i="5"/>
  <c r="D43" i="3"/>
  <c r="D41" i="3"/>
  <c r="D39" i="3"/>
  <c r="D38" i="3"/>
  <c r="D37" i="3"/>
  <c r="D36" i="3"/>
  <c r="D34" i="3"/>
  <c r="D33" i="3"/>
  <c r="D32" i="3"/>
  <c r="D31" i="3"/>
  <c r="D30" i="3"/>
  <c r="D28" i="3"/>
  <c r="D27" i="3"/>
  <c r="D25" i="3"/>
  <c r="D24" i="3"/>
  <c r="D23" i="3"/>
  <c r="D22" i="3"/>
  <c r="D20" i="3"/>
  <c r="D19" i="3"/>
  <c r="D18" i="3"/>
  <c r="D17" i="3"/>
  <c r="D13" i="3"/>
  <c r="D12" i="3"/>
  <c r="D11" i="3"/>
  <c r="D9" i="3"/>
  <c r="D8" i="3"/>
  <c r="D7" i="3"/>
  <c r="D5" i="3"/>
  <c r="D4" i="3"/>
  <c r="D3" i="3"/>
  <c r="D2" i="3"/>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I20" i="1"/>
  <c r="H20" i="1"/>
  <c r="G20" i="1"/>
  <c r="F20" i="1"/>
  <c r="E20" i="1"/>
  <c r="D20" i="1"/>
  <c r="C20" i="1"/>
  <c r="B20" i="1"/>
  <c r="J19" i="1"/>
  <c r="J18" i="1"/>
  <c r="J17" i="1"/>
  <c r="J16" i="1"/>
  <c r="J15" i="1"/>
  <c r="J14" i="1"/>
  <c r="J13" i="1"/>
  <c r="J12" i="1"/>
  <c r="J11" i="1"/>
  <c r="J10" i="1"/>
  <c r="J9" i="1"/>
  <c r="J8" i="1"/>
  <c r="J7" i="1"/>
  <c r="J6" i="1"/>
  <c r="J5" i="1"/>
  <c r="J4" i="1"/>
  <c r="J3" i="1"/>
  <c r="J2" i="1"/>
  <c r="J20" i="1" s="1"/>
</calcChain>
</file>

<file path=xl/sharedStrings.xml><?xml version="1.0" encoding="utf-8"?>
<sst xmlns="http://schemas.openxmlformats.org/spreadsheetml/2006/main" count="1308" uniqueCount="926">
  <si>
    <t>날짜</t>
  </si>
  <si>
    <t>유형1
(산술 연산)</t>
  </si>
  <si>
    <t>유형2
(순서 정하기)</t>
  </si>
  <si>
    <t>유형3
(조합하기)</t>
  </si>
  <si>
    <t>유형4
(수찾기-1)</t>
  </si>
  <si>
    <t>유형5
(수찾기-2)</t>
  </si>
  <si>
    <t>유형6
(수찾기-3)</t>
  </si>
  <si>
    <t>유형7
(크기비교)</t>
  </si>
  <si>
    <t>유형 8
(도형 서술)</t>
  </si>
  <si>
    <t>계</t>
  </si>
  <si>
    <t>20210927 / 월</t>
  </si>
  <si>
    <t>-</t>
  </si>
  <si>
    <t>20210928 / 화</t>
  </si>
  <si>
    <t>20210929 / 수</t>
  </si>
  <si>
    <t>20210930 / 목</t>
  </si>
  <si>
    <t>20211001 / 금</t>
  </si>
  <si>
    <t>20211005 / 화</t>
  </si>
  <si>
    <t>20211006 / 수</t>
  </si>
  <si>
    <t>20211007 / 목</t>
  </si>
  <si>
    <t>20211008 / 금</t>
  </si>
  <si>
    <t>20211012 / 화</t>
  </si>
  <si>
    <t>20211013 / 수</t>
  </si>
  <si>
    <t>20211014 / 목</t>
  </si>
  <si>
    <t>20211015 / 금</t>
  </si>
  <si>
    <t>20211018 / 월</t>
  </si>
  <si>
    <t>20211019 / 화</t>
  </si>
  <si>
    <t>20211020 / 수</t>
  </si>
  <si>
    <t>20211021 / 목</t>
  </si>
  <si>
    <t>20211022 / 금</t>
  </si>
  <si>
    <t>합계</t>
  </si>
  <si>
    <t>번호</t>
  </si>
  <si>
    <t>문제</t>
  </si>
  <si>
    <t>정답</t>
  </si>
  <si>
    <t>비고</t>
  </si>
  <si>
    <t>태형이네 학교 어린이 62명과 남준이네 학교 어린이 83명이 어린이 캠프에 참가했습니다. 참가한 어린이는 모두 몇 명입니까?</t>
  </si>
  <si>
    <t>연산해야 할 두 대상의 값이 주어진 경우(단순 연산)</t>
  </si>
  <si>
    <t>운동장에 23명의 운동 선수가 있습니다. 그중에서 9명이 여자 선수입니다. 남자 선수는 몇 명입니까?</t>
  </si>
  <si>
    <t>남준이와 석진이는 농구 시합을 하였습니다. 석진이가 남준이보다 18점을 더 얻었습니다. 남준이가 68점을 얻었다면 석진이가 얻은 점수는 몇 점입니까?</t>
  </si>
  <si>
    <t>연산해야 할 하나의 대상의 값이 주어지고, 둘 사이의 관계가 주어진 경우
- 나머지 값 찾기</t>
  </si>
  <si>
    <t>트럭 두 대에 통나무가 실려 있습니다. 앞 트럭에는 52개의 통나무가 실려 있고, 뒷 트럭에는 앞 트럭보다 12개의 통나무가 더 실려 있습니다. 뒷 트럭에 실려 있는 통나무는 몇 개입니까?</t>
  </si>
  <si>
    <t>윤기와 호석이는 함께 밤을 주웠습니다. 윤기는 54개를 주웠고, 호석이는 윤기보다 16개 적게 주웠습니다. 호석이는 밤을 몇 개 주웠습니까?</t>
  </si>
  <si>
    <t>은지는 색종이를 42장 가지고 있고, 유나는 은지보다 17장 적게 가지고 있습니다. 유나가 가지고 있는 색종이는 몇 장입니까?</t>
  </si>
  <si>
    <t>지민이는 42개의 구슬을 가지고 목걸이를 만들었습니다. 정국이는 지민이보다 18개 더 많은 구슬을 가지고 목걸이를 만들었습니다. 두 사람이 목걸이를 만드는 데 사용한 구슬은 모두 몇 개입니까?</t>
  </si>
  <si>
    <t>연산해야 할 하나의 대상의 값이 주어지고, 둘 사이의 관계가 주어진 경우
- 전체 값 찾기</t>
  </si>
  <si>
    <t>민영이는 조개 껍데기를 19개 주웠습니다. 유정이는 민영이보다 3개 더 많이 주웠습니다. 민영이와 유정이가 주운 조개 껍데기는 모두 몇 개입니까?</t>
  </si>
  <si>
    <t>윤기는 장난감을 15개 가지고 있고, 호석이는 윤기보다 7개 적게 가지고 있습니다. 윤기와 호석이가 가지고 있는 장난감은 모두 몇 개입니까?</t>
  </si>
  <si>
    <t>유나는 별사탕을 27개 가지고 있습니다. 정국이는 유나보다 3개 적게 가지고 있습니다. 정국이와 유나가 가지고 있는 별사탕은 모두 몇 개입니까?</t>
  </si>
  <si>
    <t>버스에 20명이 타고 출발하여 첫 번째 정류장에서 13명이 내리고 7명이 탔습니다. 지금 버스 안에 있는 사람은 몇 명입니까?</t>
  </si>
  <si>
    <t>자연수의 혼합계산 - 덧셈과 뺄셈이 섞여 있는 식의 활용</t>
  </si>
  <si>
    <t>태형이네 반은 남학생이 14명, 여학생이 13명입니다. 이 중에서 안경을 쓴 학생이 9명이라면 안경을 쓰지 않은 학생은 몇 명입니까?</t>
  </si>
  <si>
    <t>은지의 키는 138cm이고, 아버지의 키는 172cm입니다. 언니의 키는 소미보다 10cm 더 클 때, 아버지와 언니의 키의 차는 몇 cm입니까?</t>
  </si>
  <si>
    <t>자연수의 혼합계산 - 덧셈과 뺄셈이 섞여 있는 식의 활용 (괄호사용)</t>
  </si>
  <si>
    <t>복숭아가 한 봉지에 4개씩 6봉지 있습니다. 이것을 3명에게 똑같이 나누어 주려면 한 사람에게 몇 개씩 나누어 주면 됩니까?</t>
  </si>
  <si>
    <t>자연수의 혼합계산 - 곱셈과 나눗셈이 섞여 있는 식의 활용</t>
  </si>
  <si>
    <t xml:space="preserve">민영이네 반 24명의 학생들은 6명씩 한 모둠을 만들어 하천 주변에서 쓰레기 줍기를 하였습니다. 한 모둠당 쓰레기봉투를 2개씩 받았다면 나누어 준 쓰레기봉투는 모두 몇 개입니까? </t>
  </si>
  <si>
    <t>색연필 한 타는 12자루입니다. 색연필 10타를 8명에게 똑같이 나누어 준다면 한 사람이 가지게 되는 색연필은 몇 자루입니까?</t>
  </si>
  <si>
    <t>한 사람이 한 시간에 종이학을 8개씩 만들 수 있다고 합니다. 4명이 종이학 160개를 만들려면 몇 시간이 걸립니까?</t>
  </si>
  <si>
    <t>자연수의 혼합계산 - 곱셈과 나눗셈이 섞여 있는 식의 활용 (괄호사용)</t>
  </si>
  <si>
    <t>과일가게에 귤이 80개 있습니다. 석진이가 16개를 사갔고, 윤기가 12개를 사갔습니다. 과일가게에 남은 귤은 몇 개입니까?</t>
  </si>
  <si>
    <t>자연수의 혼합 계산 - 뻴셈이 두 번 있는 식의 활용</t>
  </si>
  <si>
    <t>(가) 도서관에서 하루에 11권의 과학책과 24권의 소설책이 대여됩니다. 일주일 동안 대여된 소설책은 같은 기간 동안에 대여된 과학책보다 몇 권이 더 많습니까?</t>
  </si>
  <si>
    <t>자연수의 혼합 계산 - 뺄셈 곱셈이 섞여 있는 식 활용 (괄호사용)</t>
  </si>
  <si>
    <t>빵 26개를 남학생 5명과 여학생 4명에게 각각 2개씩 나누어 주었습니다. 남은 빵은 몇 개 입니까?</t>
  </si>
  <si>
    <t>자연수의 혼합 계산 - 덧셈, 뺄셈 곱셈이 섞여 있는 식 활용 (괄호사용)</t>
  </si>
  <si>
    <t>가방을 멘 남준이의 몸무게는 42kg이고, 가방 속에는 한 묶음이 4개이며, 무게가 2kg인 음료수가 들어 있습니다. 남준이가 음료수 한 개를 친구에게 주었다면 지금 가방을 멘 남준이의 몸무게는 몇 g입니까?</t>
  </si>
  <si>
    <t>자연수의 혼합 계산 - 뺄셈, 나눗셈이 섞여 있는 식 활용 (단위 변환)</t>
  </si>
  <si>
    <t>사탕 7개의 무게는 910g입니다. 사탕 한 개를 21g짜리 포장지로 포장을 하면 포장한 사탕 한 개의 무게는 몇 g입니까?</t>
  </si>
  <si>
    <t>자연수의 혼합 계산 - 덧셈, 나눗셈이 섞여 있는 식 활용</t>
  </si>
  <si>
    <t>유정이가 10000원을 가지고 마트에 가서 한 개에 450원 하는 아이스크림을 8개 샀습니다. 유정이가 아이스크림을 사고 남은 돈은 얼마입니까?</t>
  </si>
  <si>
    <t>자연수의 혼합 계산 - 뺄셈, 나눗셈이 섞여 있는 식 활용</t>
  </si>
  <si>
    <t>남학생 15명은 3명씩 한 모둠을 만들고, 여학생 14명은 2명씩 한 모둠을 만들었습니다. 만든 모둠은 모두 몇 모둠입니까?</t>
  </si>
  <si>
    <t>자연수의 혼합 계산 - 덧셈, 나눗셈(2번)이 섞여 있는 식 활용</t>
  </si>
  <si>
    <t>호석이네 반 학생 28명은 11명씩 2팀으로 나누어 축구를 하고, 나머지는 응원을 했습니다. 응원을 한 학생은 모두 몇 명입니까?</t>
  </si>
  <si>
    <t>자연수의 혼합 계산 - 덧셈, 뺄셈 나눗셈이 섞여 있는 식 활용</t>
  </si>
  <si>
    <t>연필 8타와 9자루를 7명의 친구들에게 똑같이 나누어 준다면, 한 사람이 몇 자루씩 갖게 됩니까?</t>
  </si>
  <si>
    <t>사칙 혼합 계산</t>
  </si>
  <si>
    <t>남준이는 지난 달까지 4300원을 예금하였고, 이번 달부터 4개월 동안 3000원씩 예금하여 12000원짜리 선물을 사서 부모님께 선물하려고 합니다. 선물을 산 후, 통장에 남게 되는 돈은 얼마입니까?</t>
  </si>
  <si>
    <t>석진이는 매일 빵을 2개씩 먹습니다. 빵 4개가 500원이라면 석진이가 30일 동안 먹는 빵의 값은 얼마입니까?</t>
  </si>
  <si>
    <t>윤기는 10000원을 가지고 한 개에 530원 하는 사과 8개와 한 개에 1800원 하는 배 2개를 샀습니다. 얼마를 거슬러 받아야 받아야 합니까?</t>
  </si>
  <si>
    <t>호석이네 반은 남학생이 18명이고, 여학생은 이보다 2명이 적다고 합니다. 이 학교 전체의 학생 수는 호석이네 반 학생 수의 11배보다 9명이 적다고 합니다. 호석이네 학교의 전체 학생은 몇 명입니까?</t>
  </si>
  <si>
    <t>민영이는 문구점에서 5권에 4000원인 공책 한 권과 팽이 한 개를 사고 10000원을 냈습니다. 거스름돈으로 2600원을 받았다면 팽이 한 개의 값은 얼마입니까?</t>
  </si>
  <si>
    <t>지민이는 한 상자에 4개씩 들어있는 구슬 5상자를 똑같이 2묶음으로 나누어 한 묶음을 가졌습니다. 이 중에서 3개를 동생에게 주고, 6개를 형에게서 받았다면 지민이가 가지고 있는 구슬은 몇 개입니까?</t>
  </si>
  <si>
    <t>자연수의 혼합 계산 - 덧셈, 뺄셈, 곱셈, 나눗셈이 섞여 있는 식 활용</t>
  </si>
  <si>
    <t>유나는 5000원을 가지고 슈퍼에 가서 1100원짜리 음료수를 4병 샀습니다. 남은 돈으로 문구점에서 연필 2자루를 사려고 했더니 400원이 모자랐습니다. 연필 한 자루의 값은 얼마입니까?</t>
  </si>
  <si>
    <t>A에 8을 더한 값은 4와 5의 곱에서 3을 뺀 값과 같습니다. A는 얼마입니까?</t>
  </si>
  <si>
    <t>자연수의 혼합 계산 - 뺄셈, 곱셈이 섞여 있는 식 활용</t>
  </si>
  <si>
    <t>운동장에 여학생이 4명씩 6줄로 앉아 있고, 남학생은 3명씩 7줄로 뛰어가고 있습니다. 운동장에 있는 학생은 모두 몇 명입니까?</t>
  </si>
  <si>
    <t>자연수의 혼합 계산 - 덧셈, 곱셈이 섞여 있는 식 활용</t>
  </si>
  <si>
    <t>은지는 2850원을 가지고 있습니다. 공책을 사고 나니 1480원이 남았습니다. 은지는 공책을 사는데 얼마를 썼습니까?</t>
  </si>
  <si>
    <t>역연산 관계를 이용하여 미지수 구하기</t>
  </si>
  <si>
    <t>A 과수원에는 배나무 50그루가 있습니다. 한 그루에 평균 72개씩 배가 열렸습니다. 배 한개의 값이 800원이라면 배를 판 금액은 모두 얼마입니까?</t>
  </si>
  <si>
    <t>평균</t>
  </si>
  <si>
    <t>유정이가 본 4번의 수학 시험의 평균 점수는 88점입니다. 유정이의 수학 시험의 평균 점수가 90점이 되려면 다음 번 수학 시험에서 몇 점을 받으면 되겠습니까?</t>
  </si>
  <si>
    <t>정국이네 학교에는 1학년에서 6학년까지 각 학년당 6반씩 있습니다. 각 반에서 하루에 평균 36개의 우유를 마신다고 합니다. 정국이네 학교에서 하루에 마시는 우유는 몇 개입니까?</t>
  </si>
  <si>
    <t>태형이네 반 남녀 학생들의 몸무게의 평균을 조사하였습니다. 남학생 13명의 몸무게는 평균은 37.9kg이었고, 여학생 12명의 몸무게의 평균은 32.9kg이었습니다. 태형이네 반 전체 학생의 몸무게의 평균은 몇 kg입니까?</t>
  </si>
  <si>
    <t>한 병에 7/8리터씩 들어 있는 식헤가 8병 있습니다. 이 식혜를 7일 동안 똑같이 나누어 마시려면 하루에 마셔야 할 식혜는 몇 리터입니까?</t>
  </si>
  <si>
    <t>분수의 나눗셈 - 자연수 나누기 자연수의 활용</t>
  </si>
  <si>
    <t>민재와 희찬이는 각자 가지고 있는 찰흙 1/2kg과 3/10kg을 섞어서 똑같이 나누어 가졌습니다. 민재가 지금 가지고 있는 찰흙은 몇 kg입니까?</t>
  </si>
  <si>
    <t>분수의 나눗셈 - 진분수 나누기 자연수의 활용</t>
  </si>
  <si>
    <t>은빈이와 언니는 각자 가지고 있는 음료수 6/5리터와 12/5리터를 섞어서 동생에게 1리터를 주고 나머지를 똑같이 나누어 가졌습니다. 은빈이가 지금 가지고 있는 음료수의 양은 몇 리터입니까?</t>
  </si>
  <si>
    <t>분수의 나눗셈 - 가분수 나누기 자연수의 활용</t>
  </si>
  <si>
    <t>우영이는 컴퓨터 게임을 2시간 했고, 현우는 3/5시간 했습니다. 현우가 컴퓨터 게임을 한 시간은 우영이가 한 시간의 몇 배입니까?</t>
  </si>
  <si>
    <t>끈 16/5m를 겹치지 않게 모두 사용하여 정사각형 모양을 만들었습니다. 만든 정사각형의 한 변의 길이는 몇 m입니까?</t>
  </si>
  <si>
    <t>분수의 나눗셈 - 가분수(대분수) 나누기 자연수의 활용</t>
  </si>
  <si>
    <t>동원이의 나이는 10살이고, 동생은 동원이보다 2살이 적습니다. 어머니의 나이는 동생의 나이의 5배보다 2살이 많습니다. 어머니의 나이는 몇 살입니까?</t>
  </si>
  <si>
    <t>자연수의 혼합 계산 - 덧셈, 뺄셈, 곱셈이 섞여 있는 식 활용</t>
  </si>
  <si>
    <t>유리병 30개를 모으면 화장지 1개를 받을 수 있습니다. 5명이 매일 45개씩 24일 동안 모으면 화장지를 몇 개나 받을 수 있습니까?</t>
  </si>
  <si>
    <t>자연수의 혼합 계산 - 덧셈, 곱셈, 나눗셈이 섞여 있는 식 활용</t>
  </si>
  <si>
    <t>종이접기 체험에서 파란색 색종이 13장과 초록색 색종이 17장을 받아 민지네 모둠 학생 5명이 똑같이 나누어 가졌습니다. 영웅이가 꽃을 만드는데 색종이 3장을 사용했을 때, 영웅이에게 남은 색종이는 몇 장입니까?</t>
  </si>
  <si>
    <t>자연수의 혼합 계산 - 덧셈, 뺄셈, 나눗셈이 섞여 있는 식 활용</t>
  </si>
  <si>
    <t>공책 한 권의 무게는 100g, 연필 한 타의 무게는 270g, 지우개 한 개의 무게는 30g입니다. 공책 2권, 연필 4자루, 지우개 2개의 무게는 모두 몇 g입니까?</t>
  </si>
  <si>
    <t>한 상자에 10개씩 들어 있는 달걀이 4상자 있습니다. 상자를 모두 열어 보니 4개가 깨져서 버리고 남은 달걀을 6봉지에 똑같이 나누어 한 봉지를 찬원이가 가졌습니다. 찬원이가 가진 달걀 중 2개를 요리하여 먹었다면 남은 달걀은 몇 개입니까?</t>
  </si>
  <si>
    <t>사과를 5명에게 나누어 주어야 할 것을 잘못하여 4명에게 똑같이 나누어 주었더니 한 사람당 13개씩 주고 3개가 남았습니다. 사과를 5명에게 똑같이 나누어 주면 한 사람당 최대한 몇 개씩 가지게 됩니까?</t>
  </si>
  <si>
    <t>수정과를 5명에게 똑같이 나누어 주어야 할 것을 잘못하여 4명에게 똑같이 나누어 주었더니 한 사람당 350ml씩 가지게 되었습니다. 나누어주었던 수정과를 다시 한개의 병에 모아서 5명에게 똑같이 나누어 준다면 한 사람당 얼마나 가지게 됩니까?</t>
  </si>
  <si>
    <t>자연수의 혼합 계산 - 곱셈, 나눗셈이 섞여 있는 식 활용</t>
  </si>
  <si>
    <t>지영이네 반 전체 학생수는 24명입니다. 그중에서 여학생은 전체의 5/8입니다. 여학생 중에서 1/3은 동생이 있습니다. 지영이네 반에서 동생이 없는 여학생은 몇 명입니까?</t>
  </si>
  <si>
    <t>자연수의 혼합 계산 - 뺄셈, 곱셈, 나눗셈이 섞여 있는 식 활용</t>
  </si>
  <si>
    <t>현우네 반 전체 학생 수는 28명입니다. 그중에서 축구를 좋아하는 학생은 전체의 5/7입니다. 축구를 좋아하는 학생 중에서 농구를 싫어하는 학생은 축구를 좋아하는 학생 전체의 1/5입니다. 현우네 반에서 축구와 농구를 모두 좋아하는 학생은 몇 명입니까?</t>
  </si>
  <si>
    <t>은진이는 초콜릿이 들어있는 상자 3개를 가지고 있습니다. 이 중에서 동생에게 초콜릿 8개를 주고 언니에게 초콜릿 5개를 받았더니 가지고 있는 초콜릿은 12개가 되었습니다. 초콜릿 한 상자에는 몇 개의 초콜릿이 들어 있습니까?</t>
  </si>
  <si>
    <t>배를 경일이는 하루에 42개 세미는 3일 동안 153개, 지은이는 4일 동안 240개를 땄습니다. 세미와 지은이가 매일 같은 개수의 배를 땄다면 경일이와 세미가 하루에 딴 배의 수의 합은 지은이가 하루에 딴 배의 수보다 몇 개 더 많습니까?</t>
  </si>
  <si>
    <t>과일바구니에 과일이 40개 있습니다. 그중에서 사과가 전체의 2/5이고, 사과가 아닌 과일 중에서 3/8은 복숭아입니다. 과일바구니에 있는 과일 중 사과와 복숭아가 아닌 과일은 몇 개입니까?</t>
  </si>
  <si>
    <t>색 테이프 10.8m로 리본을 만드는 데 31/5m를 쓰고, 나머지 색 테이프를 똑같은 길이로 3등분하려고 합니다. 몇 m씩 자르면 됩니까?</t>
  </si>
  <si>
    <t>분수와 소수의 사칙 혼합셈 - 뺄셈, 나눗셈이 섞여 있는 식 활용</t>
  </si>
  <si>
    <t>지현이네 반은 남학생이 16명이고, 여학생은 이보다 2명 적다고 합니다. 이 학교 전체의 학생 수는 지현이네 반 학생 수의 11배보다 8명이 많다고 합니다. 지현이네 학교의 전체 학생은 몇 명입니까?</t>
  </si>
  <si>
    <t>정현이는 지난 달에 4700원을 예금하였고, 이번 달부터 6개월 동안 3500원씩 예금하여 16000원짜리 선물을 사서 부모님께 선물하려고 합니다. 선물을 산 후, 통장에 남게 되는 돈은 얼마입니까?</t>
  </si>
  <si>
    <t>색종이를 6명에게 똑같이 나누어 주어야 할 것을 잘못하여 5명에게 똑같이 나누어 주었더니 한 사람당 12장씩 주고 3장이 남았습니다. 이 색종이를 6명에게 똑같이 나누어 주면 한 사람당 최대한 몇 장씩 가지게 됩니까?</t>
  </si>
  <si>
    <t>지구에서 잰 무게는 달에서 잰 무게의 약 6배입니다. 유진이와 준하, 진주가 각자 집에서 몸무게를 재었을 때, 유진이는 41kg, 준하는 43kg, 진주는 48kg였습니다. 세 사람이 모두 달에서 몸무게를 잰다면 유진이와 준하의 몸무게의 합은 진주의 몸무게보다 약 몇 kg 더 무겁습니까?</t>
  </si>
  <si>
    <t>한 개에 450원 하는 오이 4개와 한 개에 150원 하는 당근 6개를 사고 5000원을 내면 얼마를 거스름돈으로 받을 수 있습니까?</t>
  </si>
  <si>
    <t>1분에 130개의 비누를 생산하는 기계가 있습니다. 이런 기계 4대가 있다면 46800개의 비누를 생산하는 데에 몇 분이 걸리겠습니까?</t>
  </si>
  <si>
    <t>한 장에 250원 하는 도화지와 6묶음에 2700원 하는 색종이가 있습니다. 도화지 세 장과 색종이 한 묶음을 사고 5000원을 내면 얼마를 거스름돈으로 받을 수 있습니까?</t>
  </si>
  <si>
    <t>한 변의 길이가 8cm인 정사각형이 있습니다. 이 정사각형 가로는 5/8배, 세로는 13/10배 하여 새로운 직사각형을 만들었습니다. 새로운 직사각형을 만들었습니다. 새로운 직사각형의 둘레는 몇 cm입니까?</t>
  </si>
  <si>
    <t>분수의 곱셈 - 여러가지 분수의 곱셈</t>
  </si>
  <si>
    <t>48m의 높이에서 농구공을 떨어뜨렸습니다. 이 공은 땅에 닿은 후 떨어진 높이의 1/2만큼 튀어 오른다고 합니다. 공이 땅에 3번 닿았다가 튀어 올랐을 때의 높이는 몇 m입니까?</t>
  </si>
  <si>
    <t>가로가 30cm, 세로가 26cm인 직사각형 모양의 종이에 전체 넓이의 1/4만큼 빨간색을 칠하고, 나머지의 1/6만큼 파란색을 칠했습니다. 그리고 남은 부분의 2/5만큼 노란색을 칠했을 때, 색칠하지 않은 부분의 넓이는 몇 cm²입니까?</t>
  </si>
  <si>
    <t>태인이는 어제 책 한 권의 3/5을 읽었습니다. 그리고 오늘은 어제 읽고 난 나머지의 6/7을 읽었습니다. 책 한 권이 420쪽일 때, 어제와 오늘 읽고 난 나머지는 몇 쪽입니까?</t>
  </si>
  <si>
    <t>영훈이의 학교 학생 540명 중 5/9는 여학생이고, 여학생 중 3/5는 안경을 쓰지 않았습니다. 영훈이의 학교 학생 중 안경을 쓴 여학생은 몇 명입니까?</t>
  </si>
  <si>
    <t>1분에 1/5 l의 물이 새는 빈 물통에 1분에 33/8 l의 물이 나오는 수도꼭지로 물을 받았습니다. 30분 후 물통에 있는 물은 몇 l입니까?</t>
  </si>
  <si>
    <t>은행에서 일본 돈 1엔을 10.6원으로 바꿔 준다고 합니다. 소희는 1000엔짜리 지폐 3장과 100엔짜리 동전 7개와 10엔짜리 동전 2개를 가지고 있습니다. 소희가 가진 일본 돈은 우리나라 돈으로 얼마입니까?</t>
  </si>
  <si>
    <t>소수의 곱셈 - 소수와 자연수의 곱셈</t>
  </si>
  <si>
    <t>준민이네 집에서 준서네 집까지의 거리는 2.6km입니다. 두 사람이 각자의 집에서 동시에 출발하여 일정한 빠르기로 서로의 집을 향해 걸어갔습니다. 준민이는 1분에 0.07km를 걷고 준서는 한 시간에 2.7km를 걸을 때 15분 후 두 사람 사이의 거리는 몇 km입니까?</t>
  </si>
  <si>
    <t>소수의 곱셈 - 소수와 소수의 곱셈</t>
  </si>
  <si>
    <t>279/5kg의 소금을 한 사람에게 3/2kg씩 12명에게 나누어 주고, 나머지 사람들에게는 9/5kg씩 주었더니 소금을 모두 나누어 주었습니다. 소금을 9/5kg씩 받은 사람은 몇 명입니까?</t>
  </si>
  <si>
    <t>분수의 나눗셈 - 분수와 분수의 나눗셈</t>
  </si>
  <si>
    <t>집에서 학교까지의 거리는 2.88km이고 집에서 도서관까지의 거리는 1.2km입니다. 집에서 학교까지의 거리는 집에서 도서관까지의 거리의 몇 배입니까?</t>
  </si>
  <si>
    <t>소수의 나눗셈 - 소수와 소수의 나눗셈</t>
  </si>
  <si>
    <t xml:space="preserve">키위를 6명에게 나누어주면 한 사람당 6개씩 가지게 되고, 3개의 키위가 남습니다. 만약 이 키위를 5명에게 나누어 줄 경우 한 사람당 최대한 몇 개씩 가지게 됩니까? </t>
  </si>
  <si>
    <t>정훈이네 반 전체 학생 수는 35명입니다. 그중에서 남학생은 전체의 3/7입니다. 남학생 중에서 안경을 끼지 않은 학생은 남학생 전체의 1/5입니다. 정훈이네 반에서 안경을 낀 남학생은 몇 명입니까?</t>
  </si>
  <si>
    <t>분수의 혼합 계산</t>
  </si>
  <si>
    <t>딸기를 7명에게 나누어주면 한 사람당 3개씩 가지게 되고, 2개의 딸기가 남습니다. 이 딸기를 한 사람당 5개씩 가지기 위해서는 최대한 몇 명의 사람들에게 나누어 주어야 합니까?</t>
  </si>
  <si>
    <t>자연수의 혼합 계산</t>
  </si>
  <si>
    <t>사과와 배와 포도가 모두 합해서 130개 있습니다. 사과는 귤보다 25개가 적고 포도는 귤보다 47개 많습니다. 귤은 모두 몇 개 있습니까?</t>
  </si>
  <si>
    <t>자연수의 혼합 계산 (사과:11개, 귤:36개, 포도:83개)</t>
  </si>
  <si>
    <t>바구니 안에 초콜릿이 13개 있습니다. 민아느 바구니에서 초콜릿 4개를 가져갔고, 정민이가 바구니에 초콜릿 5개를 더 넣었습니다. 바구니 안에 있는 초콜릿은 모두 몇 개입니까?</t>
  </si>
  <si>
    <t>복숭아와 자두와 참외가 모두 합해서 100개 있습니다. 복숭아는 자두보다 12개가 적고 참외는 자두보다 8개가 적습니다. 참외는 모두 몇 개 있습니까?</t>
  </si>
  <si>
    <t>자연수의 혼합 계산 (복숭아:28개, 자두:40개, 참외:32개)</t>
  </si>
  <si>
    <t>오렌지를 5명에게 나누어주면 한 사람당 4개씩 가지게 되고, 2개의 오렌지가 남습니다. 만약 이 오렌지를 6명에게 나누어 줄 경우 남게 되는 오렌지는 몇 개입니까?</t>
  </si>
  <si>
    <t>메론과 딸기와 키위가 모두 합해서 150개 있습니다. 메른은 딸기보다 10개 더 적고, 키위는 메론보다 19개 더 적습니다. 키위는 모두 몇 개 있습니까?</t>
  </si>
  <si>
    <t>자연수의 혼합 계산 (메론:53개, 딸기:63개, 키위:34개)</t>
  </si>
  <si>
    <t>재은이는 가지고 있는 연필 모두를 친구 5명에게 똑같이 나눠주려 합니다. 잘못 계산하여 한 사람당 3자루씩 나눠 주었더니 30자루가 남았습니다. 바르게 계산하면 연필을 몇 개씩 나누어 주어야 합니까?</t>
  </si>
  <si>
    <t>유형6-&gt;유형1(김동근 수정)</t>
  </si>
  <si>
    <t>한 박스에 사과가 어떤 수 만큼 들어있습니다. 사과 5박스에 35개의 사과가 들어 있다면 사과 7박스에는 몇 개의 사과가 들어있습니까? (단, 모든 박스에는 같은 수의 사과가 들어 있습니다.)</t>
  </si>
  <si>
    <t>A 공장에는 하루에 마스크 15개를 생산하는 기계가 어떤 수 만큼 있습니다. 평소에 A 공장은 45개의 마스크를 생산하지만, 오늘은 기계 하나가 고장 났습니다. A 공장에서 오늘 생산한 마스크는 몇 개입니까?</t>
  </si>
  <si>
    <t>민호는 한 상자에 8개씩 들어 있는 초콜릿 6상자를 똑같이 4묶음으로 나누어 두 묶음을 가졌습니다. 이 중에서 6개를 동생에게 주고, 4개를 누나에게서 받았다면 민호가 가지고 있는 구슬은 몇 개입니까?</t>
  </si>
  <si>
    <t>과자 2봉지에 2800원, 초콜릿은 2봉지에 4000원, 빵은 1개에 1400원입니다. 과자 1봉지와 초콜릿 1봉지의 값은 빵 2개의 값보다 얼마나 더 비쌉니까?</t>
  </si>
  <si>
    <t>수영이의 나이는 11살이고, 동생은 수영이보다 2살이 적습니다. 어머니의 나이는 동생의 나이의 4배보다 2살이 더 많고, 아버지의 나이는 어머니의 나이보다 3살이 더 많습니다. 아버지의 나이는 몇 살입니까?</t>
  </si>
  <si>
    <t>초콜릿을 8명에게 똑같이 나누어 주어야 할 것을 잘못하여 7명에게 똑같이 나누어 주었더니 한 사람당 12개씩 주고 3개가 남았습니다. 이 초콜릿을 8명에게 똑같이 나누어 주면 한 사람당 최대한 몇 개씩 가지게 됩니까?</t>
  </si>
  <si>
    <t>명선이네 반 전체 학생 수는 32명입니다. 그 중에서 남학생은 전체의 5/8입니다. 남학생 중에서 안경을 낀 학생은 남학생 전체의 3/4이고, 여학생 중에서 안경을 끼지 않은 학생은 여학생 전체의 1/4입니다. 명선이의 반에서 안경을 낀 학생은 모두 몇 명입니까?</t>
  </si>
  <si>
    <t>바구니에 고구마가 있습니다. 동훈이는 바구니에서 3개의 고구마를 꺼내었습니다. 종국이는 바구니에 고구마 2개를 더 넣었습니다. 바구니에 있는 고구마를 지효와 광수가 반씩 나누어 가졌더니 각각 6개를 가지게 되었습니다. 처음에 바구니에 들어 있던 고구마는 몇 개입니까?</t>
  </si>
  <si>
    <t>냉장고에 귤이 10개씩 4묶음과 낱개로 5개가 들어 있습니다. 소영이가 귤을 6개 꺼내 먹었다면 냉장고에 남은 귤은 몇 개입니까?</t>
  </si>
  <si>
    <t>혜진이의 나이는 12살이고, 어머니의 나이는 혜진이의 나이의 3배보다 4살이 더 많습니다. 아버지의 나이는 어머니의 나이보다 2살이 더 많은 동시에 동생의 나이에 6배일 때, 동생의 나이는 혜진이의 나이보다 몇 살이 더 적습니까?</t>
  </si>
  <si>
    <t>감을 현수는 하루에 43개, 재일이는 3일동안 183개, 수빈이는 5일동안 240개를 땄습니다. 재일이와 수빈이가 매일 같은 개수의 감을 땄다면 현수와 수빈이가 하루에 딴 감의 수의 합은 재일이가 하루에 딴 감의 수보다 몇 개 더 많습니까?</t>
  </si>
  <si>
    <t>54cm인 종이테이프를 3등분 한 것 중의 한 도막과 16cm인 종이테이프를 4cm가 겹치도록 이어 붙였습니다. 이어 붙인 종이테이프의 전체 길이는 몇 cm입니까?</t>
  </si>
  <si>
    <t>민서는 매일 3시간 30분씩 수학 공부를 합니다. 월요일부터 목요일까지 민서가 수학 공부를 한 시간은 모두 몇 시간입니까?</t>
  </si>
  <si>
    <t>소수의 곱셈</t>
  </si>
  <si>
    <t>한 변의 길이가 24cm인 정사각형이 있습니다. 가로와 세로를 각각 0.3배씩 더 늘인다면 늘어난 부분의 넓이는 몇 cm²입니까?</t>
  </si>
  <si>
    <t>가 자동차는 1분에 1.5km, 나 자동차는 1분에 1.86km를 갑니다. 각각 같은 빠르기로 가와 나 자동차가 같은 지점에서 같은 방향으로 동시에 출발하여 5분 36초 동안 달렸다면 두 자동차 사이의 거리는 몇 km입니까?</t>
  </si>
  <si>
    <t>현수와 아버지는 매일 아침 운동장을 4바퀴 반씩 달립니다. 운동장의 둘레가 386m 일 때, 현수와 아버지가 1주일 동안 달린 거리의 합는 몇 m입니까?</t>
  </si>
  <si>
    <t>은빈이는 중국으로 여행을 가기 전에 환전하려고 합니다. 환전하는 날의 환율은 우리나라 돈 1000원이 중국 돈 5.43위안일 때 우리나라 돈 86000원으로 환전할 수 있는 중국 돈은 몇 위안입니까?</t>
  </si>
  <si>
    <t>한 변의 길이가 12cm이고, 다른 한 변의 길이가 16cm인 직사각형이 있습니다. 가로와 세로를 각각 다른 비율로 줄여 길이가 6cm인 정사각형을 만든다면 두 비율의 합은 얼마입니까?</t>
  </si>
  <si>
    <t>소수의 덧셈</t>
  </si>
  <si>
    <t>떨어진 높이의 0.8배만큼 튀어 오르는 공이 있습니다. 이 공을 8m의 높이에서 떨어뜨렸을 때, 공이 세 번째로 튀어 오른 높이는 몇 m입니까?</t>
  </si>
  <si>
    <t>한 시간에 70km를 가는 자동차가 있습니다. 이 자동차는 1km를 가는 데 휘발유가 0.16l 필요하다고 합니다. 이 자동차가 3시간 30분 동안 가는데 필요한 휘발유는 몇 l입니까?</t>
  </si>
  <si>
    <t>서준이네 학교 4학년 학생의 3/5는 남학생입니다. 4학년 남학생 중에서 3/4이 운동을 좋아하고 그중에서 1/3은 수영을 좋아합니다.  서준이네 학교 4학년은 모두 120명일 때, 수영을 좋아하는 4학년 남학생은 몇 명입니까?</t>
  </si>
  <si>
    <t>분수의 곱셈</t>
  </si>
  <si>
    <t>영민이는 가지고 있던 딱지 32개 중 3/8을 동생에게 주고 4개를 잃어버렸습니다. 영민이에게 남은 딱지는 몇 개입니까?</t>
  </si>
  <si>
    <t>한 변의 길이가 14cm인 정사각형이 있습니다. 가로와 세로를 각각 0.4배씩 줄인다면 줄어든 부분의 넓이는 몇 cm²입니까?</t>
  </si>
  <si>
    <t>전체 넓이가 280m²인 밭에 전체의 1/4만큼 고구마를 심고, 나머지 밭에 3/5만큼 고추를 심었습니다. 그리고 남은 밭에는 옥수수를 심었습니다. 옥수수를 심은 밭의 넓이는 몇 m²입니까?</t>
  </si>
  <si>
    <t>소리는 공기 중에서 2초 동안에 0.72km를 간다고 합니다. 은수는 불꽃 축제가 있는 날 불꽃을 보고 나서 5.5초 후에 폭죽 소리를 들었습니다. 소리를 들은 곳은 불꽃 축제가 있는 곳에서 몇 km 떨어져 있습니까?</t>
  </si>
  <si>
    <t>진수는 어제 책 한권의 1/4을 읽었습니다. 그리고 오늘은 어제 읽고 난 나머지의 4/7를 읽었습니다. 책 한권이 280쪽일 때, 어제와 오늘 읽고 난 나머지는 몇 쪽입니까?</t>
  </si>
  <si>
    <t>준민이네 집에서 윤진이네 집까지의 거리는 2.8km입니다. 두 사람이 각자의 집에서 동시에 출발하여 일정한 빠르기로 서로의 집을 향해 걸어갔습니다. 준민이는 1분에 0.08km를 걷고 윤진이는 한 시간에 2.4km를 걸을 때 15분 후 두 사람 사이의 거리는 몇 km입니까?</t>
  </si>
  <si>
    <t>소수의 덧셈과 곱셈</t>
  </si>
  <si>
    <t>영미네 반 학급 문고 전체의 3/7은 역사 도서이고, 그중 2/3은 위인전입니다. 영미네 반 학급 문고에 84권의 책이 있을 때, 위인전은 모두 몇 권입니까?</t>
  </si>
  <si>
    <t>직사각형 모양 종이의 1/2만큼을 빨간색으로 색칠하고, 나머지 부분의 1/5만큼을 파란색으로 색칠하였습니다.  색칠하지 않은 부분은 얼마입니까?</t>
  </si>
  <si>
    <t>가로가 25/6cm, 세로가 48/5cm인 직사각형이 있습니다. 이 직사각형의 전체의 2/5를 잘라 냈다면 잘라내고 남은 부분의 넓이는 몇 cm²입니까?</t>
  </si>
  <si>
    <t>오늘 놀이동산에 입장한 사람은 350명입니다. 그 중에서 어린이는 전체 입장객의 4/7입니다. 어린이의 1/3은 7세 미만이고, 그중 3/5는 남자 어린이입니다. 오늘 놀이동산에 입장한 7세 미만인 남자 어린이는 몇 명입니까?</t>
  </si>
  <si>
    <t>가로가 12/5cm, 세로가 13/4cm인 직사각형이 있습니다. 이 직사각형의 전체의 5/6를 잘라 냈다면 잘라낸 부분의 넓이는 몇 cm²입니까?</t>
  </si>
  <si>
    <t>학생들에게 사탕을 나눠주려고 하는데, 한 학생에게 5개씩 나누어 주면 3개가 남고 7개씩 나누어 주면 7개가 모자랍니다. 사탕의 개수는 몇개입니까?</t>
  </si>
  <si>
    <t>학생 7명에게 사탕을 나누어 주려고 합니다. 한 사람당 3개씩 나누어 주었더니 7개가 남았습니다. 사탕을 학생들에게 똑같이 나누어 주려면 한 사람당 몇 개씩 주어야 합니까?</t>
  </si>
  <si>
    <t>어떤 영화관의 티켓 3개의 값은 27000원입니다. 민수와 영희가 이 영화관에서 영화를 보려면 얼마를 지불해야 합니까?</t>
  </si>
  <si>
    <t>학생들이 한 줄로 서 있습니다. 지혜는 맨 앞에 서 있습니다. 혜진이는 뒤에서 7번째에 서 있습니다. 지혜와 혜진이 사이에 6명이 있을 때, 줄을 서있는 학생은 모두 몇 명입니까?</t>
  </si>
  <si>
    <t>지현이는 왼쪽에서 3번째 열, 오른쪽에서 6번째 열, 앞에서 2번째 줄, 뒤에서 4번째 줄에 앉아 공부를 하고 있습니다. 각 줄마다 앉아 있는 학생의 수가 같다고 할 때, 교실에서 공부하고 있는 학생은 모두 몇 명입니까?</t>
  </si>
  <si>
    <t>학생들이 청팀과 백팀으로 나누어 줄다리기 시합을 하고 있습니다. 청팀과 백팀의 학생수는 같고, 청팀의 맨 앞과 맨 뒤에 상수와 자욱이가 있습니다. 상수와 자욱이의 사이에 5명이 있을 때, 줄다리기를 하는 학생은 모두 몇명입니까?</t>
  </si>
  <si>
    <t>해민이의 책꽂이는 6칸으로 이루어져 있고, 각 칸마다 꽂혀있는 책의 수는 같습니다. 수학책은 어느 한칸의 왼쪽에서 3번째, 오른쪽에서 5번째에 꽂혀 있습니다. 책꽂이에 꽂혀 있는 책은 모두 몇 권입니까?</t>
  </si>
  <si>
    <t>재민이는 오늘 학교에서 수학, 국어, 영어, 사회, 과학 시험을 보기로 했습니다. 가나다순으로 시험을 본다면 4번째로 시험을 본 과목은 무엇입니까?</t>
  </si>
  <si>
    <t>수학</t>
  </si>
  <si>
    <t>은정이는 지은이와 한 팀이 되어 꼬리잡기 놀이를 하고 있습니다. 은정이는 맨 앞에 서 있고, 지은이는 뒤에서 2번째에 서 있습니다. 은정이와 지은이의 사이에 6명이 더 있을 때, 은정이의 팀은 몇 명입니까?</t>
  </si>
  <si>
    <t>희진이와 미연이는 버스를 타기 위해 버스정류장에서 줄을 서고 있습니다. 희진이가 앞에서 2번째에 서 있고, 미연이는 뒤에서 3번째에 서 있습니다. 희진이의 바로 뒤에 미연이가 서 있을 때, 버스정류장에서 줄을 서고 있는 사람은 몇 명입니까?</t>
  </si>
  <si>
    <t xml:space="preserve">학생들이 한 줄로 서 있습니다. 지호는 앞에서 2번째 서 있고, 상민이는 뒤에서 2번째 서 있습니다. 지호와 상민이 사이에 5명이 더 있고, 줄은 선 모든 학생들 중 3명이 여학생이라면 줄은 선 남학생은 모두 몇 명입니까? </t>
  </si>
  <si>
    <t>5명씩 달리는 달리기 시합에서 정민이는 4등을 했고, 윤지는 정민이보다 늦게 결승선을 통과했습니다. 윤지는 몇 등입니까?</t>
  </si>
  <si>
    <t>은희와 서영이는 친구들과 한 줄로 나란히 서서 사진을 찍으려고 합니다. 은희는 왼쪽에서 3번째에 서 있고, 서영이는 오른쪽에서 2번째에 서 있습니다. 은희와 서영이 사이에 3명의 친구가 더 있다면 사진을 찍기 위해 서 있는 사람은 모두 몇 명입니까?</t>
  </si>
  <si>
    <t>영화관에 관객들이 가득 차 있습니다. 유진이는 왼쪽에서 6번째 열, 오른쪽에서 9번째 열, 앞에서 8번째 줄, 뒤에서 7번째 줄에 앉아 있습니다. 각 줄마다 않아 있는 관객의 수가 같다고 할 떄, 영화관에 앉아 있는 관객은 모두 몇 명입니까?</t>
  </si>
  <si>
    <t>모눈종이에 점이 하나 찍혀 있습니다. 이 점은 왼쪽에서 2만큼, 오른쪽에서 4만큼, 위쪽에서 2만큼, 아래쪽에서 3만큼 떨어져 있습니다. 이 모눈종이는 모두 몇 칸입니까?</t>
  </si>
  <si>
    <t>달리기 시합에서 현민이는 8등을 했고, 민수는 6등을 했습니다. 선호는 현민이보다는 잘했지만 민수보다는 못했습니다. 민수는 몇 등입니까?</t>
  </si>
  <si>
    <t>달리기 시합에서 현수는 6등을 했고, 영민이는 2등을 했습니다. 성용이와 선호, 진수 모두 현수보다는 잘했지만 영민이보다는 못했습니다. 진수가 선호와 성용이 사이에서 결승선을 통과했다면 진수는 몇 등입니까?</t>
  </si>
  <si>
    <t>지은이는 오늘 학교에서 1교시부터 6교시까지 수업을 듣습니다. 영어, 국어, 사회, 수학, 과학, 컴퓨터의 순서로 수업을 듣는다면 3교시는 어떤 과목입니까?</t>
  </si>
  <si>
    <t>사회</t>
  </si>
  <si>
    <t>8명의 친구들이 달리기 시합을 하고 있습니다. 그 중에서 선빈이는 6명보다 먼저 결승선을 통과했습니다. 선빈이는 몇 등입니까?</t>
  </si>
  <si>
    <t>상민이는 운동회에서 오래달리기 시합을 하고 있습니다. 상민이는 12등을 했고, 그 이후에 14명의 친구가 결승선을 통과했습니다. 모두 몇명이 오래달리기 시합을 했습니까?</t>
  </si>
  <si>
    <t>지우는 친구들과 여행을 떠나기 위해 버스정류장에서 만나기로 했습니다. 지우가 도착했을 때 2명의 친구가 이미 도착해있었고, 아직 4명의 친구가 오지 않았습니다. 여행을 떠나기로 한 사람은 모두 몇 명입니까?</t>
  </si>
  <si>
    <t>콘서트 공연장에 관객들이 가득 차 있습니다. 진주는 앞에서 8번째 줄, 뒤에서 17번째 줄, 왼쪽에서 23째 열, 오른쪽에서 18번째 열에 앉아 있습니다. 각 줄마다 않아 있는 관객의 수가 같다고 할 떄, 공연장에 앉아 있는 관객은 모두 몇 명입니까?</t>
  </si>
  <si>
    <t>경훈이는 친구들과 달리기 시합을 하고 있습니다. 경훈이가 결승선에 도착했을 때, 아직 도착한 친구가 아무도 없다면 경훈이는 몇 등입니까?</t>
  </si>
  <si>
    <t>도서관에 똑같은 책장이 26개 있습니다. 각 책장은 12층이고, 각 층마다 꽂혀있는 책의 수는 같습니다. 과학책은 어느 책장의 한 층의 왼쪽에서 7번째, 오른쪽에서 15번째에 있습니다. 도서관에 책장에 꽂혀 있는 책은 모두 몇 권입니까?</t>
  </si>
  <si>
    <t>혜진이는 마트에서 계산을 하기 위해 줄을 서 있습니다. 혜진이 뒤에는 4명의 사람이 있고 줄을 선 사람은 모두 9명일 때, 몇 명이 더 계산을 해야 혜진이가 계산을 할 수 있습니까?</t>
  </si>
  <si>
    <t>학생들이 A팀과 B팀으로 나누어 줄다리기 시합을 하고 있습니다. A팀의 학생수는 B팀의 학생수보다 1명이 많습니다. A팀의 맨 앞에는 민호가 있고, 뒤에서 3번째에는 기태가 있습니다. 민호와 기태 사이에 5명이 있을 때, 줄다리기를 하는 학생은 모두 몇명입니까?</t>
  </si>
  <si>
    <t>다진이는 음식점에 들어가기 위해서 줄을 서 있습니다. 다진이 앞에서 4번째에 줄을 서 있고, 뒤에는 5명이 더 있습니다. 음식점에 들어가기 위해서 줄을 서 있는 사람은 모두 몇 명입니까?</t>
  </si>
  <si>
    <t>정민이는 학교에서 일주일동안 하루에 한 과목씩 시험을 보기로 했습니다. 국어,과학,영어,수학,사회 순서로 시험을 보게 된다면 목요일에 보게 될 시험은 어떤 과목입니까?</t>
  </si>
  <si>
    <t>도서관에 똑같은 책장이 여러 개 있습니다. 각 책장은 7층이고, 각 층마다 꽂혀있는 책의 수는 같습니다. 과학책은 어느 책장의 한 층의 왼쪽에서 4번째, 오른쪽에서 7번째에 있습니다. 도서관의 책장에 꽂혀 있는 책이 모두 280권일 때, 도서관에 있는 책장은 모두 몇 개 입니까?</t>
  </si>
  <si>
    <t>영재는 왼쪽에서 5번째 열, 오른쪽에서 12번째 열, 앞에서 6번째 줄에 서서 체조를 하고 있습니다. 각 줄마다 서 있는 학생의 수가 같고, 체조를 하고 있는 학생이 모두 160명일 때 영재의 뒤에는 몇명의 친구들이 더 있습니까?</t>
  </si>
  <si>
    <t>달리기 시합에서 대현이는 3등을 했고, 상현이는 2등을 했습니다. 재욱이는 대현이와 상현이보다 잘헀습니다. 재욱이는 몇 등입니까?</t>
  </si>
  <si>
    <t xml:space="preserve">소정이는 버스정류장에서 줄을 서 있습니다. 정원이 35명이고 6명이 타고 있는 버스가 와서 소정이 앞에 줄을 서 있던 사람들을 모두 태우고 가 버렸습니다. 소정이가 남아있는 13명의 사람과 함께 다음 버스를 탔다면 처음에 줄을 서 있던 사람들은 모두 몇 명입니까? </t>
  </si>
  <si>
    <t>영우네 반 학생은 28명이고, 두 팀으로 나누어 줄다리기 시합을 하려고 합니다. 영우가 팀원들 중에 뒤에서 3번째에 위치하고 있을 때, 영우의 앞에 있는 팀원은 모두 몇 명입니까?</t>
  </si>
  <si>
    <t>용국이는 왼쪽에서 10번째 열, 오른쪽에서 7번째 열, 뒤에서 8번째 줄에 서서 체조를 하고 있습니다. 각 줄마다 서 있는 학생의 수가 같고, 체조를 하고 있는 학생이 모두 224명일 때 용국이는 앞에서 몇 번째에 서 있습니까?</t>
  </si>
  <si>
    <t>도서관에 똑같은 책장이 3개 있습니다. 각 책장은 4층이고, 각 층마다 꽂혀있는 책의 수는 같습니다. 역사책은 어느 책장의 한 층의 왼쪽에서 6번째에 있습니다. 도서관의 책장에 꽂혀 있는 책이 모두 180권일 때, 역사책은 오른쪽에서 몇 번째에 있습니까?</t>
  </si>
  <si>
    <t>놀이공원에는 4명씩 탈 수 있는 A 놀이기구가 있습니다. 나정이는 이 놀이기구를 타기 위해서 3명의 친구와 함께 줄을 서 있습니다. 나정이네 팀의 앞에는 5팀이 있고, 뒤에는 2팀이 더 있습니다. 각 팀마다 서 있는 사람의 수가 같다고 할 때, A 놀이기구를 타기위해서 줄을 서 있는 사람은 몇 명입니까?</t>
  </si>
  <si>
    <t>공연장에 입장하기 위해서 사람들이 줄을 서 있습니다. 민하는 앞에서 5번째에 서 있고, 겨울이는 앞에서 7번째에 서 있습니다. 정원이는 민하와 겨울이 사이에 있습니다. 사람들이 앞에서부터 입장한다고 할 때, 정원이는 몇 번째로 입장할 수 있습니까?</t>
  </si>
  <si>
    <t>진용이네 반 친구들은 체력검사를 하기 위해서 학급번호 순서대로 줄을 서 있습니다. 진용이의 바로 앞에는 성진이가 있고, 성진이는 앞에서 7번째 입니다. 진용이의 뒤에 15명의 친구들이 더 있다면, 진용이의 반 친구들은 모두 몇 명입니까?</t>
  </si>
  <si>
    <t>칠판에 1부터 20까지의 숫자가 순서대로 써 있습니다. 이 중에서 10보다 크고 7의 배수인 수는 뒤에서 몇 번째에 있습니까?</t>
  </si>
  <si>
    <t>영훈이네 반 학생들은 졸업사진을 찍기위해 줄을 서 있습니다. 영훈이는 앞에서 2번째 줄, 뒤에서 2번째 줄, 왼쪽에서 5번째 열, 오른쪽에서 5번째 열에 서 있습니다. 각 줄마다 서 있는 학생의 수가 같다고 할 때, 영훈이네 반 학생은 모두 몇 명입니까?</t>
  </si>
  <si>
    <t>민수는 친구들과 달리기 시합을 하기로 했습니다. 결승선에 들어오는 순서대로 10점부터 1점씩 작은 점수를 받는다고 합니다. 민수가 친구들 중에 가장 늦게 들어왔고 4점을 받았다면 달리기 시합을 한 사람은 모두 몇 명입니까?</t>
  </si>
  <si>
    <t>수학 시험에서 정민이는 5등을 했고, 윤지는 7등을 했습니다. 지민이는 정민이보다 못했지만 윤지보다는 잘했습니다. 지민이는 몇 등입니까?</t>
  </si>
  <si>
    <t>학생들이 한 줄로 서 있습니다. 유진이는 뒤에서 6번째에 서 있습니다. 은주는 맨 앞에 서 있습니다. 유진이와 은주 사이에 4명이 서 있을 때, 줄을 서 있는 학생은 모두 몇 명입니까?</t>
  </si>
  <si>
    <t>지빈이는 앞에서 3번째 줄, 뒤에서 2번째 줄, 왼쪽에서 1번째 열, 오른쪽에서 8번째 열에 앉아 공부를 하고 있습니다. 각 줄마다 앉아 있는 학생의 수가 같다고 할 때, 교실에서 공부하고 있는 학생은 모두 몇 명입니까?</t>
  </si>
  <si>
    <t xml:space="preserve">10명의 친구들이 달리기 시합을 하고 있습니다. 4명의 친구가 결승선을 통과한 다음에 바로 영현이가 들어왔다면 영현이는 몇 등입니까? </t>
  </si>
  <si>
    <t>1부터 32까지 자연수가 있습니다. 이 중에 3의 배수는 몇 개입니까?</t>
  </si>
  <si>
    <t>3,6,9,12,15,18,21,24,27,30</t>
  </si>
  <si>
    <t>10보다 작은 자연수 중에서 서로 다른 두 수를 동시에 뽑으려고 합니다. 두 수의 합이 8의 약수 중 하나가 되는 경우의 수를 구하시오.</t>
  </si>
  <si>
    <t>1-X, 2-X, 4 - (1,3), 8 - (1,7),(2,6),(3,5)</t>
  </si>
  <si>
    <t>50보다 작은 자연수 중에서 소수는 몇 개입니까?</t>
  </si>
  <si>
    <t>2,3,5,7,11,13,17,19,23,29,31,37,41,43,47</t>
  </si>
  <si>
    <t>서로 다른 두 개의 주사위를 동시에 던질 때 나오는 눈의 수의 합이 6이 되는 경우의 수를 구하시오.</t>
  </si>
  <si>
    <t>6 - (1,5),(2,4),(3,3),(4,2),(5,1)</t>
  </si>
  <si>
    <t>0,2,4,6,8 중 서로 다른 3개의 숫자를 뽑아서 세 자리 수를 만들려고 합니다. 만들 수 있는  세 자리 수는 모두 몇 개입니까?</t>
  </si>
  <si>
    <t>5P3 - 4P2 = 60 - 12 = 48</t>
  </si>
  <si>
    <t>서로 다른 두 개의 주사위를 동시에 던질 때 나온 눈의 곱이 홀수가 되는 경우의 수를 구하시오.</t>
  </si>
  <si>
    <t>16개 팀이 참가한 축구대회에서 두 팀씩 토너먼트로 경기를 진행하여 우승팀을 결정한다고 합니다. 우승팀이 정해질 때까지 진행되는 모든 경기의 수는 몇 경기입니까?</t>
  </si>
  <si>
    <t>8+4+2+1</t>
  </si>
  <si>
    <t>1,3,5,7중에서 서로 다른 숫자 3개를 뽑아 만들 수 있는 세 자리 수 중에서 가장 큰 수와 두번째 작은 수의 차를 구하시오.</t>
  </si>
  <si>
    <t>753 - 153</t>
  </si>
  <si>
    <t>10부터 30까지 자연수를 쓰려고 합니다. 숫자 1은 모두 몇 번 써야 합니까?</t>
  </si>
  <si>
    <t>1번 - 10, 12, 13, 14, 15, 16, 17, 18, 19, 21
2번 - 11</t>
  </si>
  <si>
    <t>1부터 50까지의 수 중에서 2의 배수인 동시에 3의 배수인 수는 모두 몇 개입니까?</t>
  </si>
  <si>
    <t>6, 12, 18, 24, 30, 36, 42, 48</t>
  </si>
  <si>
    <t>주사위를 세 번 던져 나온 수를 순서대로 나열하여 세 자리 수를 만든다고 합니다. 만들어진 세 자리수가 짝수가 되는 경우의 수를 구하시오.</t>
  </si>
  <si>
    <t>6*6*3</t>
  </si>
  <si>
    <t>4명의 후보 중에서 회장 1명과 부회장 1명을 뽑는 경우의 수를 구하시오.</t>
  </si>
  <si>
    <t>4P2=12</t>
  </si>
  <si>
    <t>4개의 동일한 전구를 가지고 각각의 전구를 켜거나 꺼서 신호를 보내려고 합니다. 모두 꺼진 경우는 신호로 보지 않을 때, 만들 수 있는 신호는 모두 몇 가지입니까?</t>
  </si>
  <si>
    <t>2^4 -1</t>
  </si>
  <si>
    <t>주머니 속에 1에서 10까지의 숫자가 각각 적힌 같은 모양의 공이 10개 들어 있습니다. 공을 한 개 꺼낼 때, 2의 배수이면서 6의 약수가 나오는 경우의 수를 구하시오.</t>
  </si>
  <si>
    <t>2의 배수 : 2, 4, 6, 8, 10
6의 약수 : 1, 2, 3, 6</t>
  </si>
  <si>
    <t>한 개의 주사위를 던질 때, 4 이상의 눈이면서 6의 약수의 눈이 나오는 경우의 수를 구하시오.</t>
  </si>
  <si>
    <t>4이상의 수 : 4, 5, 6
6의 약수 : 1, 2, 3, 6</t>
  </si>
  <si>
    <t>100원짜리 동전 두 개와 주사위 한개를 동시에 던졌을 때, 동전은 모두 같은 면이면서 주사위의 눈이 6의 약수 중 하나가 나오는 경우의 수를 구하시오.</t>
  </si>
  <si>
    <t>동전이 같은 면 - 앞앞, 뒤뒤 (2개)
주사위의 눈이 6의 약수 : 1, 2, 3, 6 (4개)</t>
  </si>
  <si>
    <t>세 사람이 가위바위보를 하고 있습니다. 세 사람이 낼 수 있는 경우의 수는 얼마입니까?</t>
  </si>
  <si>
    <t>3*3*3</t>
  </si>
  <si>
    <t>진희는 옷장에서 윗옷 한 벌, 바지 한 벌, 양말 한 켤레를 꺼내어 입으려고 합니다. 옷장 안에는 윗옷 9벌과 바지 7벌과 양말 12켤레가 있다면 윗옷과 바지와 양말을 짝지어 입을 수 있는 경우의 수는 얼마입니까?</t>
  </si>
  <si>
    <t>9*7*12</t>
  </si>
  <si>
    <t>A마을에서 B마을까지 가는 데는 4가지의 길이 있고, B마을에서 C마을까지 가는데는3가지의 길이 있습니다. A마을에서 B마을을 거쳐 C마을까지 가는 길은 모두 몇 가지입니까?</t>
  </si>
  <si>
    <t>4*3</t>
  </si>
  <si>
    <t>은지, 성호, 경민, 정혜 네 사람이 한 줄로 서서 사진을 찍으려고 합니다. 사진을 찍을 때, 네 사람이 한 줄로 서는 방법은 몇 가지입니까?</t>
  </si>
  <si>
    <t>4!</t>
  </si>
  <si>
    <t>1,3,5,7,9의 숫자 카드 5장 중에서 2장을 뽑아 두 자리 수를 만들 때, 57보다 큰 수가 만들어지는 경우의 수는 얼마입니까?</t>
  </si>
  <si>
    <t>59, 71, 73, 75, 79, 91, 93, 95, 97</t>
  </si>
  <si>
    <t>0,2,5,7의 숫자 카드 4장을 한 장씩 늘어놓아 네 자리 수를 만들 때, 5의 배수가 되는 경우의 수는 얼마입니까?</t>
  </si>
  <si>
    <t>끝이 0 : 3*2*1 = 6, 끝이 5 : 2*2*1=4</t>
  </si>
  <si>
    <t>5명의 친구가 서로 한 번씩 악수를 할 떄, 모두 몇 번의 악수를 하게 됩니까?</t>
  </si>
  <si>
    <t>4+3+2+1</t>
  </si>
  <si>
    <t>어느 과일 가게에서 키위, 바나나, 참외, 수박, 오렌지  5종류의 과일을 팔고 있습니다. 이 중에서 3종류의 과일을 골라 사는 방법은 모두 몇 가지입니까?</t>
  </si>
  <si>
    <t>5C3</t>
  </si>
  <si>
    <t>1부터 20까지 자연수를 쓰려고 합니다. 숫자 1과 숫자 2는 모두 몇 번 써야 합니까?</t>
  </si>
  <si>
    <t>1번씩 쓰이는 경우 - 1,2,10,13,14,15,16,17,18,19,20
2번씩 쓰이는 경우 - 11,12</t>
  </si>
  <si>
    <t>제비뽑기를 하려고 합니다. 제비 10개 중에서 6개가 당첨 제비입니다. 당첨 제비를 뽑는 경우의 수는 얼마입니까?</t>
  </si>
  <si>
    <t>주사위 2개를 동시에 던졌을 때, 두 눈의 수가 모두 홀수인 경우의 수는 얼마입니까?</t>
  </si>
  <si>
    <t>3*3</t>
  </si>
  <si>
    <t>0,3,5,8의 숫자 카드 4장을 한 장씩 늘어놓아 네 자리 수를 만들 때, 5000보다 큰 수는 모두 몇 가지입니까?</t>
  </si>
  <si>
    <t>3!*2</t>
  </si>
  <si>
    <t>10보다 작은 자연수 중에서 서로 다른 두 수를 동시에 뽑으려고 합니다. 두 수의 합이 10보다 큰 경우의 수는 얼마입니까?</t>
  </si>
  <si>
    <t>(2,9)
(3,8)(3,9)
(4,7)(4,8)(4,9)
(5,6)(5,7)(5,8)(5,9)
(6,7)(6,8)(6,9)
(7,8)(7,9)
(8,9)</t>
  </si>
  <si>
    <t>10보다 작은 자연수 중에서 서로 다른 세 수를 동시에 뽑으려고 합니다.  뽑은 세 수 중에 가장 큰 수에서 나머지 두 수를 뺀 값이 0이 될 수 있는 경우의 수는 얼마입니까?</t>
  </si>
  <si>
    <t>(1,2,3)(1,3,4)(1,4,5)(1,5,6)(1,6,7)(1,7,8)(1,8,9)
(2,3,5)(2,4,6)(2,5,7)(2,6,8)(2,7,9)
(3,4,7)(3,5,8)(3,6,9)
(4,5,9)</t>
  </si>
  <si>
    <t>1부터 20까지 자연수를 쓰려고 합니다. 6의 약수인 숫자들은 모두 몇 번 써야 합니까?</t>
  </si>
  <si>
    <t>1 - 11번 (1,11,12,13,14,15,16,17,18,19)
2 - 3번 (2,12,20)
3 - 2번 (3,13)
6 - 2번 (6,16)</t>
  </si>
  <si>
    <t>10보다 작은 자연수 중에서 서로 다른 두 수를 동시에 뽑으려고 합니다. 두 수의 차가 6보다 작을 경우의 수는 얼마입니까?</t>
  </si>
  <si>
    <t>(1,6)(1,7)(1,8)(1,9)
(2,7)(2,8)(2,9)
(3,8)(3,9)
(4,9)</t>
  </si>
  <si>
    <t>1에서 12까지의 자연수 중에서 서로 다른 두 수를 동시에 뽑으려고 합니다. 두 수의 곱이 7의 배수일 경우의 수는 얼마입니까?</t>
  </si>
  <si>
    <t>(1,7), (2,7), (3,7), (4,7), (5,7), (6,7), (7,8), (7,9), (7,10), (7,11), (7,12)</t>
  </si>
  <si>
    <t>1부터 6까지의 눈이 그려진 주사위를 한 번 굴릴 때 주사위의 눈의 수가 9의 배수로 나올 경우의 수는 얼마입니까?</t>
  </si>
  <si>
    <t>없음</t>
  </si>
  <si>
    <t>1부터 6까지의 눈이 그려진 주사위를 한 번 굴릴 때 주사위의 눈의 수가 4의 약수로 나올 경우의 수는 얼마입니까?</t>
  </si>
  <si>
    <t>4의 약수:1,2,4</t>
  </si>
  <si>
    <t>1,2,4,8의 숫자 카드 4장으로 만들 수 있는 네 자리 수 중에 홀수인 경우의 수는 얼마입니까?</t>
  </si>
  <si>
    <t>2481, 2841, 4281, 4821, 8421, 8241</t>
  </si>
  <si>
    <t>1부터 30까지 수 중에서 3의 배수만 쓰려고 합니다. 숫자 2는 모두 몇 번 써야 합니까?</t>
  </si>
  <si>
    <t>12,21,24,27</t>
  </si>
  <si>
    <t>1부터 100까지 수 중에서 6의 배수만 쓰려고 합니다. 숫자 6는 모두 몇 번 써야 합니까?</t>
  </si>
  <si>
    <t>6,36,60,66,96</t>
  </si>
  <si>
    <t>1부터 100까지 수 중에서 7의 배수이거나 8의 배수인 수만 쓰려고 합니다. 숫자 8은 모두 몇 번 써야 합니까?</t>
  </si>
  <si>
    <t>28, 84, 98
8, 48, 80, 88</t>
  </si>
  <si>
    <t>5,4,1,7 중에서 서로 다른 숫자 3개를 뽑아 만들 수 있는 세 자리 수 중에서 가장 큰 수와 가장 작은 수의 차를 구하시오.</t>
  </si>
  <si>
    <t>754 - 145</t>
  </si>
  <si>
    <t>0,8,4,2 중에서 서로 다른 숫자 2개를 뽑아 만들 수 있는 두 자리 수 중에서 다섯번째로 큰 수를 구하시오.</t>
  </si>
  <si>
    <t>84,82,80,48,42</t>
  </si>
  <si>
    <t>10보다 작은 자연수 중에서 서로 다른 세 수를 동시에 뽑으려고 합니다. 세 수의 합이 10인 경우의 수를 구하시오.</t>
  </si>
  <si>
    <t>(1,2,7),(1,3,6),(1,4,5),(2,3,5)</t>
  </si>
  <si>
    <t>1부터 100까지 수 중에서 3의 배수이면서 4의 배수인 수만 쓰려고 합니다. 숫자 6은 모두 몇 번 써야 합니까?</t>
  </si>
  <si>
    <t>36,60,96</t>
  </si>
  <si>
    <t>0, 5, 7, 8 중에서 서로 다른 숫자 3개를 뽑아 만들 수 있는 세자리 수 중에서 두번째로 큰 수를 쓰시오.</t>
  </si>
  <si>
    <t>875 / 870</t>
  </si>
  <si>
    <t>연속하는 세 숫자가 있습니다. 세 숫자의 합이 225일 때, 가장 큰 숫자를 쓰시오.</t>
  </si>
  <si>
    <t>(74,75,76)</t>
  </si>
  <si>
    <t>47, 56, 87, 93 중에서 두번째로 큰 수에서 가장 작은 수를 뺀 값은 얼마입니까?</t>
  </si>
  <si>
    <t>87-47</t>
  </si>
  <si>
    <t>수정이는 대현이보다 책을 20쪽 더 읽었습니다. 준우는 대현이보다 책을 2배 더 많이 읽었습니다. 대현이가 책을 15쪽 읽었다면 책을 가장 많이 읽은 사람은 몇 쪽을 읽었습니까?</t>
  </si>
  <si>
    <t>수정:35, 준우:30, 대현:15</t>
  </si>
  <si>
    <t>연속하는 세 짝수의 합이 60일 때, 가장 작은 짝수를 구하시오.</t>
  </si>
  <si>
    <t>세 숫자: 18, 20, 22</t>
  </si>
  <si>
    <t>연속하는 세 홀수의 합이 81일 때, 두번째로 큰 수를 구하시오.</t>
  </si>
  <si>
    <t>세 숫자: 25,27,29</t>
  </si>
  <si>
    <t>윤정이는 장미꽃 30송이를 가지고 있었습니다. 동생에게 가지고 있는 장미꽃의 1/3을 주고 오빠에게 12송이를 주었습니다. 세 사람 중 장미꽃을 가장 많이 가지고 있는 사람은 몇 송이를 가지고 있습니까?</t>
  </si>
  <si>
    <t>윤정:8, 동생:10, 오빠:12</t>
  </si>
  <si>
    <t>어머니가 빵 20개를 만드셨습니다. 성열이가 만든 빵의 1/4을 먹었습니다. 민지는 성열이가 먹고 남은 빵의 2/3를 먹었습니다. 성열이와 민지 중 빵을 적게 먹은 사람은 몇 개의 빵을 먹었습니까?</t>
  </si>
  <si>
    <t>성열:5, 민지:10</t>
  </si>
  <si>
    <t>승현이는 재민이보다 3살 더 많습니다. 누나의 나이는 재민이의 2배입니다. 형은 승현이보다 3살 더 많습니다. 재민이가 5살이라면 형과 누나 중 더 어린 사람은 몇 살입니까?</t>
  </si>
  <si>
    <t>승현:8, 누나: 10, 형:11</t>
  </si>
  <si>
    <t>A 공장에서는 1분 동안 10개의 마스크를 생산합니다. B 공장에서는 1시간 동안 660개의 마스크를 생산합니다. 마스크를 더 많이 생산하는 공장에서 1분 동안 생산하는 마스크는 몇 개입니까?</t>
  </si>
  <si>
    <t>A:10, B:11</t>
  </si>
  <si>
    <t>A 마스크는 50개에 15000원입니다. B 마스크는 100개에 25000원입니다. A와 B 마스크 중 더 저렴한 마스크는 1개에 얼마입니까?</t>
  </si>
  <si>
    <t>A:300, B:250</t>
  </si>
  <si>
    <t>윤미의 수학 점수는 90점, 영어 점수는 80점, 국어 점수는 40점 입니다. 윤미의 수학, 영어, 국어 세 과목의 평균 점수보다 높은 점수를 받은 과목의 수는 몇 과목입니까?</t>
  </si>
  <si>
    <t>평균: 70</t>
  </si>
  <si>
    <t>연속하는 세 홀수가 있습니다. 가장 큰 수의 제곱이 다른 두 수의 제곱의 합보다 33이 적을 때 가장 작은 홀수는?</t>
  </si>
  <si>
    <t>(x+2)^2 = x^2 + (x-2)^2 - 33</t>
  </si>
  <si>
    <t>6.2, 4.8, 5.4, 4.6 중에서 가장 큰 수와 가장 작은 수의 차는 얼마입니까?</t>
  </si>
  <si>
    <t>6.2 - 4.6</t>
  </si>
  <si>
    <t>어떤 소수를 2로 나누면 원래보다 0.1 작아집니다. 원래의 소수를 구하시오.</t>
  </si>
  <si>
    <t>어떤 소수에 3배를 하면 원래보다 1.4 커집니다. 원래의 소수를 구하시오.</t>
  </si>
  <si>
    <t>3개의 수 5, 2, 7로 나누어 떨어질 수 있는 자연수중 가장 작은 수를 구하시오.</t>
  </si>
  <si>
    <t>3개의 수 5, 2, 4로 나누어 떨어질 수 있는 자연수중 가장 작은 수를 구하시오.</t>
  </si>
  <si>
    <t>30 보다 큰 소수 중 가장 작은 수를 구하시오.</t>
  </si>
  <si>
    <t>20 보다 작은 소수 중 가장 큰 수를 구하시오.</t>
  </si>
  <si>
    <t>윤지는 파란 구슬 18개와 빨간 구슬 12개를 될 수 있는 대로 많은 친구들에게 남김없이 똑같이 나누어 주려고 합니다. 최대한 몇 명에게 나누어 줄 수 있습니까?</t>
  </si>
  <si>
    <t>18,12의 최대공약수 6</t>
  </si>
  <si>
    <t>민재는 오늘 책 A의 1/2를 읽고, 책 B의 1/3을 읽었습니다. 오늘 민재가 읽은 책의 쪽수는 A는 30쪽, B는 25쪽 입니다. A와 B중 쪽수가 더 많은 책의 쪽수를 구하시오.</t>
  </si>
  <si>
    <t>A: 60, B: 75</t>
  </si>
  <si>
    <t>28,35,43,33 중에서 두번째로 큰수를 5로 나누면 얼마입니까?</t>
  </si>
  <si>
    <t>35/7</t>
  </si>
  <si>
    <t>유미가 책을 펼쳤는데 두 쪽수의 곱이 240이었습니다. 유미가 펼친 두 쪽수 중 큰 수를 쓰시오.</t>
  </si>
  <si>
    <t>15 * 16 = 240</t>
  </si>
  <si>
    <t>진미는 문방구에서 한 개에 1000원인 펜과 1500원인 색연필을 합하여 7자루 사고 9000원을 지불하였습니다. 펜과 색연필 중 더 많이 산 것은 몇 자루 입니까?</t>
  </si>
  <si>
    <t>1000x + 1500y = 9000, x+y = 7</t>
  </si>
  <si>
    <t>어떤 두 자리 자연수의 십의 자리의 숫자와 일의 자리의 숫자의 합이 11이고, 이 수의 십의 자리의 숫자와 일의 자리의 숫자를 서로 바꾼 수는 처음의 수 보다 45만큼 작습니다. 처음의 두 자리 자연수에서 십의 자리와 일의 자리 숫자 중 큰 숫자는 얼마 입니까?</t>
  </si>
  <si>
    <t>x+y = 11, 10y + x = 10x+y-45, x=8, y=3</t>
  </si>
  <si>
    <t>두 자리 수 자연수 A,B에 대하여, B는 A의 일의 자리와 십의 자리 숫자를 서로 바꾼 수 입니다. A,B 두 수의 합은 55이고 차는 9일 때, A와 B중 더 작은 수를 구하시오.</t>
  </si>
  <si>
    <t>10x + y + 10y + x = 55, 10x + y - 10y - x = 9</t>
  </si>
  <si>
    <t>민지, 준민, 윤지 세 사람이 수학 시험을 보았습니다. 민지는 92점, 준민이는 89점이고 세 사람의 평균 점수는 91점 입니다. 세 사람 중 90점을 넘은 사람은 몇 명입니까?</t>
  </si>
  <si>
    <t>윤지: 92</t>
  </si>
  <si>
    <t>어떤 소수의 소수점을 오른쪽으로 두 자리 옮기면 원래의 소수보다 368.28만큼 커집니다. 원래의 소수를 구하시오.</t>
  </si>
  <si>
    <t>372 - 3.72 = 368.28</t>
  </si>
  <si>
    <t>0, 1, 4, 8 중에서 서로 다른 숫자 3개를 뽑아 만들 수 있는 세 자리 수 중에서 두 번째로 큰 수를 구하시오.</t>
  </si>
  <si>
    <t>0, 3, 4, 9 중에서 서로 다른 숫자 3개를 뽑아 만들 수 있는 세 자리 수 중에서 가장 큰 수와 가장 작은 수의 차는 얼마입니까?</t>
  </si>
  <si>
    <t>943 - 304</t>
  </si>
  <si>
    <t>민정이는 순대와 떡볶이를 합하여 5인분을 사고 4000원을 지불하였습니다. 순대는 1인분에 1000원이고 떡볶이는 1인분에 500원일 때, 순대와 떡볶이 중 더 적게 산 것은 몇 인분 입니까?</t>
  </si>
  <si>
    <t>x+y = 5, 500x + 1000y = 4000</t>
  </si>
  <si>
    <t>서윤이는 철사 2.4m를 가지고 있습니다. 동생에게 얼마를 주었더니 1.1m가 남았습니다. 서윤이와 동생 중 더 긴 철사를 가지고 있는 사람은 철사 몇 m를 가지고 있습니까?</t>
  </si>
  <si>
    <t>2.4 - 1.1 = 1.3</t>
  </si>
  <si>
    <t>어떤 수 A와 3의 최소 공배수는 21입니다. A가 한 자리수 일 때, A를 구하시오.</t>
  </si>
  <si>
    <t>유형6-&gt;유형4(김동근 수정)</t>
  </si>
  <si>
    <t>어떤 수 A와 24의 최대 공약수는 8입니다.  A가 한 자리수 일 때, A를 구하시오.</t>
  </si>
  <si>
    <t>네 자리수 4A80를 백의자리에서 반올림하면 5000이 됩니다. 0부터 9까지의 숫자 중 A에 쓸 수 있는 숫자는 모두 몇 개입니까?</t>
  </si>
  <si>
    <t>5,6,7,8,9</t>
  </si>
  <si>
    <t>서로 다른 네 수 A, B, C가 있습니다. 세 자리 수끼리의 뺄셈식 A53-46B=3C2에서 A+B+C를 구하시오.</t>
  </si>
  <si>
    <t>A=8, B=1, C=9</t>
  </si>
  <si>
    <t>세 자리수 8A9를 십의자리에서 버림하면 800이 됩니다. 0부터 9까지의 숫자 중 A에 쓸 수 있는 숫자는 모두 몇 개입니까?</t>
  </si>
  <si>
    <t>0,1,2,3,4,5,6,7,8,9</t>
  </si>
  <si>
    <t>A, B는 한 자릿수입니다. A에 2를 곱하면 14이고, B를 3으로 나눈 몫은 3입니다. A와 B의 합을 구하시오.</t>
  </si>
  <si>
    <t>A:7, B:9</t>
  </si>
  <si>
    <t>A, B는 자연수입니다. A에 3을 곱하면 6이고, A에 4를 더하면 B입니다. A와 B의 합을 구하시오.</t>
  </si>
  <si>
    <t>A:2, B:6</t>
  </si>
  <si>
    <t>A, B, C는 자연수입니다. A보다 2작은 수는 7이고, A를 3으로 나눈 몫은 B입니다. B와 C의 합은 7입니다. A와 B와 C의 합을 구하시오.</t>
  </si>
  <si>
    <t>A:9, B:3, C:4</t>
  </si>
  <si>
    <t>네 자리수 29A0를 올림하여 백의 자리까지 나타낼 때 3000이 됩니다. 0부터 9까지의 숫자 중 A에 쓸 수 있는 숫자는 모두 몇 개입니까?</t>
  </si>
  <si>
    <t>1,2,3,4,5,6,7,8,9</t>
  </si>
  <si>
    <t>네 자리 수 7A00를 백의 자리에서 올림하면 7000이 됩니다. 0부터 9까지의 숫자 중 A에 쓸 수 있는 숫자는 모두 몇 개입니까?</t>
  </si>
  <si>
    <t>두 자리 수 9A를 7로 나눈 몫은 13입니다. 0부터 9까지의 숫자 중 A에 쓸 수 있는 숫자는 모두 몇 개입니까?</t>
  </si>
  <si>
    <t>1,2,3,4,5,6,7</t>
  </si>
  <si>
    <t>두 자리 수 A1은 3으로 나누어 떨어집니다. 1부터 9까지의 숫자 중 A에 쓸 수 있는 숫자는 모두 몇 개입니까?</t>
  </si>
  <si>
    <t>2,5,8</t>
  </si>
  <si>
    <t>두 자리 수 A3을 4로 나눈 나머지는 1입니다. 1부터 9까지의 숫자 중 A에 쓸 수 있는 숫자는 모두 몇 개입니까?</t>
  </si>
  <si>
    <t>1,3,5,7,9</t>
  </si>
  <si>
    <r>
      <rPr>
        <sz val="10"/>
        <color theme="1"/>
        <rFont val="Arial"/>
        <family val="2"/>
      </rPr>
      <t xml:space="preserve">서로 다른 두 수 </t>
    </r>
    <r>
      <rPr>
        <sz val="10"/>
        <color theme="1"/>
        <rFont val="Times New Roman"/>
        <family val="1"/>
      </rPr>
      <t>A, B</t>
    </r>
    <r>
      <rPr>
        <sz val="10"/>
        <color theme="1"/>
        <rFont val="Arial"/>
        <family val="2"/>
      </rPr>
      <t>가 있습니다</t>
    </r>
    <r>
      <rPr>
        <sz val="10"/>
        <color theme="1"/>
        <rFont val="Times New Roman"/>
        <family val="1"/>
      </rPr>
      <t xml:space="preserve">. </t>
    </r>
    <r>
      <rPr>
        <sz val="10"/>
        <color theme="1"/>
        <rFont val="Arial"/>
        <family val="2"/>
      </rPr>
      <t>두 자리 수끼리의</t>
    </r>
    <r>
      <rPr>
        <sz val="10"/>
        <color theme="1"/>
        <rFont val="Times New Roman"/>
        <family val="1"/>
      </rPr>
      <t xml:space="preserve"> </t>
    </r>
    <r>
      <rPr>
        <sz val="10"/>
        <color theme="1"/>
        <rFont val="Arial"/>
        <family val="2"/>
      </rPr>
      <t>곱셈식</t>
    </r>
    <r>
      <rPr>
        <sz val="10"/>
        <color theme="1"/>
        <rFont val="Times New Roman"/>
        <family val="1"/>
      </rPr>
      <t xml:space="preserve"> A1*2B=775</t>
    </r>
    <r>
      <rPr>
        <sz val="10"/>
        <color theme="1"/>
        <rFont val="Arial"/>
        <family val="2"/>
      </rPr>
      <t xml:space="preserve">에서 </t>
    </r>
    <r>
      <rPr>
        <sz val="10"/>
        <color theme="1"/>
        <rFont val="Times New Roman"/>
        <family val="1"/>
      </rPr>
      <t>A</t>
    </r>
    <r>
      <rPr>
        <sz val="10"/>
        <color theme="1"/>
        <rFont val="Arial"/>
        <family val="2"/>
      </rPr>
      <t xml:space="preserve">와 </t>
    </r>
    <r>
      <rPr>
        <sz val="10"/>
        <color theme="1"/>
        <rFont val="Times New Roman"/>
        <family val="1"/>
      </rPr>
      <t>B</t>
    </r>
    <r>
      <rPr>
        <sz val="10"/>
        <color theme="1"/>
        <rFont val="Arial"/>
        <family val="2"/>
      </rPr>
      <t>의 합을 구하시오</t>
    </r>
    <r>
      <rPr>
        <sz val="10"/>
        <color theme="1"/>
        <rFont val="Times New Roman"/>
        <family val="1"/>
      </rPr>
      <t>.</t>
    </r>
  </si>
  <si>
    <t>A = 3, B=5</t>
  </si>
  <si>
    <t>서로 다른 두 자연수 A, B가 있습니다. A를 11로 나누면 몫은 47이고 나머지는 B가 됩니다. 나머지 B가 가장 작은 수일 때 A를 구하시오.</t>
  </si>
  <si>
    <t>B = 1, A = 47 * 11 + 1</t>
  </si>
  <si>
    <t>A에 2를 곱한 수와 A에 2를 더한 수가 같을 때 A를 구하시오.</t>
  </si>
  <si>
    <t>2*a = a+2, a = 2</t>
  </si>
  <si>
    <t>32와 24는 자연수 A로 나누어 떨어집니다. A가 될 수 있는 수 중 가장 큰 수를 구하시오</t>
  </si>
  <si>
    <t>자연수 A는 18과 24로 나누어 떨어집니다. A가 될 수 있는 수 중 가장 작은 수를 구하시오.</t>
  </si>
  <si>
    <t>자연수 A와 19,31의 평균은 20입니다. 자연수 A를 구하시오.</t>
  </si>
  <si>
    <t>A와 B의 평균은 15입니다. A,B,15의 평균이 15일 때, A가 될 수 있는 수 중 가장 큰 수를 구하시오.</t>
  </si>
  <si>
    <t>자연수 A, 5, 7, 9 중 두수를 뽑아 만든 수 중 가장 큰수는 B8입니다. A와 B의 합을 구하시오.</t>
  </si>
  <si>
    <t>A:8, B:9</t>
  </si>
  <si>
    <t>A와 B의 최소공배수는 18이고 B-A = 7 일 때, B의 값을 구하시오.</t>
  </si>
  <si>
    <t>자연수 A와 B의 평균은 20이고 A - B = 4 일 때, A의 값을 구하시오.</t>
  </si>
  <si>
    <t>서로 다른 네 수 A, 3, 8, B 중 가장 큰 수와 가장 작은수의 곱은 24입니다. A - B = 10일 때, A의 값을 구하시오.</t>
  </si>
  <si>
    <t>자연수 A,B가 있습니다. 4/A + B/5 = 1일 때, A의 값을 구하시오.</t>
  </si>
  <si>
    <t>서로 다른 세 수 A, B, C가 있습니다. 세 자리 수끼리의 덧셈식 2A6+37B=C74에서 C를 구하시오.</t>
  </si>
  <si>
    <t>A:9, B:8, C:6</t>
  </si>
  <si>
    <t>A, B, C, D는 한 자리 수입니다. A는 소수 중 가장 작은 수이고, B는 A보다 5 큰 수입니다. C는 약수가 3개인 홀수이고 D는 C보다 5가 작은 수입니다. C와 D의 합에서 A와 B의 합을 뺀 값을 구하시오.</t>
  </si>
  <si>
    <t>A:2,B:7,C:9,D:4</t>
  </si>
  <si>
    <t>세 자리 수 9A9를 십의 자리에서 반올림하면 1000이 됩니다. 0부터 9까지의 숫자 중 A에 쓸 수 있는 숫자는 모두 몇 개입니까?</t>
  </si>
  <si>
    <t>A, B, C는 한 자리 수입니다. A는 6보다 2큰 수이고, B는 A보다 4작은 수입니다. C보다 3 작은 수가 2일 때 A, B, C의 합을 구하시오.</t>
  </si>
  <si>
    <t>A:8,B:4,C:5</t>
  </si>
  <si>
    <t>서로 다른 세 수 A, B, C가 있습니다. 세 자리 수끼리의 뺄셈식 53A-1B3=C29에서 A, B, C의 합을 구하시오.</t>
  </si>
  <si>
    <t>A:2,B:0,C:4</t>
  </si>
  <si>
    <t>서로 다른 세 수 A, B, C가 있습니다. 세 자리 수끼리의 덧셈식 48A+B47=7C0에서 B를 구하시오.</t>
  </si>
  <si>
    <t>A:3,B:2,C:3</t>
  </si>
  <si>
    <t>서로 다른 세 수 A, B, C는 모두 6의 약수이면서 1보다 큰 수입니다. A, B, C의 합을 구하시오.</t>
  </si>
  <si>
    <t>2,3,6</t>
  </si>
  <si>
    <t>서로 다른 세 수 A, B, C가 있습니다. 세 자리 수끼리의 뺄셈식 8A1-B42=63C에서 A, B, C의 합을 구하시오.</t>
  </si>
  <si>
    <t>A:8,B:2,C:9</t>
  </si>
  <si>
    <t>세 자리 수 1AB가 있습니다. 이 세자리 수에 6을 빼면 10으로 나누어 떨어지고, 5를 빼면 11로 나누어 떨어집니다. 이 때, A와 B의 합을 구하시오.</t>
  </si>
  <si>
    <t>A:2,B:6</t>
  </si>
  <si>
    <t>서로 다른 세 수 A, B, C가 있습니다. 세 자리 수끼리의 덧셈식 37A+B29=7C4에서 B를 구하시오.</t>
  </si>
  <si>
    <t>A:5,B:3,C:0</t>
  </si>
  <si>
    <t>서로 다른 두 수 A, B가 있습니다. 두 자리 수끼리의 덧셈식 3A + 49 = B4에서 A와 B의 합을 구하시오.</t>
  </si>
  <si>
    <t>A:5, B: 8 / 덧셈 - 두자리</t>
  </si>
  <si>
    <t>서로 다른 한 자리 수 A, B, C가 있습니다. 두 자리 수끼리의 뺄셈식 A4 - 3B = C7에서 A가 가장 큰 수 일 때 B와 C의 합을 구하시오.</t>
  </si>
  <si>
    <t>A: 9, B:7, C:5 / 뺄셈 - 두자리</t>
  </si>
  <si>
    <t>서로 다른 세 수 A, B, C가 있습니다. 세 자리 수끼리의 덧셈식 A3B + 134 = 3C9에서 A를 구하시오.</t>
  </si>
  <si>
    <t>A:2, B:5, C:6 / 덧셈 - 세자리</t>
  </si>
  <si>
    <t>서로 다른 세 수 A, B, C가 있습니다. 세 자리 수끼리의 뺄셈식 7AB - C29 = 324에서 C를 구하시오.</t>
  </si>
  <si>
    <t>A:5, B:3, C:4 / 뺄셈 - 세자리</t>
  </si>
  <si>
    <t>서로 다른 두 수 A, B가 있습니다. 네 자리 수끼리의 덧셈식 A214 + 59B7 = 9201에서 A와 B의 차를 구하시오.</t>
  </si>
  <si>
    <t>A:3, B:8 / 덧셈 - 네자리</t>
  </si>
  <si>
    <t>서로 다른 네 수 A, B, C, D가 있습니다. 네 자리 수끼리의 뺄셈식 A7B5 - 3C18 = 548D에서 A를 구하시오.</t>
  </si>
  <si>
    <t>A:8, B:0, C:2, D:7 / 뺄셈 - 네자리</t>
  </si>
  <si>
    <t>두 자리 수 5A를 일의 자리에서 반올림하면 50이 됩니다. 0부터 9까지의 숫자 중 A에 쓸 수 있는 숫자는 모두 몇 개입니까?</t>
  </si>
  <si>
    <t>0, 1, 2, 3, 4 / 반올림 - 두자리 / 미지수 1</t>
  </si>
  <si>
    <t>세 자리 수 8AB를 십의 자리에서 반올림하면 900이 됩니다. 0부터 9까지의 숫자 중 B에 쓸 수 있는 숫자는 모두 몇 개입니까?</t>
  </si>
  <si>
    <t>0, 1, 2, 3, 4, 5, 6, 7, 8, 9 / 반올림 - 세자리 / 미지수 1~2</t>
  </si>
  <si>
    <t>네 자리 수 7A67를 백의 자리에서 반올림하면 8000이 됩니다. 0부터 9까지의 숫자 중 A에 쓸 수 있는 수는 몇 개입니까?</t>
  </si>
  <si>
    <t>5, 6, 7, 8, 9 / 반올림 - 네자리 / 미지수 1~3</t>
  </si>
  <si>
    <t>두 자리 수 2A를 일의 자리에서 올림하면 30이 됩니다. 0부터 9까지의 숫자 중 A에 쓸 수 있는 수는 몇 개입니까?</t>
  </si>
  <si>
    <t>0, 1, 2, 3, 4, 5, 6, 7, 8, 9 / 올림 - 두자리 / 미지수 1</t>
  </si>
  <si>
    <t>서로 다른 세 수 A, B, C가 있습니다. 세 자리 수끼리의 곱셈식 68A*B98=2C3236에서 C를 구하시오.</t>
  </si>
  <si>
    <t>A:2,B:2,C:0</t>
  </si>
  <si>
    <t>서로 다른 네 수 A, B, C, D가 있습니다. 네 자리 수끼리의 덧셈식 26A8+B086=3C3D에서 A,B,C,D의 합을 구하시오.</t>
  </si>
  <si>
    <t>A:4,B:1,C:7,D:4</t>
  </si>
  <si>
    <t>네 자리 수 6AB2를 백의 자리에서 반올림하면 6000이 되고, 십의 자리에서 반올림하면 6000이 됩니다. 0부터 9까지의 숫자 중 A에 쓸 수 있는 숫자의 개수와 B에 쓸 수 있는 숫자의 개수의 합은 얼마입니까?</t>
  </si>
  <si>
    <t>A:0
B:0,1,2,3,4</t>
  </si>
  <si>
    <t>서로 다른 세 수 A, B, C가 있습니다. 세 자리 수끼리의 뺄셈식 5A1-B3C=263에서 A,B,C의 합을 구하시오.</t>
  </si>
  <si>
    <t>A:0, B:2, C:8</t>
  </si>
  <si>
    <t>서로 다른 세 수 A, B, C가 있습니다. 세 자리 수끼리의 덧셈식 4A7+76B=1C48에서 C를 구하시오.</t>
  </si>
  <si>
    <t>A:8,B:1,C:2</t>
  </si>
  <si>
    <t>자연수 A는 16과 24와 36으로 나누어 떨어집니다. A가 될 수 있는 수 중 가장 작은 수를 구하시오.</t>
  </si>
  <si>
    <t>최소공배수</t>
  </si>
  <si>
    <t>서로 다른 네 수 A, B, C, D가 있습니다. 네 자리 수끼리의 덧셈식 178A+B9C6=5D70에서 A,B,C,D중 가장 큰 수와 가장 작은 수의 차를 구하시오.</t>
  </si>
  <si>
    <t>A:4,B:3,C:8,D:7</t>
  </si>
  <si>
    <t>서로 다른 세 자연수 A,B,C가 있습니다. A를 C로 나누면 몫이 12이고 나머지는 0이 됩니다. A를 7로 나누면 몫은 6이고 나머지는 B가 됩니다. 나머지 B가 가장 큰 수일 때, C를 구하시오.</t>
  </si>
  <si>
    <t>A=7*6+B, A=C*12
B=6, A=48, C=4</t>
  </si>
  <si>
    <t>54와 243과 135는 자연수 A로 나누어 떨어집니다. A가 될 수 있는 수 중 가장 큰 수를 구하시오.</t>
  </si>
  <si>
    <t>최대공약수</t>
  </si>
  <si>
    <t>서로 다른 세 수 A, B, C가 있습니다. 세 자리 수끼리의 뺄셈식 A00-16C=1B3에서 A,B,C의 합을 구하시오.</t>
  </si>
  <si>
    <t>A:3, B:3 C:7</t>
  </si>
  <si>
    <t>세 자리 수 AB2을 일의 자리에서 올림하면 690이 됩니다. A와 B에 들어갈 숫자의 합을 구하시오.</t>
  </si>
  <si>
    <t>올림</t>
  </si>
  <si>
    <t>네 자리 수 96A2를 십의 자리에서 올림하면 9700이 됩니다. A에 들어갈 수 있는 수는 모두 몇 개입니까?</t>
  </si>
  <si>
    <t>세 자리 수 ABC를 십의 자리에서 버림하면 800이 됩니다. 0에서 9까지의 숫자 중 B에 들어갈 수 있는 가장 큰 수를 구하시오.</t>
  </si>
  <si>
    <t>버림</t>
  </si>
  <si>
    <t>네 자리 수 74AB를 일의 자리에서 버림하면 7450이 됩니다. 0에서 9까지의 숫자 중 B에 쓸 수 있는 숫자는 몇 개입니까?</t>
  </si>
  <si>
    <t>A, B는 한 자리 수입니다. A는 3의 2배보다 1 작은 수 이고, B는 10을 2로 나눈 몫보다 1 큰 수입니다. A와 B의 합을 구하시오.</t>
  </si>
  <si>
    <t>미지수 2 &amp; 각 식</t>
  </si>
  <si>
    <t>A, B, C는 한 자리 수입니다. A는 10보다 7작은 수의 2배인 수이고, B는 6을 3로 나눈 몫의 2배인 수입니다. C는 B보다 1 큰 수 일 때, A와 C의 합을 구하시오.</t>
  </si>
  <si>
    <t>미지수 3 &amp; 각 식</t>
  </si>
  <si>
    <t>A, B, C, D는 한 자리 수입니다. A와 B의 합은 5이고, C는 D보다 3 작은 수입니다. D가 8을 4로 나눈 몫일 때, A, B, C, D의 합을 구하시오.</t>
  </si>
  <si>
    <t>미지수 4 &amp; 각 식</t>
  </si>
  <si>
    <t>서로 다른 네 수 A, B, C, D가 있습니다. A는 B보다 10큰 수 이고, B는 C의 2배보다 3작은 수입니다. C는 10을 D로 나눈 몫이고,D가 3보다 2큰 수 일 때 A를 구하시오.</t>
  </si>
  <si>
    <t>서로 다른 자연수 A, B가 있습니다. A를 12로 나누면 몫은 7이고 나머지는 B가 됩니다. 나머지가 가장 작은 수일 때 A를 구하시오.</t>
  </si>
  <si>
    <t>미지수 2 &amp; 몫</t>
  </si>
  <si>
    <t>서로 다른 자연수 A, B가 있습니다. A를 8로 나누면 몫은 9이고 나머지는 B가 됩니다. 나머지 B가 두번째로 큰 수 일 때, A를 구하시오.</t>
  </si>
  <si>
    <t>자연수 A, 8, 4, B의 평균은 5입니다. A는 B보다 크고, A와 B는 각각 소수일 때 A와 B의 차를 구하시오.</t>
  </si>
  <si>
    <t>A:5,B:3</t>
  </si>
  <si>
    <t>자연수 A, B, C가 있습니다. A는 12의 약수 중에 하나이고, B는 A보다 5 큰 수입니다. C는 B보다 5 큰 수이면서 어떤 수의 거듭제곱입니다. A와 B와 C의 합을 구하시오.</t>
  </si>
  <si>
    <t>A:6, B:11, C:16</t>
  </si>
  <si>
    <t>연속하는 한 자리 자연수 A,B,C를 붙여 세 자리 수 ABC를 만들었습니다. ABC는 소수 41의 배수일 때, A와 B와 C의 합을 구하시오.</t>
  </si>
  <si>
    <t>A:1,B:2,C:3</t>
  </si>
  <si>
    <t>27과 최소공배수는 54이고, 6과 최대공약수는 6인 두 자리 수 1A가 있습니다. A를 구하시오.</t>
  </si>
  <si>
    <t>서로 다른 세 수 A,B,C가 있습니다. 세 자리 수끼리의 뺄셈식 A01-B2C=73에서 A와 B의 차를 구하시오.</t>
  </si>
  <si>
    <t>A:4,B:3,C:8</t>
  </si>
  <si>
    <t>A와 B와 C는 모두 어떤 자연수의 거듭제곱입니다. A-B는 C이고, B는 C보다 큰 수입니다. C가 한 자리 수일 때, A를 구하시오.</t>
  </si>
  <si>
    <t>A:25, B:16, C:9</t>
  </si>
  <si>
    <t>서로 다른 네 수 A, B, C, D가 있습니다. 네 자리 수끼리의 뺄셈식 5A6B-C279=31D2에서 C를 구하시오.</t>
  </si>
  <si>
    <t>5461 2279</t>
  </si>
  <si>
    <t>서로 다른 네 수 A, B, C, D가 있습니다. A와 B의 합은 10이고, C와 D의 합은 13입니다. B는 A보다 4 큰 수이고, C는 D보다 5큰 수입니다. 이 때, C에서 A를 뺀 값을 구하시오.</t>
  </si>
  <si>
    <t>A:3,B:7,C:9,D:4</t>
  </si>
  <si>
    <t>서로 다른 네 수 A, B, C, D가 있습니다. 세 자리 수끼리의 덧셈식 A86+2B3+40C=D448에서 A, B, C, D의 합을 구하시오.</t>
  </si>
  <si>
    <t>A:7, B:5, C:9, D:1</t>
  </si>
  <si>
    <t>A, B, C는 한 자리 수입니다. A는 3보다 1큰 수이고, B는 5보다 3 작은 수입니다. C보다 4작은 수는 5입니다. A와 B와 C의 합을 구하시오.</t>
  </si>
  <si>
    <t>A:4,B:2,C:9</t>
  </si>
  <si>
    <t>서로 다른 두 수 A, B가 있습니다. B는 A보다 5 작은 수 입니다. A와 B의 차를 구하시오.</t>
  </si>
  <si>
    <t>A, B, C는 한 자리 수입니다. A는 5의 2배보다 1 작은 수이고, B는 C보다 3큰 수 입니다. A와 B가 같을 때, C를 구하시오.</t>
  </si>
  <si>
    <t>서로 다른 세 수 A, B, C가 있습니다. A는 C보다 2 큰 수이고, B는 4보다 C만큼 작은 수입니다. A와 B의 합을 구하시오</t>
  </si>
  <si>
    <t>A, B, C, D는 한 자리 수입니다. A는 8을 2로 나눈 몫이고, B는 10을 3으로 나눈 나머지입니다. A를 3으로 나눈 몫은 C이고, 나머지는 D입니다. A, B C, D의 합을 구하시오.</t>
  </si>
  <si>
    <t>서로 다른 네 수 A, B, C, D가 있습니다. A는 C보다 3큰 수 이고, B는 D보다 5 작은 수입니다. C와 D의 합이 10일 때, A와 B의 합을 구하시오.</t>
  </si>
  <si>
    <t>서로 다른 세 수 A, B, C가 있습니다. 세 자리 수끼리의 덧셈식 4A7 + B63 = 72C에서 B를 구하시오.</t>
  </si>
  <si>
    <t>덧셈 - 세자리</t>
  </si>
  <si>
    <t>서로 다른 네 수 A, B, C, D가 있습니다. 네 자리 수끼리의 덧셈식 A416 + 3BCD = 9403에서 A와 D의 합을 구하시오.</t>
  </si>
  <si>
    <t>덧셈 - 네자리</t>
  </si>
  <si>
    <t>서로 다른 네 수 A, B, C, D가 있습니다. 네 자리 수끼리의 덧셈식 6A7B + C3A8 = 7D23에서 C를 구하시오.</t>
  </si>
  <si>
    <t>서로 다른 세 수 A, B, C가 있습니다. 세 자리 수끼리의 뺄셈식 A5B - 2C4 = 63에서 A를 구하시오</t>
  </si>
  <si>
    <t>뺄셈 - 세자리</t>
  </si>
  <si>
    <t>서로 다른 세 수 A, B, C가 있습니다. 네 자리 수끼리의 뺄셈식 A4B5 - 1C6C = D16에서 A와 D의 차를 구하시오.</t>
  </si>
  <si>
    <t>뺄셈 - 네자리</t>
  </si>
  <si>
    <t>A, B, C는 한 자리 수입니다. A는 6보다 4 작은 수이고, B보다 3큰 수는 9입니다. C는 2보다 1 큰 수입니다. A와 B와 C의 합을 구하시오.</t>
  </si>
  <si>
    <t>A:2,B:6,C:3</t>
  </si>
  <si>
    <t>서로 다른 네 수 A, B, C, D가 있습니다. 다섯 자리 수끼리의 뺄셈식 92A83 - 2B5C6 = 6890D에서 A와 B와 C와 D의 합을 구하시오.</t>
  </si>
  <si>
    <t>A:4,B:3,C:7,D:7</t>
  </si>
  <si>
    <t>자연수 A, 7, 5, B로 만들 수 있는 두 자리 수 중에 가장 작은 수는 25이고, 가장 큰 수는 87입니다. B가 A보다 큰 수일 때, A와 B의 합을 구하시오.</t>
  </si>
  <si>
    <t>A:2,B:8</t>
  </si>
  <si>
    <t>A, B, C는 한 자리 수입니다. A보다 7 작은 수는 1입니다. B는 7보다 2 작은 수입니다. C는 2보다 4 큰 수입니다. A와 B와 C의 합을 구하시오.</t>
  </si>
  <si>
    <t>A:8,B:5,C:6</t>
  </si>
  <si>
    <t>자연수 A, B가 있습니다. A와 B의 최대공약수는 4이고, 최소공배수는 96입니다. A가 B보다 큰 수라고 하면 A에서 B를 뺀 값을 구하시오.</t>
  </si>
  <si>
    <t>A:32, B:12</t>
  </si>
  <si>
    <t>A, B, C는 한 자리 수입니다. A는 9보다 2 작은 수이고, A보다 5 작은 수는 B입니다. C는 A보다 2 작은 수입니다. A와 B와 C의 합을 구하시오.</t>
  </si>
  <si>
    <t>A:7,B:2,C:5</t>
  </si>
  <si>
    <t>A, B, C는 한 자리 수입니다. 세 수의 평균은 5이고, 가장 큰 수에서 가장 작은 수를 뺀 값은 6입니다. B가 가장 큰 수이고, A가 가장 작은 수일 때, C와 A의 곱을 구하시오.</t>
  </si>
  <si>
    <t>A:2, B:8, C:5</t>
  </si>
  <si>
    <t>A, B, C는 한 자리 수입니다. A는 6보다 5 작은 수이고, B는 A보다 3 큰 수입니다. B보다 3 큰 수는 C입니다. A와 B와 C의 합을 구하시오.</t>
  </si>
  <si>
    <t>A:1,B:4,C:7</t>
  </si>
  <si>
    <t>서로 다른 두 수 A, B가 있습니다. 곱셈식 A8*B=152에서 A와 B의 곱을 구하시오.</t>
  </si>
  <si>
    <t>A:3,B:4</t>
  </si>
  <si>
    <t>서로 다른 두 수 A, B가 있습니다. 곱셈식 3A*7=2B5에서 A와 B의 합을 구하시오.</t>
  </si>
  <si>
    <t>A:5,B:4</t>
  </si>
  <si>
    <t>서로 다른 네 수 A, B, C, D가 있습니다. 네 자리 수끼리의 뺄셈식 AAAA - BCA7 = 20DD에서 A를 구하시오</t>
  </si>
  <si>
    <t>서로 다른 두 자연수 A, B가 있습니다. A를 30으로 나누면 몫은 10이고 나머지는 B가 됩니다. 나머지 B가 될 수 있는 수 중 가장 큰 소수일 때, A를 구하시오.</t>
  </si>
  <si>
    <t>서로 다른 두 자연수 A, B가 있습니다. A를 12로 나누면 몫은 13이고 나머지는 B가 됩니다. A와 B의 차를 구하시오.</t>
  </si>
  <si>
    <t>서로 다른 두 자연수 A, B가 있습니다. A를 20으로 나누면 몫은 20이고 나머지는 B가 되고, A를 B로 나누면 몫은 27이 되고 나머지는 10이 됩니다. A를 구하시오.</t>
  </si>
  <si>
    <t>네 자리 수 15A5를 반올림하여 백의 자리까지 나타내면 1600이 됩니다. A에 들어갈 수 있는 수 중 두번째로 큰 수를 구하시오.</t>
  </si>
  <si>
    <t>반올림</t>
  </si>
  <si>
    <t>자연수 A를 반올림하여 십의자리까지 나타내었더니 5000이 되었습니다. A가 될 수 있는 수중 가장 큰 수를 구하시오.</t>
  </si>
  <si>
    <t>올림하여 십의 자리까지 나타내면 2900이 되는 수중 가장 작은 자연수를 구하시오.</t>
  </si>
  <si>
    <t>네 자리 수 24A2를 십의 자리에서 버림하였더니 240B가 되었습니다. 0부터 9까지의 숫자 중 A에 쓸 수 있는 수중 가장 큰 수와 B의 합을 구하시오.</t>
  </si>
  <si>
    <t>세 자리 수 40A를 일의 자리에서 올림, 버림, 반올림을 하였더니 모두 같은 수가 나왔습니다. A를 구하시오.</t>
  </si>
  <si>
    <t>어림수</t>
  </si>
  <si>
    <t>세 자리 수 4AB를 일의 자리에서 올림하면 460이 되고 반올림하면 450이 됩니다. 0~9까지의 숫자 중 B에 쓸 수 있는 숫자는 모두 몇 개입니까?</t>
  </si>
  <si>
    <t>어떤 수에서 9를 더하고 3으로 나누었더니 7이 되었습니다. 어떤 수를 구하시오.</t>
  </si>
  <si>
    <t>어떤 수에서 34를 뺀 후 2로 나누어야 하는데 잘못하여 34를 더한 후 2로 나누었더니 50이 되었습니다. 바르게 계산한 값은 얼마인지 구하시오.</t>
  </si>
  <si>
    <t>12/5를 어떤 수로 나누어야 할 것을 잘못하여 곱하였더니 24/5가 되었습니다. 바르게 계산하면 값은 얼마인지 구하시오.</t>
  </si>
  <si>
    <t>분수의 나눗셈 - 가분수(대분수) 나누기 자연수의 활용
* 기존 유형1 43번 문제</t>
  </si>
  <si>
    <t>어떤 수에 6을 곱해야 할 것을 잘못하여 나누었더니 몫이 8이고 나머지가 3이 되었습니다. 바르게 계산하면 얼마입니까?</t>
  </si>
  <si>
    <t>자연수의 혼합 계산 - 덧셈, 곱셈이 섞여 있는 식 활용
* 기존 유형1 52번 문제</t>
  </si>
  <si>
    <t>어떤 수에 1.7을 곱했더니 17이 되었습니다. 어떤 수를 구하시오.</t>
  </si>
  <si>
    <t>17 / 1.7</t>
  </si>
  <si>
    <t>어떤 수를 2.5로 나누어야 할 것을 잘못하여 곱했더니 125가 되었습니다. 바르게 계산한 값을 구하시오.</t>
  </si>
  <si>
    <t>125/2.5/2.5</t>
  </si>
  <si>
    <t>어떤 자연수를 7로 나누어야 할 것을 잘못하여 곱했더니 343이 되었습니다. 바르게 계산한 값을 구하시오.</t>
  </si>
  <si>
    <t>343 / 7 / 7</t>
  </si>
  <si>
    <t>대훈이가 두 자릿수 A와 B를 곱한 값을 구하려 합니다. 대훈이는 A의 일의 자리 숫자 8을 2로 잘못 보았고 B의 일의 자리 숫자와 십의 자리 숫자를 바꾸어 25라고 잘못 보았습니다. 대훈이가 계산한 값이 300일 때 바르게 계산한 결과를 구하시오.</t>
  </si>
  <si>
    <t>A: 300/25 = 12, =&gt; 18
B: 25 =&gt; 52
18 * 52 = 936</t>
  </si>
  <si>
    <t>어떤 수에 3/5을 곱해야 할 것을 잘못하여 나누었더니 25/9가 되었습니다. 바르게 계산한 값을 구하시오.</t>
  </si>
  <si>
    <t>어떤 수: 5/3</t>
  </si>
  <si>
    <t>17에 어떤 수를 곱해야 할 것을 잘못하여 나누었더니 몫이 5이고 나머지가 2가 되었습니다. 바르게 계산하면 얼마입니까?</t>
  </si>
  <si>
    <t>어떤수: 3</t>
  </si>
  <si>
    <t>재은이는 13살이고, 진수와 재은이의 나이의 차를 구하려 하는데 잘못하여 합을 구했더니 27이 되었습니다. 바르게 계산한 값은 얼마입니까?</t>
  </si>
  <si>
    <t>진수 :14살</t>
  </si>
  <si>
    <t>어떤 정사각형의 넓이를 구해야 하는데 잘못하여 둘레를 구했더니 12cm가 되었습니다. 이 정사각형의 넓이는 얼마입니까?</t>
  </si>
  <si>
    <t>한변의 길이 3</t>
  </si>
  <si>
    <t>진성이 분단의 수학 점수의 평균을 구하려 합니다. 잘못하여 진성이를 빼고 계산한 평균값이 50이었습니다. 진성이 분단의 학생 수가 6명이고 진성이의 수학 점수가 80점 일 때, 바르게 계산한 평균값을 구하시오.</t>
  </si>
  <si>
    <t>어떤 수를 10으로 나누어야 할 것을 곱하였더니 175가 되었습니다. 바르게 계산하면 얼마입니까?</t>
  </si>
  <si>
    <t>어떤 분수를 7로 나누어야 할 것을 잘못하여 곱했더니 49/10가 되었습니다. 바르게 계산한 값을 분수로 나타내시오.</t>
  </si>
  <si>
    <t>어떤 분수를 9로 나누어야 할 것을 잘못하여 곱했더니 27/28이 되었습니다. 바르게 계산한 값을 기약분수로 나타내면 얼마입니까?</t>
  </si>
  <si>
    <t>1/84</t>
  </si>
  <si>
    <t>어떤 소수에 15를 곱했더니 18.6이 되었습니다. 어떤 소수를 구하시오.</t>
  </si>
  <si>
    <t>어떤 소수를 14로 나누어야 할 것을 잘못하여 곱했더니 595.84가 되었습니다. 바르게 계산한 값을 구하시오.</t>
  </si>
  <si>
    <t>어떤 수에서 28/5을 빼야 할 것을 잘못하여 더했더니 44/3가 되었습니다. 바르게 계산한 값을 구하시오.</t>
  </si>
  <si>
    <t>52/15</t>
  </si>
  <si>
    <t>모든 변의 길이가 자연수인 어떤 직사각형의 넓이를 구해야 할 것을 잘못하여 둘레를 구하였더니 16이 되었습니다. 이 직사각형의 가로의 길이가 3일 때 바르게 계산한 값을 구하시오.</t>
  </si>
  <si>
    <t>가로:3 세로:5</t>
  </si>
  <si>
    <t>유미가 책을 펼쳐 두 쪽수의 곱을 구해야 할 것을 잘못하여 합을 구하였더니 31이 되었습니다. 바르게 계산한 값을 구하시오.</t>
  </si>
  <si>
    <t>연속하는 세 자연수의 곱을 구해야 할 것을 잘못하여 합을 구하였더니 18이 되었습니다. 바르게 계산한 값을 구하시오.</t>
  </si>
  <si>
    <t>5,6,7</t>
  </si>
  <si>
    <t>연속하는 세 홀수의 곱을 구해야 할 것을 잘못하여 합을 구하였더니 15이 되었습니다. 바르게 계산한 값을 구하시오.</t>
  </si>
  <si>
    <t>3,5,7</t>
  </si>
  <si>
    <t>연속하는 세 짝수의 곱을 구해야 할 것을 잘못하여 합을 구하였더니 30이 되었습니다. 바르게 계산한 값을 구하시오.</t>
  </si>
  <si>
    <t>네 수 A, B, C, D가 있습니다. A는 8입니다. B는 A의 2배인 수입니다. C는 B보다 6 작은 수입니다. D는 C보다 3 작은 수입니다. 가장 작은 수는 어느 것입니까?</t>
  </si>
  <si>
    <t>D</t>
  </si>
  <si>
    <r>
      <rPr>
        <sz val="10"/>
        <color rgb="FF000000"/>
        <rFont val="Arial"/>
        <family val="2"/>
      </rPr>
      <t>A, B, C, D 네 수 중 [</t>
    </r>
    <r>
      <rPr>
        <sz val="10"/>
        <color rgb="FFFF0000"/>
        <rFont val="Arial"/>
        <family val="2"/>
      </rPr>
      <t>A</t>
    </r>
    <r>
      <rPr>
        <sz val="10"/>
        <color rgb="FF000000"/>
        <rFont val="Arial"/>
        <family val="2"/>
      </rPr>
      <t>, B, C, D]값이 주어진 경우
- B&amp;A / C&amp;B / D&amp;C (* a&amp;b: a의 값 b로 유추)</t>
    </r>
  </si>
  <si>
    <t>네 수 A, B, C, D가 있습니다. A는 B보다 10 작은 수입니다. B는 24입니다. C는 B의 1/2배인 수입니다. D는 C보다 3 큰 수입니다. 가장 작은 수는 어느 것입니까?</t>
  </si>
  <si>
    <t>C</t>
  </si>
  <si>
    <r>
      <rPr>
        <sz val="10"/>
        <color rgb="FF000000"/>
        <rFont val="Arial"/>
        <family val="2"/>
      </rPr>
      <t xml:space="preserve">A, B, C, D 네 수 중 [A, </t>
    </r>
    <r>
      <rPr>
        <sz val="10"/>
        <color rgb="FFFF0000"/>
        <rFont val="Arial"/>
        <family val="2"/>
      </rPr>
      <t>B</t>
    </r>
    <r>
      <rPr>
        <sz val="10"/>
        <color rgb="FF000000"/>
        <rFont val="Arial"/>
        <family val="2"/>
      </rPr>
      <t>, C, D]값이 주어진 경우
- A&amp;B / C&amp;B / D&amp;C (* a&amp;b: a의 값 b로 유추)</t>
    </r>
  </si>
  <si>
    <t>네 수 A, B, C, D가 있습니다. A는 B보다 3 큰 수입니다. B는 C보다 5 큰 수입니다. C는 20입니다. D는 C보다 7 큰 수입니다. 가장 큰 수는 어느 것입니까?</t>
  </si>
  <si>
    <t>A</t>
  </si>
  <si>
    <r>
      <rPr>
        <sz val="10"/>
        <color theme="1"/>
        <rFont val="Arial"/>
        <family val="2"/>
      </rPr>
      <t xml:space="preserve">A, B, C, D 네 수 중 [A, B, </t>
    </r>
    <r>
      <rPr>
        <sz val="10"/>
        <color rgb="FFFF0000"/>
        <rFont val="Arial"/>
        <family val="2"/>
      </rPr>
      <t>C</t>
    </r>
    <r>
      <rPr>
        <sz val="10"/>
        <color theme="1"/>
        <rFont val="Arial"/>
        <family val="2"/>
      </rPr>
      <t>, D]값이 주어진 경우
- A&amp;B / B&amp;A / D&amp;C (* a&amp;b: a의 값 b로 유추)</t>
    </r>
  </si>
  <si>
    <t>진범이는 준영이보다 키가 큽니다. 준영이는 세진이보다 키가 큽니다. 세 사람 중 키가 가장 큰 사람은 누구입니까?</t>
  </si>
  <si>
    <t>진범</t>
  </si>
  <si>
    <t>수진이네 집에서 할머니 댁까지 버스로 가면 39/8시간이 걸리고, 자가용으로 가면 5.25시간이 걸립니다. 버스와 자가용 중에서 어느 것으로 가는 것이 빠릅니까?</t>
  </si>
  <si>
    <t>버스</t>
  </si>
  <si>
    <t>A 마트의 사과 6개는 1.5kg입니다. B 마트의 사과 8개는 1.92kg입니다. A 마트의 사과 한 개와 B 마트의 사과 한 개 중 어느 것이 더 무겁습니까? (단, A 마트의 사과 무게는 모두 같고 B 마트의 사과 무게도 모두 같습니다.)</t>
  </si>
  <si>
    <t>A : 1.5/6 = 0.25
B: 1.92/8 = 0.24</t>
  </si>
  <si>
    <t>A와 B 비커에 각각 물 460 g과 소금 40 g을 넣어 소금물을 만들었고 C 비커에 물 440 g과 소금 30 g을 넣어 소금물을 만들었습니다. A와 C 비커에 만든 소금물을 D비커에 모아 섞고 소금 30 g을 더 넣었을 때 만들어진 소금물과 B 비커에 만든 소금물 중 어느 비커의 소금물이 더 진하겠습니까?</t>
  </si>
  <si>
    <t>A+D 비커 : (40+30+40)/(460+440) = 0.12222...
B 비커 40/460 = 0.086..</t>
  </si>
  <si>
    <t>유진이는 20 km를 자전거로 가는 데 2시간이 걸렸고 민선이는 36 km를 자전거로 가는데 3시간이 걸렸습니다. 유진이와 민선이 중 더 빠른 사람은 누구입니까?</t>
  </si>
  <si>
    <t>민선</t>
  </si>
  <si>
    <t>유진: 20/2 = 10 , 민선: 36/3 = 12</t>
  </si>
  <si>
    <t>석원이는 100원짜리 동전 4개와 50원짜리 동전 5개를 가지고 있습니다. 유나는 500원짜리 동전 1개와 10원짜리 동전 5개를 가지고 있습니다. 석원이와 유나 중 돈을 더 많이 가지고 있는 사람은 누구입니까?</t>
  </si>
  <si>
    <t>석원</t>
  </si>
  <si>
    <t>석원 : 100*4 + 50*5 = 650
유나: 500*1 + 10*5 = 550</t>
  </si>
  <si>
    <t>5분 동안 물이 20L 나오는 A 수도와 3분 동안 물이 15L 나오는 B 수도가 있습니다. 두 수도 모두 물이 일정하게 나올 때 1분 동안 물이 더 많이 나오는 수도는 어느 수도입니까?</t>
  </si>
  <si>
    <t>B</t>
  </si>
  <si>
    <t>A:4, B:5</t>
  </si>
  <si>
    <t>세 수 A, B, C가 있습니다. A와 B의 평균은 4, B와 C의 평균은 7, A와 C의 평균은 6입니다. A, B, C 중 가장 큰 수는 무엇입니까?</t>
  </si>
  <si>
    <t>A: 3, B:5, C:9</t>
  </si>
  <si>
    <t>A 도로의 길이는 360m이고 소나무가 15m 간격으로 심겨 있습니다. B 도로의 길이는 400m이고 소나무가 20m 간격으로 심겨 있습니다. 소나무가 더 많이 심겨 있는 도로는 어느 도로입니까?</t>
  </si>
  <si>
    <t>A: 24, B: 20</t>
  </si>
  <si>
    <t>정민이는 탁구공, 배구공, 축구공을 합하여 30개의 공을 가지고 있습니다. 정민이가 가지고 있는 공들 중 30%는 탁구공이고, 배구공은 탁구공보다 5개 더 많습니다. 정민이는 어떤 공을 가장 많이 가지고 있습니까?</t>
  </si>
  <si>
    <t>배구공</t>
  </si>
  <si>
    <t>탁구공: 9, 배구공:14, 축구공: 7</t>
  </si>
  <si>
    <t>진석, 용규, 현기, 동우, 민수 5명이 있습니다. 진석이는 나이가 가장 적습니다. 현기는 동우에게는 동생이고 용규에게는 형입니다. 동우는 2년후에 35살이 되고, 민수는 올해 35살입니다. 5명 중에서 나이가 3번째로 적은 사람은 누구입니까?</t>
  </si>
  <si>
    <t>현기</t>
  </si>
  <si>
    <t>민수&gt;동우&gt;현기&gt;용규&gt;진석</t>
  </si>
  <si>
    <t>네 수 A, B, C, D가 있습니다. A는 16입니다. B는 A보다 8 큰 수입니다. C는 B의 2배인 수입니다. D는 C보다 3 큰 수 입니다. 네 수 중에서 두번째로 큰 수는 어느 것입니까?</t>
  </si>
  <si>
    <t>A=16, B=24, C=12 D=15</t>
  </si>
  <si>
    <t>딸기 36개를 접시에 내놓았습니다. 아버지께서 36개의 1/6만큼을, 어머니께서 36개의 2/9만큼을, 다나는 36개의 1/4만큼을 먹고 나머지는 동생이 먹었습니다. 누가 가장 많이 먹었습니까?</t>
  </si>
  <si>
    <t>동생</t>
  </si>
  <si>
    <t>아버지:6, 어머니:8, 다나:9, 동생:13</t>
  </si>
  <si>
    <t>희준이는 영호보다 가볍고 종석이보다 무겁습니다. 상우는 희준이보다 가볍고, 민수는 종석이보다 가볍습니다. 5명 중 가장 무거운 사람은 누구입니까?</t>
  </si>
  <si>
    <t>영호</t>
  </si>
  <si>
    <t>재영이는 연필 7자루를 가지고 있습니다. 영수는 연필을 재영이보다 4자루 더 많이 가지고 있고, 민호는 영수보다 5자루 더 적게 가지고 있습니다. 영수가 민호에게 3자루의 연필을 주었다면 연필을 가장 적게 가지고 있는 사람은 누구입니까?</t>
  </si>
  <si>
    <t>재영</t>
  </si>
  <si>
    <t>재영:7, 영수:7+4=11-3=8, 민호:11-5=6+3=9</t>
  </si>
  <si>
    <t>네 수 A, B, C, D가 있습니다. C는 10입니다. C는 A의 1/2배인 수입니다. B는 A보다 3 작은 수입니다. D는 C보다 작은 수입니다. 네 수 중에서 두번째로 큰 수는 어느 것입니까?</t>
  </si>
  <si>
    <t>A=20, B=17, C=10, C&gt;D</t>
  </si>
  <si>
    <t>현수는 음료수를 13/56 마셨습니다. 유진이는 현수보다 5/42 더 적게 마셨습니다. 주홍이는 9/28 마셨고, 진주는 유진이보다 0.11 더 많이 마셨습니다. 음료수를 가장 많이 마신 사람은 누구입니까?</t>
  </si>
  <si>
    <t>주홍</t>
  </si>
  <si>
    <t>현수:13/56=0.2321428571, 
유진:13/56-5/42=0.1130952381, 
주홍:9/28=0.3214285714, 
진주:13/56-5/42+0.11=0.2230952381</t>
  </si>
  <si>
    <t>해민, 자욱, 재일, 민호, 원석 5명이 있습니다. 민호는 재일이와 해민이보다 나이가 많습니다. 자욱이는 해민이보다 동생입니다. 원석이는 재일이와 나이가 같고 해민이보다 형입니다. 5명 중에서 2번째로 나이가 적은 사람은 누구입니까?</t>
  </si>
  <si>
    <t>해민</t>
  </si>
  <si>
    <t>민호&gt;재일=원석&gt;해민&gt;자욱</t>
  </si>
  <si>
    <t>우영이는 흥민이보다 무겁고 민재보다 가볍습니다. 재성이는 흥민이보다 가볍습니다. 인범이는 2번째로 가볍습니다. 5명 중 3번째로 가벼운 사람은 누구입니까?</t>
  </si>
  <si>
    <t>흥민</t>
  </si>
  <si>
    <t>재성&lt;인범&lt;흥민&lt;우영&lt;민재</t>
  </si>
  <si>
    <t>태인, 채흥, 지찬, 승규, 윤수 5명이 있습니다. 윤수는 태인이보다 1살이 더 많습니다. 지찬이는 윤수보다 2살이 적습니다. 채흥이는 윤수보다 형입니다. 승규는 지찬이보다 1살이 많습니다. 5명 중에서 2번째로 나이가 많은 사람은 누구입니까?</t>
  </si>
  <si>
    <t>윤수</t>
  </si>
  <si>
    <t>채흥&gt;윤수&gt;태인=승규&gt;지찬</t>
  </si>
  <si>
    <t>민수는 500원짜리 볼펜과 1000원짜리 지우개를 합하여 10개를 사고 8000원을 지불했습니다. 볼펜과 지우개 중 더 많이 산 것은 무엇입니까?</t>
  </si>
  <si>
    <t>지우개</t>
  </si>
  <si>
    <t>볼펜:4, 지우개:6</t>
  </si>
  <si>
    <t>진수와 윤아가 피자를 먹었습니다. 진수는 피자의 1/4을 먹었고 윤아는 진수가 먹고 남은 것의 1/2 만큼 먹었습니다. 진수와 윤아 중 피자를 더 많이 먹은 사람은 누구입니까?</t>
  </si>
  <si>
    <t>윤아</t>
  </si>
  <si>
    <t>진수 : 1/4, 윤아: 3/4 * 1/2 = 3/8</t>
  </si>
  <si>
    <t>준수와 수진이의 수학 점수 평균은 93점 입니다. 준수의 수학 점수가 94일 때, 준수와 수진이 중 수학 점수가 더 높은 사람은 누구입니까?</t>
  </si>
  <si>
    <t>준수</t>
  </si>
  <si>
    <t>준수 :94, 수진: 186-94 = 92</t>
  </si>
  <si>
    <t>민지, 윤수, 주현이의 수학 점수 평균은 90점 입니다. 윤수의 수학 점수는 88점이고, 민지의 수학 점수는 윤수의 수학점수보다 4점 더 높습니다. 민지, 윤수, 주현 세 사람 중 가장 높은 점수를 받은 사람은 누구입니까?</t>
  </si>
  <si>
    <t>민지</t>
  </si>
  <si>
    <t>윤수:88,  민지: 92, 주현: 270 - 88 - 92 = 90</t>
  </si>
  <si>
    <t>진미와 영수는 매일 같은 거리를 걷습니다. 진미는 하루에 3.5km를 걷고 영수는 3200m를 걷습니다. 진미와 영수 중 더 적게 걷는 사람은 누구입니까?</t>
  </si>
  <si>
    <t>영수</t>
  </si>
  <si>
    <t>진미: 3500m, 영수: 3200m</t>
  </si>
  <si>
    <t>서윤이는 철사 4.5m를 가지고 있습니다. 민아에게 얼마를 주었더니 2.2m가 남았습니다. 민아와 서윤이 중 더 긴 철사를 가지고 있는 사람은 누구입니까?</t>
  </si>
  <si>
    <t>서윤</t>
  </si>
  <si>
    <t>서윤 : 2.3</t>
  </si>
  <si>
    <t>야구팀 A와 B가 있습니다. A팀의 승률은 60% 이고 B팀은 4경기중 3경기를 이겼습니다. A와 B팀 중 승률이 더 높은 팀은 어떤 팀입니까?</t>
  </si>
  <si>
    <t>B: 75%</t>
  </si>
  <si>
    <t>민수의 가방의 무게는 5.7kg 입니다. 자영이의 가방의 무게는 4700g 입니다. 민수와 자영이 중 가방의 무게가 더 무거운 가방을 가지고 있는 사람은 누구입니까?</t>
  </si>
  <si>
    <t>민수</t>
  </si>
  <si>
    <t>어떤 직사각형의 가로의 길이는 4cm 이고, 둘레는 20cm 입니다. 이 직사각형의 가로와 세로의 길이 중 더 긴 것은 어느 것입니까?</t>
  </si>
  <si>
    <t>세로</t>
  </si>
  <si>
    <t>희찬, 흥민, 승우 세 사람은 5번의 축구 경기에 출전했습니다. 희찬이는 5번의 경기에서 3골을 넣었고 흥민이는 경기당 평균 1골을 넣었습니다. 승우가 한 경기에 골을 넣을 확률이 80%일 때, 세 사람중 골을 넣을 확률이 가장 높은 사람은 누구입니까?</t>
  </si>
  <si>
    <t>희찬: 0.6 흥민: 1, 승우: 0.8</t>
  </si>
  <si>
    <t>민주는 재민이보다 키가 크고 재민이는 윤지보다 키가 큽니다. 민주, 재민, 윤지 중 키가 가장 작은 사람은 누구입니까?</t>
  </si>
  <si>
    <t>윤지</t>
  </si>
  <si>
    <t>민주&gt;재민&gt;윤지</t>
  </si>
  <si>
    <t>네 수 A, B, C, D가 있습니다. B는 A의 1/2 이고, C는 A의 3/4 입니다.  D는 C+D 일 때,  네 수 A,B,C,D 중 가장 큰 수는 무엇입니까?</t>
  </si>
  <si>
    <t>A, 1/2A, 3/4A, 5/4A</t>
  </si>
  <si>
    <t>A학교의 올해 남학생의 수는 작년 남학생의 수보다 4% 늘었고, 올해 여학생의 수는 작년 여학생의 수보다 5% 늘었습니다. A학교의 작년 남학생의 수는 150명이고 여학생의 수는 140명 이였습니다. 올해 A 학교의 남학생과 여학생중 어느 쪽이 더 많습니까?</t>
  </si>
  <si>
    <t>남학생</t>
  </si>
  <si>
    <t>남:156, 여:147</t>
  </si>
  <si>
    <t>민수는 1, 3, 9 세장의 숫자카드를 가지고 있고, 영지는 0, 2, 5, 8 네장의 숫자카드를 가지고 있습니다. 민수와 영지 각자 가지고 있는 카드를 이용하여 가장 큰 두자리 수를 만들었습니다. 누구의 숫자가 더 큽니까?</t>
  </si>
  <si>
    <t>민수:93, 영지:85</t>
  </si>
  <si>
    <t>A반의 수학점수 평균은 92점이고 B반의 모든 학생들의 수학 점수 합은 558입니다. B반의 학생 수가 6명일 때, A반과 B반 중 수학 평균 점수가 높은 반은 어느 반입니까?</t>
  </si>
  <si>
    <t>B:93</t>
  </si>
  <si>
    <t>정우네 반 전체 학생의 2/5는 남학생 입니다. 남학생 중에서 1/2은 수학을 좋아하고 여학생 중에서 1/4이 수학을 좋아합니다. 남학생과 여학생 중, 수학을 좋아하는 학생이 많은 쪽은 어느 쪽입니까?</t>
  </si>
  <si>
    <t>남: 2/5 * 1/2 = 1/5, 여: 3/5 * 1/4 = 3/20</t>
  </si>
  <si>
    <t>물총 놀이에서 연석이는 8/9L의 물을 사용 했고, 서진이는 연석이가 사용한 물의 1/3만큼 사용했습니다. 준수는 서진이가 사용한 물의 2배만큼 사용했을 때, 연석,서진,준수 세 사람중 물을 가장 많이 사용한 사람은 누구입니까?</t>
  </si>
  <si>
    <t>연석</t>
  </si>
  <si>
    <t>정사각형 A의 가로의 길이를 1/3만큼 줄이고, 세로를 2배로 늘여서 직사각형 B를 만들었습니다. A와 B중 넓이가 더 큰 사각형은 어떤 것입니까?</t>
  </si>
  <si>
    <t>영주는 3.1m의 털실을 가지고 있습니다. 영주가 가지고 있는 털실에서 120cm를 잘라 민수에게 주었습니다. 영주와 민수 중 누구의 털실이 더 깁니까?</t>
  </si>
  <si>
    <t>영주</t>
  </si>
  <si>
    <t>무게가 1.29kg인 그릇에 조개를 담아 무게를 재어보니 3.1kg이었습니다. 조개와 그릇 중 더 무거운 것은 어떤 것입니까?</t>
  </si>
  <si>
    <t>조개</t>
  </si>
  <si>
    <t>가로와 세로가 각각 3cm인 종이를 이용하여 정육면체 (가)를 만들려고 합니다. 정육면체 (가)의 겉넓이는 몇 cm²입니까?</t>
  </si>
  <si>
    <t>가로와 세로가 각각 5cm인 종이를 이용하여 정육면체 (가)를 만들려고 합니다. 정육면체 (가)의 부피는 몇 cm³입니까?</t>
  </si>
  <si>
    <t>색종이로 한 면의 넓이가 10cm²인 정육면체를 만들려고 합니다. 필요한 색종이의 넓이는 모두 몇 cm²입니까?</t>
  </si>
  <si>
    <t>가로. 세로가 각각 25cm이고, 높이가 40cm인 직육면체 모양의 통의 1/2높이만큼 물이 들어 있습니다. 이 통에 들어 있는 물의 부피는 몇 cm³입니까?</t>
  </si>
  <si>
    <t>한 모서리의 길이가 10cm인 정육면체를 쌓는데 부피가 1cm인 정육면체 몇 개가 필요합니까?</t>
  </si>
  <si>
    <t>작은 정육면체 27개로 큰 정육면체를 쌓았습니다. 큰 정육면체의 부피가 216cm³일 때 작은 정육면체의 한 모서리의 길이는 몇 cm인가요?</t>
  </si>
  <si>
    <t>가로가 4m, 세로가 2m, 높이가 3m인 직육면체 모양의 창고가 있습니다. 이 창고에 한 모서리의 길이가 20cm인 정육면체 모양의 상자를 빈틈없이 쌓으려고 합니다. 정육면체 모양의 상자를 몇 개까지 쌓을 수 있습니까?</t>
  </si>
  <si>
    <t>윤기는 가로가 5cm, 세로가 5cm, 높이가 9cm인 직육면체를 만들었고, 호석이는 가로가 7cm, 세로가 2cm, 높이가 10cm인 직육면체를 만들었습니다. 윤기가 만든 상자의 부피는 호석이가 만든 상자의 부피보다 얼마나 더 큽니까?</t>
  </si>
  <si>
    <t>가로와 세로의 길이가 각각 5cm, 2cm인 직육면체가 있습니다. 이 직육면체의 겉넓이가 160cm²일 때 높이는 몇 cm입니까?</t>
  </si>
  <si>
    <t>가로가 9cm, 세로가 3cm, 높이가 10cm인 직육면체가 있습니다. 이 직육면체와 겉넓이가 같은 정육면체 (가)를 만들려고합니다. 정육면체 (가)의 한 모서리의 길이는 몇 cm입니까?</t>
  </si>
  <si>
    <t>한 변의 길이가 9cm인 정삼각형이 있습니다. 이 정삼각형의 세 변의 길이의 합은 몇 cm입니까?</t>
  </si>
  <si>
    <t>삼각형
- 정삼각형</t>
  </si>
  <si>
    <t>세 변의 길이의 합이 45cm인 정삼각형의 한 변은 몇 cm입니까?</t>
  </si>
  <si>
    <t>두 각의 크기가 각각 60°인 삼각형이 있습니다. 이 삼각형의 한 변의 길이가 12cm일 때, 세 변의 길이의 합은 몇 cm입니까?</t>
  </si>
  <si>
    <t>한 각의 크기가 110°인 이등변삼각형이 있습니다. 나머지 한 각의 크기는 몇 °입니까?</t>
  </si>
  <si>
    <t>삼각형
- 이등변삼각형</t>
  </si>
  <si>
    <t>한 각의 크기가 30°인 직각삼각형이 있습니다. 나머지 한 각의 크기는 몇 °입니까?</t>
  </si>
  <si>
    <t>윤기는 철사를 40cm 가지고 있습니다. 이 철사를 사용하여 긴 변이 8cm, 짧은 변이 7cm인 평행사변형 1개를 겹치는 부분 없이 만들었습니다. 만들고 남은 철사는 몇 cm입니까?</t>
  </si>
  <si>
    <t>사각형
- 평행사변형</t>
  </si>
  <si>
    <t>끈을 겹치는 부분 없이 모두 사용하여 한 변의 길이가 10cm인 마름모를 만들었습니다. 이 끈으로 다시 겹치는 부분 없이 모두 사용하여 긴 변이 12cm 평행사변형을 만들 때, 짧은 변은 몇 cm로 해야합니까?</t>
  </si>
  <si>
    <t>한 변의 길이가 8cm인 마름모가 있습니다. 이 마름모의 네 변의 길이의 합은 몇 cm입니까?</t>
  </si>
  <si>
    <t>사각형
- 마름모</t>
  </si>
  <si>
    <t>길이가 64cm인 끈을 겹치지 않게 모두 사용하여 마름모 한 개 만들었습니다. 마름모의 한 변은 몇 cm입니까?</t>
  </si>
  <si>
    <t>네 변의 길이의 합이 50cm인 직사각형을 그리려고 합니다. 긴 변의 길이가 18cm로 그리려고 할 때, 짧은 변의 길이는 몇 cm로 해야합니까?</t>
  </si>
  <si>
    <t>사각형
- 직사각형</t>
  </si>
  <si>
    <t>한 변의 길이가 5cm인 정오각형의 둘레는 몇 cm입니까?</t>
  </si>
  <si>
    <t>정다각형</t>
  </si>
  <si>
    <t>한 변의 길이가 7cm인 정육각형과 한 변의 길이가 5cm인 정칠각형의 둘레의 합은 몇 cm입니까?</t>
  </si>
  <si>
    <t>한 변의 길이가 10cm인 정팔각형과 한 변의 길이가 9cm인 정구각형이 있습니다. 두 도형의 둘레의 차는 몇 cm입니까?</t>
  </si>
  <si>
    <t>둘레의 길이가 24cm인 정육각형과 정십이각형이 있습니다. 두 도형의 한 변의 길이의 합은 몇 cm입니까?</t>
  </si>
  <si>
    <t>둘레이 길이가 같은 정육각형과 정구각형이 있습니다. 정육각형의 한 변의 길이가 12cm일 때, 정구각형의 한 변의 길이는 몇 cm입니까?</t>
  </si>
  <si>
    <t>가로가 40cm, 세로가 20cm인 직사각형 모양의 종이의 둘레는 몇 cm입니까?</t>
  </si>
  <si>
    <t>직사각형</t>
  </si>
  <si>
    <t>가로가 8cm, 세로가 12cm인 직사각형이 있습니다. 가로의 길이를 2배로 늘리면 이 직사각형의 둘레는 몇 cm가 됩니까?</t>
  </si>
  <si>
    <t>세로의 길이가 가로의 길이보다 8cm 더 긴 직사각형이 있습니다. 이 직사각형의 가로의 길이가 10cm일 때, 둘레는 몇 cm입니까?</t>
  </si>
  <si>
    <t>둘레가 26cm인 직사각형이 있습니다. 이 직사각형의 세로의 길이가 8cm일 때, 가로의 길이는 몇 cm입니까?</t>
  </si>
  <si>
    <t>길이가 40cm인 끈을 겹치지 않게 모두 사용하여 가로가 12cm인 직사각형 한 개 만들었습니다. 이 직사각형의 세로의 길이는 몇 cm입니까?</t>
  </si>
  <si>
    <t>한 변의 길이가 25cm이고, 다른 한 변의 길이가 10cm인 평행사변형의 둘레는 몇 cm입니까?</t>
  </si>
  <si>
    <t>평행사변형</t>
  </si>
  <si>
    <t>둘레가 48cm인 평행사변형이 있습니다. 이 평행사변형의 한 변의 길이가 15cm 일 때, 다른 한 변의 길이는 몇 cm입니까?</t>
  </si>
  <si>
    <t>한 변의 길이가 14cm이고, 다른 한변의 길이가 11cm인 평행사변형 (가)와 둘레의 길이가 같은 평행사변형 (나)가 있습니다. 평행사변형 (나)의 한 변의 길이가 10cm일 때, 다른 한 변의 길이는 몇 cm입니까?</t>
  </si>
  <si>
    <t>둘레가 36cm인 평행사변형이 있습니다. 이 평행사변형의 한 변의 길이가 다른 한 변의 길이보다 4cm 더 길 때, 한 변의 길이는 몇 cm입니까?</t>
  </si>
  <si>
    <t>한 변의 길이가 20cm인 마름모의 둘레는 몇 cm입니까?</t>
  </si>
  <si>
    <t>마름모</t>
  </si>
  <si>
    <t>한 변의 길이가 8cm인 마름모와 한 변의 길이가 10cm인 마름모가 있습니다. 두 마름모의 둘레의 차는 몇 cm입니까?</t>
  </si>
  <si>
    <t>한 변의 길이가 12cm인 마름모의 네 변의 길이를 각각 1/3로 줄였을 때, 마름모의 둘레는 몇 cm만큼 줄어듭니까?</t>
  </si>
  <si>
    <t>둘레가 400m인 마름모 모양의 공원이 있습니다. 이 공원의 한 변의 길이는 몇 m입니까?</t>
  </si>
  <si>
    <t>가로와 세로가 각각 10cm, 16cm인 직사각형이 있습니다. 이 직사각형과 둘레가 같은 마름모의 한 변의 길이는 몇 cm입니까?</t>
  </si>
  <si>
    <t>마름모, 직사각형</t>
  </si>
  <si>
    <t>한 변의 길이가 7cm인 마름모와 한 변의 길이가 10cm인 평행사변형이 있습니다. 마름모와 평행사변형의 둘레가 같을 때, 평행사변형의 다른 한변의 길이는 몇 cm입니까?</t>
  </si>
  <si>
    <t>마름모, 평행사변형</t>
  </si>
  <si>
    <t>가로가 10센티미터이고 세로가 7센티미티인 직사각형의 넓이는 몇 제곱센티미터입니까?</t>
  </si>
  <si>
    <t>직사각형 - 넓이</t>
  </si>
  <si>
    <t>우진이는 가로가 36센티미터, 세로가 25센티미터인 직사각형 모양의 도화지에 그림을 그렸습니다. 우진이가 그린 도화지의 넙이는 몇 제곱센티미터입니까?</t>
  </si>
  <si>
    <t>세로가 10센티미터이고, 넓이가 140제곱센티미터인 직사각형이 있습니다. 이 직사각형의 가로의 길이는 몇 센티미터입니까?</t>
  </si>
  <si>
    <t>인숙이의 책상은 가로가 120센티미터이고, 넓이가 9600제곱센티미터인 직사각형 모양입니다. 인숙이의 책상의 세로는 몇 센티미터입니까?</t>
  </si>
  <si>
    <t>가로가 5센티미터, 세로가 12센티미터인 직사각형과 둘레가 16센티미터 가로가 5센티미터인 직사각형이 있습니다. 이 두 직사각형의 넓이의 합은 몇 제곱센티미터입니까?</t>
  </si>
  <si>
    <t>가로가 12센티미터, 세로가 18센티미터인 직사각형 (가)와 가로의 길이가 6센티미터인 직사각형 (나)가 있습니다. 직사각형 (나)의 넓이는 직사각형 (가)의 넓이의 3배 일 때, 직사각형 (나)의 세로의 길이는 몇 센티미터입니까?</t>
  </si>
  <si>
    <t>둘레가 28센티미터인 직사각형이 있습니다. 이 직사각형의 가로의 길이가 10센티미터일 때, 넓이는 몇 제곱센티미터입니까?</t>
  </si>
  <si>
    <t>가로가 세로보다 20센티미터 더 긴 직사각형이 있습니다. 이 직사각형의 둘레가 240센티미터일 때, 넓이는 몇 제곱센티미터입니까?</t>
  </si>
  <si>
    <t>길이가 38센티미터인 철사를 가지고 가로가 10센티미터인 직사각형을 겹치는 부분 없이 만들었습니다. 이 직사각형의 넓이는 몇 제곱센티미터입니까?</t>
  </si>
  <si>
    <t>둘레가 20센티미터이고, 넓이가 21제곱센티미터인 직사각형이 있습니다. 이 직사각형의 가로가 세로보다 길 때, 가로의 길이는 몇 센티미터입니까?</t>
  </si>
  <si>
    <t>한 변의 길이가 7cm인 정사각형의 넓이를 구하세요.</t>
  </si>
  <si>
    <t>정사각형 - 넓이</t>
  </si>
  <si>
    <t>한 변의 길이가 20cm인 액자가 있습니다. 이 액자의 넓이는 몇 cm²입니까?</t>
  </si>
  <si>
    <t>한 변의 길이가 10cm인 정사각형과 한 변의 길이가 12cm인 정사각형이 있습니다. 두 정사각형의 넓이의 차는 몇 cm²입니까?</t>
  </si>
  <si>
    <t>가로와 세로가 각각 30cm, 24cm인 직사각형 모양의 종이가 있습니다. 이 종이를 잘라 가장 큰 정사각형 모양을 한 개 만들었습니다. 만든 정사각형의 넓이는 몇 cm²입니까?</t>
  </si>
  <si>
    <t>한 변의 길이가 6cm인 정사각형 (가)로 한 변의 길이가 12cm인 정사각형을 만들려고 합니다. 정사각형 (가)는 모두 몇 개 필요합니까?</t>
  </si>
  <si>
    <t>한 변의 길이가 15cm인 정사각형 (가)는 한 변의 길이가 5cm인 정사각형 (나)의 넓이의 몇 배입니까?</t>
  </si>
  <si>
    <t>한 변의 길이가 10cm인 직사각형 모양의 종이가 있습니다. 이 종이를 잘라 내어 한 변의 길이가 5cm인 정사각형 모양을 만들려고 합니다. 만들 수 있는 정사각형은 최대 몇 개입니까?</t>
  </si>
  <si>
    <t>한 변의 길이가 80m인 정사각형 모양의 밭이 있습니다. 이 밭을 4등분 하여 무, 배추, 고추, 감자를 심었습니다. 배추를 심은 밭의 넓이는 몇 m²입니까?</t>
  </si>
  <si>
    <t>한 변의 길이가 7cm인 정사각형의 네 변의 길이를 3cm씩 늘이면 정사각형의 넓이는 몇 cm²이 됩니까?</t>
  </si>
  <si>
    <t>한 변의 길이가 12cm인 정사각형의 네 변의 길이를 4cm씩 줄이면 정사각형의 넓이는 몇 cm² 줄어듭니까?</t>
  </si>
  <si>
    <t>넓이가 49제곱센티미터인 정사각형의 한 변의 길이는 몇 센티미터입니까?</t>
  </si>
  <si>
    <t>넓이가 100제곱센티미터인 정사각형 모양의 색종이가 있습니다. 이 색종이의 한 변의 길이는 몇 센티미터입니까?</t>
  </si>
  <si>
    <t>가로가 4센티미터, 세로가 9센티미터인 직사각형이 있습니다. 이 직사각형과 넓이가 같은 정사각형의 한 변의 길이는 몇 센티미터입니까?</t>
  </si>
  <si>
    <t>가로가 3센티미터이고, 둘레가 60센티미터인 직사각형이 있습니다. 이 직사각형과 넓이가 같은 정사각형의 한 변의 길이는 몇 센티미터입니까?</t>
  </si>
  <si>
    <t>둘레가 32센티미터인 정사각형의 넓이는 몇 제곱센티미터입니까?</t>
  </si>
  <si>
    <t>한 변의 길이가 10센티미터인 정사각형 (가)와 둘레가 32센티미터인 정사각형 (나)가 있습니다. 정사각형 (가)와 정사각형 (나)의 넓이의 합은 몇 제곱센티미터입니까?</t>
  </si>
  <si>
    <t>둘레가 60센티미터인 정사각형과 둘레가 40센티미터, 세로가 8센티미터인 직사각형이 있습니다. 정사각형과 직사각형의 넓이의 차는 몇 제곱센티미터입니까?</t>
  </si>
  <si>
    <t>둘레가 80센티미터인 정사각형 모양의 타일이 있습니다. 이 타일 5개의 넓이의 합은 몇 제곱센티미터입니까?</t>
  </si>
  <si>
    <t>한 변의 길이가 30센티미터인 정사각형 모양의 타일을 겹치지 않게 8개씩 10줄로 이어 붙였습니다. 이어 붙인 타일 전체의 넓이는 몇 제곱미터입니까?</t>
  </si>
  <si>
    <t>정사각형 - 넓이(단위 변환)</t>
  </si>
  <si>
    <t>가로가 2킬로미터, 세로가 3킬로미터인 직사각형 모양의 땅이 있습니다. 이 땅에 100제곱미터는 몇 번 들어갑니까?</t>
  </si>
  <si>
    <t>넓이가 144cm인 정사각형을 크기가 같은 직사각형 3개로 나누었습니다. 직사각형 한 개의 둘레는 몇 cm입니까?</t>
  </si>
  <si>
    <t>정사각형 - 심화</t>
  </si>
  <si>
    <t>가로가 3cm, 세로가 4cm인 직사각형의 넓이의 3배인 정사각형을 만들려고 합니다. 만든 정사각형의 한 변의 길이는 몇 cm입니까?</t>
  </si>
  <si>
    <t>가로가 20cm인 직사각형 모양의 종이가 있습니다. 이 종이를 잘라 내어 가장 큰 정사각형 모양을 한 개 만들었더니, 넓이가 144cm²이었습니다. 처음 직사각형의 넓이는 몇 cm²입니까?</t>
  </si>
  <si>
    <t>정삼각형과 한 변의 길이가 같은 정사각형, 정오각형이 있습니다. 세 도형의 둘레의 합이 60cm일 때, 정오각형의 둘레의 길이는 몇 cm입니까?</t>
  </si>
  <si>
    <t>넓이가 169cm²인 정사각형 모양의 종이가 있습니다. 이 종이의 가로와 세로를 각각 3cm, 5cm 잘라내었습니다. 잘라 내고 남은 색종이의 넓이는 몇 cm²입니까?</t>
  </si>
  <si>
    <t>정사각형 3개를 겹치지 않게 이어 붙여 직사각형을 한 개 만들었습니다. 이어 붙인 직사각형의 넓이가 243cm²일 때, 이 직사각형의 둘레의 길이는 몇 cm입니까?</t>
  </si>
  <si>
    <t>밑변의 길이가 20cm, 높이가 12cm인 평행사변형의 넓이는 cm²입니까?</t>
  </si>
  <si>
    <t>평행사변형 - 넓이</t>
  </si>
  <si>
    <t>넓이가 180cm²인 평행사변형 모양의 색종이가 있습니다. 이 색종이의 밑변의 길이가 15cm일 때, 이 색종이의 높이는 몇 cm입니까?</t>
  </si>
  <si>
    <t>높이가 24cm이고, 밑변의 길이가 30cm인 삼각형의 넓이는 몇 cm²입니까?</t>
  </si>
  <si>
    <t>삼각형 - 넓이</t>
  </si>
  <si>
    <t>은솔이는 넓이가 36cm²이고, 밑변의 길이가 8cm인 삼각자를 가지고 있습니다. 은솔이가 가지고 있는 삼각자의 높이는 몇 cm입니까?</t>
  </si>
  <si>
    <t>대각선의 길이가 각각 10센티미터, 12센티미터인 마름모의 넓이는 몇 제곱센티미터입니까?</t>
  </si>
  <si>
    <t>마름모 - 넓이</t>
  </si>
  <si>
    <t>준호는 마름모 모양의 팻말을 만들었습니다. 팻말은 한 대각선의 길이가 100센티미터이고, 다른 대각선의 길이가 80센티미터입니다. 팻말의 넓이는 몇 제곱센티미터입니까?</t>
  </si>
  <si>
    <t>넓이가 66제곱센티미터이고, 한 대각선의 길이가 11센티미터인 마름모의 다른 대각선의 길이는 몇 센티미터입니까?</t>
  </si>
  <si>
    <t>진이는 동아리 활동에서 사용할 넓이가 2400제곱센티미터인 안내 표지판을 만들었습니다. 안내 표지판의 한 대각선의 길이가 60센티미터라면 다른 대각선의 길이는 몇 센티미터입니까?</t>
  </si>
  <si>
    <t>한 대각선의 길이가 10센티미터이고, 다른 대각선의 길이가 12센티미터인 마름모 (가)와 마름모 (가)의 넓이의 2배인 마름모 (나)가 있습니다. 마름모 (나)의 한 대각선의 길이가 8센티미터일 때, 다른 대각선의 길이는 몇 센티미터입니까?</t>
  </si>
  <si>
    <t>윗변의 길이가 5센티미터, 아랫변의 길이가 8센티미터, 높이가 4센티미터인 사다리꼴의 넓이는 몇 제곱센티미터입니까?</t>
  </si>
  <si>
    <t>사다리꼴 - 넓이</t>
  </si>
  <si>
    <t>윗변의 길이가 14센티미터, 아랫변의 길이가 20센티미터, 두 밑변 사이의 거리가 12센티미터인 사다리꼴 모양의 종이가 있습니다. 이 종이의 넓이는 몇 제곱센티미터입니까?</t>
  </si>
  <si>
    <t>높이가 90센티미터, 윗변과 아랫변의 길이의 합이 46센티미터인 사다리꼴이 있습니다. 이 사다리꼴의 넓이는 몇 제곱센티미터입니까?</t>
  </si>
  <si>
    <t>윗변의 길이가 9미터, 아랫변의 길이가 10미터, 넓이가 76제곱미터인 사다리꼴 모양의 땅의 높이는 몇 미터입니까?</t>
  </si>
  <si>
    <t>넓이가 16제곱센티미터인 사다리꼴이 있습니다. 이 사다리꼴의 윗변의 길이가 3센티미터이고 높이가 4센티미터일 때, 아랫변의 길이는 몇 센티미터입니까?</t>
  </si>
  <si>
    <t>직육면체의 면, 모서리, 꼭짓점의 수의 합은 모두 몇 개입니까?</t>
  </si>
  <si>
    <t>직육면체 - 성질</t>
  </si>
  <si>
    <t>직육면체의 모서리의 수는 직육면체의 한 면의 꼭짓점의 수의 몇 배입니까?</t>
  </si>
  <si>
    <t>직육면체를 위에서 본 도형의 꼭짓점의 수는 몇 개입니까?</t>
  </si>
  <si>
    <t>직육면체 모양의 상자의 겉면을 물감으로 색칠하려고 합니다. 서로 평행한 면에만 같은 색을 칠할 때, 몇 가지 색의 물감이 필요합니까?</t>
  </si>
  <si>
    <t>직육면체에서 한 면과 수직으로 만나는 면은 모두 몇 개입니까?</t>
  </si>
  <si>
    <t>정육면체의 모서리와 꼭짓점의 수의 합은 모두 몇 개입니까?</t>
  </si>
  <si>
    <t>정육면체 - 성질</t>
  </si>
  <si>
    <t>정육면체의 꼭짓점의 수는 직육면체의 한 면의 모서리의 수의 몇 배입니까?</t>
  </si>
  <si>
    <t>정육면체를 앞에서 본 도형의 꼭짓점의 수는 몇 개입니까?</t>
  </si>
  <si>
    <t>정육면체 모양의 박스의 겉면을 페인트로 색칠하려고 합니다. 서로 평행한 면에만 같은 색을 칠하려면 몇 가지 색의 페인트가 필요합니까?</t>
  </si>
  <si>
    <t>정육면체에서 한 면에 수직인 면은 모두 몇 개입니까?</t>
  </si>
  <si>
    <t>한 모서리의 길이가 6cm인 정육면체 모양의 주사위의 모서리의 길이의 합은 몇 입니까?</t>
  </si>
  <si>
    <t>정육면체 - 성질 이용</t>
  </si>
  <si>
    <t>모든 모서리의 길이의 합이 60cm인 정육면체가 있습니다. 한 모서리의 길이는 몇 cm입니까?</t>
  </si>
  <si>
    <t>정육면체 모양의 주사위가 있습니다. 이 주사위에서 평행한 두 면의 눈의 수의 합은 7입니다.
눈의 수가 2인 면과 서로 마주보고 있는 면의 눈의 수는 몇입니까?</t>
  </si>
  <si>
    <t>평행한 두 면의 눈의 수의 합이 7인 주사위가 있습니다.
눈의 수가 1인 면과 수직인 면들의 눈의 수의 합은 몇입니까?</t>
  </si>
  <si>
    <t>모든 모서리의 길이의 합이 72cm인 정육면체가 있습니다. 이 정육면체를 위에서 본 도형의 둘레는 몇 cm입니까?</t>
  </si>
  <si>
    <t>밑면이 정삼각형인 각기둥의 모서리의 수는 몇 개입니까?</t>
  </si>
  <si>
    <t>각기둥 - 성질</t>
  </si>
  <si>
    <t>사각기둥에서 꼭짓점의 수와 면의 수의 합은 몇 개입니까?</t>
  </si>
  <si>
    <t>면이 10개인 각기둥의 한 밑면의 변의 수는 몇 개입니까?</t>
  </si>
  <si>
    <t>모서리가 18개인 각기둥 (가)와 면이  5개인 각기둥 (나)가 있습니다. 두 각기둥 (가)와 (나)의 한 밑면의 변의 수의 차는 몇 개입니까?</t>
  </si>
  <si>
    <t>꼭짓점의 16개인 각기둥의 면은 몇 개입니까?</t>
  </si>
  <si>
    <t>꼭짓점의 수와 모서리의 수의 합이 50개인 각기둥의 한 밑면의 변의 수는 몇 개입니까?</t>
  </si>
  <si>
    <t>한 변의 길이가 4cm인 정오각형을 한 밑면으로 하는 각기둥이 있습니다. 이 각기둥의 높이가 8cm일 때, 모든 모서리의 길이의 합은 몇 cm입니까?</t>
  </si>
  <si>
    <t>각기둥 - 성질 이용</t>
  </si>
  <si>
    <t>꼭짓점이 12개인 각기둥이 있습니다. 이 각기둥의 한 모서리의 길이는 5cm이고 모든 모서리의 길이가 같을 때, 모든 모서리의 길이의 합은 몇 cm입니까?</t>
  </si>
  <si>
    <t>높이가 10cm인 오각기둥의 옆면에 모두 페인트를 칠한 후 바닥에 놓고 한 방향으로 두바퀴 굴렸습니다. 이 때, 바닥에 색칠된 부분의 넓이가 400cm²이었습니다. 이 오각기둥의 한 밑면의 둘레는 몇 cm입니까?</t>
  </si>
  <si>
    <t>모든 면이 정사각형인 각기둥이 있습니다. 이 각기둥의 전개도를 그린 후 전개도의 넓이를 구했더니 150cm²였습니다. 이 사각기둥의 한 모서리의 길이는 몇 cm입니까?</t>
  </si>
  <si>
    <t>현석이는 한 밑면이 가로가 4cm, 세로가 5cm인 직사각형으로 되어 있는 사각기둥 모양의 상자를 가지고 있습니다. 이 상자의 전개도를 그린 후 전개도의 넓이를 구했더니 220cm²이었습니다. 이 사각기둥의 모든 모서리의 길이의 합은 몇 cm입니까?</t>
  </si>
  <si>
    <t>오각뿔에서 꼭짓점의 수는 몇 개입니까?</t>
  </si>
  <si>
    <t>각뿔 - 성질</t>
  </si>
  <si>
    <t>밑면이 육각형인 각뿔에서 모서리의 수와 면의 수의 합은 몇 개입니까?</t>
  </si>
  <si>
    <t>꼭짓점이 11개인 각뿔의 밑면의 변의 수는 몇 개입니까?</t>
  </si>
  <si>
    <t>모서리가 20개인 각뿔의 꼭짓점의 수는 몇 개입니까?</t>
  </si>
  <si>
    <t>꼭짓점의 수와 모서리의 수의 합이 28개인 각뿔의 밑면의 변의 수는 몇 개입니까?</t>
  </si>
  <si>
    <t>모서리의 수와 면의 수의 차가 9인 각뿔의 밑면의 변의 수는 몇 개입니까?</t>
  </si>
  <si>
    <t>오각기둥의 모서리의 수와 오각뿔의 모서리의 수의 차는 몇 개입니까?</t>
  </si>
  <si>
    <t>모서리의 수가 18개인 각기둥의 한 밑면의 변의 수와 꼭짓점의 수가 5개인 각뿔의 밑면의 변의 수의 합은 몇 개입니까?</t>
  </si>
  <si>
    <t>꼭짓점의 수가 10개인 각기둥 (가)와 모서리의 수가 10개인 각뿔 (나)가 있습니다. 각기둥 (가)의 모서리의 수와 각뿔 (나)의 면의 수의 차는 몇 개입니까?</t>
  </si>
  <si>
    <t>모서리의 길이가 8cm인 각뿔이 있습니다. 이 각뿔의 밑면이 한 변의 길이가 8cm인 정오각형 일 때, 이 각뿔의 모든 모서리의 길이의 합은 몇 cm입니까?</t>
  </si>
  <si>
    <t>각뿔 - 성질 이용</t>
  </si>
  <si>
    <t>모든 모서리의 길이의 합이 75cm인 각뿔이 있습니다. 이 각뿔의 한 모서리의 길이가 7cm이고 밑면의 모양이 정오각형일 때, 이 각뿔의 밑면의 한 변의 길이는 몇 cm입니까?</t>
  </si>
  <si>
    <t>밑면의 한 변의 길이가 10cm이고 모든 모서리의 길이의 합이 108cm인 각뿔이 있습니다. 이 각뿔의 모서리의 수가 12개 일 때, 한 모서리의 길이는 몇 cm입니까?</t>
  </si>
  <si>
    <t>밑면이 10cm이고, 나머지 두 변이 각각 13cm인 이등변삼각형이 있습니다. 옆면이 이 이등변삼각형 6개로 이루어진 각뿔이 있을 때, 이 각뿔의 모든 모서리의 길이의 합은 몇 cm입니까?</t>
  </si>
  <si>
    <t>옆면이 한 변의 길이가 10cm인 정삼각형으로 이루어진 각뿔이 있습니다. 이 각뿔의 꼭짓점의 수가 8개 일 때, 밑면의 둘레는 몇 cm입니까?</t>
  </si>
  <si>
    <t>칠각기둥의 면의 수와 밑면의 모양이 육각형인 각뿔의 면의 수의 합은 몇 개입니까?</t>
  </si>
  <si>
    <t>각기둥&amp;각뿔 - 성질</t>
  </si>
  <si>
    <t>면의 수가 8개인 각기둥과 꼭짓점의 수가 7개인 각뿔이 있습니다. 이 각기둥과 각뿔의 모든 모서리의 수의 합은 몇 개입니까?</t>
  </si>
  <si>
    <t>모서리가 12개인 각뿔과 밑면의 모양이 같은 각기둥의 모서리는 몇 개입니까?</t>
  </si>
  <si>
    <t>밑면의 모양이 같은 각기둥과 각뿔이 있습니다. 각기둥의 모든 모서리의 수와 각뿔의 모든 모서리의 수를 더했더니 35개 였습니다. 밑면의 변의 수는 몇 개입니까?</t>
  </si>
  <si>
    <t>꼭짓점의 수가 가장 적은 각기둥의 모서리의 수와 면의 수가 가장 적은 각뿔의 모서리의 수의 합은 몇 개입니까?</t>
  </si>
  <si>
    <t>가로가 10cm, 세로가 5cm, 높이가 8cm인 직육면체의 부피는 몇 cm³입니까?</t>
  </si>
  <si>
    <t>직육면체 - 부피</t>
  </si>
  <si>
    <t>밑면의 넓이가 30cm²이고 높이가 10cm인 직육면체의 부피는 몇 cm³입니까?</t>
  </si>
  <si>
    <t>높이가 20cm인 직육면체가 있습니다. 이 직육면체를 위에서 본 모양의 넓이가 20cm²일 때, 이 직육면체의 부피는 몇 cm³입니까?</t>
  </si>
  <si>
    <t>정훈이는 직육면체 모양의 상자를 가지고 있습니다. 이 상자의 바닥은 한 변의 길이가 50cm인 정사각형 모양이고 높이는 120cm일 때, 이 상자의 부피는 몇 m³입니까?</t>
  </si>
  <si>
    <t>가로, 세로, 높이가 각각 6cm, 8cm, 10cm인 직육면체가 있습니다. 이 직육면체에는 부피가 1cm³인 직육면체가 몇 개 들어갑니까?</t>
  </si>
  <si>
    <t>높이가 10cm이고, 밑에 놓인 면의 둘레가 24cm인 직육면체를 만들려고 합니다. 밑에 놓은 면의 넓이가 가장 넓은 직육면체의 부피는 몇 cm³입니까?</t>
  </si>
  <si>
    <t>모든 모서리의 길이의 합이 72cm인 직육면체가 있습니다. 이 직육면체의 가로와 세로의 길이가 각각 10cm, 2cm일 때, 이 직육면체의 부피는 몇 cm³입니까?</t>
  </si>
  <si>
    <t>가로와 세로가 각각 10cm, 12cm이고 부피가 1800cm³ 직육면체의 높이는 몇 cm입니까?</t>
  </si>
  <si>
    <t>부피가 1040cm³인 직육면체 모양의 백과사전이 있습니다. 이 백과사전의 가로와 세로가 각각 13cm, 4cm일 때, 높이는 몇 cm입니까?</t>
  </si>
  <si>
    <t>가로, 세로, 높이가 각각 4cm, 5cm, 10cm인 직육면체 (가)와 가로, 세로가 각각 4cm, 2cm인 직육면체 (나)가 있습니다. 두 직육면체 (가)와 (나)의 부피가 같을 때, 직육면체 (나)의 높이는 몇 cm입니까?</t>
  </si>
  <si>
    <t>한 모서리의 길이가 6cm인 정육면체의 부피는 몇 cm³입니까?</t>
  </si>
  <si>
    <t>정육면체 - 부피</t>
  </si>
  <si>
    <t>밑면의 넓이가 81cm²인 정육면체의 부피는 몇 cm³입니까?</t>
  </si>
  <si>
    <t>한 모서리의 길이가 13cm인 정육면체의 각 모서리의 길이를 3배로 늘인다면 정육면체의 부피는 처음 부피의 몇 배가 됩니까?</t>
  </si>
  <si>
    <t>가로가 15cm, 세로가 12cm, 높이가 18cm인 직육면체 모양의 두부가 있습니다. 이 두부를 잘라서 정육면체 모양을 만들려고 할 때, 가장 큰 정육면체 모양의 부피는 몇 cm³입니까?</t>
  </si>
  <si>
    <t>한 밑면의 둘레가 40cm인 정육면체의 부피는 몇 cm³입니까?</t>
  </si>
  <si>
    <t>부피가 216cm³인 정육면체가 있습니다. 이 정육면체의 한 모서리의 길이는 몇 cm입니까?</t>
  </si>
  <si>
    <t>작은 정육면체 27개를 쌓아 큰 정육면체를 만들었습니다. 쌓은 큰 정육면체의 부피가 216cm³일 때, 작은 정육면체 1개의 부피는 몇 cm³입니까?</t>
  </si>
  <si>
    <t>한 변의 길이가 4cm인 정육면체와 가로와 세로가 각각 8cm, 2cm인 직육면체가 있습니다. 정육면체와 직육면체의 부피가 같을 때, 직육면체의 높이는 몇 cm입니까?</t>
  </si>
  <si>
    <t>부피가 125cm³인 작은 정육면체 8개를 정육면체 모양으로 쌓았습니다. 쌓은 정육면체의 한 모서리의 길이는 몇 cm입니까?</t>
  </si>
  <si>
    <t>가로와 세로가 각각 70cm, 50cm인 수조에 물이 담겨져 있습니다. 희진이가 이 수조에 장난감 기차를 넣었더니 물의 높이가 4cm 늘어났습니다. 장난감 기차의 부피는 몇 cm³입니까? (단, 수조의 두께는 생각하지 않습니다.)</t>
  </si>
  <si>
    <t>돌멩이가 들어 있는 수조에서 돌멩이를 빼었더니 물의 높이가 3cm 줄어들었습니다. 이 수조의 가로와 세로가 각각 60cm, 45cm일 때, 돌멩이의 부피는 몇 cm³입니까?</t>
  </si>
  <si>
    <t>가로가 5cm, 세로가 6cm, 높이가 7cm인 직육면체가 있습니다. 이 직육면체의 겉넓이는 몇 cm²입니까?</t>
  </si>
  <si>
    <t>직육면체 - 겉넓이</t>
  </si>
  <si>
    <t>가로가 3cm, 세로가 4cm, 높이가 5cm인 직육면체 (가)와 가로가 4cm, 세로가 2cm, 높이가 6cm인 직육면체 (나)가 있습니다. 이 두 직육면체 (가)와 (나)의 겉넓이의 합은 몇 cm²입니까?</t>
  </si>
  <si>
    <t>밑에 놓인 면의 넓이가 25cm²이고, 겉넓이가 210cm²인 직육면체가 있습니다. 밑에 놓이 면이 정사각형일 때, 직육면체의 부피는 몇 cm³입니까?</t>
  </si>
  <si>
    <t>높이가 8cm이고, 겉넓이가 200cm²인 직육면체가 있습니다. 밑에 놓인 면의 둘레가 20cm일 때, 이 직육면체의 부피는 몇 cm³입니까?</t>
  </si>
  <si>
    <t>밑에 놓인 면의 둘레가 20cm이고, 높이가 8cm인 직육면체가 있습니다. 이 직육면체의 겉넓이가 200cm²일 때, 밑에 놓인 면의 넓이는 몇 cm²입니까?</t>
  </si>
  <si>
    <t>원철이는 가로와 세로가 각각 3cm인 정사각형 2개와 가로가 5cm 세로가 3cm인 직사각형 4개를 남는 부분 없이 모두 사용하여 직육면체를 만들었습니다. 이 직육면체의 겉넓이는 몇 cm²입니까?</t>
  </si>
  <si>
    <t>밑에 놓인 면이 둘레가 16cm이고 넓이가 15cm²인 직육면체가 있습니다. 이 직육면체의 겉넓이가 126cm²일 때 높이는 몇 cm입니까?</t>
  </si>
  <si>
    <t>부피가 180cm³인 직육면체가 있습니다. 이 직육면체의 밑에 놓인 면의 둘레가 16cm이고, 넓이가 15cm²일 때 겉넓이는 몇 cm²입니까?</t>
  </si>
  <si>
    <t>한 모서리의 길이가 5cm인 정육면체의 겉넓이는 몇 cm²입니까?</t>
  </si>
  <si>
    <t>정육면체 - 겉넓이</t>
  </si>
  <si>
    <t>한 면의 넓이가 9cm²인 정육면체 모양의 주사위가 있습니다. 이 주사위의 겉넓이는 몇 cm²입니까?</t>
  </si>
  <si>
    <t>한 면의 둘레가 20cm인 정육면체가 있습니다. 이 정육면체의 겉넓이는 몇 cm²입니까?</t>
  </si>
  <si>
    <t>가로, 세로, 높이가 각각 10cm, 13cm, 8cm인 직육면체 모양의 도토리묵이 있습니다. 이 도토리묵을 잘라서 만들 수 있는 가장 큰 정육면체 모양의 겉넓이는 몇 cm²입니까?</t>
  </si>
  <si>
    <t>겉넓이가 726cm²인 정육면체가 있습니다. 이 정육면체의 한 모서리의 길이는 몇 cm입니까?</t>
  </si>
  <si>
    <t>겉넓이가 726cm²인 정육면체가 있습니다. 이 정육면체의 모든 모서리의 길이의 합은 몇 cm입니까?</t>
  </si>
  <si>
    <t>지름이 8cm인 원의 원주와 반지름이 5cm인 원의 원주의 합은 몇 cm입니까? (원주율: 3)</t>
  </si>
  <si>
    <t>원 - 원주</t>
  </si>
  <si>
    <t>진주는 길이가 8cm인 끈을 사용하여 그릴 수 있는 가장 큰 원을 그렸습니다. 진주가 그린 원의 원주는 몇 cm입니까? (원주율: 3.1)</t>
  </si>
  <si>
    <t>지름이 20cm인 원에 4cm간격으로 점을 찍으려고 합니다. 점은 모두 몇 개 찍을 수 있습니까? (원주율: 3)</t>
  </si>
  <si>
    <t>원주가 48cm인 원의 지름과 원주가 54cm인 원의 반지름의 차는 몇 cm입니까? (원주율: 3)</t>
  </si>
  <si>
    <t>원 (가)와 원 (나)가 있습니다. 원 (가)의 원주는 43.4cm이고 원 (나)의 원주는 원 (가)의 원주의 2배일 때 원 (나)의 반지름 몇 cm입니까? (원주율: 3.1)</t>
  </si>
  <si>
    <t>지름이 10cm인 원의 넓이와 반지름이 3cm인 원의 넓이의 차는 몇 cm²입니까? (원주율: 3.14)</t>
  </si>
  <si>
    <t>원 - 넓이</t>
  </si>
  <si>
    <t>가로와 세로가 각각 50cm, 60cm인 직사각형이 있습니다. 이 직사각형을 잘라 가장 큰 원으로 만들었습니다. 이 원의 넓이는 몇 cm²입니까? (원주율: 3.14)</t>
  </si>
  <si>
    <t>넓이가 432cm²인 원 모양의 피자를 밑면이 정사각형 모양인 직육면체 모양의 상자에 포장하려고 합니다. 상자의 밑면의 한 변의 길이는 적어도 몇 cm이어야 합니까? (원주율: 3)</t>
  </si>
  <si>
    <t>길이가 78cm인 끈을 남기거나 겹치는 부분 없이 모두 사용하여 원을 한 개 만들었습니다. 이 원의 넓이는 몇 cm²입니까? (원주율: 3)</t>
  </si>
  <si>
    <t>가로가 9cm, 세로가 12cm인 직사각형과 넓이가 같은 원이 있습니다. 이 원의 반지름은 몇 cm입니까? (원주율: 3)</t>
  </si>
  <si>
    <r>
      <rPr>
        <sz val="10"/>
        <color theme="1"/>
        <rFont val="돋움"/>
        <family val="3"/>
        <charset val="129"/>
      </rPr>
      <t>성민이는</t>
    </r>
    <r>
      <rPr>
        <sz val="10"/>
        <color theme="1"/>
        <rFont val="Arial"/>
        <family val="2"/>
      </rPr>
      <t xml:space="preserve"> </t>
    </r>
    <r>
      <rPr>
        <sz val="10"/>
        <color theme="1"/>
        <rFont val="돋움"/>
        <family val="3"/>
        <charset val="129"/>
      </rPr>
      <t>좋아하는</t>
    </r>
    <r>
      <rPr>
        <sz val="10"/>
        <color theme="1"/>
        <rFont val="Arial"/>
        <family val="2"/>
      </rPr>
      <t xml:space="preserve"> </t>
    </r>
    <r>
      <rPr>
        <sz val="10"/>
        <color theme="1"/>
        <rFont val="돋움"/>
        <family val="3"/>
        <charset val="129"/>
      </rPr>
      <t>과목</t>
    </r>
    <r>
      <rPr>
        <sz val="10"/>
        <color theme="1"/>
        <rFont val="Arial"/>
        <family val="2"/>
      </rPr>
      <t xml:space="preserve"> </t>
    </r>
    <r>
      <rPr>
        <sz val="10"/>
        <color theme="1"/>
        <rFont val="돋움"/>
        <family val="3"/>
        <charset val="129"/>
      </rPr>
      <t>순으로</t>
    </r>
    <r>
      <rPr>
        <sz val="10"/>
        <color theme="1"/>
        <rFont val="Arial"/>
        <family val="2"/>
      </rPr>
      <t xml:space="preserve"> </t>
    </r>
    <r>
      <rPr>
        <sz val="10"/>
        <color theme="1"/>
        <rFont val="돋움"/>
        <family val="3"/>
        <charset val="129"/>
      </rPr>
      <t>책장에</t>
    </r>
    <r>
      <rPr>
        <sz val="10"/>
        <color theme="1"/>
        <rFont val="Arial"/>
        <family val="2"/>
      </rPr>
      <t xml:space="preserve"> </t>
    </r>
    <r>
      <rPr>
        <sz val="10"/>
        <color theme="1"/>
        <rFont val="돋움"/>
        <family val="3"/>
        <charset val="129"/>
      </rPr>
      <t>있는</t>
    </r>
    <r>
      <rPr>
        <sz val="10"/>
        <color theme="1"/>
        <rFont val="Arial"/>
        <family val="2"/>
      </rPr>
      <t xml:space="preserve"> </t>
    </r>
    <r>
      <rPr>
        <sz val="10"/>
        <color theme="1"/>
        <rFont val="돋움"/>
        <family val="3"/>
        <charset val="129"/>
      </rPr>
      <t>책을</t>
    </r>
    <r>
      <rPr>
        <sz val="10"/>
        <color theme="1"/>
        <rFont val="Arial"/>
        <family val="2"/>
      </rPr>
      <t xml:space="preserve"> </t>
    </r>
    <r>
      <rPr>
        <sz val="10"/>
        <color theme="1"/>
        <rFont val="돋움"/>
        <family val="3"/>
        <charset val="129"/>
      </rPr>
      <t>정리했습니다</t>
    </r>
    <r>
      <rPr>
        <sz val="10"/>
        <color theme="1"/>
        <rFont val="Arial"/>
        <family val="2"/>
      </rPr>
      <t xml:space="preserve">. </t>
    </r>
    <r>
      <rPr>
        <sz val="10"/>
        <color theme="1"/>
        <rFont val="돋움"/>
        <family val="3"/>
        <charset val="129"/>
      </rPr>
      <t>책장에</t>
    </r>
    <r>
      <rPr>
        <sz val="10"/>
        <color theme="1"/>
        <rFont val="Arial"/>
        <family val="2"/>
      </rPr>
      <t xml:space="preserve"> </t>
    </r>
    <r>
      <rPr>
        <sz val="10"/>
        <color theme="1"/>
        <rFont val="돋움"/>
        <family val="3"/>
        <charset val="129"/>
      </rPr>
      <t>책이</t>
    </r>
    <r>
      <rPr>
        <sz val="10"/>
        <color theme="1"/>
        <rFont val="Arial"/>
        <family val="2"/>
      </rPr>
      <t xml:space="preserve"> </t>
    </r>
    <r>
      <rPr>
        <sz val="10"/>
        <color theme="1"/>
        <rFont val="돋움"/>
        <family val="3"/>
        <charset val="129"/>
      </rPr>
      <t>수학</t>
    </r>
    <r>
      <rPr>
        <sz val="10"/>
        <color theme="1"/>
        <rFont val="Arial"/>
        <family val="2"/>
      </rPr>
      <t xml:space="preserve">, </t>
    </r>
    <r>
      <rPr>
        <sz val="10"/>
        <color theme="1"/>
        <rFont val="돋움"/>
        <family val="3"/>
        <charset val="129"/>
      </rPr>
      <t>영어</t>
    </r>
    <r>
      <rPr>
        <sz val="10"/>
        <color theme="1"/>
        <rFont val="Arial"/>
        <family val="2"/>
      </rPr>
      <t xml:space="preserve">, </t>
    </r>
    <r>
      <rPr>
        <sz val="10"/>
        <color theme="1"/>
        <rFont val="돋움"/>
        <family val="3"/>
        <charset val="129"/>
      </rPr>
      <t>과학</t>
    </r>
    <r>
      <rPr>
        <sz val="10"/>
        <color theme="1"/>
        <rFont val="Arial"/>
        <family val="2"/>
      </rPr>
      <t xml:space="preserve">, </t>
    </r>
    <r>
      <rPr>
        <sz val="10"/>
        <color theme="1"/>
        <rFont val="돋움"/>
        <family val="3"/>
        <charset val="129"/>
      </rPr>
      <t>국어</t>
    </r>
    <r>
      <rPr>
        <sz val="10"/>
        <color theme="1"/>
        <rFont val="Arial"/>
        <family val="2"/>
      </rPr>
      <t xml:space="preserve">, </t>
    </r>
    <r>
      <rPr>
        <sz val="10"/>
        <color theme="1"/>
        <rFont val="돋움"/>
        <family val="3"/>
        <charset val="129"/>
      </rPr>
      <t>사회</t>
    </r>
    <r>
      <rPr>
        <sz val="10"/>
        <color theme="1"/>
        <rFont val="Arial"/>
        <family val="2"/>
      </rPr>
      <t xml:space="preserve"> </t>
    </r>
    <r>
      <rPr>
        <sz val="10"/>
        <color theme="1"/>
        <rFont val="돋움"/>
        <family val="3"/>
        <charset val="129"/>
      </rPr>
      <t>순으로</t>
    </r>
    <r>
      <rPr>
        <sz val="10"/>
        <color theme="1"/>
        <rFont val="Arial"/>
        <family val="2"/>
      </rPr>
      <t xml:space="preserve"> </t>
    </r>
    <r>
      <rPr>
        <sz val="10"/>
        <color theme="1"/>
        <rFont val="돋움"/>
        <family val="3"/>
        <charset val="129"/>
      </rPr>
      <t>정리되어</t>
    </r>
    <r>
      <rPr>
        <sz val="10"/>
        <color theme="1"/>
        <rFont val="Arial"/>
        <family val="2"/>
      </rPr>
      <t xml:space="preserve"> </t>
    </r>
    <r>
      <rPr>
        <sz val="10"/>
        <color theme="1"/>
        <rFont val="돋움"/>
        <family val="3"/>
        <charset val="129"/>
      </rPr>
      <t>있을</t>
    </r>
    <r>
      <rPr>
        <sz val="10"/>
        <color theme="1"/>
        <rFont val="Arial"/>
        <family val="2"/>
      </rPr>
      <t xml:space="preserve"> </t>
    </r>
    <r>
      <rPr>
        <sz val="10"/>
        <color theme="1"/>
        <rFont val="돋움"/>
        <family val="3"/>
        <charset val="129"/>
      </rPr>
      <t>때</t>
    </r>
    <r>
      <rPr>
        <sz val="10"/>
        <color theme="1"/>
        <rFont val="Arial"/>
        <family val="2"/>
      </rPr>
      <t xml:space="preserve">, </t>
    </r>
    <r>
      <rPr>
        <sz val="10"/>
        <color theme="1"/>
        <rFont val="돋움"/>
        <family val="3"/>
        <charset val="129"/>
      </rPr>
      <t>성민이가</t>
    </r>
    <r>
      <rPr>
        <sz val="10"/>
        <color theme="1"/>
        <rFont val="Arial"/>
        <family val="2"/>
      </rPr>
      <t xml:space="preserve"> </t>
    </r>
    <r>
      <rPr>
        <sz val="10"/>
        <color theme="1"/>
        <rFont val="돋움"/>
        <family val="3"/>
        <charset val="129"/>
      </rPr>
      <t>가장</t>
    </r>
    <r>
      <rPr>
        <sz val="10"/>
        <color theme="1"/>
        <rFont val="Arial"/>
        <family val="2"/>
      </rPr>
      <t xml:space="preserve"> </t>
    </r>
    <r>
      <rPr>
        <sz val="10"/>
        <color theme="1"/>
        <rFont val="돋움"/>
        <family val="3"/>
        <charset val="129"/>
      </rPr>
      <t>좋아하는</t>
    </r>
    <r>
      <rPr>
        <sz val="10"/>
        <color theme="1"/>
        <rFont val="Arial"/>
        <family val="2"/>
      </rPr>
      <t xml:space="preserve"> </t>
    </r>
    <r>
      <rPr>
        <sz val="10"/>
        <color theme="1"/>
        <rFont val="돋움"/>
        <family val="3"/>
        <charset val="129"/>
      </rPr>
      <t>과목은</t>
    </r>
    <r>
      <rPr>
        <sz val="10"/>
        <color theme="1"/>
        <rFont val="Arial"/>
        <family val="2"/>
      </rPr>
      <t xml:space="preserve"> </t>
    </r>
    <r>
      <rPr>
        <sz val="10"/>
        <color theme="1"/>
        <rFont val="돋움"/>
        <family val="3"/>
        <charset val="129"/>
      </rPr>
      <t>어떤</t>
    </r>
    <r>
      <rPr>
        <sz val="10"/>
        <color theme="1"/>
        <rFont val="Arial"/>
        <family val="2"/>
      </rPr>
      <t xml:space="preserve"> </t>
    </r>
    <r>
      <rPr>
        <sz val="10"/>
        <color theme="1"/>
        <rFont val="돋움"/>
        <family val="3"/>
        <charset val="129"/>
      </rPr>
      <t>과목입니까</t>
    </r>
    <r>
      <rPr>
        <sz val="10"/>
        <color theme="1"/>
        <rFont val="Arial"/>
        <family val="2"/>
      </rPr>
      <t>?</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</si>
</sst>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d"/>
  </numFmts>
  <fonts count="18" x14ac:knownFonts="1">
    <font>
      <sz val="10"/>
      <color rgb="FF000000"/>
      <name val="Arial"/>
    </font>
    <font>
      <b/>
      <sz val="10"/>
      <color theme="1"/>
      <name val="Arial"/>
      <family val="2"/>
    </font>
    <font>
      <sz val="10"/>
      <color theme="1"/>
      <name val="Arial"/>
      <family val="2"/>
    </font>
    <font>
      <sz val="10"/>
      <name val="Arial"/>
      <family val="2"/>
    </font>
    <font>
      <b/>
      <sz val="12"/>
      <color theme="1"/>
      <name val="Arial"/>
      <family val="2"/>
    </font>
    <font>
      <sz val="11"/>
      <color rgb="FF555555"/>
      <name val="Arial"/>
      <family val="2"/>
    </font>
    <font>
      <b/>
      <sz val="10"/>
      <name val="Arial"/>
      <family val="2"/>
    </font>
    <font>
      <sz val="10"/>
      <name val="Arial"/>
      <family val="2"/>
    </font>
    <font>
      <sz val="10"/>
      <color rgb="FFFF0000"/>
      <name val="Arial"/>
      <family val="2"/>
    </font>
    <font>
      <sz val="11"/>
      <color theme="1"/>
      <name val="Inconsolata"/>
    </font>
    <font>
      <sz val="10"/>
      <color theme="1"/>
      <name val="Arial"/>
      <family val="2"/>
    </font>
    <font>
      <strike/>
      <sz val="10"/>
      <color theme="1"/>
      <name val="Arial"/>
      <family val="2"/>
    </font>
    <font>
      <strike/>
      <sz val="10"/>
      <name val="Arial"/>
      <family val="2"/>
    </font>
    <font>
      <sz val="10"/>
      <color rgb="FF000000"/>
      <name val="Arial"/>
      <family val="2"/>
    </font>
    <font>
      <sz val="10"/>
      <color theme="1"/>
      <name val="Times New Roman"/>
      <family val="1"/>
    </font>
    <font>
      <sz val="8"/>
      <name val="돋움"/>
      <family val="3"/>
      <charset val="129"/>
    </font>
    <font>
      <sz val="10"/>
      <color theme="1"/>
      <name val="돋움"/>
      <family val="3"/>
      <charset val="129"/>
    </font>
    <font>
      <sz val="10"/>
      <color theme="1"/>
      <name val="Arial"/>
      <family val="3"/>
      <charset val="129"/>
    </font>
  </fonts>
  <fills count="5">
    <fill>
      <patternFill patternType="none"/>
    </fill>
    <fill>
      <patternFill patternType="gray125"/>
    </fill>
    <fill>
      <patternFill patternType="solid">
        <fgColor rgb="FFFFFF00"/>
        <bgColor rgb="FFFFFF00"/>
      </patternFill>
    </fill>
    <fill>
      <patternFill patternType="solid">
        <fgColor rgb="FFCFE2F3"/>
        <bgColor rgb="FFCFE2F3"/>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88">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2" borderId="5" xfId="0" applyFont="1" applyFill="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2" fillId="2" borderId="6"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4" xfId="0" applyFont="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1" fillId="3" borderId="0" xfId="0" applyFont="1" applyFill="1" applyAlignment="1">
      <alignment horizontal="center" vertical="center"/>
    </xf>
    <xf numFmtId="0" fontId="2" fillId="3" borderId="0" xfId="0" applyFont="1" applyFill="1" applyAlignment="1">
      <alignment vertical="center" wrapText="1"/>
    </xf>
    <xf numFmtId="0" fontId="2" fillId="3" borderId="0" xfId="0" applyFont="1" applyFill="1" applyAlignment="1">
      <alignment horizontal="center" vertical="center"/>
    </xf>
    <xf numFmtId="0" fontId="2" fillId="3" borderId="0" xfId="0" applyFont="1" applyFill="1" applyAlignment="1">
      <alignment vertical="center"/>
    </xf>
    <xf numFmtId="0" fontId="2" fillId="0" borderId="0" xfId="0" applyFont="1" applyAlignment="1">
      <alignment wrapText="1"/>
    </xf>
    <xf numFmtId="0" fontId="2" fillId="0" borderId="0" xfId="0" applyFont="1" applyAlignment="1">
      <alignment horizontal="center"/>
    </xf>
    <xf numFmtId="0" fontId="2" fillId="4" borderId="0" xfId="0" applyFont="1" applyFill="1" applyAlignment="1">
      <alignment wrapText="1"/>
    </xf>
    <xf numFmtId="0" fontId="2" fillId="2" borderId="0" xfId="0" applyFont="1" applyFill="1"/>
    <xf numFmtId="0" fontId="2" fillId="0" borderId="0" xfId="0" applyFont="1" applyAlignment="1">
      <alignment vertical="center"/>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2" fillId="4" borderId="0" xfId="0" applyFont="1" applyFill="1" applyAlignment="1">
      <alignment horizontal="center" vertical="center"/>
    </xf>
    <xf numFmtId="0" fontId="5" fillId="4" borderId="0" xfId="0" applyFont="1" applyFill="1" applyAlignment="1">
      <alignment vertical="center" wrapText="1"/>
    </xf>
    <xf numFmtId="0" fontId="6" fillId="2" borderId="0" xfId="0" applyFont="1" applyFill="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2" fillId="0" borderId="0" xfId="0" applyFont="1" applyAlignment="1">
      <alignment vertical="center" wrapText="1"/>
    </xf>
    <xf numFmtId="49" fontId="2" fillId="0" borderId="0" xfId="0" applyNumberFormat="1" applyFont="1" applyAlignment="1">
      <alignment horizontal="center" vertical="center" wrapText="1"/>
    </xf>
    <xf numFmtId="0" fontId="8" fillId="0" borderId="0" xfId="0" applyFont="1" applyAlignment="1">
      <alignment vertical="center" wrapText="1"/>
    </xf>
    <xf numFmtId="0" fontId="9" fillId="4" borderId="0" xfId="0" applyFont="1" applyFill="1" applyAlignment="1">
      <alignment vertical="center"/>
    </xf>
    <xf numFmtId="0" fontId="2" fillId="4" borderId="0" xfId="0" applyFont="1" applyFill="1" applyAlignment="1">
      <alignment vertical="center"/>
    </xf>
    <xf numFmtId="0" fontId="7" fillId="0" borderId="0" xfId="0" applyFont="1" applyAlignment="1">
      <alignment vertical="center"/>
    </xf>
    <xf numFmtId="49" fontId="2" fillId="0" borderId="0" xfId="0" applyNumberFormat="1"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0" fillId="0" borderId="0" xfId="0" applyFont="1" applyAlignment="1">
      <alignment vertical="center"/>
    </xf>
    <xf numFmtId="0" fontId="1" fillId="0" borderId="0" xfId="0" applyFont="1" applyAlignment="1">
      <alignment horizontal="center"/>
    </xf>
    <xf numFmtId="0" fontId="2" fillId="0" borderId="0" xfId="0" applyFont="1"/>
    <xf numFmtId="0" fontId="2" fillId="0" borderId="0" xfId="0" applyFont="1" applyAlignment="1">
      <alignment horizontal="center" wrapText="1"/>
    </xf>
    <xf numFmtId="0" fontId="1" fillId="4" borderId="0" xfId="0" applyFont="1" applyFill="1" applyAlignment="1">
      <alignment horizontal="center" vertical="center"/>
    </xf>
    <xf numFmtId="176" fontId="2" fillId="0" borderId="0" xfId="0" applyNumberFormat="1" applyFont="1" applyAlignment="1">
      <alignment horizontal="left" vertical="center"/>
    </xf>
    <xf numFmtId="177" fontId="2" fillId="0" borderId="0" xfId="0" applyNumberFormat="1" applyFont="1" applyAlignment="1">
      <alignment horizontal="center" vertical="center"/>
    </xf>
    <xf numFmtId="49" fontId="2" fillId="0" borderId="0" xfId="0" applyNumberFormat="1" applyFont="1" applyAlignment="1">
      <alignment horizontal="left" vertical="center"/>
    </xf>
    <xf numFmtId="0" fontId="8"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177" fontId="2" fillId="0" borderId="0" xfId="0" applyNumberFormat="1" applyFont="1" applyAlignment="1">
      <alignment horizontal="center" vertical="center"/>
    </xf>
    <xf numFmtId="0" fontId="11" fillId="0" borderId="0" xfId="0" applyFont="1" applyAlignment="1">
      <alignment wrapText="1"/>
    </xf>
    <xf numFmtId="0" fontId="12" fillId="0" borderId="0" xfId="0" applyFont="1" applyAlignment="1">
      <alignment wrapText="1"/>
    </xf>
    <xf numFmtId="0" fontId="12"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xf>
    <xf numFmtId="0" fontId="13" fillId="0" borderId="0" xfId="0" applyFont="1" applyAlignment="1">
      <alignment vertical="center"/>
    </xf>
    <xf numFmtId="0" fontId="11"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6" fillId="0" borderId="0" xfId="0" applyFont="1" applyAlignment="1">
      <alignment horizontal="center" vertical="center"/>
    </xf>
    <xf numFmtId="2" fontId="2" fillId="0" borderId="0" xfId="0" applyNumberFormat="1" applyFont="1" applyAlignment="1">
      <alignment horizontal="center" vertical="center"/>
    </xf>
    <xf numFmtId="0" fontId="1" fillId="0" borderId="0" xfId="0" applyFont="1" applyAlignment="1">
      <alignment horizontal="center" vertical="center" wrapText="1"/>
    </xf>
    <xf numFmtId="2" fontId="2" fillId="0" borderId="0" xfId="0" applyNumberFormat="1" applyFont="1" applyAlignment="1">
      <alignment horizontal="center" vertical="center" wrapText="1"/>
    </xf>
    <xf numFmtId="1" fontId="2" fillId="0" borderId="0" xfId="0" applyNumberFormat="1" applyFont="1" applyAlignment="1">
      <alignment horizontal="center" vertical="center" wrapText="1"/>
    </xf>
    <xf numFmtId="0" fontId="17" fillId="0" borderId="0" xfId="0" applyFont="1" applyAlignment="1">
      <alignment vertical="center" wrapText="1"/>
    </xf>
    <xf numFmtId="0" fontId="1" fillId="0" borderId="0" xfId="0" applyFont="1" applyAlignment="1">
      <alignment horizontal="center" vertical="center"/>
    </xf>
    <xf numFmtId="0" fontId="0" fillId="0" borderId="0" xfId="0" applyFont="1" applyAlignment="1"/>
    <xf numFmtId="0" fontId="1" fillId="0" borderId="0" xfId="0" applyFont="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0"/>
  <sheetViews>
    <sheetView workbookViewId="0">
      <pane ySplit="1" topLeftCell="A2" activePane="bottomLeft" state="frozen"/>
      <selection pane="bottomLeft" activeCell="B3" sqref="B3"/>
    </sheetView>
  </sheetViews>
  <sheetFormatPr defaultColWidth="14.44140625" defaultRowHeight="15" customHeight="1" x14ac:dyDescent="0.25"/>
  <cols>
    <col min="2" max="10" width="11.5546875" customWidth="1"/>
  </cols>
  <sheetData>
    <row r="1" spans="1:10" ht="30" customHeight="1" x14ac:dyDescent="0.25">
      <c r="A1" s="1" t="s">
        <v>0</v>
      </c>
      <c r="B1" s="2" t="s">
        <v>1</v>
      </c>
      <c r="C1" s="3" t="s">
        <v>2</v>
      </c>
      <c r="D1" s="4" t="s">
        <v>3</v>
      </c>
      <c r="E1" s="2" t="s">
        <v>4</v>
      </c>
      <c r="F1" s="3" t="s">
        <v>5</v>
      </c>
      <c r="G1" s="3" t="s">
        <v>6</v>
      </c>
      <c r="H1" s="4" t="s">
        <v>7</v>
      </c>
      <c r="I1" s="3" t="s">
        <v>8</v>
      </c>
      <c r="J1" s="4" t="s">
        <v>9</v>
      </c>
    </row>
    <row r="2" spans="1:10" ht="22.5" customHeight="1" x14ac:dyDescent="0.25">
      <c r="A2" s="1" t="s">
        <v>10</v>
      </c>
      <c r="B2" s="5">
        <v>10</v>
      </c>
      <c r="C2" s="6" t="s">
        <v>11</v>
      </c>
      <c r="D2" s="7" t="s">
        <v>11</v>
      </c>
      <c r="E2" s="8" t="s">
        <v>11</v>
      </c>
      <c r="F2" s="6" t="s">
        <v>11</v>
      </c>
      <c r="G2" s="6" t="s">
        <v>11</v>
      </c>
      <c r="H2" s="7" t="s">
        <v>11</v>
      </c>
      <c r="I2" s="9">
        <v>10</v>
      </c>
      <c r="J2" s="1">
        <f t="shared" ref="J2:J19" si="0">SUM(B2:I2)</f>
        <v>20</v>
      </c>
    </row>
    <row r="3" spans="1:10" ht="22.5" customHeight="1" x14ac:dyDescent="0.25">
      <c r="A3" s="1" t="s">
        <v>12</v>
      </c>
      <c r="B3" s="5">
        <v>10</v>
      </c>
      <c r="C3" s="6" t="s">
        <v>11</v>
      </c>
      <c r="D3" s="7" t="s">
        <v>11</v>
      </c>
      <c r="E3" s="8" t="s">
        <v>11</v>
      </c>
      <c r="F3" s="6" t="s">
        <v>11</v>
      </c>
      <c r="G3" s="6" t="s">
        <v>11</v>
      </c>
      <c r="H3" s="7" t="s">
        <v>11</v>
      </c>
      <c r="I3" s="9">
        <v>10</v>
      </c>
      <c r="J3" s="1">
        <f t="shared" si="0"/>
        <v>20</v>
      </c>
    </row>
    <row r="4" spans="1:10" ht="22.5" customHeight="1" x14ac:dyDescent="0.25">
      <c r="A4" s="1" t="s">
        <v>13</v>
      </c>
      <c r="B4" s="5">
        <v>10</v>
      </c>
      <c r="C4" s="6" t="s">
        <v>11</v>
      </c>
      <c r="D4" s="7" t="s">
        <v>11</v>
      </c>
      <c r="E4" s="8" t="s">
        <v>11</v>
      </c>
      <c r="F4" s="6" t="s">
        <v>11</v>
      </c>
      <c r="G4" s="6" t="s">
        <v>11</v>
      </c>
      <c r="H4" s="7" t="s">
        <v>11</v>
      </c>
      <c r="I4" s="9">
        <v>10</v>
      </c>
      <c r="J4" s="1">
        <f t="shared" si="0"/>
        <v>20</v>
      </c>
    </row>
    <row r="5" spans="1:10" ht="22.5" customHeight="1" x14ac:dyDescent="0.25">
      <c r="A5" s="1" t="s">
        <v>14</v>
      </c>
      <c r="B5" s="5">
        <v>10</v>
      </c>
      <c r="C5" s="6" t="s">
        <v>11</v>
      </c>
      <c r="D5" s="7" t="s">
        <v>11</v>
      </c>
      <c r="E5" s="8" t="s">
        <v>11</v>
      </c>
      <c r="F5" s="6" t="s">
        <v>11</v>
      </c>
      <c r="G5" s="6" t="s">
        <v>11</v>
      </c>
      <c r="H5" s="7" t="s">
        <v>11</v>
      </c>
      <c r="I5" s="10">
        <v>10</v>
      </c>
      <c r="J5" s="1">
        <f t="shared" si="0"/>
        <v>20</v>
      </c>
    </row>
    <row r="6" spans="1:10" ht="22.5" customHeight="1" x14ac:dyDescent="0.25">
      <c r="A6" s="1" t="s">
        <v>15</v>
      </c>
      <c r="B6" s="8">
        <v>10</v>
      </c>
      <c r="C6" s="6" t="s">
        <v>11</v>
      </c>
      <c r="D6" s="7" t="s">
        <v>11</v>
      </c>
      <c r="E6" s="8" t="s">
        <v>11</v>
      </c>
      <c r="F6" s="6" t="s">
        <v>11</v>
      </c>
      <c r="G6" s="6" t="s">
        <v>11</v>
      </c>
      <c r="H6" s="7" t="s">
        <v>11</v>
      </c>
      <c r="I6" s="10">
        <v>10</v>
      </c>
      <c r="J6" s="1">
        <f t="shared" si="0"/>
        <v>20</v>
      </c>
    </row>
    <row r="7" spans="1:10" ht="22.5" customHeight="1" x14ac:dyDescent="0.25">
      <c r="A7" s="1" t="s">
        <v>16</v>
      </c>
      <c r="B7" s="8">
        <v>3</v>
      </c>
      <c r="C7" s="6">
        <v>3</v>
      </c>
      <c r="D7" s="11">
        <v>3</v>
      </c>
      <c r="E7" s="8">
        <v>3</v>
      </c>
      <c r="F7" s="6">
        <v>3</v>
      </c>
      <c r="G7" s="9">
        <v>2</v>
      </c>
      <c r="H7" s="7">
        <v>3</v>
      </c>
      <c r="I7" s="10">
        <v>10</v>
      </c>
      <c r="J7" s="1">
        <f t="shared" si="0"/>
        <v>30</v>
      </c>
    </row>
    <row r="8" spans="1:10" ht="22.5" customHeight="1" x14ac:dyDescent="0.25">
      <c r="A8" s="1" t="s">
        <v>17</v>
      </c>
      <c r="B8" s="8">
        <v>10</v>
      </c>
      <c r="C8" s="6" t="s">
        <v>11</v>
      </c>
      <c r="D8" s="7" t="s">
        <v>11</v>
      </c>
      <c r="E8" s="8">
        <v>10</v>
      </c>
      <c r="F8" s="6" t="s">
        <v>11</v>
      </c>
      <c r="G8" s="6" t="s">
        <v>11</v>
      </c>
      <c r="H8" s="7" t="s">
        <v>11</v>
      </c>
      <c r="I8" s="10">
        <v>10</v>
      </c>
      <c r="J8" s="1">
        <f t="shared" si="0"/>
        <v>30</v>
      </c>
    </row>
    <row r="9" spans="1:10" ht="22.5" customHeight="1" x14ac:dyDescent="0.25">
      <c r="A9" s="1" t="s">
        <v>18</v>
      </c>
      <c r="B9" s="8" t="s">
        <v>11</v>
      </c>
      <c r="C9" s="6">
        <v>10</v>
      </c>
      <c r="D9" s="7" t="s">
        <v>11</v>
      </c>
      <c r="E9" s="8" t="s">
        <v>11</v>
      </c>
      <c r="F9" s="6">
        <v>10</v>
      </c>
      <c r="G9" s="6" t="s">
        <v>11</v>
      </c>
      <c r="H9" s="7" t="s">
        <v>11</v>
      </c>
      <c r="I9" s="10">
        <v>10</v>
      </c>
      <c r="J9" s="1">
        <f t="shared" si="0"/>
        <v>30</v>
      </c>
    </row>
    <row r="10" spans="1:10" ht="22.5" customHeight="1" x14ac:dyDescent="0.25">
      <c r="A10" s="1" t="s">
        <v>19</v>
      </c>
      <c r="B10" s="12" t="s">
        <v>11</v>
      </c>
      <c r="C10" s="13" t="s">
        <v>11</v>
      </c>
      <c r="D10" s="14">
        <v>10</v>
      </c>
      <c r="E10" s="12" t="s">
        <v>11</v>
      </c>
      <c r="F10" s="13" t="s">
        <v>11</v>
      </c>
      <c r="G10" s="15">
        <v>10</v>
      </c>
      <c r="H10" s="16" t="s">
        <v>11</v>
      </c>
      <c r="I10" s="17">
        <v>10</v>
      </c>
      <c r="J10" s="1">
        <f t="shared" si="0"/>
        <v>30</v>
      </c>
    </row>
    <row r="11" spans="1:10" ht="22.5" customHeight="1" x14ac:dyDescent="0.25">
      <c r="A11" s="1" t="s">
        <v>20</v>
      </c>
      <c r="B11" s="12">
        <v>10</v>
      </c>
      <c r="C11" s="13" t="s">
        <v>11</v>
      </c>
      <c r="D11" s="16" t="s">
        <v>11</v>
      </c>
      <c r="E11" s="12" t="s">
        <v>11</v>
      </c>
      <c r="F11" s="13" t="s">
        <v>11</v>
      </c>
      <c r="G11" s="13" t="s">
        <v>11</v>
      </c>
      <c r="H11" s="16">
        <v>10</v>
      </c>
      <c r="I11" s="17">
        <v>10</v>
      </c>
      <c r="J11" s="1">
        <f t="shared" si="0"/>
        <v>30</v>
      </c>
    </row>
    <row r="12" spans="1:10" ht="22.5" customHeight="1" x14ac:dyDescent="0.25">
      <c r="A12" s="1" t="s">
        <v>21</v>
      </c>
      <c r="B12" s="12" t="s">
        <v>11</v>
      </c>
      <c r="C12" s="13">
        <v>10</v>
      </c>
      <c r="D12" s="16" t="s">
        <v>11</v>
      </c>
      <c r="E12" s="12">
        <v>10</v>
      </c>
      <c r="F12" s="13" t="s">
        <v>11</v>
      </c>
      <c r="G12" s="13" t="s">
        <v>11</v>
      </c>
      <c r="H12" s="16" t="s">
        <v>11</v>
      </c>
      <c r="I12" s="17">
        <v>10</v>
      </c>
      <c r="J12" s="1">
        <f t="shared" si="0"/>
        <v>30</v>
      </c>
    </row>
    <row r="13" spans="1:10" ht="22.5" customHeight="1" x14ac:dyDescent="0.25">
      <c r="A13" s="1" t="s">
        <v>22</v>
      </c>
      <c r="B13" s="12" t="s">
        <v>11</v>
      </c>
      <c r="C13" s="13" t="s">
        <v>11</v>
      </c>
      <c r="D13" s="14">
        <v>10</v>
      </c>
      <c r="E13" s="12" t="s">
        <v>11</v>
      </c>
      <c r="F13" s="13">
        <v>10</v>
      </c>
      <c r="G13" s="13" t="s">
        <v>11</v>
      </c>
      <c r="H13" s="16" t="s">
        <v>11</v>
      </c>
      <c r="I13" s="17">
        <v>10</v>
      </c>
      <c r="J13" s="1">
        <f t="shared" si="0"/>
        <v>30</v>
      </c>
    </row>
    <row r="14" spans="1:10" ht="22.5" customHeight="1" x14ac:dyDescent="0.25">
      <c r="A14" s="1" t="s">
        <v>23</v>
      </c>
      <c r="B14" s="12">
        <v>10</v>
      </c>
      <c r="C14" s="13" t="s">
        <v>11</v>
      </c>
      <c r="D14" s="16" t="s">
        <v>11</v>
      </c>
      <c r="E14" s="12" t="s">
        <v>11</v>
      </c>
      <c r="F14" s="13" t="s">
        <v>11</v>
      </c>
      <c r="G14" s="15">
        <v>10</v>
      </c>
      <c r="H14" s="16" t="s">
        <v>11</v>
      </c>
      <c r="I14" s="17">
        <v>10</v>
      </c>
      <c r="J14" s="1">
        <f t="shared" si="0"/>
        <v>30</v>
      </c>
    </row>
    <row r="15" spans="1:10" ht="22.5" customHeight="1" x14ac:dyDescent="0.25">
      <c r="A15" s="1" t="s">
        <v>24</v>
      </c>
      <c r="B15" s="12" t="s">
        <v>11</v>
      </c>
      <c r="C15" s="13">
        <v>10</v>
      </c>
      <c r="D15" s="16" t="s">
        <v>11</v>
      </c>
      <c r="E15" s="12" t="s">
        <v>11</v>
      </c>
      <c r="F15" s="13" t="s">
        <v>11</v>
      </c>
      <c r="G15" s="13" t="s">
        <v>11</v>
      </c>
      <c r="H15" s="16">
        <v>10</v>
      </c>
      <c r="I15" s="17">
        <v>10</v>
      </c>
      <c r="J15" s="1">
        <f t="shared" si="0"/>
        <v>30</v>
      </c>
    </row>
    <row r="16" spans="1:10" ht="22.5" customHeight="1" x14ac:dyDescent="0.25">
      <c r="A16" s="1" t="s">
        <v>25</v>
      </c>
      <c r="B16" s="12" t="s">
        <v>11</v>
      </c>
      <c r="C16" s="13" t="s">
        <v>11</v>
      </c>
      <c r="D16" s="14">
        <v>10</v>
      </c>
      <c r="E16" s="12">
        <v>10</v>
      </c>
      <c r="F16" s="13">
        <v>20</v>
      </c>
      <c r="G16" s="13" t="s">
        <v>11</v>
      </c>
      <c r="H16" s="16" t="s">
        <v>11</v>
      </c>
      <c r="I16" s="17">
        <v>10</v>
      </c>
      <c r="J16" s="1">
        <f t="shared" si="0"/>
        <v>50</v>
      </c>
    </row>
    <row r="17" spans="1:10" ht="22.5" customHeight="1" x14ac:dyDescent="0.25">
      <c r="A17" s="1" t="s">
        <v>26</v>
      </c>
      <c r="B17" s="12">
        <v>30</v>
      </c>
      <c r="C17" s="13" t="s">
        <v>11</v>
      </c>
      <c r="D17" s="16" t="s">
        <v>11</v>
      </c>
      <c r="E17" s="12" t="s">
        <v>11</v>
      </c>
      <c r="F17" s="13">
        <v>20</v>
      </c>
      <c r="G17" s="13" t="s">
        <v>11</v>
      </c>
      <c r="H17" s="16">
        <v>10</v>
      </c>
      <c r="I17" s="17">
        <v>10</v>
      </c>
      <c r="J17" s="1">
        <f t="shared" si="0"/>
        <v>70</v>
      </c>
    </row>
    <row r="18" spans="1:10" ht="22.5" customHeight="1" x14ac:dyDescent="0.25">
      <c r="A18" s="1" t="s">
        <v>27</v>
      </c>
      <c r="B18" s="12" t="s">
        <v>11</v>
      </c>
      <c r="C18" s="13">
        <v>10</v>
      </c>
      <c r="D18" s="16" t="s">
        <v>11</v>
      </c>
      <c r="E18" s="12" t="s">
        <v>11</v>
      </c>
      <c r="F18" s="13">
        <v>20</v>
      </c>
      <c r="G18" s="17">
        <v>10</v>
      </c>
      <c r="H18" s="16" t="s">
        <v>11</v>
      </c>
      <c r="I18" s="17">
        <v>10</v>
      </c>
      <c r="J18" s="1">
        <f t="shared" si="0"/>
        <v>50</v>
      </c>
    </row>
    <row r="19" spans="1:10" ht="22.5" customHeight="1" x14ac:dyDescent="0.25">
      <c r="A19" s="1" t="s">
        <v>28</v>
      </c>
      <c r="B19" s="12" t="s">
        <v>11</v>
      </c>
      <c r="C19" s="13" t="s">
        <v>11</v>
      </c>
      <c r="D19" s="18">
        <v>10</v>
      </c>
      <c r="E19" s="12" t="s">
        <v>11</v>
      </c>
      <c r="F19" s="13">
        <v>20</v>
      </c>
      <c r="G19" s="13" t="s">
        <v>11</v>
      </c>
      <c r="H19" s="16">
        <v>10</v>
      </c>
      <c r="I19" s="17">
        <v>10</v>
      </c>
      <c r="J19" s="1">
        <f t="shared" si="0"/>
        <v>50</v>
      </c>
    </row>
    <row r="20" spans="1:10" ht="22.5" customHeight="1" x14ac:dyDescent="0.25">
      <c r="A20" s="1" t="s">
        <v>29</v>
      </c>
      <c r="B20" s="12">
        <f t="shared" ref="B20:J20" si="1">SUM(B2:B19)</f>
        <v>113</v>
      </c>
      <c r="C20" s="13">
        <f t="shared" si="1"/>
        <v>43</v>
      </c>
      <c r="D20" s="16">
        <f t="shared" si="1"/>
        <v>43</v>
      </c>
      <c r="E20" s="12">
        <f t="shared" si="1"/>
        <v>33</v>
      </c>
      <c r="F20" s="13">
        <f t="shared" si="1"/>
        <v>103</v>
      </c>
      <c r="G20" s="13">
        <f t="shared" si="1"/>
        <v>32</v>
      </c>
      <c r="H20" s="16">
        <f t="shared" si="1"/>
        <v>43</v>
      </c>
      <c r="I20" s="19">
        <f t="shared" si="1"/>
        <v>180</v>
      </c>
      <c r="J20" s="20">
        <f t="shared" si="1"/>
        <v>590</v>
      </c>
    </row>
  </sheetData>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20"/>
  <sheetViews>
    <sheetView workbookViewId="0">
      <pane ySplit="1" topLeftCell="A2" activePane="bottomLeft" state="frozen"/>
      <selection pane="bottomLeft" activeCell="C8" sqref="C8"/>
    </sheetView>
  </sheetViews>
  <sheetFormatPr defaultColWidth="14.44140625" defaultRowHeight="15" customHeight="1" x14ac:dyDescent="0.25"/>
  <cols>
    <col min="1" max="1" width="10.109375" customWidth="1"/>
    <col min="2" max="2" width="7.33203125" customWidth="1"/>
    <col min="3" max="3" width="71.5546875" customWidth="1"/>
    <col min="4" max="4" width="14.44140625" customWidth="1"/>
    <col min="5" max="5" width="68.109375" customWidth="1"/>
  </cols>
  <sheetData>
    <row r="1" spans="1:5" x14ac:dyDescent="0.25">
      <c r="A1" s="21" t="s">
        <v>0</v>
      </c>
      <c r="B1" s="21" t="s">
        <v>30</v>
      </c>
      <c r="C1" s="22" t="s">
        <v>31</v>
      </c>
      <c r="D1" s="21" t="s">
        <v>32</v>
      </c>
      <c r="E1" s="21" t="s">
        <v>33</v>
      </c>
    </row>
    <row r="2" spans="1:5" x14ac:dyDescent="0.25">
      <c r="A2" s="85">
        <v>20210927</v>
      </c>
      <c r="B2" s="21">
        <v>1</v>
      </c>
      <c r="C2" s="23" t="s">
        <v>34</v>
      </c>
      <c r="D2" s="24">
        <f>62+83</f>
        <v>145</v>
      </c>
      <c r="E2" s="25" t="s">
        <v>35</v>
      </c>
    </row>
    <row r="3" spans="1:5" x14ac:dyDescent="0.25">
      <c r="A3" s="86"/>
      <c r="B3" s="21">
        <v>2</v>
      </c>
      <c r="C3" s="23" t="s">
        <v>36</v>
      </c>
      <c r="D3" s="24">
        <f>23-9</f>
        <v>14</v>
      </c>
      <c r="E3" s="25" t="s">
        <v>35</v>
      </c>
    </row>
    <row r="4" spans="1:5" x14ac:dyDescent="0.25">
      <c r="A4" s="86"/>
      <c r="B4" s="21">
        <v>3</v>
      </c>
      <c r="C4" s="23" t="s">
        <v>37</v>
      </c>
      <c r="D4" s="24">
        <f>68+18</f>
        <v>86</v>
      </c>
      <c r="E4" s="25" t="s">
        <v>38</v>
      </c>
    </row>
    <row r="5" spans="1:5" x14ac:dyDescent="0.25">
      <c r="A5" s="86"/>
      <c r="B5" s="21">
        <v>4</v>
      </c>
      <c r="C5" s="23" t="s">
        <v>39</v>
      </c>
      <c r="D5" s="24">
        <f>52+12</f>
        <v>64</v>
      </c>
      <c r="E5" s="25" t="s">
        <v>38</v>
      </c>
    </row>
    <row r="6" spans="1:5" x14ac:dyDescent="0.25">
      <c r="A6" s="86"/>
      <c r="B6" s="21">
        <v>5</v>
      </c>
      <c r="C6" s="23" t="s">
        <v>40</v>
      </c>
      <c r="D6" s="24">
        <f>54-16</f>
        <v>38</v>
      </c>
      <c r="E6" s="25" t="s">
        <v>38</v>
      </c>
    </row>
    <row r="7" spans="1:5" x14ac:dyDescent="0.25">
      <c r="A7" s="86"/>
      <c r="B7" s="21">
        <v>6</v>
      </c>
      <c r="C7" s="23" t="s">
        <v>41</v>
      </c>
      <c r="D7" s="24">
        <f>42-17</f>
        <v>25</v>
      </c>
      <c r="E7" s="25" t="s">
        <v>38</v>
      </c>
    </row>
    <row r="8" spans="1:5" x14ac:dyDescent="0.25">
      <c r="A8" s="86"/>
      <c r="B8" s="21">
        <v>7</v>
      </c>
      <c r="C8" s="23" t="s">
        <v>42</v>
      </c>
      <c r="D8" s="24">
        <f>42+(42+18)</f>
        <v>102</v>
      </c>
      <c r="E8" s="25" t="s">
        <v>43</v>
      </c>
    </row>
    <row r="9" spans="1:5" x14ac:dyDescent="0.25">
      <c r="A9" s="86"/>
      <c r="B9" s="21">
        <v>8</v>
      </c>
      <c r="C9" s="23" t="s">
        <v>44</v>
      </c>
      <c r="D9" s="24">
        <f>19+(19+3)</f>
        <v>41</v>
      </c>
      <c r="E9" s="25" t="s">
        <v>43</v>
      </c>
    </row>
    <row r="10" spans="1:5" x14ac:dyDescent="0.25">
      <c r="A10" s="86"/>
      <c r="B10" s="21">
        <v>9</v>
      </c>
      <c r="C10" s="23" t="s">
        <v>45</v>
      </c>
      <c r="D10" s="24">
        <f>15+(15-7)</f>
        <v>23</v>
      </c>
      <c r="E10" s="25" t="s">
        <v>43</v>
      </c>
    </row>
    <row r="11" spans="1:5" x14ac:dyDescent="0.25">
      <c r="A11" s="86"/>
      <c r="B11" s="21">
        <v>10</v>
      </c>
      <c r="C11" s="23" t="s">
        <v>46</v>
      </c>
      <c r="D11" s="24">
        <f>27+(27-3)</f>
        <v>51</v>
      </c>
      <c r="E11" s="25" t="s">
        <v>43</v>
      </c>
    </row>
    <row r="12" spans="1:5" x14ac:dyDescent="0.25">
      <c r="A12" s="85">
        <v>20210928</v>
      </c>
      <c r="B12" s="21">
        <v>11</v>
      </c>
      <c r="C12" s="23" t="s">
        <v>47</v>
      </c>
      <c r="D12" s="24">
        <f>20-13+7</f>
        <v>14</v>
      </c>
      <c r="E12" s="25" t="s">
        <v>48</v>
      </c>
    </row>
    <row r="13" spans="1:5" x14ac:dyDescent="0.25">
      <c r="A13" s="86"/>
      <c r="B13" s="21">
        <v>12</v>
      </c>
      <c r="C13" s="26" t="s">
        <v>49</v>
      </c>
      <c r="D13" s="24">
        <f>14+13-9</f>
        <v>18</v>
      </c>
      <c r="E13" s="25" t="s">
        <v>48</v>
      </c>
    </row>
    <row r="14" spans="1:5" x14ac:dyDescent="0.25">
      <c r="A14" s="86"/>
      <c r="B14" s="21">
        <v>13</v>
      </c>
      <c r="C14" s="23" t="s">
        <v>50</v>
      </c>
      <c r="D14" s="24">
        <f>172 - (138+10)</f>
        <v>24</v>
      </c>
      <c r="E14" s="25" t="s">
        <v>51</v>
      </c>
    </row>
    <row r="15" spans="1:5" x14ac:dyDescent="0.25">
      <c r="A15" s="86"/>
      <c r="B15" s="21">
        <v>14</v>
      </c>
      <c r="C15" s="23" t="s">
        <v>52</v>
      </c>
      <c r="D15" s="24">
        <f>4*6/3</f>
        <v>8</v>
      </c>
      <c r="E15" s="25" t="s">
        <v>53</v>
      </c>
    </row>
    <row r="16" spans="1:5" x14ac:dyDescent="0.25">
      <c r="A16" s="86"/>
      <c r="B16" s="21">
        <v>15</v>
      </c>
      <c r="C16" s="23" t="s">
        <v>54</v>
      </c>
      <c r="D16" s="24">
        <f>24/6*2</f>
        <v>8</v>
      </c>
      <c r="E16" s="25" t="s">
        <v>53</v>
      </c>
    </row>
    <row r="17" spans="1:5" x14ac:dyDescent="0.25">
      <c r="A17" s="86"/>
      <c r="B17" s="21">
        <v>16</v>
      </c>
      <c r="C17" s="23" t="s">
        <v>55</v>
      </c>
      <c r="D17" s="27">
        <f>12*10/8</f>
        <v>15</v>
      </c>
      <c r="E17" s="25" t="s">
        <v>53</v>
      </c>
    </row>
    <row r="18" spans="1:5" x14ac:dyDescent="0.25">
      <c r="A18" s="86"/>
      <c r="B18" s="21">
        <v>17</v>
      </c>
      <c r="C18" s="23" t="s">
        <v>56</v>
      </c>
      <c r="D18" s="27">
        <f>160/(8*4)</f>
        <v>5</v>
      </c>
      <c r="E18" s="25" t="s">
        <v>57</v>
      </c>
    </row>
    <row r="19" spans="1:5" x14ac:dyDescent="0.25">
      <c r="A19" s="86"/>
      <c r="B19" s="21">
        <v>18</v>
      </c>
      <c r="C19" s="23" t="s">
        <v>58</v>
      </c>
      <c r="D19" s="27">
        <f>80-16-12</f>
        <v>52</v>
      </c>
      <c r="E19" s="23" t="s">
        <v>59</v>
      </c>
    </row>
    <row r="20" spans="1:5" x14ac:dyDescent="0.25">
      <c r="A20" s="86"/>
      <c r="B20" s="21">
        <v>19</v>
      </c>
      <c r="C20" s="23" t="s">
        <v>60</v>
      </c>
      <c r="D20" s="27">
        <f>(24*7)-(11*7)</f>
        <v>91</v>
      </c>
      <c r="E20" s="23" t="s">
        <v>61</v>
      </c>
    </row>
    <row r="21" spans="1:5" x14ac:dyDescent="0.25">
      <c r="A21" s="86"/>
      <c r="B21" s="21">
        <v>20</v>
      </c>
      <c r="C21" s="23" t="s">
        <v>62</v>
      </c>
      <c r="D21" s="27">
        <f>26 - (5+4)*2</f>
        <v>8</v>
      </c>
      <c r="E21" s="23" t="s">
        <v>63</v>
      </c>
    </row>
    <row r="22" spans="1:5" x14ac:dyDescent="0.25">
      <c r="A22" s="85">
        <v>20210929</v>
      </c>
      <c r="B22" s="21">
        <v>21</v>
      </c>
      <c r="C22" s="23" t="s">
        <v>64</v>
      </c>
      <c r="D22" s="24">
        <f>42000-(2000/4)*1</f>
        <v>41500</v>
      </c>
      <c r="E22" s="25" t="s">
        <v>65</v>
      </c>
    </row>
    <row r="23" spans="1:5" x14ac:dyDescent="0.25">
      <c r="A23" s="86"/>
      <c r="B23" s="21">
        <v>22</v>
      </c>
      <c r="C23" s="23" t="s">
        <v>66</v>
      </c>
      <c r="D23" s="24">
        <f>(910/7)*1 + 21</f>
        <v>151</v>
      </c>
      <c r="E23" s="25" t="s">
        <v>67</v>
      </c>
    </row>
    <row r="24" spans="1:5" x14ac:dyDescent="0.25">
      <c r="A24" s="86"/>
      <c r="B24" s="21">
        <v>23</v>
      </c>
      <c r="C24" s="23" t="s">
        <v>68</v>
      </c>
      <c r="D24" s="24">
        <f>10000-450*8</f>
        <v>6400</v>
      </c>
      <c r="E24" s="25" t="s">
        <v>69</v>
      </c>
    </row>
    <row r="25" spans="1:5" x14ac:dyDescent="0.25">
      <c r="A25" s="86"/>
      <c r="B25" s="21">
        <v>24</v>
      </c>
      <c r="C25" s="23" t="s">
        <v>70</v>
      </c>
      <c r="D25" s="24">
        <f>15/3 + 14/2</f>
        <v>12</v>
      </c>
      <c r="E25" s="25" t="s">
        <v>71</v>
      </c>
    </row>
    <row r="26" spans="1:5" x14ac:dyDescent="0.25">
      <c r="A26" s="86"/>
      <c r="B26" s="21">
        <v>25</v>
      </c>
      <c r="C26" s="23" t="s">
        <v>72</v>
      </c>
      <c r="D26" s="24">
        <f>28-11*2</f>
        <v>6</v>
      </c>
      <c r="E26" s="25" t="s">
        <v>73</v>
      </c>
    </row>
    <row r="27" spans="1:5" x14ac:dyDescent="0.25">
      <c r="A27" s="86"/>
      <c r="B27" s="21">
        <v>26</v>
      </c>
      <c r="C27" s="23" t="s">
        <v>74</v>
      </c>
      <c r="D27" s="24">
        <f>(12*8+9)/7</f>
        <v>15</v>
      </c>
      <c r="E27" s="25" t="s">
        <v>75</v>
      </c>
    </row>
    <row r="28" spans="1:5" x14ac:dyDescent="0.25">
      <c r="A28" s="86"/>
      <c r="B28" s="21">
        <v>27</v>
      </c>
      <c r="C28" s="23" t="s">
        <v>76</v>
      </c>
      <c r="D28" s="24">
        <f>4300+4*3000-12000</f>
        <v>4300</v>
      </c>
      <c r="E28" s="25" t="s">
        <v>75</v>
      </c>
    </row>
    <row r="29" spans="1:5" x14ac:dyDescent="0.25">
      <c r="A29" s="86"/>
      <c r="B29" s="21">
        <v>28</v>
      </c>
      <c r="C29" s="23" t="s">
        <v>77</v>
      </c>
      <c r="D29" s="24">
        <f>500/4*2*30</f>
        <v>7500</v>
      </c>
      <c r="E29" s="25" t="s">
        <v>75</v>
      </c>
    </row>
    <row r="30" spans="1:5" x14ac:dyDescent="0.25">
      <c r="A30" s="86"/>
      <c r="B30" s="21">
        <v>29</v>
      </c>
      <c r="C30" s="23" t="s">
        <v>78</v>
      </c>
      <c r="D30" s="24">
        <f>10000-530*8-1800*2</f>
        <v>2160</v>
      </c>
      <c r="E30" s="25" t="s">
        <v>75</v>
      </c>
    </row>
    <row r="31" spans="1:5" x14ac:dyDescent="0.25">
      <c r="A31" s="86"/>
      <c r="B31" s="21">
        <v>30</v>
      </c>
      <c r="C31" s="23" t="s">
        <v>79</v>
      </c>
      <c r="D31" s="24">
        <f>(18+18-2)*11-9</f>
        <v>365</v>
      </c>
      <c r="E31" s="25" t="s">
        <v>75</v>
      </c>
    </row>
    <row r="32" spans="1:5" x14ac:dyDescent="0.25">
      <c r="A32" s="85">
        <v>20210930</v>
      </c>
      <c r="B32" s="21">
        <v>31</v>
      </c>
      <c r="C32" s="23" t="s">
        <v>80</v>
      </c>
      <c r="D32" s="24">
        <f>10000-4000/5-2600</f>
        <v>6600</v>
      </c>
      <c r="E32" s="25" t="s">
        <v>69</v>
      </c>
    </row>
    <row r="33" spans="1:5" x14ac:dyDescent="0.25">
      <c r="A33" s="86"/>
      <c r="B33" s="21">
        <v>32</v>
      </c>
      <c r="C33" s="23" t="s">
        <v>81</v>
      </c>
      <c r="D33" s="24">
        <f>4*5/2-3+6</f>
        <v>13</v>
      </c>
      <c r="E33" s="25" t="s">
        <v>82</v>
      </c>
    </row>
    <row r="34" spans="1:5" x14ac:dyDescent="0.25">
      <c r="A34" s="86"/>
      <c r="B34" s="21">
        <v>33</v>
      </c>
      <c r="C34" s="23" t="s">
        <v>83</v>
      </c>
      <c r="D34" s="24">
        <f>(5000-1100*4+400)/2</f>
        <v>500</v>
      </c>
      <c r="E34" s="25" t="s">
        <v>82</v>
      </c>
    </row>
    <row r="35" spans="1:5" x14ac:dyDescent="0.25">
      <c r="A35" s="86"/>
      <c r="B35" s="21">
        <v>34</v>
      </c>
      <c r="C35" s="23" t="s">
        <v>84</v>
      </c>
      <c r="D35" s="24">
        <f>4*5-3-8</f>
        <v>9</v>
      </c>
      <c r="E35" s="25" t="s">
        <v>85</v>
      </c>
    </row>
    <row r="36" spans="1:5" x14ac:dyDescent="0.25">
      <c r="A36" s="86"/>
      <c r="B36" s="21">
        <v>35</v>
      </c>
      <c r="C36" s="23" t="s">
        <v>86</v>
      </c>
      <c r="D36" s="24">
        <f>4*6+3*7</f>
        <v>45</v>
      </c>
      <c r="E36" s="25" t="s">
        <v>87</v>
      </c>
    </row>
    <row r="37" spans="1:5" x14ac:dyDescent="0.25">
      <c r="A37" s="86"/>
      <c r="B37" s="21">
        <v>36</v>
      </c>
      <c r="C37" s="23" t="s">
        <v>88</v>
      </c>
      <c r="D37" s="24">
        <f>2850-1480</f>
        <v>1370</v>
      </c>
      <c r="E37" s="25" t="s">
        <v>89</v>
      </c>
    </row>
    <row r="38" spans="1:5" x14ac:dyDescent="0.25">
      <c r="A38" s="86"/>
      <c r="B38" s="21">
        <v>37</v>
      </c>
      <c r="C38" s="23" t="s">
        <v>90</v>
      </c>
      <c r="D38" s="24">
        <f>50*72*800</f>
        <v>2880000</v>
      </c>
      <c r="E38" s="25" t="s">
        <v>91</v>
      </c>
    </row>
    <row r="39" spans="1:5" x14ac:dyDescent="0.25">
      <c r="A39" s="86"/>
      <c r="B39" s="21">
        <v>38</v>
      </c>
      <c r="C39" s="23" t="s">
        <v>92</v>
      </c>
      <c r="D39" s="24">
        <f>90*5-88*4</f>
        <v>98</v>
      </c>
      <c r="E39" s="25" t="s">
        <v>91</v>
      </c>
    </row>
    <row r="40" spans="1:5" x14ac:dyDescent="0.25">
      <c r="A40" s="86"/>
      <c r="B40" s="21">
        <v>39</v>
      </c>
      <c r="C40" s="23" t="s">
        <v>93</v>
      </c>
      <c r="D40" s="24">
        <f>6*6*36</f>
        <v>1296</v>
      </c>
      <c r="E40" s="25" t="s">
        <v>91</v>
      </c>
    </row>
    <row r="41" spans="1:5" x14ac:dyDescent="0.25">
      <c r="A41" s="86"/>
      <c r="B41" s="21">
        <v>40</v>
      </c>
      <c r="C41" s="23" t="s">
        <v>94</v>
      </c>
      <c r="D41" s="24">
        <f>(13*37.9+12*32.9)/25</f>
        <v>35.5</v>
      </c>
      <c r="E41" s="25" t="s">
        <v>91</v>
      </c>
    </row>
    <row r="42" spans="1:5" x14ac:dyDescent="0.25">
      <c r="A42" s="85">
        <v>20211001</v>
      </c>
      <c r="B42" s="21">
        <v>41</v>
      </c>
      <c r="C42" s="23" t="s">
        <v>95</v>
      </c>
      <c r="D42" s="24">
        <f>7/8*8/7</f>
        <v>1</v>
      </c>
      <c r="E42" s="25" t="s">
        <v>96</v>
      </c>
    </row>
    <row r="43" spans="1:5" x14ac:dyDescent="0.25">
      <c r="A43" s="86"/>
      <c r="B43" s="21">
        <v>42</v>
      </c>
      <c r="C43" s="23" t="s">
        <v>97</v>
      </c>
      <c r="D43" s="24">
        <f>(1/2+3/10)/2</f>
        <v>0.4</v>
      </c>
      <c r="E43" s="25" t="s">
        <v>98</v>
      </c>
    </row>
    <row r="44" spans="1:5" x14ac:dyDescent="0.25">
      <c r="A44" s="86"/>
      <c r="B44" s="28">
        <v>43</v>
      </c>
      <c r="C44" s="29" t="s">
        <v>99</v>
      </c>
      <c r="D44" s="30">
        <f>(6/5+12/5-1)/2</f>
        <v>1.2999999999999998</v>
      </c>
      <c r="E44" s="31" t="s">
        <v>100</v>
      </c>
    </row>
    <row r="45" spans="1:5" x14ac:dyDescent="0.25">
      <c r="A45" s="86"/>
      <c r="B45" s="21">
        <v>44</v>
      </c>
      <c r="C45" s="23" t="s">
        <v>101</v>
      </c>
      <c r="D45" s="24">
        <f>(3/5)/(2)</f>
        <v>0.3</v>
      </c>
      <c r="E45" s="25" t="s">
        <v>98</v>
      </c>
    </row>
    <row r="46" spans="1:5" x14ac:dyDescent="0.25">
      <c r="A46" s="86"/>
      <c r="B46" s="21">
        <v>45</v>
      </c>
      <c r="C46" s="23" t="s">
        <v>102</v>
      </c>
      <c r="D46" s="24">
        <f>(16/5)/(4)</f>
        <v>0.8</v>
      </c>
      <c r="E46" s="25" t="s">
        <v>103</v>
      </c>
    </row>
    <row r="47" spans="1:5" x14ac:dyDescent="0.25">
      <c r="A47" s="86"/>
      <c r="B47" s="21">
        <v>46</v>
      </c>
      <c r="C47" s="23" t="s">
        <v>104</v>
      </c>
      <c r="D47" s="24">
        <f>(10-2)*5+2</f>
        <v>42</v>
      </c>
      <c r="E47" s="25" t="s">
        <v>105</v>
      </c>
    </row>
    <row r="48" spans="1:5" x14ac:dyDescent="0.25">
      <c r="A48" s="86"/>
      <c r="B48" s="21">
        <v>47</v>
      </c>
      <c r="C48" s="23" t="s">
        <v>106</v>
      </c>
      <c r="D48" s="24">
        <f>5*45*24/30</f>
        <v>180</v>
      </c>
      <c r="E48" s="25" t="s">
        <v>107</v>
      </c>
    </row>
    <row r="49" spans="1:5" x14ac:dyDescent="0.25">
      <c r="A49" s="86"/>
      <c r="B49" s="21">
        <v>48</v>
      </c>
      <c r="C49" s="23" t="s">
        <v>108</v>
      </c>
      <c r="D49" s="24">
        <f>(13+17)/5-3</f>
        <v>3</v>
      </c>
      <c r="E49" s="25" t="s">
        <v>109</v>
      </c>
    </row>
    <row r="50" spans="1:5" x14ac:dyDescent="0.25">
      <c r="A50" s="86"/>
      <c r="B50" s="21">
        <v>49</v>
      </c>
      <c r="C50" s="23" t="s">
        <v>110</v>
      </c>
      <c r="D50" s="24">
        <f>(100*2)+(270/12*4)+(30*2)</f>
        <v>350</v>
      </c>
      <c r="E50" s="25" t="s">
        <v>82</v>
      </c>
    </row>
    <row r="51" spans="1:5" x14ac:dyDescent="0.25">
      <c r="A51" s="86"/>
      <c r="B51" s="21">
        <v>50</v>
      </c>
      <c r="C51" s="23" t="s">
        <v>111</v>
      </c>
      <c r="D51" s="24">
        <f>(10*4 -4)/6-2</f>
        <v>4</v>
      </c>
      <c r="E51" s="25" t="s">
        <v>85</v>
      </c>
    </row>
    <row r="52" spans="1:5" x14ac:dyDescent="0.25">
      <c r="A52" s="85">
        <v>20211005</v>
      </c>
      <c r="B52" s="21">
        <v>51</v>
      </c>
      <c r="C52" s="23" t="s">
        <v>112</v>
      </c>
      <c r="D52" s="24">
        <f>(4*13+3)/5</f>
        <v>11</v>
      </c>
      <c r="E52" s="25" t="s">
        <v>107</v>
      </c>
    </row>
    <row r="53" spans="1:5" x14ac:dyDescent="0.25">
      <c r="A53" s="86"/>
      <c r="B53" s="28">
        <v>52</v>
      </c>
      <c r="C53" s="29" t="s">
        <v>113</v>
      </c>
      <c r="D53" s="30">
        <f>350*4/5</f>
        <v>280</v>
      </c>
      <c r="E53" s="31" t="s">
        <v>114</v>
      </c>
    </row>
    <row r="54" spans="1:5" x14ac:dyDescent="0.25">
      <c r="A54" s="86"/>
      <c r="B54" s="21">
        <v>53</v>
      </c>
      <c r="C54" s="23" t="s">
        <v>115</v>
      </c>
      <c r="D54" s="24">
        <f>(24*5/8) - (24*5/8)/3</f>
        <v>10</v>
      </c>
      <c r="E54" s="25" t="s">
        <v>116</v>
      </c>
    </row>
    <row r="55" spans="1:5" x14ac:dyDescent="0.25">
      <c r="A55" s="85">
        <v>20211006</v>
      </c>
      <c r="B55" s="21">
        <v>54</v>
      </c>
      <c r="C55" s="23" t="s">
        <v>117</v>
      </c>
      <c r="D55" s="24">
        <f>(28*5/7) - (28*5/7)/5</f>
        <v>16</v>
      </c>
      <c r="E55" s="25" t="s">
        <v>116</v>
      </c>
    </row>
    <row r="56" spans="1:5" x14ac:dyDescent="0.25">
      <c r="A56" s="86"/>
      <c r="B56" s="21">
        <v>55</v>
      </c>
      <c r="C56" s="23" t="s">
        <v>118</v>
      </c>
      <c r="D56" s="24">
        <f>(12-5+8)/5</f>
        <v>3</v>
      </c>
      <c r="E56" s="25" t="s">
        <v>109</v>
      </c>
    </row>
    <row r="57" spans="1:5" x14ac:dyDescent="0.25">
      <c r="A57" s="86"/>
      <c r="B57" s="21">
        <v>56</v>
      </c>
      <c r="C57" s="23" t="s">
        <v>119</v>
      </c>
      <c r="D57" s="24">
        <f>(42+153/3)-(240/4)</f>
        <v>33</v>
      </c>
      <c r="E57" s="25" t="s">
        <v>109</v>
      </c>
    </row>
    <row r="58" spans="1:5" x14ac:dyDescent="0.25">
      <c r="A58" s="86"/>
      <c r="B58" s="21">
        <v>57</v>
      </c>
      <c r="C58" s="23" t="s">
        <v>120</v>
      </c>
      <c r="D58" s="24">
        <f>(40*3/5)*5/8</f>
        <v>15</v>
      </c>
      <c r="E58" s="25" t="s">
        <v>116</v>
      </c>
    </row>
    <row r="59" spans="1:5" x14ac:dyDescent="0.25">
      <c r="A59" s="86"/>
      <c r="B59" s="21">
        <v>58</v>
      </c>
      <c r="C59" s="23" t="s">
        <v>121</v>
      </c>
      <c r="D59" s="24">
        <f>(10.8-36/5)/3</f>
        <v>1.2000000000000002</v>
      </c>
      <c r="E59" s="25" t="s">
        <v>122</v>
      </c>
    </row>
    <row r="60" spans="1:5" x14ac:dyDescent="0.25">
      <c r="A60" s="86"/>
      <c r="B60" s="21">
        <v>59</v>
      </c>
      <c r="C60" s="23" t="s">
        <v>123</v>
      </c>
      <c r="D60" s="24">
        <f>(16+(16-2))*11+8</f>
        <v>338</v>
      </c>
      <c r="E60" s="25" t="s">
        <v>105</v>
      </c>
    </row>
    <row r="61" spans="1:5" x14ac:dyDescent="0.25">
      <c r="A61" s="86"/>
      <c r="B61" s="21">
        <v>60</v>
      </c>
      <c r="C61" s="23" t="s">
        <v>124</v>
      </c>
      <c r="D61" s="24">
        <f>4700+(6*3500)-16000</f>
        <v>9700</v>
      </c>
      <c r="E61" s="25" t="s">
        <v>105</v>
      </c>
    </row>
    <row r="62" spans="1:5" x14ac:dyDescent="0.25">
      <c r="A62" s="86"/>
      <c r="B62" s="21">
        <v>61</v>
      </c>
      <c r="C62" s="23" t="s">
        <v>125</v>
      </c>
      <c r="D62" s="24">
        <f>QUOTIENT(5*12+3,6)</f>
        <v>10</v>
      </c>
      <c r="E62" s="25" t="s">
        <v>107</v>
      </c>
    </row>
    <row r="63" spans="1:5" x14ac:dyDescent="0.25">
      <c r="A63" s="86"/>
      <c r="B63" s="21">
        <v>62</v>
      </c>
      <c r="C63" s="23" t="s">
        <v>126</v>
      </c>
      <c r="D63" s="24">
        <f>(41+43-48)/6</f>
        <v>6</v>
      </c>
      <c r="E63" s="25" t="s">
        <v>109</v>
      </c>
    </row>
    <row r="64" spans="1:5" x14ac:dyDescent="0.25">
      <c r="A64" s="86"/>
      <c r="B64" s="21">
        <v>63</v>
      </c>
      <c r="C64" s="23" t="s">
        <v>127</v>
      </c>
      <c r="D64" s="24">
        <f>5000-(450*4+150*6)</f>
        <v>2300</v>
      </c>
      <c r="E64" s="25" t="s">
        <v>105</v>
      </c>
    </row>
    <row r="65" spans="1:5" x14ac:dyDescent="0.25">
      <c r="A65" s="85">
        <v>20211012</v>
      </c>
      <c r="B65" s="21">
        <v>64</v>
      </c>
      <c r="C65" s="23" t="s">
        <v>128</v>
      </c>
      <c r="D65" s="24">
        <f>46800/(130*4)</f>
        <v>90</v>
      </c>
      <c r="E65" s="25" t="s">
        <v>114</v>
      </c>
    </row>
    <row r="66" spans="1:5" x14ac:dyDescent="0.25">
      <c r="A66" s="86"/>
      <c r="B66" s="21">
        <v>65</v>
      </c>
      <c r="C66" s="23" t="s">
        <v>129</v>
      </c>
      <c r="D66" s="24">
        <f>5000-(250*3+2700/6)</f>
        <v>3800</v>
      </c>
      <c r="E66" s="25" t="s">
        <v>82</v>
      </c>
    </row>
    <row r="67" spans="1:5" x14ac:dyDescent="0.25">
      <c r="A67" s="86"/>
      <c r="B67" s="21">
        <v>66</v>
      </c>
      <c r="C67" s="23" t="s">
        <v>130</v>
      </c>
      <c r="D67" s="24">
        <f>(8*5/8+8*13/10)*2</f>
        <v>30.8</v>
      </c>
      <c r="E67" s="25" t="s">
        <v>131</v>
      </c>
    </row>
    <row r="68" spans="1:5" x14ac:dyDescent="0.25">
      <c r="A68" s="86"/>
      <c r="B68" s="21">
        <v>67</v>
      </c>
      <c r="C68" s="23" t="s">
        <v>132</v>
      </c>
      <c r="D68" s="24">
        <f>48/2/2/2</f>
        <v>6</v>
      </c>
      <c r="E68" s="25" t="s">
        <v>131</v>
      </c>
    </row>
    <row r="69" spans="1:5" x14ac:dyDescent="0.25">
      <c r="A69" s="86"/>
      <c r="B69" s="21">
        <v>68</v>
      </c>
      <c r="C69" s="23" t="s">
        <v>133</v>
      </c>
      <c r="D69" s="24">
        <f>(30*26)*3/4*5/6*3/5</f>
        <v>292.5</v>
      </c>
      <c r="E69" s="25" t="s">
        <v>131</v>
      </c>
    </row>
    <row r="70" spans="1:5" x14ac:dyDescent="0.25">
      <c r="A70" s="86"/>
      <c r="B70" s="21">
        <v>69</v>
      </c>
      <c r="C70" s="23" t="s">
        <v>134</v>
      </c>
      <c r="D70" s="24">
        <f>420*(1-3/5)*(1-6/7)</f>
        <v>24.000000000000007</v>
      </c>
      <c r="E70" s="25" t="s">
        <v>131</v>
      </c>
    </row>
    <row r="71" spans="1:5" x14ac:dyDescent="0.25">
      <c r="A71" s="86"/>
      <c r="B71" s="21">
        <v>70</v>
      </c>
      <c r="C71" s="23" t="s">
        <v>135</v>
      </c>
      <c r="D71" s="24">
        <f>540*5/9*(1-3/5)</f>
        <v>120</v>
      </c>
      <c r="E71" s="25" t="s">
        <v>131</v>
      </c>
    </row>
    <row r="72" spans="1:5" x14ac:dyDescent="0.25">
      <c r="A72" s="86"/>
      <c r="B72" s="21">
        <v>71</v>
      </c>
      <c r="C72" s="23" t="s">
        <v>136</v>
      </c>
      <c r="D72" s="24">
        <f>(33/8-1/5)*30</f>
        <v>117.75</v>
      </c>
      <c r="E72" s="25" t="s">
        <v>131</v>
      </c>
    </row>
    <row r="73" spans="1:5" x14ac:dyDescent="0.25">
      <c r="A73" s="86"/>
      <c r="B73" s="21">
        <v>72</v>
      </c>
      <c r="C73" s="23" t="s">
        <v>137</v>
      </c>
      <c r="D73" s="24">
        <f>10.6*(1000*3+100*7+10*2)</f>
        <v>39432</v>
      </c>
      <c r="E73" s="25" t="s">
        <v>138</v>
      </c>
    </row>
    <row r="74" spans="1:5" x14ac:dyDescent="0.25">
      <c r="A74" s="86"/>
      <c r="B74" s="21">
        <v>73</v>
      </c>
      <c r="C74" s="23" t="s">
        <v>139</v>
      </c>
      <c r="D74" s="24">
        <f>2.6-(0.07*15+2.7*15/60)</f>
        <v>0.875</v>
      </c>
      <c r="E74" s="25" t="s">
        <v>140</v>
      </c>
    </row>
    <row r="75" spans="1:5" x14ac:dyDescent="0.25">
      <c r="A75" s="85">
        <v>20211015</v>
      </c>
      <c r="B75" s="21">
        <v>74</v>
      </c>
      <c r="C75" s="32" t="s">
        <v>141</v>
      </c>
      <c r="D75" s="33">
        <f>(279/5-3/2*12)/(9/5)</f>
        <v>20.999999999999996</v>
      </c>
      <c r="E75" s="25" t="s">
        <v>142</v>
      </c>
    </row>
    <row r="76" spans="1:5" x14ac:dyDescent="0.25">
      <c r="A76" s="86"/>
      <c r="B76" s="21">
        <v>75</v>
      </c>
      <c r="C76" s="32" t="s">
        <v>143</v>
      </c>
      <c r="D76" s="33">
        <f>2.88/1.2</f>
        <v>2.4</v>
      </c>
      <c r="E76" s="25" t="s">
        <v>144</v>
      </c>
    </row>
    <row r="77" spans="1:5" x14ac:dyDescent="0.25">
      <c r="A77" s="86"/>
      <c r="B77" s="21">
        <v>76</v>
      </c>
      <c r="C77" s="34" t="s">
        <v>145</v>
      </c>
      <c r="D77" s="33">
        <f>QUOTIENT(6*6+3,5)</f>
        <v>7</v>
      </c>
      <c r="E77" s="25" t="s">
        <v>107</v>
      </c>
    </row>
    <row r="78" spans="1:5" x14ac:dyDescent="0.25">
      <c r="A78" s="86"/>
      <c r="B78" s="21">
        <v>77</v>
      </c>
      <c r="C78" s="32" t="s">
        <v>146</v>
      </c>
      <c r="D78" s="33">
        <f>35*3/7*(1-1/5)</f>
        <v>12</v>
      </c>
      <c r="E78" s="25" t="s">
        <v>147</v>
      </c>
    </row>
    <row r="79" spans="1:5" x14ac:dyDescent="0.25">
      <c r="A79" s="86"/>
      <c r="B79" s="21">
        <v>78</v>
      </c>
      <c r="C79" s="32" t="s">
        <v>148</v>
      </c>
      <c r="D79" s="33">
        <f>QUOTIENT(7*3+2,5)</f>
        <v>4</v>
      </c>
      <c r="E79" s="25" t="s">
        <v>149</v>
      </c>
    </row>
    <row r="80" spans="1:5" x14ac:dyDescent="0.25">
      <c r="A80" s="86"/>
      <c r="B80" s="21">
        <v>79</v>
      </c>
      <c r="C80" s="32" t="s">
        <v>150</v>
      </c>
      <c r="D80" s="33">
        <f>(130-47+25)/3</f>
        <v>36</v>
      </c>
      <c r="E80" s="25" t="s">
        <v>151</v>
      </c>
    </row>
    <row r="81" spans="1:5" x14ac:dyDescent="0.25">
      <c r="A81" s="86"/>
      <c r="B81" s="21">
        <v>80</v>
      </c>
      <c r="C81" s="32" t="s">
        <v>152</v>
      </c>
      <c r="D81" s="33">
        <f>13-4+5</f>
        <v>14</v>
      </c>
      <c r="E81" s="25" t="s">
        <v>149</v>
      </c>
    </row>
    <row r="82" spans="1:5" x14ac:dyDescent="0.25">
      <c r="A82" s="86"/>
      <c r="B82" s="21">
        <v>81</v>
      </c>
      <c r="C82" s="32" t="s">
        <v>153</v>
      </c>
      <c r="D82" s="33">
        <f>(100+12+8)/3-8</f>
        <v>32</v>
      </c>
      <c r="E82" s="25" t="s">
        <v>154</v>
      </c>
    </row>
    <row r="83" spans="1:5" x14ac:dyDescent="0.25">
      <c r="A83" s="86"/>
      <c r="B83" s="21">
        <v>82</v>
      </c>
      <c r="C83" s="32" t="s">
        <v>155</v>
      </c>
      <c r="D83" s="33">
        <f>MOD(5*4+2,6)</f>
        <v>4</v>
      </c>
      <c r="E83" s="25" t="s">
        <v>149</v>
      </c>
    </row>
    <row r="84" spans="1:5" x14ac:dyDescent="0.25">
      <c r="A84" s="86"/>
      <c r="B84" s="21">
        <v>83</v>
      </c>
      <c r="C84" s="32" t="s">
        <v>156</v>
      </c>
      <c r="D84" s="33">
        <f>(150-19-29)/3</f>
        <v>34</v>
      </c>
      <c r="E84" s="25" t="s">
        <v>157</v>
      </c>
    </row>
    <row r="85" spans="1:5" x14ac:dyDescent="0.25">
      <c r="A85" s="86"/>
      <c r="B85" s="35"/>
      <c r="C85" s="32" t="s">
        <v>158</v>
      </c>
      <c r="D85" s="24">
        <v>9</v>
      </c>
      <c r="E85" s="36" t="s">
        <v>159</v>
      </c>
    </row>
    <row r="86" spans="1:5" x14ac:dyDescent="0.25">
      <c r="A86" s="86"/>
      <c r="B86" s="35"/>
      <c r="C86" s="37" t="s">
        <v>160</v>
      </c>
      <c r="D86" s="33">
        <v>49</v>
      </c>
      <c r="E86" s="36" t="s">
        <v>159</v>
      </c>
    </row>
    <row r="87" spans="1:5" x14ac:dyDescent="0.25">
      <c r="A87" s="86"/>
      <c r="B87" s="35"/>
      <c r="C87" s="38" t="s">
        <v>161</v>
      </c>
      <c r="D87" s="39">
        <v>30</v>
      </c>
      <c r="E87" s="36" t="s">
        <v>159</v>
      </c>
    </row>
    <row r="88" spans="1:5" x14ac:dyDescent="0.25">
      <c r="A88" s="85">
        <v>20211020</v>
      </c>
      <c r="B88" s="21">
        <v>84</v>
      </c>
      <c r="C88" s="23" t="s">
        <v>162</v>
      </c>
      <c r="D88" s="24">
        <f>8*6/4*2-6+4</f>
        <v>22</v>
      </c>
      <c r="E88" s="25" t="s">
        <v>149</v>
      </c>
    </row>
    <row r="89" spans="1:5" x14ac:dyDescent="0.25">
      <c r="A89" s="86"/>
      <c r="B89" s="21">
        <v>85</v>
      </c>
      <c r="C89" s="23" t="s">
        <v>163</v>
      </c>
      <c r="D89" s="24">
        <f>2800/2+4000/2-1400*2</f>
        <v>600</v>
      </c>
      <c r="E89" s="25" t="s">
        <v>149</v>
      </c>
    </row>
    <row r="90" spans="1:5" x14ac:dyDescent="0.25">
      <c r="A90" s="86"/>
      <c r="B90" s="21">
        <v>86</v>
      </c>
      <c r="C90" s="23" t="s">
        <v>164</v>
      </c>
      <c r="D90" s="24">
        <f>(11-2)*4+2+3</f>
        <v>41</v>
      </c>
      <c r="E90" s="25" t="s">
        <v>149</v>
      </c>
    </row>
    <row r="91" spans="1:5" x14ac:dyDescent="0.25">
      <c r="A91" s="86"/>
      <c r="B91" s="21">
        <v>87</v>
      </c>
      <c r="C91" s="23" t="s">
        <v>165</v>
      </c>
      <c r="D91" s="24">
        <f>QUOTIENT(7*12+3,8)</f>
        <v>10</v>
      </c>
      <c r="E91" s="25" t="s">
        <v>149</v>
      </c>
    </row>
    <row r="92" spans="1:5" x14ac:dyDescent="0.25">
      <c r="A92" s="86"/>
      <c r="B92" s="21">
        <v>88</v>
      </c>
      <c r="C92" s="23" t="s">
        <v>166</v>
      </c>
      <c r="D92" s="24">
        <f>32*5/8*3/4+32*3/8*3/4</f>
        <v>24</v>
      </c>
      <c r="E92" s="25" t="s">
        <v>149</v>
      </c>
    </row>
    <row r="93" spans="1:5" x14ac:dyDescent="0.25">
      <c r="A93" s="86"/>
      <c r="B93" s="21">
        <v>89</v>
      </c>
      <c r="C93" s="23" t="s">
        <v>167</v>
      </c>
      <c r="D93" s="40">
        <f>6*2-2+3</f>
        <v>13</v>
      </c>
      <c r="E93" s="25" t="s">
        <v>149</v>
      </c>
    </row>
    <row r="94" spans="1:5" x14ac:dyDescent="0.25">
      <c r="A94" s="86"/>
      <c r="B94" s="21">
        <v>90</v>
      </c>
      <c r="C94" s="23" t="s">
        <v>168</v>
      </c>
      <c r="D94" s="24">
        <f>10*4+5-6</f>
        <v>39</v>
      </c>
      <c r="E94" s="25" t="s">
        <v>149</v>
      </c>
    </row>
    <row r="95" spans="1:5" x14ac:dyDescent="0.25">
      <c r="A95" s="86"/>
      <c r="B95" s="21">
        <v>91</v>
      </c>
      <c r="C95" s="23" t="s">
        <v>169</v>
      </c>
      <c r="D95" s="24">
        <f>12-(12*3+4+2)/6</f>
        <v>5</v>
      </c>
      <c r="E95" s="25" t="s">
        <v>149</v>
      </c>
    </row>
    <row r="96" spans="1:5" x14ac:dyDescent="0.25">
      <c r="A96" s="86"/>
      <c r="B96" s="21">
        <v>92</v>
      </c>
      <c r="C96" s="23" t="s">
        <v>170</v>
      </c>
      <c r="D96" s="24">
        <f>43+240/5-183/3</f>
        <v>30</v>
      </c>
      <c r="E96" s="25" t="s">
        <v>149</v>
      </c>
    </row>
    <row r="97" spans="1:5" x14ac:dyDescent="0.25">
      <c r="A97" s="86"/>
      <c r="B97" s="21">
        <v>93</v>
      </c>
      <c r="C97" s="23" t="s">
        <v>171</v>
      </c>
      <c r="D97" s="24">
        <f>54/3+16-4</f>
        <v>30</v>
      </c>
      <c r="E97" s="25" t="s">
        <v>149</v>
      </c>
    </row>
    <row r="98" spans="1:5" x14ac:dyDescent="0.25">
      <c r="A98" s="86"/>
      <c r="B98" s="21">
        <v>94</v>
      </c>
      <c r="C98" s="23" t="s">
        <v>172</v>
      </c>
      <c r="D98" s="24">
        <f>3.5*4</f>
        <v>14</v>
      </c>
      <c r="E98" s="25" t="s">
        <v>173</v>
      </c>
    </row>
    <row r="99" spans="1:5" x14ac:dyDescent="0.25">
      <c r="A99" s="86"/>
      <c r="B99" s="21">
        <v>95</v>
      </c>
      <c r="C99" s="41" t="s">
        <v>174</v>
      </c>
      <c r="D99" s="24">
        <f>(24+24*0.3)*(24+24*0.3)-24*24</f>
        <v>397.43999999999994</v>
      </c>
      <c r="E99" s="25" t="s">
        <v>173</v>
      </c>
    </row>
    <row r="100" spans="1:5" x14ac:dyDescent="0.25">
      <c r="A100" s="86"/>
      <c r="B100" s="21">
        <v>96</v>
      </c>
      <c r="C100" s="23" t="s">
        <v>175</v>
      </c>
      <c r="D100" s="24">
        <f>0.031*336-0.025*336</f>
        <v>2.016</v>
      </c>
      <c r="E100" s="25" t="s">
        <v>173</v>
      </c>
    </row>
    <row r="101" spans="1:5" x14ac:dyDescent="0.25">
      <c r="A101" s="86"/>
      <c r="B101" s="21">
        <v>97</v>
      </c>
      <c r="C101" s="23" t="s">
        <v>176</v>
      </c>
      <c r="D101" s="24">
        <f>4.5*386*7*2</f>
        <v>24318</v>
      </c>
      <c r="E101" s="25" t="s">
        <v>173</v>
      </c>
    </row>
    <row r="102" spans="1:5" x14ac:dyDescent="0.25">
      <c r="A102" s="86"/>
      <c r="B102" s="21">
        <v>98</v>
      </c>
      <c r="C102" s="23" t="s">
        <v>177</v>
      </c>
      <c r="D102" s="24">
        <f>86*5.43</f>
        <v>466.97999999999996</v>
      </c>
      <c r="E102" s="25" t="s">
        <v>173</v>
      </c>
    </row>
    <row r="103" spans="1:5" x14ac:dyDescent="0.25">
      <c r="A103" s="86"/>
      <c r="B103" s="21">
        <v>99</v>
      </c>
      <c r="C103" s="23" t="s">
        <v>178</v>
      </c>
      <c r="D103" s="24">
        <f>6/12+6/16</f>
        <v>0.875</v>
      </c>
      <c r="E103" s="25" t="s">
        <v>179</v>
      </c>
    </row>
    <row r="104" spans="1:5" x14ac:dyDescent="0.25">
      <c r="A104" s="86"/>
      <c r="B104" s="21">
        <v>100</v>
      </c>
      <c r="C104" s="23" t="s">
        <v>180</v>
      </c>
      <c r="D104" s="24">
        <f>8*0.8*0.8*0.8</f>
        <v>4.096000000000001</v>
      </c>
      <c r="E104" s="25" t="s">
        <v>173</v>
      </c>
    </row>
    <row r="105" spans="1:5" x14ac:dyDescent="0.25">
      <c r="A105" s="86"/>
      <c r="B105" s="21">
        <v>101</v>
      </c>
      <c r="C105" s="23" t="s">
        <v>181</v>
      </c>
      <c r="D105" s="24">
        <f>70*0.16*3.5</f>
        <v>39.200000000000003</v>
      </c>
      <c r="E105" s="25" t="s">
        <v>173</v>
      </c>
    </row>
    <row r="106" spans="1:5" x14ac:dyDescent="0.25">
      <c r="A106" s="86"/>
      <c r="B106" s="21">
        <v>102</v>
      </c>
      <c r="C106" s="23" t="s">
        <v>182</v>
      </c>
      <c r="D106" s="24">
        <f>120*3/5*3/4*1/3</f>
        <v>18</v>
      </c>
      <c r="E106" s="25" t="s">
        <v>183</v>
      </c>
    </row>
    <row r="107" spans="1:5" x14ac:dyDescent="0.25">
      <c r="A107" s="86"/>
      <c r="B107" s="21">
        <v>103</v>
      </c>
      <c r="C107" s="23" t="s">
        <v>184</v>
      </c>
      <c r="D107" s="24">
        <f>32*3/8-4</f>
        <v>8</v>
      </c>
      <c r="E107" s="25" t="s">
        <v>183</v>
      </c>
    </row>
    <row r="108" spans="1:5" x14ac:dyDescent="0.25">
      <c r="A108" s="86"/>
      <c r="B108" s="21">
        <v>104</v>
      </c>
      <c r="C108" s="23" t="s">
        <v>185</v>
      </c>
      <c r="D108" s="24">
        <f>14*14-(14-14*0.4)*(14-14*0.4)</f>
        <v>125.44000000000003</v>
      </c>
      <c r="E108" s="25" t="s">
        <v>173</v>
      </c>
    </row>
    <row r="109" spans="1:5" x14ac:dyDescent="0.25">
      <c r="A109" s="86"/>
      <c r="B109" s="21">
        <v>105</v>
      </c>
      <c r="C109" s="23" t="s">
        <v>186</v>
      </c>
      <c r="D109" s="24">
        <f>280*3/4*2/5</f>
        <v>84</v>
      </c>
      <c r="E109" s="25" t="s">
        <v>183</v>
      </c>
    </row>
    <row r="110" spans="1:5" x14ac:dyDescent="0.25">
      <c r="A110" s="86"/>
      <c r="B110" s="21">
        <v>106</v>
      </c>
      <c r="C110" s="23" t="s">
        <v>187</v>
      </c>
      <c r="D110" s="24">
        <f>0.72/2*5.5</f>
        <v>1.98</v>
      </c>
      <c r="E110" s="25" t="s">
        <v>173</v>
      </c>
    </row>
    <row r="111" spans="1:5" x14ac:dyDescent="0.25">
      <c r="A111" s="86"/>
      <c r="B111" s="21">
        <v>107</v>
      </c>
      <c r="C111" s="23" t="s">
        <v>188</v>
      </c>
      <c r="D111" s="24">
        <f>280*3/4*3/7</f>
        <v>90</v>
      </c>
      <c r="E111" s="25" t="s">
        <v>183</v>
      </c>
    </row>
    <row r="112" spans="1:5" x14ac:dyDescent="0.25">
      <c r="A112" s="86"/>
      <c r="B112" s="21">
        <v>108</v>
      </c>
      <c r="C112" s="23" t="s">
        <v>189</v>
      </c>
      <c r="D112" s="24">
        <f>2.8-(15*0.08+2.4/60)</f>
        <v>1.5599999999999998</v>
      </c>
      <c r="E112" s="25" t="s">
        <v>190</v>
      </c>
    </row>
    <row r="113" spans="1:5" x14ac:dyDescent="0.25">
      <c r="A113" s="86"/>
      <c r="B113" s="21">
        <v>109</v>
      </c>
      <c r="C113" s="23" t="s">
        <v>191</v>
      </c>
      <c r="D113" s="24">
        <f>84*3/7*2/3</f>
        <v>24</v>
      </c>
      <c r="E113" s="25" t="s">
        <v>183</v>
      </c>
    </row>
    <row r="114" spans="1:5" x14ac:dyDescent="0.25">
      <c r="A114" s="86"/>
      <c r="B114" s="21">
        <v>110</v>
      </c>
      <c r="C114" s="23" t="s">
        <v>192</v>
      </c>
      <c r="D114" s="24">
        <f>1/2*4/5</f>
        <v>0.4</v>
      </c>
      <c r="E114" s="25" t="s">
        <v>183</v>
      </c>
    </row>
    <row r="115" spans="1:5" x14ac:dyDescent="0.25">
      <c r="A115" s="86"/>
      <c r="B115" s="21">
        <v>111</v>
      </c>
      <c r="C115" s="23" t="s">
        <v>193</v>
      </c>
      <c r="D115" s="24">
        <f>25/6*48/5*3/5</f>
        <v>24</v>
      </c>
      <c r="E115" s="25" t="s">
        <v>183</v>
      </c>
    </row>
    <row r="116" spans="1:5" x14ac:dyDescent="0.25">
      <c r="A116" s="86"/>
      <c r="B116" s="21">
        <v>112</v>
      </c>
      <c r="C116" s="23" t="s">
        <v>194</v>
      </c>
      <c r="D116" s="24">
        <f>350*4/7*1/3*3/5</f>
        <v>40</v>
      </c>
      <c r="E116" s="25" t="s">
        <v>183</v>
      </c>
    </row>
    <row r="117" spans="1:5" x14ac:dyDescent="0.25">
      <c r="A117" s="86"/>
      <c r="B117" s="21">
        <v>113</v>
      </c>
      <c r="C117" s="23" t="s">
        <v>195</v>
      </c>
      <c r="D117" s="24">
        <f>12/5*13/4*5/6</f>
        <v>6.5</v>
      </c>
      <c r="E117" s="25" t="s">
        <v>183</v>
      </c>
    </row>
    <row r="118" spans="1:5" x14ac:dyDescent="0.25">
      <c r="A118" s="21"/>
      <c r="B118" s="42"/>
      <c r="C118" s="43" t="s">
        <v>196</v>
      </c>
      <c r="D118" s="44">
        <v>28</v>
      </c>
      <c r="E118" s="45" t="s">
        <v>159</v>
      </c>
    </row>
    <row r="119" spans="1:5" x14ac:dyDescent="0.25">
      <c r="A119" s="21"/>
      <c r="B119" s="42"/>
      <c r="C119" s="43" t="s">
        <v>197</v>
      </c>
      <c r="D119" s="44">
        <v>4</v>
      </c>
      <c r="E119" s="45" t="s">
        <v>159</v>
      </c>
    </row>
    <row r="120" spans="1:5" x14ac:dyDescent="0.25">
      <c r="A120" s="21"/>
      <c r="B120" s="42"/>
      <c r="C120" s="43" t="s">
        <v>198</v>
      </c>
      <c r="D120" s="44">
        <v>18000</v>
      </c>
      <c r="E120" s="45" t="s">
        <v>159</v>
      </c>
    </row>
  </sheetData>
  <mergeCells count="10">
    <mergeCell ref="A65:A74"/>
    <mergeCell ref="A75:A87"/>
    <mergeCell ref="A88:A117"/>
    <mergeCell ref="A2:A11"/>
    <mergeCell ref="A12:A21"/>
    <mergeCell ref="A22:A31"/>
    <mergeCell ref="A32:A41"/>
    <mergeCell ref="A42:A51"/>
    <mergeCell ref="A52:A54"/>
    <mergeCell ref="A55:A64"/>
  </mergeCells>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4"/>
  <sheetViews>
    <sheetView workbookViewId="0">
      <pane ySplit="1" topLeftCell="A35" activePane="bottomLeft" state="frozen"/>
      <selection pane="bottomLeft" activeCell="C42" sqref="C42"/>
    </sheetView>
  </sheetViews>
  <sheetFormatPr defaultColWidth="14.44140625" defaultRowHeight="15" customHeight="1" x14ac:dyDescent="0.25"/>
  <cols>
    <col min="1" max="1" width="10.109375" customWidth="1"/>
    <col min="2" max="2" width="7.33203125" customWidth="1"/>
    <col min="3" max="3" width="71.5546875" customWidth="1"/>
    <col min="4" max="4" width="14.44140625" customWidth="1"/>
    <col min="5" max="5" width="68.109375" customWidth="1"/>
  </cols>
  <sheetData>
    <row r="1" spans="1:5" x14ac:dyDescent="0.25">
      <c r="A1" s="21" t="s">
        <v>0</v>
      </c>
      <c r="B1" s="21" t="s">
        <v>30</v>
      </c>
      <c r="C1" s="22" t="s">
        <v>31</v>
      </c>
      <c r="D1" s="21" t="s">
        <v>32</v>
      </c>
      <c r="E1" s="21" t="s">
        <v>33</v>
      </c>
    </row>
    <row r="2" spans="1:5" x14ac:dyDescent="0.25">
      <c r="A2" s="85">
        <v>20211005</v>
      </c>
      <c r="B2" s="21">
        <v>1</v>
      </c>
      <c r="C2" s="46" t="s">
        <v>199</v>
      </c>
      <c r="D2" s="24">
        <f>1+6+7</f>
        <v>14</v>
      </c>
      <c r="E2" s="25"/>
    </row>
    <row r="3" spans="1:5" x14ac:dyDescent="0.25">
      <c r="A3" s="86"/>
      <c r="B3" s="21">
        <v>2</v>
      </c>
      <c r="C3" s="46" t="s">
        <v>200</v>
      </c>
      <c r="D3" s="24">
        <f>(3+6-1)*(2+4-1)</f>
        <v>40</v>
      </c>
      <c r="E3" s="25"/>
    </row>
    <row r="4" spans="1:5" x14ac:dyDescent="0.25">
      <c r="A4" s="86"/>
      <c r="B4" s="21">
        <v>3</v>
      </c>
      <c r="C4" s="23" t="s">
        <v>201</v>
      </c>
      <c r="D4" s="24">
        <f>(1+5+1)*2</f>
        <v>14</v>
      </c>
      <c r="E4" s="25"/>
    </row>
    <row r="5" spans="1:5" x14ac:dyDescent="0.25">
      <c r="A5" s="85">
        <v>20211007</v>
      </c>
      <c r="B5" s="21">
        <v>4</v>
      </c>
      <c r="C5" s="23" t="s">
        <v>202</v>
      </c>
      <c r="D5" s="24">
        <f>(3+5-1)*6</f>
        <v>42</v>
      </c>
      <c r="E5" s="25"/>
    </row>
    <row r="6" spans="1:5" x14ac:dyDescent="0.25">
      <c r="A6" s="86"/>
      <c r="B6" s="21">
        <v>5</v>
      </c>
      <c r="C6" s="23" t="s">
        <v>203</v>
      </c>
      <c r="D6" s="24" t="s">
        <v>204</v>
      </c>
      <c r="E6" s="25"/>
    </row>
    <row r="7" spans="1:5" x14ac:dyDescent="0.25">
      <c r="A7" s="86"/>
      <c r="B7" s="21">
        <v>6</v>
      </c>
      <c r="C7" s="23" t="s">
        <v>205</v>
      </c>
      <c r="D7" s="24">
        <f>1+2+6</f>
        <v>9</v>
      </c>
      <c r="E7" s="25"/>
    </row>
    <row r="8" spans="1:5" x14ac:dyDescent="0.25">
      <c r="A8" s="86"/>
      <c r="B8" s="21">
        <v>7</v>
      </c>
      <c r="C8" s="23" t="s">
        <v>206</v>
      </c>
      <c r="D8" s="24">
        <f>2+3</f>
        <v>5</v>
      </c>
      <c r="E8" s="25"/>
    </row>
    <row r="9" spans="1:5" x14ac:dyDescent="0.25">
      <c r="A9" s="86"/>
      <c r="B9" s="21">
        <v>8</v>
      </c>
      <c r="C9" s="23" t="s">
        <v>207</v>
      </c>
      <c r="D9" s="24">
        <f>(2+2+5)-3</f>
        <v>6</v>
      </c>
      <c r="E9" s="25"/>
    </row>
    <row r="10" spans="1:5" x14ac:dyDescent="0.25">
      <c r="A10" s="86"/>
      <c r="B10" s="21">
        <v>9</v>
      </c>
      <c r="C10" s="23" t="s">
        <v>208</v>
      </c>
      <c r="D10" s="24">
        <v>5</v>
      </c>
      <c r="E10" s="25"/>
    </row>
    <row r="11" spans="1:5" x14ac:dyDescent="0.25">
      <c r="A11" s="86"/>
      <c r="B11" s="21">
        <v>10</v>
      </c>
      <c r="C11" s="23" t="s">
        <v>209</v>
      </c>
      <c r="D11" s="24">
        <f>3+2+3</f>
        <v>8</v>
      </c>
      <c r="E11" s="25"/>
    </row>
    <row r="12" spans="1:5" x14ac:dyDescent="0.25">
      <c r="A12" s="86"/>
      <c r="B12" s="21">
        <v>11</v>
      </c>
      <c r="C12" s="23" t="s">
        <v>210</v>
      </c>
      <c r="D12" s="24">
        <f>(6+9-1)*(8+7-1)</f>
        <v>196</v>
      </c>
      <c r="E12" s="25"/>
    </row>
    <row r="13" spans="1:5" x14ac:dyDescent="0.25">
      <c r="A13" s="86"/>
      <c r="B13" s="21">
        <v>12</v>
      </c>
      <c r="C13" s="23" t="s">
        <v>211</v>
      </c>
      <c r="D13" s="24">
        <f>(2+4)*(2+3)</f>
        <v>30</v>
      </c>
      <c r="E13" s="25"/>
    </row>
    <row r="14" spans="1:5" x14ac:dyDescent="0.25">
      <c r="A14" s="86"/>
      <c r="B14" s="21">
        <v>13</v>
      </c>
      <c r="C14" s="23" t="s">
        <v>212</v>
      </c>
      <c r="D14" s="24">
        <v>7</v>
      </c>
      <c r="E14" s="25"/>
    </row>
    <row r="15" spans="1:5" x14ac:dyDescent="0.25">
      <c r="A15" s="85">
        <v>20211013</v>
      </c>
      <c r="B15" s="21">
        <v>14</v>
      </c>
      <c r="C15" s="23" t="s">
        <v>213</v>
      </c>
      <c r="D15" s="24">
        <v>4</v>
      </c>
      <c r="E15" s="25"/>
    </row>
    <row r="16" spans="1:5" x14ac:dyDescent="0.25">
      <c r="A16" s="86"/>
      <c r="B16" s="21">
        <v>15</v>
      </c>
      <c r="C16" s="23" t="s">
        <v>214</v>
      </c>
      <c r="D16" s="24" t="s">
        <v>215</v>
      </c>
      <c r="E16" s="25"/>
    </row>
    <row r="17" spans="1:5" x14ac:dyDescent="0.25">
      <c r="A17" s="86"/>
      <c r="B17" s="21">
        <v>16</v>
      </c>
      <c r="C17" s="23" t="s">
        <v>216</v>
      </c>
      <c r="D17" s="47">
        <f>8-6</f>
        <v>2</v>
      </c>
      <c r="E17" s="25"/>
    </row>
    <row r="18" spans="1:5" x14ac:dyDescent="0.25">
      <c r="A18" s="86"/>
      <c r="B18" s="21">
        <v>17</v>
      </c>
      <c r="C18" s="23" t="s">
        <v>217</v>
      </c>
      <c r="D18" s="27">
        <f>12+14</f>
        <v>26</v>
      </c>
      <c r="E18" s="25"/>
    </row>
    <row r="19" spans="1:5" x14ac:dyDescent="0.25">
      <c r="A19" s="86"/>
      <c r="B19" s="21">
        <v>18</v>
      </c>
      <c r="C19" s="23" t="s">
        <v>218</v>
      </c>
      <c r="D19" s="27">
        <f>2+4+1</f>
        <v>7</v>
      </c>
      <c r="E19" s="23"/>
    </row>
    <row r="20" spans="1:5" x14ac:dyDescent="0.25">
      <c r="A20" s="86"/>
      <c r="B20" s="21">
        <v>19</v>
      </c>
      <c r="C20" s="23" t="s">
        <v>219</v>
      </c>
      <c r="D20" s="27">
        <f>(8+17-1)*(23+18-1)</f>
        <v>960</v>
      </c>
      <c r="E20" s="23"/>
    </row>
    <row r="21" spans="1:5" x14ac:dyDescent="0.25">
      <c r="A21" s="86"/>
      <c r="B21" s="21">
        <v>20</v>
      </c>
      <c r="C21" s="23" t="s">
        <v>220</v>
      </c>
      <c r="D21" s="27">
        <v>1</v>
      </c>
      <c r="E21" s="23"/>
    </row>
    <row r="22" spans="1:5" x14ac:dyDescent="0.25">
      <c r="A22" s="86"/>
      <c r="B22" s="21">
        <v>21</v>
      </c>
      <c r="C22" s="23" t="s">
        <v>221</v>
      </c>
      <c r="D22" s="24">
        <f>(7+15-1)*12*26</f>
        <v>6552</v>
      </c>
      <c r="E22" s="25"/>
    </row>
    <row r="23" spans="1:5" x14ac:dyDescent="0.25">
      <c r="A23" s="86"/>
      <c r="B23" s="21">
        <v>22</v>
      </c>
      <c r="C23" s="23" t="s">
        <v>222</v>
      </c>
      <c r="D23" s="24">
        <f>9-4-1</f>
        <v>4</v>
      </c>
      <c r="E23" s="25"/>
    </row>
    <row r="24" spans="1:5" x14ac:dyDescent="0.25">
      <c r="A24" s="86"/>
      <c r="B24" s="21">
        <v>23</v>
      </c>
      <c r="C24" s="23" t="s">
        <v>223</v>
      </c>
      <c r="D24" s="24">
        <f>((1+5+3)*2) -1</f>
        <v>17</v>
      </c>
      <c r="E24" s="25"/>
    </row>
    <row r="25" spans="1:5" x14ac:dyDescent="0.25">
      <c r="A25" s="85">
        <v>20211018</v>
      </c>
      <c r="B25" s="21">
        <v>24</v>
      </c>
      <c r="C25" s="23" t="s">
        <v>224</v>
      </c>
      <c r="D25" s="24">
        <f>4+1+5</f>
        <v>10</v>
      </c>
      <c r="E25" s="25"/>
    </row>
    <row r="26" spans="1:5" x14ac:dyDescent="0.25">
      <c r="A26" s="86"/>
      <c r="B26" s="21">
        <v>25</v>
      </c>
      <c r="C26" s="23" t="s">
        <v>225</v>
      </c>
      <c r="D26" s="24" t="s">
        <v>204</v>
      </c>
      <c r="E26" s="25"/>
    </row>
    <row r="27" spans="1:5" x14ac:dyDescent="0.25">
      <c r="A27" s="86"/>
      <c r="B27" s="21">
        <v>26</v>
      </c>
      <c r="C27" s="23" t="s">
        <v>226</v>
      </c>
      <c r="D27" s="24">
        <f>280/(7*(4+7-1))</f>
        <v>4</v>
      </c>
      <c r="E27" s="25"/>
    </row>
    <row r="28" spans="1:5" x14ac:dyDescent="0.25">
      <c r="A28" s="86"/>
      <c r="B28" s="21">
        <v>27</v>
      </c>
      <c r="C28" s="23" t="s">
        <v>227</v>
      </c>
      <c r="D28" s="24">
        <f>160/(5+12-1)-6</f>
        <v>4</v>
      </c>
      <c r="E28" s="25"/>
    </row>
    <row r="29" spans="1:5" x14ac:dyDescent="0.25">
      <c r="A29" s="86"/>
      <c r="B29" s="21">
        <v>28</v>
      </c>
      <c r="C29" s="23" t="s">
        <v>228</v>
      </c>
      <c r="D29" s="24">
        <v>1</v>
      </c>
      <c r="E29" s="25"/>
    </row>
    <row r="30" spans="1:5" x14ac:dyDescent="0.25">
      <c r="A30" s="86"/>
      <c r="B30" s="21">
        <v>29</v>
      </c>
      <c r="C30" s="23" t="s">
        <v>229</v>
      </c>
      <c r="D30" s="24">
        <f>35-6+13+1</f>
        <v>43</v>
      </c>
      <c r="E30" s="25"/>
    </row>
    <row r="31" spans="1:5" x14ac:dyDescent="0.25">
      <c r="A31" s="86"/>
      <c r="B31" s="21">
        <v>30</v>
      </c>
      <c r="C31" s="23" t="s">
        <v>230</v>
      </c>
      <c r="D31" s="24">
        <f>28/2-3</f>
        <v>11</v>
      </c>
      <c r="E31" s="25"/>
    </row>
    <row r="32" spans="1:5" x14ac:dyDescent="0.25">
      <c r="A32" s="86"/>
      <c r="B32" s="21">
        <v>31</v>
      </c>
      <c r="C32" s="23" t="s">
        <v>231</v>
      </c>
      <c r="D32" s="24">
        <f>224/(10+7-1)-8+1</f>
        <v>7</v>
      </c>
      <c r="E32" s="25"/>
    </row>
    <row r="33" spans="1:5" x14ac:dyDescent="0.25">
      <c r="A33" s="86"/>
      <c r="B33" s="21">
        <v>32</v>
      </c>
      <c r="C33" s="23" t="s">
        <v>232</v>
      </c>
      <c r="D33" s="24">
        <f>180/3/4-6+1</f>
        <v>10</v>
      </c>
      <c r="E33" s="25"/>
    </row>
    <row r="34" spans="1:5" x14ac:dyDescent="0.25">
      <c r="A34" s="86"/>
      <c r="B34" s="21">
        <v>33</v>
      </c>
      <c r="C34" s="23" t="s">
        <v>233</v>
      </c>
      <c r="D34" s="24">
        <f>4*(5+1+2)</f>
        <v>32</v>
      </c>
      <c r="E34" s="25"/>
    </row>
    <row r="35" spans="1:5" x14ac:dyDescent="0.25">
      <c r="A35" s="85">
        <v>20211021</v>
      </c>
      <c r="B35" s="21">
        <v>34</v>
      </c>
      <c r="C35" s="23" t="s">
        <v>234</v>
      </c>
      <c r="D35" s="24">
        <v>6</v>
      </c>
      <c r="E35" s="25"/>
    </row>
    <row r="36" spans="1:5" x14ac:dyDescent="0.25">
      <c r="A36" s="86"/>
      <c r="B36" s="21">
        <v>35</v>
      </c>
      <c r="C36" s="23" t="s">
        <v>235</v>
      </c>
      <c r="D36" s="24">
        <f>7+1+15</f>
        <v>23</v>
      </c>
      <c r="E36" s="25"/>
    </row>
    <row r="37" spans="1:5" x14ac:dyDescent="0.25">
      <c r="A37" s="86"/>
      <c r="B37" s="21">
        <v>36</v>
      </c>
      <c r="C37" s="23" t="s">
        <v>236</v>
      </c>
      <c r="D37" s="24">
        <f>20-14+1</f>
        <v>7</v>
      </c>
      <c r="E37" s="25"/>
    </row>
    <row r="38" spans="1:5" x14ac:dyDescent="0.25">
      <c r="A38" s="86"/>
      <c r="B38" s="21">
        <v>37</v>
      </c>
      <c r="C38" s="23" t="s">
        <v>237</v>
      </c>
      <c r="D38" s="24">
        <f>(5+5-1)*(2*2-1)</f>
        <v>27</v>
      </c>
      <c r="E38" s="25"/>
    </row>
    <row r="39" spans="1:5" x14ac:dyDescent="0.25">
      <c r="A39" s="86"/>
      <c r="B39" s="21">
        <v>38</v>
      </c>
      <c r="C39" s="23" t="s">
        <v>238</v>
      </c>
      <c r="D39" s="24">
        <f>10-4+1</f>
        <v>7</v>
      </c>
      <c r="E39" s="25"/>
    </row>
    <row r="40" spans="1:5" x14ac:dyDescent="0.25">
      <c r="A40" s="86"/>
      <c r="B40" s="21">
        <v>39</v>
      </c>
      <c r="C40" s="23" t="s">
        <v>239</v>
      </c>
      <c r="D40" s="24">
        <v>6</v>
      </c>
      <c r="E40" s="25"/>
    </row>
    <row r="41" spans="1:5" x14ac:dyDescent="0.25">
      <c r="A41" s="86"/>
      <c r="B41" s="21">
        <v>40</v>
      </c>
      <c r="C41" s="23" t="s">
        <v>240</v>
      </c>
      <c r="D41" s="24">
        <f>6+4+1</f>
        <v>11</v>
      </c>
      <c r="E41" s="25"/>
    </row>
    <row r="42" spans="1:5" x14ac:dyDescent="0.25">
      <c r="A42" s="86"/>
      <c r="B42" s="21">
        <v>41</v>
      </c>
      <c r="C42" s="84" t="s">
        <v>925</v>
      </c>
      <c r="D42" s="24" t="s">
        <v>204</v>
      </c>
      <c r="E42" s="25"/>
    </row>
    <row r="43" spans="1:5" x14ac:dyDescent="0.25">
      <c r="A43" s="86"/>
      <c r="B43" s="21">
        <v>42</v>
      </c>
      <c r="C43" s="23" t="s">
        <v>241</v>
      </c>
      <c r="D43" s="24">
        <f>(3+2-1)*(1+8-1)</f>
        <v>32</v>
      </c>
      <c r="E43" s="25"/>
    </row>
    <row r="44" spans="1:5" x14ac:dyDescent="0.25">
      <c r="A44" s="86"/>
      <c r="B44" s="21">
        <v>43</v>
      </c>
      <c r="C44" s="23" t="s">
        <v>242</v>
      </c>
      <c r="D44" s="24">
        <v>5</v>
      </c>
      <c r="E44" s="25"/>
    </row>
  </sheetData>
  <mergeCells count="5">
    <mergeCell ref="A2:A4"/>
    <mergeCell ref="A5:A14"/>
    <mergeCell ref="A15:A24"/>
    <mergeCell ref="A25:A34"/>
    <mergeCell ref="A35:A44"/>
  </mergeCells>
  <phoneticPr fontId="15" type="noConversion"/>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44"/>
  <sheetViews>
    <sheetView workbookViewId="0">
      <pane ySplit="1" topLeftCell="A2" activePane="bottomLeft" state="frozen"/>
      <selection pane="bottomLeft" activeCell="B3" sqref="B3"/>
    </sheetView>
  </sheetViews>
  <sheetFormatPr defaultColWidth="14.44140625" defaultRowHeight="15" customHeight="1" x14ac:dyDescent="0.25"/>
  <cols>
    <col min="1" max="1" width="10.109375" customWidth="1"/>
    <col min="2" max="2" width="7.33203125" customWidth="1"/>
    <col min="3" max="3" width="71.5546875" customWidth="1"/>
    <col min="4" max="4" width="14.44140625" customWidth="1"/>
    <col min="5" max="5" width="68.109375" customWidth="1"/>
  </cols>
  <sheetData>
    <row r="1" spans="1:5" x14ac:dyDescent="0.25">
      <c r="A1" s="21" t="s">
        <v>0</v>
      </c>
      <c r="B1" s="21" t="s">
        <v>30</v>
      </c>
      <c r="C1" s="22" t="s">
        <v>31</v>
      </c>
      <c r="D1" s="21" t="s">
        <v>32</v>
      </c>
      <c r="E1" s="21" t="s">
        <v>33</v>
      </c>
    </row>
    <row r="2" spans="1:5" x14ac:dyDescent="0.25">
      <c r="A2" s="85">
        <v>20211005</v>
      </c>
      <c r="B2" s="21">
        <v>1</v>
      </c>
      <c r="C2" s="23" t="s">
        <v>243</v>
      </c>
      <c r="D2" s="24">
        <v>10</v>
      </c>
      <c r="E2" s="25" t="s">
        <v>244</v>
      </c>
    </row>
    <row r="3" spans="1:5" x14ac:dyDescent="0.25">
      <c r="A3" s="86"/>
      <c r="B3" s="21">
        <v>2</v>
      </c>
      <c r="C3" s="23" t="s">
        <v>245</v>
      </c>
      <c r="D3" s="24">
        <v>4</v>
      </c>
      <c r="E3" s="25" t="s">
        <v>246</v>
      </c>
    </row>
    <row r="4" spans="1:5" x14ac:dyDescent="0.25">
      <c r="A4" s="86"/>
      <c r="B4" s="21">
        <v>3</v>
      </c>
      <c r="C4" s="23" t="s">
        <v>247</v>
      </c>
      <c r="D4" s="24">
        <v>15</v>
      </c>
      <c r="E4" s="25" t="s">
        <v>248</v>
      </c>
    </row>
    <row r="5" spans="1:5" x14ac:dyDescent="0.25">
      <c r="A5" s="85">
        <v>20211008</v>
      </c>
      <c r="B5" s="21">
        <v>4</v>
      </c>
      <c r="C5" s="23" t="s">
        <v>249</v>
      </c>
      <c r="D5" s="24">
        <v>5</v>
      </c>
      <c r="E5" s="25" t="s">
        <v>250</v>
      </c>
    </row>
    <row r="6" spans="1:5" x14ac:dyDescent="0.25">
      <c r="A6" s="86"/>
      <c r="B6" s="21">
        <v>5</v>
      </c>
      <c r="C6" s="23" t="s">
        <v>251</v>
      </c>
      <c r="D6" s="24">
        <v>48</v>
      </c>
      <c r="E6" s="25" t="s">
        <v>252</v>
      </c>
    </row>
    <row r="7" spans="1:5" x14ac:dyDescent="0.25">
      <c r="A7" s="86"/>
      <c r="B7" s="21">
        <v>6</v>
      </c>
      <c r="C7" s="23" t="s">
        <v>253</v>
      </c>
      <c r="D7" s="24">
        <v>9</v>
      </c>
    </row>
    <row r="8" spans="1:5" x14ac:dyDescent="0.25">
      <c r="A8" s="86"/>
      <c r="B8" s="21">
        <v>7</v>
      </c>
      <c r="C8" s="48" t="s">
        <v>254</v>
      </c>
      <c r="D8" s="24">
        <v>15</v>
      </c>
      <c r="E8" s="25" t="s">
        <v>255</v>
      </c>
    </row>
    <row r="9" spans="1:5" x14ac:dyDescent="0.25">
      <c r="A9" s="86"/>
      <c r="B9" s="21">
        <v>8</v>
      </c>
      <c r="C9" s="23" t="s">
        <v>256</v>
      </c>
      <c r="D9" s="24">
        <v>600</v>
      </c>
      <c r="E9" s="25" t="s">
        <v>257</v>
      </c>
    </row>
    <row r="10" spans="1:5" x14ac:dyDescent="0.25">
      <c r="A10" s="86"/>
      <c r="B10" s="21">
        <v>9</v>
      </c>
      <c r="C10" s="23" t="s">
        <v>258</v>
      </c>
      <c r="D10" s="24">
        <v>12</v>
      </c>
      <c r="E10" s="25" t="s">
        <v>259</v>
      </c>
    </row>
    <row r="11" spans="1:5" x14ac:dyDescent="0.25">
      <c r="A11" s="86"/>
      <c r="B11" s="21">
        <v>10</v>
      </c>
      <c r="C11" s="23" t="s">
        <v>260</v>
      </c>
      <c r="D11" s="24">
        <v>8</v>
      </c>
      <c r="E11" s="25" t="s">
        <v>261</v>
      </c>
    </row>
    <row r="12" spans="1:5" x14ac:dyDescent="0.25">
      <c r="A12" s="86"/>
      <c r="B12" s="21">
        <v>11</v>
      </c>
      <c r="C12" s="23" t="s">
        <v>262</v>
      </c>
      <c r="D12" s="24">
        <v>108</v>
      </c>
      <c r="E12" s="25" t="s">
        <v>263</v>
      </c>
    </row>
    <row r="13" spans="1:5" x14ac:dyDescent="0.25">
      <c r="A13" s="86"/>
      <c r="B13" s="21">
        <v>12</v>
      </c>
      <c r="C13" s="23" t="s">
        <v>264</v>
      </c>
      <c r="D13" s="24">
        <v>12</v>
      </c>
      <c r="E13" s="25" t="s">
        <v>265</v>
      </c>
    </row>
    <row r="14" spans="1:5" x14ac:dyDescent="0.25">
      <c r="A14" s="86"/>
      <c r="B14" s="21">
        <v>13</v>
      </c>
      <c r="C14" s="23" t="s">
        <v>266</v>
      </c>
      <c r="D14" s="24">
        <v>15</v>
      </c>
      <c r="E14" s="25" t="s">
        <v>267</v>
      </c>
    </row>
    <row r="15" spans="1:5" x14ac:dyDescent="0.25">
      <c r="A15" s="85">
        <v>20211014</v>
      </c>
      <c r="B15" s="21">
        <v>14</v>
      </c>
      <c r="C15" s="23" t="s">
        <v>268</v>
      </c>
      <c r="D15" s="24">
        <v>2</v>
      </c>
      <c r="E15" s="25" t="s">
        <v>269</v>
      </c>
    </row>
    <row r="16" spans="1:5" x14ac:dyDescent="0.25">
      <c r="A16" s="86"/>
      <c r="B16" s="21">
        <v>15</v>
      </c>
      <c r="C16" s="23" t="s">
        <v>270</v>
      </c>
      <c r="D16" s="24">
        <v>1</v>
      </c>
      <c r="E16" s="25" t="s">
        <v>271</v>
      </c>
    </row>
    <row r="17" spans="1:5" x14ac:dyDescent="0.25">
      <c r="A17" s="86"/>
      <c r="B17" s="21">
        <v>16</v>
      </c>
      <c r="C17" s="23" t="s">
        <v>272</v>
      </c>
      <c r="D17" s="27">
        <v>8</v>
      </c>
      <c r="E17" s="25" t="s">
        <v>273</v>
      </c>
    </row>
    <row r="18" spans="1:5" x14ac:dyDescent="0.25">
      <c r="A18" s="86"/>
      <c r="B18" s="21">
        <v>17</v>
      </c>
      <c r="C18" s="23" t="s">
        <v>274</v>
      </c>
      <c r="D18" s="27">
        <v>27</v>
      </c>
      <c r="E18" s="25" t="s">
        <v>275</v>
      </c>
    </row>
    <row r="19" spans="1:5" x14ac:dyDescent="0.25">
      <c r="A19" s="86"/>
      <c r="B19" s="21">
        <v>18</v>
      </c>
      <c r="C19" s="23" t="s">
        <v>276</v>
      </c>
      <c r="D19" s="27">
        <v>756</v>
      </c>
      <c r="E19" s="49" t="s">
        <v>277</v>
      </c>
    </row>
    <row r="20" spans="1:5" x14ac:dyDescent="0.25">
      <c r="A20" s="86"/>
      <c r="B20" s="21">
        <v>19</v>
      </c>
      <c r="C20" s="23" t="s">
        <v>278</v>
      </c>
      <c r="D20" s="27">
        <v>12</v>
      </c>
      <c r="E20" s="23" t="s">
        <v>279</v>
      </c>
    </row>
    <row r="21" spans="1:5" x14ac:dyDescent="0.25">
      <c r="A21" s="86"/>
      <c r="B21" s="21">
        <v>20</v>
      </c>
      <c r="C21" s="23" t="s">
        <v>280</v>
      </c>
      <c r="D21" s="27">
        <v>24</v>
      </c>
      <c r="E21" s="23" t="s">
        <v>281</v>
      </c>
    </row>
    <row r="22" spans="1:5" x14ac:dyDescent="0.25">
      <c r="A22" s="86"/>
      <c r="B22" s="21">
        <v>21</v>
      </c>
      <c r="C22" s="23" t="s">
        <v>282</v>
      </c>
      <c r="D22" s="24">
        <v>9</v>
      </c>
      <c r="E22" s="25" t="s">
        <v>283</v>
      </c>
    </row>
    <row r="23" spans="1:5" x14ac:dyDescent="0.25">
      <c r="A23" s="86"/>
      <c r="B23" s="21">
        <v>22</v>
      </c>
      <c r="C23" s="23" t="s">
        <v>284</v>
      </c>
      <c r="D23" s="24">
        <v>10</v>
      </c>
      <c r="E23" s="25" t="s">
        <v>285</v>
      </c>
    </row>
    <row r="24" spans="1:5" x14ac:dyDescent="0.25">
      <c r="A24" s="86"/>
      <c r="B24" s="21">
        <v>23</v>
      </c>
      <c r="C24" s="23" t="s">
        <v>286</v>
      </c>
      <c r="D24" s="24">
        <v>10</v>
      </c>
      <c r="E24" s="25" t="s">
        <v>287</v>
      </c>
    </row>
    <row r="25" spans="1:5" x14ac:dyDescent="0.25">
      <c r="A25" s="85">
        <v>20211019</v>
      </c>
      <c r="B25" s="21">
        <v>24</v>
      </c>
      <c r="C25" s="23" t="s">
        <v>288</v>
      </c>
      <c r="D25" s="24">
        <v>10</v>
      </c>
      <c r="E25" s="25" t="s">
        <v>289</v>
      </c>
    </row>
    <row r="26" spans="1:5" x14ac:dyDescent="0.25">
      <c r="A26" s="86"/>
      <c r="B26" s="21">
        <v>25</v>
      </c>
      <c r="C26" s="23" t="s">
        <v>290</v>
      </c>
      <c r="D26" s="24">
        <v>15</v>
      </c>
      <c r="E26" s="25" t="s">
        <v>291</v>
      </c>
    </row>
    <row r="27" spans="1:5" x14ac:dyDescent="0.25">
      <c r="A27" s="86"/>
      <c r="B27" s="21">
        <v>26</v>
      </c>
      <c r="C27" s="23" t="s">
        <v>292</v>
      </c>
      <c r="D27" s="24">
        <v>6</v>
      </c>
      <c r="E27" s="25"/>
    </row>
    <row r="28" spans="1:5" x14ac:dyDescent="0.25">
      <c r="A28" s="86"/>
      <c r="B28" s="21">
        <v>27</v>
      </c>
      <c r="C28" s="23" t="s">
        <v>293</v>
      </c>
      <c r="D28" s="24">
        <v>9</v>
      </c>
      <c r="E28" s="25" t="s">
        <v>294</v>
      </c>
    </row>
    <row r="29" spans="1:5" x14ac:dyDescent="0.25">
      <c r="A29" s="86"/>
      <c r="B29" s="21">
        <v>28</v>
      </c>
      <c r="C29" s="23" t="s">
        <v>295</v>
      </c>
      <c r="D29" s="24">
        <v>12</v>
      </c>
      <c r="E29" s="25" t="s">
        <v>296</v>
      </c>
    </row>
    <row r="30" spans="1:5" x14ac:dyDescent="0.25">
      <c r="A30" s="86"/>
      <c r="B30" s="21">
        <v>29</v>
      </c>
      <c r="C30" s="23" t="s">
        <v>297</v>
      </c>
      <c r="D30" s="24">
        <v>16</v>
      </c>
      <c r="E30" s="50" t="s">
        <v>298</v>
      </c>
    </row>
    <row r="31" spans="1:5" x14ac:dyDescent="0.25">
      <c r="A31" s="86"/>
      <c r="B31" s="21">
        <v>30</v>
      </c>
      <c r="C31" s="23" t="s">
        <v>299</v>
      </c>
      <c r="D31" s="24">
        <v>16</v>
      </c>
      <c r="E31" s="25" t="s">
        <v>300</v>
      </c>
    </row>
    <row r="32" spans="1:5" x14ac:dyDescent="0.25">
      <c r="A32" s="86"/>
      <c r="B32" s="21">
        <v>31</v>
      </c>
      <c r="C32" s="25" t="s">
        <v>301</v>
      </c>
      <c r="D32" s="24">
        <v>18</v>
      </c>
      <c r="E32" s="25" t="s">
        <v>302</v>
      </c>
    </row>
    <row r="33" spans="1:5" x14ac:dyDescent="0.25">
      <c r="A33" s="86"/>
      <c r="B33" s="21">
        <v>32</v>
      </c>
      <c r="C33" s="23" t="s">
        <v>303</v>
      </c>
      <c r="D33" s="24">
        <v>10</v>
      </c>
      <c r="E33" s="25" t="s">
        <v>304</v>
      </c>
    </row>
    <row r="34" spans="1:5" x14ac:dyDescent="0.25">
      <c r="A34" s="86"/>
      <c r="B34" s="21">
        <v>33</v>
      </c>
      <c r="C34" s="23" t="s">
        <v>305</v>
      </c>
      <c r="D34" s="24">
        <v>11</v>
      </c>
      <c r="E34" s="23" t="s">
        <v>306</v>
      </c>
    </row>
    <row r="35" spans="1:5" x14ac:dyDescent="0.25">
      <c r="A35" s="85">
        <v>20211022</v>
      </c>
      <c r="B35" s="21">
        <v>34</v>
      </c>
      <c r="C35" s="23" t="s">
        <v>307</v>
      </c>
      <c r="D35" s="24">
        <v>0</v>
      </c>
      <c r="E35" s="25" t="s">
        <v>308</v>
      </c>
    </row>
    <row r="36" spans="1:5" x14ac:dyDescent="0.25">
      <c r="A36" s="86"/>
      <c r="B36" s="21">
        <v>35</v>
      </c>
      <c r="C36" s="23" t="s">
        <v>309</v>
      </c>
      <c r="D36" s="24">
        <v>3</v>
      </c>
      <c r="E36" s="25" t="s">
        <v>310</v>
      </c>
    </row>
    <row r="37" spans="1:5" x14ac:dyDescent="0.25">
      <c r="A37" s="86"/>
      <c r="B37" s="21">
        <v>36</v>
      </c>
      <c r="C37" s="51" t="s">
        <v>311</v>
      </c>
      <c r="D37" s="24">
        <v>6</v>
      </c>
      <c r="E37" s="52" t="s">
        <v>312</v>
      </c>
    </row>
    <row r="38" spans="1:5" x14ac:dyDescent="0.25">
      <c r="A38" s="86"/>
      <c r="B38" s="21">
        <v>37</v>
      </c>
      <c r="C38" s="23" t="s">
        <v>313</v>
      </c>
      <c r="D38" s="24">
        <v>4</v>
      </c>
      <c r="E38" s="25" t="s">
        <v>314</v>
      </c>
    </row>
    <row r="39" spans="1:5" x14ac:dyDescent="0.25">
      <c r="A39" s="86"/>
      <c r="B39" s="21">
        <v>38</v>
      </c>
      <c r="C39" s="23" t="s">
        <v>315</v>
      </c>
      <c r="D39" s="24">
        <v>6</v>
      </c>
      <c r="E39" s="25" t="s">
        <v>316</v>
      </c>
    </row>
    <row r="40" spans="1:5" x14ac:dyDescent="0.25">
      <c r="A40" s="86"/>
      <c r="B40" s="21">
        <v>39</v>
      </c>
      <c r="C40" s="23" t="s">
        <v>317</v>
      </c>
      <c r="D40" s="24">
        <v>8</v>
      </c>
      <c r="E40" s="25" t="s">
        <v>318</v>
      </c>
    </row>
    <row r="41" spans="1:5" x14ac:dyDescent="0.25">
      <c r="A41" s="86"/>
      <c r="B41" s="21">
        <v>40</v>
      </c>
      <c r="C41" s="23" t="s">
        <v>319</v>
      </c>
      <c r="D41" s="24">
        <v>609</v>
      </c>
      <c r="E41" s="25" t="s">
        <v>320</v>
      </c>
    </row>
    <row r="42" spans="1:5" x14ac:dyDescent="0.25">
      <c r="A42" s="86"/>
      <c r="B42" s="21">
        <v>41</v>
      </c>
      <c r="C42" s="23" t="s">
        <v>321</v>
      </c>
      <c r="D42" s="24">
        <v>42</v>
      </c>
      <c r="E42" s="25" t="s">
        <v>322</v>
      </c>
    </row>
    <row r="43" spans="1:5" x14ac:dyDescent="0.25">
      <c r="A43" s="86"/>
      <c r="B43" s="21">
        <v>42</v>
      </c>
      <c r="C43" s="23" t="s">
        <v>323</v>
      </c>
      <c r="D43" s="24">
        <v>4</v>
      </c>
      <c r="E43" s="25" t="s">
        <v>324</v>
      </c>
    </row>
    <row r="44" spans="1:5" x14ac:dyDescent="0.25">
      <c r="A44" s="86"/>
      <c r="B44" s="21">
        <v>43</v>
      </c>
      <c r="C44" s="23" t="s">
        <v>325</v>
      </c>
      <c r="D44" s="24">
        <v>3</v>
      </c>
      <c r="E44" s="25" t="s">
        <v>326</v>
      </c>
    </row>
  </sheetData>
  <mergeCells count="5">
    <mergeCell ref="A2:A4"/>
    <mergeCell ref="A5:A14"/>
    <mergeCell ref="A15:A24"/>
    <mergeCell ref="A25:A34"/>
    <mergeCell ref="A35:A44"/>
  </mergeCells>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36"/>
  <sheetViews>
    <sheetView tabSelected="1" workbookViewId="0">
      <pane ySplit="1" topLeftCell="A2" activePane="bottomLeft" state="frozen"/>
      <selection pane="bottomLeft" activeCell="C38" sqref="C38"/>
    </sheetView>
  </sheetViews>
  <sheetFormatPr defaultColWidth="14.44140625" defaultRowHeight="15" customHeight="1" x14ac:dyDescent="0.25"/>
  <cols>
    <col min="1" max="1" width="10.109375" customWidth="1"/>
    <col min="2" max="2" width="7.33203125" customWidth="1"/>
    <col min="3" max="3" width="71.5546875" customWidth="1"/>
    <col min="4" max="4" width="14.44140625" customWidth="1"/>
    <col min="5" max="5" width="68.109375" customWidth="1"/>
  </cols>
  <sheetData>
    <row r="1" spans="1:5" x14ac:dyDescent="0.25">
      <c r="A1" s="21" t="s">
        <v>0</v>
      </c>
      <c r="B1" s="21" t="s">
        <v>30</v>
      </c>
      <c r="C1" s="22" t="s">
        <v>31</v>
      </c>
      <c r="D1" s="21" t="s">
        <v>32</v>
      </c>
      <c r="E1" s="21" t="s">
        <v>33</v>
      </c>
    </row>
    <row r="2" spans="1:5" x14ac:dyDescent="0.25">
      <c r="A2" s="85">
        <v>20211005</v>
      </c>
      <c r="B2" s="21">
        <v>1</v>
      </c>
      <c r="C2" s="46" t="s">
        <v>327</v>
      </c>
      <c r="D2" s="24">
        <v>870</v>
      </c>
      <c r="E2" s="36" t="s">
        <v>328</v>
      </c>
    </row>
    <row r="3" spans="1:5" x14ac:dyDescent="0.25">
      <c r="A3" s="86"/>
      <c r="B3" s="21">
        <v>2</v>
      </c>
      <c r="C3" s="23" t="s">
        <v>329</v>
      </c>
      <c r="D3" s="24">
        <f>(225+3)/3</f>
        <v>76</v>
      </c>
      <c r="E3" s="25" t="s">
        <v>330</v>
      </c>
    </row>
    <row r="4" spans="1:5" x14ac:dyDescent="0.25">
      <c r="A4" s="86"/>
      <c r="B4" s="21">
        <v>3</v>
      </c>
      <c r="C4" s="46" t="s">
        <v>331</v>
      </c>
      <c r="D4" s="24">
        <f>87-47</f>
        <v>40</v>
      </c>
      <c r="E4" s="25" t="s">
        <v>332</v>
      </c>
    </row>
    <row r="5" spans="1:5" x14ac:dyDescent="0.25">
      <c r="A5" s="85">
        <v>20211006</v>
      </c>
      <c r="B5" s="21">
        <v>4</v>
      </c>
      <c r="C5" s="23" t="s">
        <v>333</v>
      </c>
      <c r="D5" s="24">
        <v>35</v>
      </c>
      <c r="E5" s="25" t="s">
        <v>334</v>
      </c>
    </row>
    <row r="6" spans="1:5" x14ac:dyDescent="0.25">
      <c r="A6" s="86"/>
      <c r="B6" s="21">
        <v>5</v>
      </c>
      <c r="C6" s="23" t="s">
        <v>335</v>
      </c>
      <c r="D6" s="24">
        <v>18</v>
      </c>
      <c r="E6" s="25" t="s">
        <v>336</v>
      </c>
    </row>
    <row r="7" spans="1:5" x14ac:dyDescent="0.25">
      <c r="A7" s="86"/>
      <c r="B7" s="21">
        <v>6</v>
      </c>
      <c r="C7" s="23" t="s">
        <v>337</v>
      </c>
      <c r="D7" s="24">
        <v>27</v>
      </c>
      <c r="E7" s="25" t="s">
        <v>338</v>
      </c>
    </row>
    <row r="8" spans="1:5" x14ac:dyDescent="0.25">
      <c r="A8" s="86"/>
      <c r="B8" s="21">
        <v>7</v>
      </c>
      <c r="C8" s="23" t="s">
        <v>339</v>
      </c>
      <c r="D8" s="24">
        <v>12</v>
      </c>
      <c r="E8" s="25" t="s">
        <v>340</v>
      </c>
    </row>
    <row r="9" spans="1:5" x14ac:dyDescent="0.25">
      <c r="A9" s="86"/>
      <c r="B9" s="21">
        <v>8</v>
      </c>
      <c r="C9" s="23" t="s">
        <v>341</v>
      </c>
      <c r="D9" s="24">
        <v>5</v>
      </c>
      <c r="E9" s="25" t="s">
        <v>342</v>
      </c>
    </row>
    <row r="10" spans="1:5" x14ac:dyDescent="0.25">
      <c r="A10" s="86"/>
      <c r="B10" s="21">
        <v>9</v>
      </c>
      <c r="C10" s="23" t="s">
        <v>343</v>
      </c>
      <c r="D10" s="24">
        <v>10</v>
      </c>
      <c r="E10" s="25" t="s">
        <v>344</v>
      </c>
    </row>
    <row r="11" spans="1:5" x14ac:dyDescent="0.25">
      <c r="A11" s="86"/>
      <c r="B11" s="21">
        <v>10</v>
      </c>
      <c r="C11" s="23" t="s">
        <v>345</v>
      </c>
      <c r="D11" s="24">
        <v>11</v>
      </c>
      <c r="E11" s="25" t="s">
        <v>346</v>
      </c>
    </row>
    <row r="12" spans="1:5" x14ac:dyDescent="0.25">
      <c r="A12" s="86"/>
      <c r="B12" s="21">
        <v>11</v>
      </c>
      <c r="C12" s="23" t="s">
        <v>347</v>
      </c>
      <c r="D12" s="24">
        <v>250</v>
      </c>
      <c r="E12" s="25" t="s">
        <v>348</v>
      </c>
    </row>
    <row r="13" spans="1:5" x14ac:dyDescent="0.25">
      <c r="A13" s="86"/>
      <c r="B13" s="21">
        <v>12</v>
      </c>
      <c r="C13" s="23" t="s">
        <v>349</v>
      </c>
      <c r="D13" s="24">
        <v>2</v>
      </c>
      <c r="E13" s="25" t="s">
        <v>350</v>
      </c>
    </row>
    <row r="14" spans="1:5" x14ac:dyDescent="0.25">
      <c r="A14" s="86"/>
      <c r="B14" s="21">
        <v>13</v>
      </c>
      <c r="C14" s="23" t="s">
        <v>351</v>
      </c>
      <c r="D14" s="24">
        <v>9</v>
      </c>
      <c r="E14" s="25" t="s">
        <v>352</v>
      </c>
    </row>
    <row r="15" spans="1:5" x14ac:dyDescent="0.25">
      <c r="A15" s="85">
        <v>20211013</v>
      </c>
      <c r="B15" s="21">
        <v>14</v>
      </c>
      <c r="C15" s="53" t="s">
        <v>353</v>
      </c>
      <c r="D15" s="54">
        <v>1.6</v>
      </c>
      <c r="E15" s="55" t="s">
        <v>354</v>
      </c>
    </row>
    <row r="16" spans="1:5" x14ac:dyDescent="0.25">
      <c r="A16" s="86"/>
      <c r="B16" s="21">
        <v>15</v>
      </c>
      <c r="C16" s="53" t="s">
        <v>355</v>
      </c>
      <c r="D16" s="54">
        <v>0.2</v>
      </c>
      <c r="E16" s="25"/>
    </row>
    <row r="17" spans="1:5" x14ac:dyDescent="0.25">
      <c r="A17" s="86"/>
      <c r="B17" s="21">
        <v>16</v>
      </c>
      <c r="C17" s="53" t="s">
        <v>356</v>
      </c>
      <c r="D17" s="54">
        <v>0.7</v>
      </c>
      <c r="E17" s="25"/>
    </row>
    <row r="18" spans="1:5" x14ac:dyDescent="0.25">
      <c r="A18" s="86"/>
      <c r="B18" s="21">
        <v>17</v>
      </c>
      <c r="C18" s="53" t="s">
        <v>357</v>
      </c>
      <c r="D18" s="54">
        <v>70</v>
      </c>
      <c r="E18" s="25"/>
    </row>
    <row r="19" spans="1:5" x14ac:dyDescent="0.25">
      <c r="A19" s="86"/>
      <c r="B19" s="21">
        <v>18</v>
      </c>
      <c r="C19" s="53" t="s">
        <v>358</v>
      </c>
      <c r="D19" s="54">
        <v>20</v>
      </c>
      <c r="E19" s="25"/>
    </row>
    <row r="20" spans="1:5" x14ac:dyDescent="0.25">
      <c r="A20" s="86"/>
      <c r="B20" s="21">
        <v>19</v>
      </c>
      <c r="C20" s="53" t="s">
        <v>359</v>
      </c>
      <c r="D20" s="54">
        <v>31</v>
      </c>
      <c r="E20" s="25"/>
    </row>
    <row r="21" spans="1:5" x14ac:dyDescent="0.25">
      <c r="A21" s="86"/>
      <c r="B21" s="21">
        <v>20</v>
      </c>
      <c r="C21" s="53" t="s">
        <v>360</v>
      </c>
      <c r="D21" s="54">
        <v>19</v>
      </c>
      <c r="E21" s="25"/>
    </row>
    <row r="22" spans="1:5" x14ac:dyDescent="0.25">
      <c r="A22" s="86"/>
      <c r="B22" s="21">
        <v>21</v>
      </c>
      <c r="C22" s="23" t="s">
        <v>361</v>
      </c>
      <c r="D22" s="27">
        <v>6</v>
      </c>
      <c r="E22" s="25" t="s">
        <v>362</v>
      </c>
    </row>
    <row r="23" spans="1:5" x14ac:dyDescent="0.25">
      <c r="A23" s="86"/>
      <c r="B23" s="21">
        <v>22</v>
      </c>
      <c r="C23" s="23" t="s">
        <v>363</v>
      </c>
      <c r="D23" s="27">
        <v>75</v>
      </c>
      <c r="E23" s="25" t="s">
        <v>364</v>
      </c>
    </row>
    <row r="24" spans="1:5" x14ac:dyDescent="0.25">
      <c r="A24" s="86"/>
      <c r="B24" s="21">
        <v>23</v>
      </c>
      <c r="C24" s="23" t="s">
        <v>365</v>
      </c>
      <c r="D24" s="27">
        <v>7</v>
      </c>
      <c r="E24" s="25" t="s">
        <v>366</v>
      </c>
    </row>
    <row r="25" spans="1:5" x14ac:dyDescent="0.25">
      <c r="A25" s="85">
        <v>20211019</v>
      </c>
      <c r="B25" s="21">
        <v>24</v>
      </c>
      <c r="C25" s="23" t="s">
        <v>367</v>
      </c>
      <c r="D25" s="27">
        <v>16</v>
      </c>
      <c r="E25" s="25" t="s">
        <v>368</v>
      </c>
    </row>
    <row r="26" spans="1:5" x14ac:dyDescent="0.25">
      <c r="A26" s="86"/>
      <c r="B26" s="21">
        <v>25</v>
      </c>
      <c r="C26" s="23" t="s">
        <v>369</v>
      </c>
      <c r="D26" s="27">
        <v>4</v>
      </c>
      <c r="E26" s="23" t="s">
        <v>370</v>
      </c>
    </row>
    <row r="27" spans="1:5" x14ac:dyDescent="0.25">
      <c r="A27" s="86"/>
      <c r="B27" s="21">
        <v>26</v>
      </c>
      <c r="C27" s="23" t="s">
        <v>371</v>
      </c>
      <c r="D27" s="27">
        <v>8</v>
      </c>
      <c r="E27" s="23" t="s">
        <v>372</v>
      </c>
    </row>
    <row r="28" spans="1:5" x14ac:dyDescent="0.25">
      <c r="A28" s="86"/>
      <c r="B28" s="21">
        <v>27</v>
      </c>
      <c r="C28" s="23" t="s">
        <v>373</v>
      </c>
      <c r="D28" s="27">
        <v>23</v>
      </c>
      <c r="E28" s="23" t="s">
        <v>374</v>
      </c>
    </row>
    <row r="29" spans="1:5" x14ac:dyDescent="0.25">
      <c r="A29" s="86"/>
      <c r="B29" s="21">
        <v>28</v>
      </c>
      <c r="C29" s="23" t="s">
        <v>375</v>
      </c>
      <c r="D29" s="24">
        <v>2</v>
      </c>
      <c r="E29" s="25" t="s">
        <v>376</v>
      </c>
    </row>
    <row r="30" spans="1:5" x14ac:dyDescent="0.25">
      <c r="A30" s="86"/>
      <c r="B30" s="21">
        <v>29</v>
      </c>
      <c r="C30" s="23" t="s">
        <v>377</v>
      </c>
      <c r="D30" s="24">
        <v>3.72</v>
      </c>
      <c r="E30" s="25" t="s">
        <v>378</v>
      </c>
    </row>
    <row r="31" spans="1:5" x14ac:dyDescent="0.25">
      <c r="A31" s="86"/>
      <c r="B31" s="21">
        <v>30</v>
      </c>
      <c r="C31" s="23" t="s">
        <v>379</v>
      </c>
      <c r="D31" s="24">
        <v>840</v>
      </c>
      <c r="E31" s="25"/>
    </row>
    <row r="32" spans="1:5" x14ac:dyDescent="0.25">
      <c r="A32" s="86"/>
      <c r="B32" s="21">
        <v>31</v>
      </c>
      <c r="C32" s="23" t="s">
        <v>380</v>
      </c>
      <c r="D32" s="24">
        <v>639</v>
      </c>
      <c r="E32" s="25" t="s">
        <v>381</v>
      </c>
    </row>
    <row r="33" spans="1:5" x14ac:dyDescent="0.25">
      <c r="A33" s="86"/>
      <c r="B33" s="21">
        <v>32</v>
      </c>
      <c r="C33" s="23" t="s">
        <v>382</v>
      </c>
      <c r="D33" s="24">
        <v>2</v>
      </c>
      <c r="E33" s="25" t="s">
        <v>383</v>
      </c>
    </row>
    <row r="34" spans="1:5" x14ac:dyDescent="0.25">
      <c r="A34" s="86"/>
      <c r="B34" s="21">
        <v>33</v>
      </c>
      <c r="C34" s="23" t="s">
        <v>384</v>
      </c>
      <c r="D34" s="24">
        <v>1.3</v>
      </c>
      <c r="E34" s="25" t="s">
        <v>385</v>
      </c>
    </row>
    <row r="35" spans="1:5" x14ac:dyDescent="0.25">
      <c r="A35" s="21"/>
      <c r="B35" s="21">
        <v>34</v>
      </c>
      <c r="C35" s="43" t="s">
        <v>386</v>
      </c>
      <c r="D35" s="44">
        <v>7</v>
      </c>
      <c r="E35" s="45" t="s">
        <v>387</v>
      </c>
    </row>
    <row r="36" spans="1:5" x14ac:dyDescent="0.25">
      <c r="A36" s="21"/>
      <c r="B36" s="21">
        <v>35</v>
      </c>
      <c r="C36" s="43" t="s">
        <v>388</v>
      </c>
      <c r="D36" s="44">
        <v>8</v>
      </c>
      <c r="E36" s="45" t="s">
        <v>387</v>
      </c>
    </row>
  </sheetData>
  <mergeCells count="4">
    <mergeCell ref="A2:A4"/>
    <mergeCell ref="A5:A14"/>
    <mergeCell ref="A15:A24"/>
    <mergeCell ref="A25:A34"/>
  </mergeCells>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4"/>
  <sheetViews>
    <sheetView workbookViewId="0">
      <pane ySplit="1" topLeftCell="A2" activePane="bottomLeft" state="frozen"/>
      <selection pane="bottomLeft" activeCell="B3" sqref="B3"/>
    </sheetView>
  </sheetViews>
  <sheetFormatPr defaultColWidth="14.44140625" defaultRowHeight="15" customHeight="1" x14ac:dyDescent="0.25"/>
  <cols>
    <col min="1" max="1" width="10.109375" customWidth="1"/>
    <col min="2" max="2" width="7.33203125" customWidth="1"/>
    <col min="3" max="3" width="71.5546875" customWidth="1"/>
    <col min="4" max="4" width="14.44140625" customWidth="1"/>
    <col min="5" max="5" width="68.109375" customWidth="1"/>
  </cols>
  <sheetData>
    <row r="1" spans="1:5" x14ac:dyDescent="0.25">
      <c r="A1" s="21" t="s">
        <v>0</v>
      </c>
      <c r="B1" s="21" t="s">
        <v>30</v>
      </c>
      <c r="C1" s="22" t="s">
        <v>31</v>
      </c>
      <c r="D1" s="21" t="s">
        <v>32</v>
      </c>
      <c r="E1" s="21" t="s">
        <v>33</v>
      </c>
    </row>
    <row r="2" spans="1:5" x14ac:dyDescent="0.25">
      <c r="A2" s="85">
        <v>20211005</v>
      </c>
      <c r="B2" s="21">
        <v>1</v>
      </c>
      <c r="C2" s="23" t="s">
        <v>389</v>
      </c>
      <c r="D2" s="24">
        <v>5</v>
      </c>
      <c r="E2" s="25" t="s">
        <v>390</v>
      </c>
    </row>
    <row r="3" spans="1:5" x14ac:dyDescent="0.25">
      <c r="A3" s="86"/>
      <c r="B3" s="21">
        <v>2</v>
      </c>
      <c r="C3" s="46" t="s">
        <v>391</v>
      </c>
      <c r="D3" s="24">
        <v>18</v>
      </c>
      <c r="E3" s="25" t="s">
        <v>392</v>
      </c>
    </row>
    <row r="4" spans="1:5" x14ac:dyDescent="0.25">
      <c r="A4" s="86"/>
      <c r="B4" s="21">
        <v>3</v>
      </c>
      <c r="C4" s="23" t="s">
        <v>393</v>
      </c>
      <c r="D4" s="24">
        <v>10</v>
      </c>
      <c r="E4" s="25" t="s">
        <v>394</v>
      </c>
    </row>
    <row r="5" spans="1:5" x14ac:dyDescent="0.25">
      <c r="A5" s="85">
        <v>20211007</v>
      </c>
      <c r="B5" s="21">
        <v>4</v>
      </c>
      <c r="C5" s="46" t="s">
        <v>395</v>
      </c>
      <c r="D5" s="56">
        <v>16</v>
      </c>
      <c r="E5" s="36" t="s">
        <v>396</v>
      </c>
    </row>
    <row r="6" spans="1:5" x14ac:dyDescent="0.25">
      <c r="A6" s="86"/>
      <c r="B6" s="21">
        <v>5</v>
      </c>
      <c r="C6" s="46" t="s">
        <v>397</v>
      </c>
      <c r="D6" s="56">
        <v>8</v>
      </c>
      <c r="E6" s="36" t="s">
        <v>398</v>
      </c>
    </row>
    <row r="7" spans="1:5" x14ac:dyDescent="0.25">
      <c r="A7" s="86"/>
      <c r="B7" s="21">
        <v>6</v>
      </c>
      <c r="C7" s="46" t="s">
        <v>399</v>
      </c>
      <c r="D7" s="56">
        <v>16</v>
      </c>
      <c r="E7" s="36" t="s">
        <v>400</v>
      </c>
    </row>
    <row r="8" spans="1:5" x14ac:dyDescent="0.25">
      <c r="A8" s="86"/>
      <c r="B8" s="21">
        <v>7</v>
      </c>
      <c r="C8" s="46" t="s">
        <v>401</v>
      </c>
      <c r="D8" s="56">
        <v>9</v>
      </c>
      <c r="E8" s="36" t="s">
        <v>402</v>
      </c>
    </row>
    <row r="9" spans="1:5" x14ac:dyDescent="0.25">
      <c r="A9" s="86"/>
      <c r="B9" s="21">
        <v>8</v>
      </c>
      <c r="C9" s="46" t="s">
        <v>403</v>
      </c>
      <c r="D9" s="56">
        <v>1</v>
      </c>
      <c r="E9" s="57">
        <v>0</v>
      </c>
    </row>
    <row r="10" spans="1:5" x14ac:dyDescent="0.25">
      <c r="A10" s="86"/>
      <c r="B10" s="21">
        <v>9</v>
      </c>
      <c r="C10" s="46" t="s">
        <v>404</v>
      </c>
      <c r="D10" s="56">
        <v>7</v>
      </c>
      <c r="E10" s="36" t="s">
        <v>405</v>
      </c>
    </row>
    <row r="11" spans="1:5" x14ac:dyDescent="0.25">
      <c r="A11" s="86"/>
      <c r="B11" s="21">
        <v>10</v>
      </c>
      <c r="C11" s="46" t="s">
        <v>406</v>
      </c>
      <c r="D11" s="56">
        <v>3</v>
      </c>
      <c r="E11" s="36" t="s">
        <v>407</v>
      </c>
    </row>
    <row r="12" spans="1:5" x14ac:dyDescent="0.25">
      <c r="A12" s="86"/>
      <c r="B12" s="21">
        <v>11</v>
      </c>
      <c r="C12" s="46" t="s">
        <v>408</v>
      </c>
      <c r="D12" s="56">
        <v>5</v>
      </c>
      <c r="E12" s="36" t="s">
        <v>409</v>
      </c>
    </row>
    <row r="13" spans="1:5" x14ac:dyDescent="0.25">
      <c r="A13" s="86"/>
      <c r="B13" s="21">
        <v>12</v>
      </c>
      <c r="C13" s="58" t="s">
        <v>410</v>
      </c>
      <c r="D13" s="56">
        <v>8</v>
      </c>
      <c r="E13" s="36" t="s">
        <v>411</v>
      </c>
    </row>
    <row r="14" spans="1:5" x14ac:dyDescent="0.25">
      <c r="A14" s="86"/>
      <c r="B14" s="21">
        <v>13</v>
      </c>
      <c r="C14" s="46" t="s">
        <v>412</v>
      </c>
      <c r="D14" s="56">
        <f>47 * 11 + 1</f>
        <v>518</v>
      </c>
      <c r="E14" s="36" t="s">
        <v>413</v>
      </c>
    </row>
    <row r="15" spans="1:5" x14ac:dyDescent="0.25">
      <c r="A15" s="85">
        <v>20211014</v>
      </c>
      <c r="B15" s="59">
        <v>14</v>
      </c>
      <c r="C15" s="32" t="s">
        <v>414</v>
      </c>
      <c r="D15" s="33">
        <v>2</v>
      </c>
      <c r="E15" s="60" t="s">
        <v>415</v>
      </c>
    </row>
    <row r="16" spans="1:5" x14ac:dyDescent="0.25">
      <c r="A16" s="86"/>
      <c r="B16" s="59">
        <v>15</v>
      </c>
      <c r="C16" s="32" t="s">
        <v>416</v>
      </c>
      <c r="D16" s="33">
        <v>8</v>
      </c>
      <c r="E16" s="60"/>
    </row>
    <row r="17" spans="1:5" x14ac:dyDescent="0.25">
      <c r="A17" s="86"/>
      <c r="B17" s="59">
        <v>16</v>
      </c>
      <c r="C17" s="32" t="s">
        <v>417</v>
      </c>
      <c r="D17" s="61">
        <v>72</v>
      </c>
      <c r="E17" s="60"/>
    </row>
    <row r="18" spans="1:5" x14ac:dyDescent="0.25">
      <c r="A18" s="86"/>
      <c r="B18" s="59">
        <v>17</v>
      </c>
      <c r="C18" s="32" t="s">
        <v>418</v>
      </c>
      <c r="D18" s="61">
        <v>10</v>
      </c>
      <c r="E18" s="60"/>
    </row>
    <row r="19" spans="1:5" x14ac:dyDescent="0.25">
      <c r="A19" s="86"/>
      <c r="B19" s="59">
        <v>18</v>
      </c>
      <c r="C19" s="32" t="s">
        <v>419</v>
      </c>
      <c r="D19" s="61">
        <v>10</v>
      </c>
      <c r="E19" s="32"/>
    </row>
    <row r="20" spans="1:5" x14ac:dyDescent="0.25">
      <c r="A20" s="86"/>
      <c r="B20" s="59">
        <v>19</v>
      </c>
      <c r="C20" s="32" t="s">
        <v>420</v>
      </c>
      <c r="D20" s="61">
        <v>17</v>
      </c>
      <c r="E20" s="32" t="s">
        <v>421</v>
      </c>
    </row>
    <row r="21" spans="1:5" x14ac:dyDescent="0.25">
      <c r="A21" s="86"/>
      <c r="B21" s="59">
        <v>20</v>
      </c>
      <c r="C21" s="32" t="s">
        <v>422</v>
      </c>
      <c r="D21" s="61">
        <v>9</v>
      </c>
      <c r="E21" s="32"/>
    </row>
    <row r="22" spans="1:5" x14ac:dyDescent="0.25">
      <c r="A22" s="86"/>
      <c r="B22" s="59">
        <v>21</v>
      </c>
      <c r="C22" s="32" t="s">
        <v>423</v>
      </c>
      <c r="D22" s="33">
        <v>22</v>
      </c>
      <c r="E22" s="60"/>
    </row>
    <row r="23" spans="1:5" x14ac:dyDescent="0.25">
      <c r="A23" s="86"/>
      <c r="B23" s="59">
        <v>22</v>
      </c>
      <c r="C23" s="32" t="s">
        <v>424</v>
      </c>
      <c r="D23" s="33">
        <v>12</v>
      </c>
      <c r="E23" s="60"/>
    </row>
    <row r="24" spans="1:5" x14ac:dyDescent="0.25">
      <c r="A24" s="86"/>
      <c r="B24" s="59">
        <v>23</v>
      </c>
      <c r="C24" s="32" t="s">
        <v>425</v>
      </c>
      <c r="D24" s="33">
        <v>5</v>
      </c>
      <c r="E24" s="60"/>
    </row>
    <row r="25" spans="1:5" x14ac:dyDescent="0.25">
      <c r="A25" s="85">
        <v>20211019</v>
      </c>
      <c r="B25" s="62">
        <v>24</v>
      </c>
      <c r="C25" s="23" t="s">
        <v>426</v>
      </c>
      <c r="D25" s="24">
        <v>6</v>
      </c>
      <c r="E25" s="25" t="s">
        <v>427</v>
      </c>
    </row>
    <row r="26" spans="1:5" x14ac:dyDescent="0.25">
      <c r="A26" s="86"/>
      <c r="B26" s="21">
        <v>25</v>
      </c>
      <c r="C26" s="23" t="s">
        <v>428</v>
      </c>
      <c r="D26" s="24">
        <v>4</v>
      </c>
      <c r="E26" s="25" t="s">
        <v>429</v>
      </c>
    </row>
    <row r="27" spans="1:5" x14ac:dyDescent="0.25">
      <c r="A27" s="86"/>
      <c r="B27" s="21">
        <v>26</v>
      </c>
      <c r="C27" s="23" t="s">
        <v>430</v>
      </c>
      <c r="D27" s="24">
        <v>5</v>
      </c>
      <c r="E27" s="25" t="s">
        <v>390</v>
      </c>
    </row>
    <row r="28" spans="1:5" x14ac:dyDescent="0.25">
      <c r="A28" s="86"/>
      <c r="B28" s="21">
        <v>27</v>
      </c>
      <c r="C28" s="23" t="s">
        <v>431</v>
      </c>
      <c r="D28" s="24">
        <v>17</v>
      </c>
      <c r="E28" s="25" t="s">
        <v>432</v>
      </c>
    </row>
    <row r="29" spans="1:5" x14ac:dyDescent="0.25">
      <c r="A29" s="86"/>
      <c r="B29" s="21">
        <v>28</v>
      </c>
      <c r="C29" s="23" t="s">
        <v>433</v>
      </c>
      <c r="D29" s="24">
        <v>6</v>
      </c>
      <c r="E29" s="25" t="s">
        <v>434</v>
      </c>
    </row>
    <row r="30" spans="1:5" x14ac:dyDescent="0.25">
      <c r="A30" s="86"/>
      <c r="B30" s="21">
        <v>29</v>
      </c>
      <c r="C30" s="23" t="s">
        <v>435</v>
      </c>
      <c r="D30" s="24">
        <v>2</v>
      </c>
      <c r="E30" s="25" t="s">
        <v>436</v>
      </c>
    </row>
    <row r="31" spans="1:5" x14ac:dyDescent="0.25">
      <c r="A31" s="86"/>
      <c r="B31" s="21">
        <v>30</v>
      </c>
      <c r="C31" s="23" t="s">
        <v>437</v>
      </c>
      <c r="D31" s="24">
        <v>11</v>
      </c>
      <c r="E31" s="25" t="s">
        <v>438</v>
      </c>
    </row>
    <row r="32" spans="1:5" x14ac:dyDescent="0.25">
      <c r="A32" s="86"/>
      <c r="B32" s="21">
        <v>31</v>
      </c>
      <c r="C32" s="23" t="s">
        <v>439</v>
      </c>
      <c r="D32" s="24">
        <v>19</v>
      </c>
      <c r="E32" s="25" t="s">
        <v>440</v>
      </c>
    </row>
    <row r="33" spans="1:5" x14ac:dyDescent="0.25">
      <c r="A33" s="86"/>
      <c r="B33" s="21">
        <v>32</v>
      </c>
      <c r="C33" s="23" t="s">
        <v>441</v>
      </c>
      <c r="D33" s="24">
        <v>8</v>
      </c>
      <c r="E33" s="25" t="s">
        <v>442</v>
      </c>
    </row>
    <row r="34" spans="1:5" x14ac:dyDescent="0.25">
      <c r="A34" s="86"/>
      <c r="B34" s="21">
        <v>33</v>
      </c>
      <c r="C34" s="23" t="s">
        <v>443</v>
      </c>
      <c r="D34" s="24">
        <v>3</v>
      </c>
      <c r="E34" s="25" t="s">
        <v>444</v>
      </c>
    </row>
    <row r="35" spans="1:5" x14ac:dyDescent="0.25">
      <c r="A35" s="86"/>
      <c r="B35" s="21">
        <v>34</v>
      </c>
      <c r="C35" s="23" t="s">
        <v>445</v>
      </c>
      <c r="D35" s="24">
        <f>5+8</f>
        <v>13</v>
      </c>
      <c r="E35" s="25" t="s">
        <v>446</v>
      </c>
    </row>
    <row r="36" spans="1:5" x14ac:dyDescent="0.25">
      <c r="A36" s="86"/>
      <c r="B36" s="21">
        <v>35</v>
      </c>
      <c r="C36" s="23" t="s">
        <v>447</v>
      </c>
      <c r="D36" s="24">
        <f>7+5</f>
        <v>12</v>
      </c>
      <c r="E36" s="25" t="s">
        <v>448</v>
      </c>
    </row>
    <row r="37" spans="1:5" x14ac:dyDescent="0.25">
      <c r="A37" s="86"/>
      <c r="B37" s="21">
        <v>36</v>
      </c>
      <c r="C37" s="23" t="s">
        <v>449</v>
      </c>
      <c r="D37" s="24">
        <f>2</f>
        <v>2</v>
      </c>
      <c r="E37" s="25" t="s">
        <v>450</v>
      </c>
    </row>
    <row r="38" spans="1:5" x14ac:dyDescent="0.25">
      <c r="A38" s="86"/>
      <c r="B38" s="21">
        <v>37</v>
      </c>
      <c r="C38" s="23" t="s">
        <v>451</v>
      </c>
      <c r="D38" s="24">
        <f>4</f>
        <v>4</v>
      </c>
      <c r="E38" s="25" t="s">
        <v>452</v>
      </c>
    </row>
    <row r="39" spans="1:5" x14ac:dyDescent="0.25">
      <c r="A39" s="86"/>
      <c r="B39" s="21">
        <v>38</v>
      </c>
      <c r="C39" s="23" t="s">
        <v>453</v>
      </c>
      <c r="D39" s="24">
        <f>8-3</f>
        <v>5</v>
      </c>
      <c r="E39" s="25" t="s">
        <v>454</v>
      </c>
    </row>
    <row r="40" spans="1:5" x14ac:dyDescent="0.25">
      <c r="A40" s="86"/>
      <c r="B40" s="21">
        <v>39</v>
      </c>
      <c r="C40" s="23" t="s">
        <v>455</v>
      </c>
      <c r="D40" s="24">
        <v>8</v>
      </c>
      <c r="E40" s="25" t="s">
        <v>456</v>
      </c>
    </row>
    <row r="41" spans="1:5" x14ac:dyDescent="0.25">
      <c r="A41" s="86"/>
      <c r="B41" s="21">
        <v>40</v>
      </c>
      <c r="C41" s="23" t="s">
        <v>457</v>
      </c>
      <c r="D41" s="24">
        <v>5</v>
      </c>
      <c r="E41" s="25" t="s">
        <v>458</v>
      </c>
    </row>
    <row r="42" spans="1:5" x14ac:dyDescent="0.25">
      <c r="A42" s="86"/>
      <c r="B42" s="21">
        <v>41</v>
      </c>
      <c r="C42" s="23" t="s">
        <v>459</v>
      </c>
      <c r="D42" s="24">
        <v>10</v>
      </c>
      <c r="E42" s="25" t="s">
        <v>460</v>
      </c>
    </row>
    <row r="43" spans="1:5" x14ac:dyDescent="0.25">
      <c r="A43" s="86"/>
      <c r="B43" s="21">
        <v>42</v>
      </c>
      <c r="C43" s="23" t="s">
        <v>461</v>
      </c>
      <c r="D43" s="24">
        <v>5</v>
      </c>
      <c r="E43" s="25" t="s">
        <v>462</v>
      </c>
    </row>
    <row r="44" spans="1:5" x14ac:dyDescent="0.25">
      <c r="A44" s="86"/>
      <c r="B44" s="21">
        <v>43</v>
      </c>
      <c r="C44" s="23" t="s">
        <v>463</v>
      </c>
      <c r="D44" s="24">
        <v>10</v>
      </c>
      <c r="E44" s="25" t="s">
        <v>464</v>
      </c>
    </row>
    <row r="45" spans="1:5" x14ac:dyDescent="0.25">
      <c r="A45" s="85">
        <v>20211020</v>
      </c>
      <c r="B45" s="21">
        <v>44</v>
      </c>
      <c r="C45" s="23" t="s">
        <v>465</v>
      </c>
      <c r="D45" s="24">
        <v>0</v>
      </c>
      <c r="E45" s="25" t="s">
        <v>466</v>
      </c>
    </row>
    <row r="46" spans="1:5" x14ac:dyDescent="0.25">
      <c r="A46" s="86"/>
      <c r="B46" s="21">
        <v>45</v>
      </c>
      <c r="C46" s="23" t="s">
        <v>467</v>
      </c>
      <c r="D46" s="24">
        <v>16</v>
      </c>
      <c r="E46" s="25" t="s">
        <v>468</v>
      </c>
    </row>
    <row r="47" spans="1:5" x14ac:dyDescent="0.25">
      <c r="A47" s="86"/>
      <c r="B47" s="21">
        <v>46</v>
      </c>
      <c r="C47" s="23" t="s">
        <v>469</v>
      </c>
      <c r="D47" s="24">
        <v>6</v>
      </c>
      <c r="E47" s="25" t="s">
        <v>470</v>
      </c>
    </row>
    <row r="48" spans="1:5" x14ac:dyDescent="0.25">
      <c r="A48" s="86"/>
      <c r="B48" s="21">
        <v>47</v>
      </c>
      <c r="C48" s="23" t="s">
        <v>471</v>
      </c>
      <c r="D48" s="24">
        <v>10</v>
      </c>
      <c r="E48" s="25" t="s">
        <v>472</v>
      </c>
    </row>
    <row r="49" spans="1:5" x14ac:dyDescent="0.25">
      <c r="A49" s="86"/>
      <c r="B49" s="21">
        <v>48</v>
      </c>
      <c r="C49" s="23" t="s">
        <v>473</v>
      </c>
      <c r="D49" s="24">
        <v>2</v>
      </c>
      <c r="E49" s="25" t="s">
        <v>474</v>
      </c>
    </row>
    <row r="50" spans="1:5" x14ac:dyDescent="0.25">
      <c r="A50" s="86"/>
      <c r="B50" s="21">
        <v>49</v>
      </c>
      <c r="C50" s="23" t="s">
        <v>475</v>
      </c>
      <c r="D50" s="24">
        <v>144</v>
      </c>
      <c r="E50" s="25" t="s">
        <v>476</v>
      </c>
    </row>
    <row r="51" spans="1:5" x14ac:dyDescent="0.25">
      <c r="A51" s="86"/>
      <c r="B51" s="21">
        <v>50</v>
      </c>
      <c r="C51" s="23" t="s">
        <v>477</v>
      </c>
      <c r="D51" s="24">
        <v>5</v>
      </c>
      <c r="E51" s="25" t="s">
        <v>478</v>
      </c>
    </row>
    <row r="52" spans="1:5" x14ac:dyDescent="0.25">
      <c r="A52" s="86"/>
      <c r="B52" s="21">
        <v>51</v>
      </c>
      <c r="C52" s="23" t="s">
        <v>479</v>
      </c>
      <c r="D52" s="24">
        <v>4</v>
      </c>
      <c r="E52" s="25" t="s">
        <v>480</v>
      </c>
    </row>
    <row r="53" spans="1:5" x14ac:dyDescent="0.25">
      <c r="A53" s="86"/>
      <c r="B53" s="21">
        <v>52</v>
      </c>
      <c r="C53" s="23" t="s">
        <v>481</v>
      </c>
      <c r="D53" s="24">
        <v>27</v>
      </c>
      <c r="E53" s="25" t="s">
        <v>482</v>
      </c>
    </row>
    <row r="54" spans="1:5" x14ac:dyDescent="0.25">
      <c r="A54" s="86"/>
      <c r="B54" s="21">
        <v>53</v>
      </c>
      <c r="C54" s="23" t="s">
        <v>483</v>
      </c>
      <c r="D54" s="24">
        <v>13</v>
      </c>
      <c r="E54" s="25" t="s">
        <v>484</v>
      </c>
    </row>
    <row r="55" spans="1:5" x14ac:dyDescent="0.25">
      <c r="A55" s="86"/>
      <c r="B55" s="21">
        <v>54</v>
      </c>
      <c r="C55" s="23" t="s">
        <v>485</v>
      </c>
      <c r="D55" s="24">
        <f>6+8</f>
        <v>14</v>
      </c>
      <c r="E55" s="25" t="s">
        <v>486</v>
      </c>
    </row>
    <row r="56" spans="1:5" x14ac:dyDescent="0.25">
      <c r="A56" s="86"/>
      <c r="B56" s="21">
        <v>55</v>
      </c>
      <c r="C56" s="23" t="s">
        <v>487</v>
      </c>
      <c r="D56" s="24">
        <v>10</v>
      </c>
      <c r="E56" s="25" t="s">
        <v>486</v>
      </c>
    </row>
    <row r="57" spans="1:5" x14ac:dyDescent="0.25">
      <c r="A57" s="86"/>
      <c r="B57" s="21">
        <v>56</v>
      </c>
      <c r="C57" s="23" t="s">
        <v>488</v>
      </c>
      <c r="D57" s="24">
        <v>9</v>
      </c>
      <c r="E57" s="25" t="s">
        <v>489</v>
      </c>
    </row>
    <row r="58" spans="1:5" x14ac:dyDescent="0.25">
      <c r="A58" s="86"/>
      <c r="B58" s="21">
        <v>57</v>
      </c>
      <c r="C58" s="23" t="s">
        <v>490</v>
      </c>
      <c r="D58" s="24">
        <v>10</v>
      </c>
      <c r="E58" s="25" t="s">
        <v>489</v>
      </c>
    </row>
    <row r="59" spans="1:5" x14ac:dyDescent="0.25">
      <c r="A59" s="86"/>
      <c r="B59" s="21">
        <v>58</v>
      </c>
      <c r="C59" s="23" t="s">
        <v>491</v>
      </c>
      <c r="D59" s="24">
        <f>(3*2+1) + (10/2+1)</f>
        <v>13</v>
      </c>
      <c r="E59" s="25" t="s">
        <v>492</v>
      </c>
    </row>
    <row r="60" spans="1:5" x14ac:dyDescent="0.25">
      <c r="A60" s="86"/>
      <c r="B60" s="21">
        <v>59</v>
      </c>
      <c r="C60" s="23" t="s">
        <v>493</v>
      </c>
      <c r="D60" s="24">
        <f>(10-7)*2 + ((6/3 * 2)+1)</f>
        <v>11</v>
      </c>
      <c r="E60" s="25" t="s">
        <v>494</v>
      </c>
    </row>
    <row r="61" spans="1:5" x14ac:dyDescent="0.25">
      <c r="A61" s="86"/>
      <c r="B61" s="21">
        <v>60</v>
      </c>
      <c r="C61" s="23" t="s">
        <v>495</v>
      </c>
      <c r="D61" s="24">
        <f>5 + ((8/4)+3) + (8/4)</f>
        <v>12</v>
      </c>
      <c r="E61" s="25" t="s">
        <v>496</v>
      </c>
    </row>
    <row r="62" spans="1:5" x14ac:dyDescent="0.25">
      <c r="A62" s="86"/>
      <c r="B62" s="21">
        <v>61</v>
      </c>
      <c r="C62" s="23" t="s">
        <v>497</v>
      </c>
      <c r="D62" s="24">
        <f>(10/(3+2))*2-3 + 10</f>
        <v>11</v>
      </c>
      <c r="E62" s="25" t="s">
        <v>496</v>
      </c>
    </row>
    <row r="63" spans="1:5" x14ac:dyDescent="0.25">
      <c r="A63" s="86"/>
      <c r="B63" s="21">
        <v>62</v>
      </c>
      <c r="C63" s="23" t="s">
        <v>498</v>
      </c>
      <c r="D63" s="24">
        <f>12*7+1</f>
        <v>85</v>
      </c>
      <c r="E63" s="25" t="s">
        <v>499</v>
      </c>
    </row>
    <row r="64" spans="1:5" x14ac:dyDescent="0.25">
      <c r="A64" s="86"/>
      <c r="B64" s="21">
        <v>63</v>
      </c>
      <c r="C64" s="23" t="s">
        <v>500</v>
      </c>
      <c r="D64" s="24">
        <f>9*8 + (8-1)</f>
        <v>79</v>
      </c>
      <c r="E64" s="25" t="s">
        <v>499</v>
      </c>
    </row>
    <row r="65" spans="1:5" x14ac:dyDescent="0.25">
      <c r="A65" s="85">
        <v>20211021</v>
      </c>
      <c r="B65" s="21">
        <v>64</v>
      </c>
      <c r="C65" s="23" t="s">
        <v>501</v>
      </c>
      <c r="D65" s="24">
        <v>2</v>
      </c>
      <c r="E65" s="25" t="s">
        <v>502</v>
      </c>
    </row>
    <row r="66" spans="1:5" x14ac:dyDescent="0.25">
      <c r="A66" s="86"/>
      <c r="B66" s="21">
        <v>65</v>
      </c>
      <c r="C66" s="23" t="s">
        <v>503</v>
      </c>
      <c r="D66" s="24">
        <v>33</v>
      </c>
      <c r="E66" s="25" t="s">
        <v>504</v>
      </c>
    </row>
    <row r="67" spans="1:5" x14ac:dyDescent="0.25">
      <c r="A67" s="86"/>
      <c r="B67" s="21">
        <v>66</v>
      </c>
      <c r="C67" s="23" t="s">
        <v>505</v>
      </c>
      <c r="D67" s="24">
        <v>6</v>
      </c>
      <c r="E67" s="25" t="s">
        <v>506</v>
      </c>
    </row>
    <row r="68" spans="1:5" x14ac:dyDescent="0.25">
      <c r="A68" s="86"/>
      <c r="B68" s="21">
        <v>67</v>
      </c>
      <c r="C68" s="23" t="s">
        <v>507</v>
      </c>
      <c r="D68" s="24">
        <v>8</v>
      </c>
      <c r="E68" s="25"/>
    </row>
    <row r="69" spans="1:5" x14ac:dyDescent="0.25">
      <c r="A69" s="86"/>
      <c r="B69" s="21">
        <v>68</v>
      </c>
      <c r="C69" s="23" t="s">
        <v>508</v>
      </c>
      <c r="D69" s="24">
        <v>1</v>
      </c>
      <c r="E69" s="25" t="s">
        <v>509</v>
      </c>
    </row>
    <row r="70" spans="1:5" x14ac:dyDescent="0.25">
      <c r="A70" s="86"/>
      <c r="B70" s="21">
        <v>69</v>
      </c>
      <c r="C70" s="23" t="s">
        <v>510</v>
      </c>
      <c r="D70" s="24">
        <v>25</v>
      </c>
      <c r="E70" s="25" t="s">
        <v>511</v>
      </c>
    </row>
    <row r="71" spans="1:5" x14ac:dyDescent="0.25">
      <c r="A71" s="86"/>
      <c r="B71" s="21">
        <v>70</v>
      </c>
      <c r="C71" s="23" t="s">
        <v>512</v>
      </c>
      <c r="D71" s="24">
        <v>2</v>
      </c>
      <c r="E71" s="25" t="s">
        <v>513</v>
      </c>
    </row>
    <row r="72" spans="1:5" x14ac:dyDescent="0.25">
      <c r="A72" s="86"/>
      <c r="B72" s="21">
        <v>71</v>
      </c>
      <c r="C72" s="23" t="s">
        <v>514</v>
      </c>
      <c r="D72" s="24">
        <v>2</v>
      </c>
      <c r="E72" s="25" t="s">
        <v>515</v>
      </c>
    </row>
    <row r="73" spans="1:5" x14ac:dyDescent="0.25">
      <c r="A73" s="86"/>
      <c r="B73" s="21">
        <v>72</v>
      </c>
      <c r="C73" s="23" t="s">
        <v>516</v>
      </c>
      <c r="D73" s="24">
        <v>22</v>
      </c>
      <c r="E73" s="25" t="s">
        <v>517</v>
      </c>
    </row>
    <row r="74" spans="1:5" x14ac:dyDescent="0.25">
      <c r="A74" s="86"/>
      <c r="B74" s="21">
        <v>73</v>
      </c>
      <c r="C74" s="23" t="s">
        <v>518</v>
      </c>
      <c r="D74" s="24">
        <v>15</v>
      </c>
      <c r="E74" s="25" t="s">
        <v>519</v>
      </c>
    </row>
    <row r="75" spans="1:5" x14ac:dyDescent="0.25">
      <c r="A75" s="86"/>
      <c r="B75" s="21">
        <v>74</v>
      </c>
      <c r="C75" s="23" t="s">
        <v>520</v>
      </c>
      <c r="D75" s="24">
        <f>5</f>
        <v>5</v>
      </c>
      <c r="E75" s="25" t="s">
        <v>492</v>
      </c>
    </row>
    <row r="76" spans="1:5" x14ac:dyDescent="0.25">
      <c r="A76" s="86"/>
      <c r="B76" s="21">
        <v>75</v>
      </c>
      <c r="C76" s="23" t="s">
        <v>521</v>
      </c>
      <c r="D76" s="24">
        <v>6</v>
      </c>
      <c r="E76" s="25" t="s">
        <v>494</v>
      </c>
    </row>
    <row r="77" spans="1:5" x14ac:dyDescent="0.25">
      <c r="A77" s="86"/>
      <c r="B77" s="21">
        <v>76</v>
      </c>
      <c r="C77" s="23" t="s">
        <v>522</v>
      </c>
      <c r="D77" s="24">
        <f>6</f>
        <v>6</v>
      </c>
      <c r="E77" s="25" t="s">
        <v>494</v>
      </c>
    </row>
    <row r="78" spans="1:5" x14ac:dyDescent="0.25">
      <c r="A78" s="86"/>
      <c r="B78" s="21">
        <v>77</v>
      </c>
      <c r="C78" s="23" t="s">
        <v>523</v>
      </c>
      <c r="D78" s="24">
        <f>4+1+1+1</f>
        <v>7</v>
      </c>
      <c r="E78" s="25" t="s">
        <v>496</v>
      </c>
    </row>
    <row r="79" spans="1:5" x14ac:dyDescent="0.25">
      <c r="A79" s="86"/>
      <c r="B79" s="21">
        <v>78</v>
      </c>
      <c r="C79" s="23" t="s">
        <v>524</v>
      </c>
      <c r="D79" s="24">
        <f>10+3-5</f>
        <v>8</v>
      </c>
      <c r="E79" s="25" t="s">
        <v>496</v>
      </c>
    </row>
    <row r="80" spans="1:5" x14ac:dyDescent="0.25">
      <c r="A80" s="86"/>
      <c r="B80" s="21">
        <v>79</v>
      </c>
      <c r="C80" s="23" t="s">
        <v>525</v>
      </c>
      <c r="D80" s="24">
        <v>2</v>
      </c>
      <c r="E80" s="25" t="s">
        <v>526</v>
      </c>
    </row>
    <row r="81" spans="1:5" x14ac:dyDescent="0.25">
      <c r="A81" s="86"/>
      <c r="B81" s="21">
        <v>80</v>
      </c>
      <c r="C81" s="23" t="s">
        <v>527</v>
      </c>
      <c r="D81" s="24">
        <f>5 + 7</f>
        <v>12</v>
      </c>
      <c r="E81" s="25" t="s">
        <v>528</v>
      </c>
    </row>
    <row r="82" spans="1:5" x14ac:dyDescent="0.25">
      <c r="A82" s="86"/>
      <c r="B82" s="21">
        <v>81</v>
      </c>
      <c r="C82" s="23" t="s">
        <v>529</v>
      </c>
      <c r="D82" s="24">
        <f>1</f>
        <v>1</v>
      </c>
      <c r="E82" s="25" t="s">
        <v>528</v>
      </c>
    </row>
    <row r="83" spans="1:5" x14ac:dyDescent="0.25">
      <c r="A83" s="86"/>
      <c r="B83" s="21">
        <v>82</v>
      </c>
      <c r="C83" s="23" t="s">
        <v>530</v>
      </c>
      <c r="D83" s="24">
        <f>2</f>
        <v>2</v>
      </c>
      <c r="E83" s="25" t="s">
        <v>531</v>
      </c>
    </row>
    <row r="84" spans="1:5" x14ac:dyDescent="0.25">
      <c r="A84" s="86"/>
      <c r="B84" s="21">
        <v>83</v>
      </c>
      <c r="C84" s="23" t="s">
        <v>532</v>
      </c>
      <c r="D84" s="24">
        <f>5-2</f>
        <v>3</v>
      </c>
      <c r="E84" s="25" t="s">
        <v>533</v>
      </c>
    </row>
    <row r="85" spans="1:5" x14ac:dyDescent="0.25">
      <c r="A85" s="85">
        <v>20211022</v>
      </c>
      <c r="B85" s="21">
        <v>84</v>
      </c>
      <c r="C85" s="23" t="s">
        <v>534</v>
      </c>
      <c r="D85" s="24">
        <v>11</v>
      </c>
      <c r="E85" s="25" t="s">
        <v>535</v>
      </c>
    </row>
    <row r="86" spans="1:5" x14ac:dyDescent="0.25">
      <c r="A86" s="86"/>
      <c r="B86" s="21">
        <v>85</v>
      </c>
      <c r="C86" s="23" t="s">
        <v>536</v>
      </c>
      <c r="D86" s="24">
        <v>21</v>
      </c>
      <c r="E86" s="25" t="s">
        <v>537</v>
      </c>
    </row>
    <row r="87" spans="1:5" x14ac:dyDescent="0.25">
      <c r="A87" s="86"/>
      <c r="B87" s="21">
        <v>86</v>
      </c>
      <c r="C87" s="23" t="s">
        <v>538</v>
      </c>
      <c r="D87" s="24">
        <v>10</v>
      </c>
      <c r="E87" s="25" t="s">
        <v>539</v>
      </c>
    </row>
    <row r="88" spans="1:5" x14ac:dyDescent="0.25">
      <c r="A88" s="86"/>
      <c r="B88" s="21">
        <v>87</v>
      </c>
      <c r="C88" s="23" t="s">
        <v>540</v>
      </c>
      <c r="D88" s="24">
        <v>19</v>
      </c>
      <c r="E88" s="25" t="s">
        <v>541</v>
      </c>
    </row>
    <row r="89" spans="1:5" x14ac:dyDescent="0.25">
      <c r="A89" s="86"/>
      <c r="B89" s="21">
        <v>88</v>
      </c>
      <c r="C89" s="23" t="s">
        <v>542</v>
      </c>
      <c r="D89" s="24">
        <v>20</v>
      </c>
      <c r="E89" s="25" t="s">
        <v>543</v>
      </c>
    </row>
    <row r="90" spans="1:5" x14ac:dyDescent="0.25">
      <c r="A90" s="86"/>
      <c r="B90" s="21">
        <v>89</v>
      </c>
      <c r="C90" s="23" t="s">
        <v>544</v>
      </c>
      <c r="D90" s="24">
        <v>14</v>
      </c>
      <c r="E90" s="25" t="s">
        <v>545</v>
      </c>
    </row>
    <row r="91" spans="1:5" x14ac:dyDescent="0.25">
      <c r="A91" s="86"/>
      <c r="B91" s="21">
        <v>90</v>
      </c>
      <c r="C91" s="23" t="s">
        <v>546</v>
      </c>
      <c r="D91" s="24">
        <v>10</v>
      </c>
      <c r="E91" s="25" t="s">
        <v>547</v>
      </c>
    </row>
    <row r="92" spans="1:5" x14ac:dyDescent="0.25">
      <c r="A92" s="86"/>
      <c r="B92" s="21">
        <v>91</v>
      </c>
      <c r="C92" s="23" t="s">
        <v>548</v>
      </c>
      <c r="D92" s="24">
        <v>12</v>
      </c>
      <c r="E92" s="25" t="s">
        <v>549</v>
      </c>
    </row>
    <row r="93" spans="1:5" x14ac:dyDescent="0.25">
      <c r="A93" s="86"/>
      <c r="B93" s="21">
        <v>92</v>
      </c>
      <c r="C93" s="23" t="s">
        <v>550</v>
      </c>
      <c r="D93" s="24">
        <v>12</v>
      </c>
      <c r="E93" s="25" t="s">
        <v>551</v>
      </c>
    </row>
    <row r="94" spans="1:5" x14ac:dyDescent="0.25">
      <c r="A94" s="86"/>
      <c r="B94" s="21">
        <v>93</v>
      </c>
      <c r="C94" s="23" t="s">
        <v>552</v>
      </c>
      <c r="D94" s="24">
        <v>9</v>
      </c>
      <c r="E94" s="25" t="s">
        <v>553</v>
      </c>
    </row>
    <row r="95" spans="1:5" x14ac:dyDescent="0.25">
      <c r="A95" s="86"/>
      <c r="B95" s="21">
        <v>94</v>
      </c>
      <c r="C95" s="23" t="s">
        <v>554</v>
      </c>
      <c r="D95" s="24">
        <f>6</f>
        <v>6</v>
      </c>
      <c r="E95" s="25" t="s">
        <v>533</v>
      </c>
    </row>
    <row r="96" spans="1:5" x14ac:dyDescent="0.25">
      <c r="A96" s="86"/>
      <c r="B96" s="21">
        <v>95</v>
      </c>
      <c r="C96" s="23" t="s">
        <v>555</v>
      </c>
      <c r="D96" s="24">
        <f>30*10+29</f>
        <v>329</v>
      </c>
      <c r="E96" s="25" t="s">
        <v>499</v>
      </c>
    </row>
    <row r="97" spans="1:5" x14ac:dyDescent="0.25">
      <c r="A97" s="86"/>
      <c r="B97" s="21">
        <v>96</v>
      </c>
      <c r="C97" s="23" t="s">
        <v>556</v>
      </c>
      <c r="D97" s="24">
        <f>12*13</f>
        <v>156</v>
      </c>
      <c r="E97" s="25" t="s">
        <v>499</v>
      </c>
    </row>
    <row r="98" spans="1:5" x14ac:dyDescent="0.25">
      <c r="A98" s="86"/>
      <c r="B98" s="21">
        <v>97</v>
      </c>
      <c r="C98" s="23" t="s">
        <v>557</v>
      </c>
      <c r="D98" s="24">
        <f>415</f>
        <v>415</v>
      </c>
      <c r="E98" s="25" t="s">
        <v>499</v>
      </c>
    </row>
    <row r="99" spans="1:5" x14ac:dyDescent="0.25">
      <c r="A99" s="86"/>
      <c r="B99" s="21">
        <v>98</v>
      </c>
      <c r="C99" s="23" t="s">
        <v>558</v>
      </c>
      <c r="D99" s="24">
        <v>8</v>
      </c>
      <c r="E99" s="25" t="s">
        <v>559</v>
      </c>
    </row>
    <row r="100" spans="1:5" x14ac:dyDescent="0.25">
      <c r="A100" s="86"/>
      <c r="B100" s="21">
        <v>99</v>
      </c>
      <c r="C100" s="23" t="s">
        <v>560</v>
      </c>
      <c r="D100" s="24">
        <v>5004</v>
      </c>
      <c r="E100" s="25" t="s">
        <v>559</v>
      </c>
    </row>
    <row r="101" spans="1:5" x14ac:dyDescent="0.25">
      <c r="A101" s="86"/>
      <c r="B101" s="21">
        <v>100</v>
      </c>
      <c r="C101" s="23" t="s">
        <v>561</v>
      </c>
      <c r="D101" s="24">
        <v>2891</v>
      </c>
      <c r="E101" s="25" t="s">
        <v>486</v>
      </c>
    </row>
    <row r="102" spans="1:5" x14ac:dyDescent="0.25">
      <c r="A102" s="86"/>
      <c r="B102" s="21">
        <v>101</v>
      </c>
      <c r="C102" s="23" t="s">
        <v>562</v>
      </c>
      <c r="D102" s="24">
        <f>9+0</f>
        <v>9</v>
      </c>
      <c r="E102" s="25" t="s">
        <v>489</v>
      </c>
    </row>
    <row r="103" spans="1:5" x14ac:dyDescent="0.25">
      <c r="A103" s="86"/>
      <c r="B103" s="21">
        <v>102</v>
      </c>
      <c r="C103" s="23" t="s">
        <v>563</v>
      </c>
      <c r="D103" s="24">
        <v>0</v>
      </c>
      <c r="E103" s="25" t="s">
        <v>564</v>
      </c>
    </row>
    <row r="104" spans="1:5" x14ac:dyDescent="0.25">
      <c r="A104" s="86"/>
      <c r="B104" s="21">
        <v>103</v>
      </c>
      <c r="C104" s="23" t="s">
        <v>565</v>
      </c>
      <c r="D104" s="24">
        <v>5</v>
      </c>
      <c r="E104" s="25" t="s">
        <v>564</v>
      </c>
    </row>
  </sheetData>
  <mergeCells count="7">
    <mergeCell ref="A65:A84"/>
    <mergeCell ref="A85:A104"/>
    <mergeCell ref="A2:A4"/>
    <mergeCell ref="A5:A14"/>
    <mergeCell ref="A15:A24"/>
    <mergeCell ref="A25:A44"/>
    <mergeCell ref="A45:A64"/>
  </mergeCells>
  <phoneticPr fontId="1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33"/>
  <sheetViews>
    <sheetView workbookViewId="0">
      <pane ySplit="1" topLeftCell="A2" activePane="bottomLeft" state="frozen"/>
      <selection pane="bottomLeft" activeCell="B3" sqref="B3"/>
    </sheetView>
  </sheetViews>
  <sheetFormatPr defaultColWidth="14.44140625" defaultRowHeight="15" customHeight="1" x14ac:dyDescent="0.25"/>
  <cols>
    <col min="1" max="1" width="10.109375" customWidth="1"/>
    <col min="2" max="2" width="7.33203125" customWidth="1"/>
    <col min="3" max="3" width="71.5546875" customWidth="1"/>
    <col min="4" max="4" width="14.44140625" customWidth="1"/>
    <col min="5" max="5" width="68.109375" customWidth="1"/>
  </cols>
  <sheetData>
    <row r="1" spans="1:5" x14ac:dyDescent="0.25">
      <c r="A1" s="21" t="s">
        <v>0</v>
      </c>
      <c r="B1" s="21" t="s">
        <v>30</v>
      </c>
      <c r="C1" s="22" t="s">
        <v>31</v>
      </c>
      <c r="D1" s="21" t="s">
        <v>32</v>
      </c>
      <c r="E1" s="21" t="s">
        <v>33</v>
      </c>
    </row>
    <row r="2" spans="1:5" x14ac:dyDescent="0.25">
      <c r="A2" s="85">
        <v>20211005</v>
      </c>
      <c r="B2" s="21">
        <v>1</v>
      </c>
      <c r="C2" s="23" t="s">
        <v>566</v>
      </c>
      <c r="D2" s="24">
        <f>7*3-9</f>
        <v>12</v>
      </c>
      <c r="E2" s="63">
        <v>44348</v>
      </c>
    </row>
    <row r="3" spans="1:5" x14ac:dyDescent="0.25">
      <c r="A3" s="86"/>
      <c r="B3" s="21">
        <v>2</v>
      </c>
      <c r="C3" s="23" t="s">
        <v>567</v>
      </c>
      <c r="D3" s="24">
        <f>((50*2-34) - 34)/2</f>
        <v>16</v>
      </c>
      <c r="E3" s="63">
        <v>44349</v>
      </c>
    </row>
    <row r="4" spans="1:5" x14ac:dyDescent="0.25">
      <c r="A4" s="85">
        <v>20211008</v>
      </c>
      <c r="B4" s="21">
        <v>3</v>
      </c>
      <c r="C4" s="46" t="s">
        <v>568</v>
      </c>
      <c r="D4" s="64">
        <v>44352</v>
      </c>
      <c r="E4" s="57" t="s">
        <v>569</v>
      </c>
    </row>
    <row r="5" spans="1:5" x14ac:dyDescent="0.25">
      <c r="A5" s="86"/>
      <c r="B5" s="21">
        <v>4</v>
      </c>
      <c r="C5" s="46" t="s">
        <v>570</v>
      </c>
      <c r="D5" s="24">
        <v>306</v>
      </c>
      <c r="E5" s="57" t="s">
        <v>571</v>
      </c>
    </row>
    <row r="6" spans="1:5" x14ac:dyDescent="0.25">
      <c r="A6" s="86"/>
      <c r="B6" s="21">
        <v>5</v>
      </c>
      <c r="C6" s="46" t="s">
        <v>572</v>
      </c>
      <c r="D6" s="56">
        <v>10</v>
      </c>
      <c r="E6" s="57" t="s">
        <v>573</v>
      </c>
    </row>
    <row r="7" spans="1:5" x14ac:dyDescent="0.25">
      <c r="A7" s="86"/>
      <c r="B7" s="21">
        <v>6</v>
      </c>
      <c r="C7" s="46" t="s">
        <v>574</v>
      </c>
      <c r="D7" s="56">
        <v>20</v>
      </c>
      <c r="E7" s="57" t="s">
        <v>575</v>
      </c>
    </row>
    <row r="8" spans="1:5" x14ac:dyDescent="0.25">
      <c r="A8" s="86"/>
      <c r="B8" s="21">
        <v>7</v>
      </c>
      <c r="C8" s="46" t="s">
        <v>576</v>
      </c>
      <c r="D8" s="24">
        <f>343/7/7</f>
        <v>7</v>
      </c>
      <c r="E8" s="65" t="s">
        <v>577</v>
      </c>
    </row>
    <row r="9" spans="1:5" x14ac:dyDescent="0.25">
      <c r="A9" s="86"/>
      <c r="B9" s="21">
        <v>8</v>
      </c>
      <c r="C9" s="66" t="s">
        <v>578</v>
      </c>
      <c r="D9" s="56">
        <v>936</v>
      </c>
      <c r="E9" s="57" t="s">
        <v>579</v>
      </c>
    </row>
    <row r="10" spans="1:5" x14ac:dyDescent="0.25">
      <c r="A10" s="86"/>
      <c r="B10" s="21">
        <v>9</v>
      </c>
      <c r="C10" s="46" t="s">
        <v>580</v>
      </c>
      <c r="D10" s="56">
        <v>1</v>
      </c>
      <c r="E10" s="57" t="s">
        <v>581</v>
      </c>
    </row>
    <row r="11" spans="1:5" x14ac:dyDescent="0.25">
      <c r="A11" s="86"/>
      <c r="B11" s="21">
        <v>10</v>
      </c>
      <c r="C11" s="46" t="s">
        <v>582</v>
      </c>
      <c r="D11" s="56">
        <v>51</v>
      </c>
      <c r="E11" s="57" t="s">
        <v>583</v>
      </c>
    </row>
    <row r="12" spans="1:5" x14ac:dyDescent="0.25">
      <c r="A12" s="86"/>
      <c r="B12" s="21">
        <v>11</v>
      </c>
      <c r="C12" s="46" t="s">
        <v>584</v>
      </c>
      <c r="D12" s="56">
        <v>1</v>
      </c>
      <c r="E12" s="57" t="s">
        <v>585</v>
      </c>
    </row>
    <row r="13" spans="1:5" x14ac:dyDescent="0.25">
      <c r="A13" s="86"/>
      <c r="B13" s="21">
        <v>12</v>
      </c>
      <c r="C13" s="67" t="s">
        <v>586</v>
      </c>
      <c r="D13" s="56">
        <v>9</v>
      </c>
      <c r="E13" s="57" t="s">
        <v>587</v>
      </c>
    </row>
    <row r="14" spans="1:5" x14ac:dyDescent="0.25">
      <c r="A14" s="85">
        <v>20211015</v>
      </c>
      <c r="B14" s="21">
        <v>13</v>
      </c>
      <c r="C14" s="32" t="s">
        <v>588</v>
      </c>
      <c r="D14" s="24">
        <v>55</v>
      </c>
      <c r="E14" s="68"/>
    </row>
    <row r="15" spans="1:5" x14ac:dyDescent="0.25">
      <c r="A15" s="86"/>
      <c r="B15" s="21">
        <v>14</v>
      </c>
      <c r="C15" s="32" t="s">
        <v>589</v>
      </c>
      <c r="D15" s="24">
        <v>1.75</v>
      </c>
      <c r="E15" s="68"/>
    </row>
    <row r="16" spans="1:5" x14ac:dyDescent="0.25">
      <c r="A16" s="86"/>
      <c r="B16" s="21">
        <v>15</v>
      </c>
      <c r="C16" s="32" t="s">
        <v>590</v>
      </c>
      <c r="D16" s="69">
        <v>44206</v>
      </c>
      <c r="E16" s="68"/>
    </row>
    <row r="17" spans="1:5" x14ac:dyDescent="0.25">
      <c r="A17" s="86"/>
      <c r="B17" s="21">
        <v>16</v>
      </c>
      <c r="C17" s="32" t="s">
        <v>591</v>
      </c>
      <c r="D17" s="24" t="s">
        <v>592</v>
      </c>
      <c r="E17" s="68"/>
    </row>
    <row r="18" spans="1:5" x14ac:dyDescent="0.25">
      <c r="A18" s="86"/>
      <c r="B18" s="21">
        <v>17</v>
      </c>
      <c r="C18" s="32" t="s">
        <v>593</v>
      </c>
      <c r="D18" s="24">
        <v>1.24</v>
      </c>
      <c r="E18" s="68"/>
    </row>
    <row r="19" spans="1:5" x14ac:dyDescent="0.25">
      <c r="A19" s="86"/>
      <c r="B19" s="21">
        <v>18</v>
      </c>
      <c r="C19" s="32" t="s">
        <v>594</v>
      </c>
      <c r="D19" s="24">
        <v>3.04</v>
      </c>
      <c r="E19" s="26"/>
    </row>
    <row r="20" spans="1:5" x14ac:dyDescent="0.25">
      <c r="A20" s="86"/>
      <c r="B20" s="21">
        <v>19</v>
      </c>
      <c r="C20" s="32" t="s">
        <v>595</v>
      </c>
      <c r="D20" s="24" t="s">
        <v>596</v>
      </c>
      <c r="E20" s="26"/>
    </row>
    <row r="21" spans="1:5" x14ac:dyDescent="0.25">
      <c r="A21" s="86"/>
      <c r="B21" s="21">
        <v>20</v>
      </c>
      <c r="C21" s="70" t="s">
        <v>158</v>
      </c>
      <c r="D21" s="24">
        <v>9</v>
      </c>
      <c r="E21" s="36" t="s">
        <v>159</v>
      </c>
    </row>
    <row r="22" spans="1:5" x14ac:dyDescent="0.25">
      <c r="A22" s="86"/>
      <c r="B22" s="21">
        <v>21</v>
      </c>
      <c r="C22" s="70" t="s">
        <v>160</v>
      </c>
      <c r="D22" s="24">
        <v>49</v>
      </c>
      <c r="E22" s="36" t="s">
        <v>159</v>
      </c>
    </row>
    <row r="23" spans="1:5" x14ac:dyDescent="0.25">
      <c r="A23" s="86"/>
      <c r="B23" s="21">
        <v>22</v>
      </c>
      <c r="C23" s="71" t="s">
        <v>161</v>
      </c>
      <c r="D23" s="44">
        <v>30</v>
      </c>
      <c r="E23" s="45" t="s">
        <v>159</v>
      </c>
    </row>
    <row r="24" spans="1:5" x14ac:dyDescent="0.25">
      <c r="A24" s="85">
        <v>20211021</v>
      </c>
      <c r="B24" s="21">
        <v>23</v>
      </c>
      <c r="C24" s="72" t="s">
        <v>386</v>
      </c>
      <c r="D24" s="44">
        <v>7</v>
      </c>
      <c r="E24" s="45" t="s">
        <v>387</v>
      </c>
    </row>
    <row r="25" spans="1:5" x14ac:dyDescent="0.25">
      <c r="A25" s="86"/>
      <c r="B25" s="21">
        <v>24</v>
      </c>
      <c r="C25" s="72" t="s">
        <v>388</v>
      </c>
      <c r="D25" s="24">
        <v>8</v>
      </c>
      <c r="E25" s="36" t="s">
        <v>387</v>
      </c>
    </row>
    <row r="26" spans="1:5" x14ac:dyDescent="0.25">
      <c r="A26" s="86"/>
      <c r="B26" s="21">
        <v>25</v>
      </c>
      <c r="C26" s="23" t="s">
        <v>597</v>
      </c>
      <c r="D26" s="24">
        <v>15</v>
      </c>
      <c r="E26" s="51" t="s">
        <v>598</v>
      </c>
    </row>
    <row r="27" spans="1:5" x14ac:dyDescent="0.25">
      <c r="A27" s="86"/>
      <c r="B27" s="21">
        <v>26</v>
      </c>
      <c r="C27" s="23" t="s">
        <v>599</v>
      </c>
      <c r="D27" s="24">
        <v>240</v>
      </c>
      <c r="E27" s="25"/>
    </row>
    <row r="28" spans="1:5" x14ac:dyDescent="0.25">
      <c r="A28" s="86"/>
      <c r="B28" s="21">
        <v>27</v>
      </c>
      <c r="C28" s="23" t="s">
        <v>600</v>
      </c>
      <c r="D28" s="24">
        <v>210</v>
      </c>
      <c r="E28" s="25" t="s">
        <v>601</v>
      </c>
    </row>
    <row r="29" spans="1:5" x14ac:dyDescent="0.25">
      <c r="A29" s="86"/>
      <c r="B29" s="21">
        <v>28</v>
      </c>
      <c r="C29" s="23" t="s">
        <v>602</v>
      </c>
      <c r="D29" s="24">
        <v>105</v>
      </c>
      <c r="E29" s="25" t="s">
        <v>603</v>
      </c>
    </row>
    <row r="30" spans="1:5" x14ac:dyDescent="0.25">
      <c r="A30" s="86"/>
      <c r="B30" s="21">
        <v>29</v>
      </c>
      <c r="C30" s="72" t="s">
        <v>196</v>
      </c>
      <c r="D30" s="24">
        <v>28</v>
      </c>
      <c r="E30" s="45" t="s">
        <v>159</v>
      </c>
    </row>
    <row r="31" spans="1:5" x14ac:dyDescent="0.25">
      <c r="A31" s="86"/>
      <c r="B31" s="21">
        <v>30</v>
      </c>
      <c r="C31" s="72" t="s">
        <v>197</v>
      </c>
      <c r="D31" s="24">
        <v>4</v>
      </c>
      <c r="E31" s="45" t="s">
        <v>159</v>
      </c>
    </row>
    <row r="32" spans="1:5" x14ac:dyDescent="0.25">
      <c r="A32" s="86"/>
      <c r="B32" s="21">
        <v>31</v>
      </c>
      <c r="C32" s="72" t="s">
        <v>198</v>
      </c>
      <c r="D32" s="24">
        <v>18000</v>
      </c>
      <c r="E32" s="45" t="s">
        <v>159</v>
      </c>
    </row>
    <row r="33" spans="1:5" x14ac:dyDescent="0.25">
      <c r="A33" s="86"/>
      <c r="B33" s="21">
        <v>32</v>
      </c>
      <c r="C33" s="73" t="s">
        <v>604</v>
      </c>
      <c r="D33" s="74">
        <v>960</v>
      </c>
      <c r="E33" s="25"/>
    </row>
  </sheetData>
  <mergeCells count="4">
    <mergeCell ref="A2:A3"/>
    <mergeCell ref="A4:A13"/>
    <mergeCell ref="A14:A23"/>
    <mergeCell ref="A24:A33"/>
  </mergeCells>
  <phoneticPr fontId="1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44"/>
  <sheetViews>
    <sheetView workbookViewId="0">
      <pane ySplit="1" topLeftCell="A2" activePane="bottomLeft" state="frozen"/>
      <selection pane="bottomLeft" activeCell="B3" sqref="B3"/>
    </sheetView>
  </sheetViews>
  <sheetFormatPr defaultColWidth="14.44140625" defaultRowHeight="15" customHeight="1" x14ac:dyDescent="0.25"/>
  <cols>
    <col min="1" max="1" width="10.109375" customWidth="1"/>
    <col min="2" max="2" width="7.33203125" customWidth="1"/>
    <col min="3" max="3" width="71.5546875" customWidth="1"/>
    <col min="4" max="4" width="14.44140625" customWidth="1"/>
    <col min="5" max="5" width="68.109375" customWidth="1"/>
  </cols>
  <sheetData>
    <row r="1" spans="1:5" x14ac:dyDescent="0.25">
      <c r="A1" s="21" t="s">
        <v>0</v>
      </c>
      <c r="B1" s="21" t="s">
        <v>30</v>
      </c>
      <c r="C1" s="22" t="s">
        <v>31</v>
      </c>
      <c r="D1" s="21" t="s">
        <v>32</v>
      </c>
      <c r="E1" s="21" t="s">
        <v>33</v>
      </c>
    </row>
    <row r="2" spans="1:5" x14ac:dyDescent="0.25">
      <c r="A2" s="85">
        <v>20211005</v>
      </c>
      <c r="B2" s="21">
        <v>1</v>
      </c>
      <c r="C2" s="23" t="s">
        <v>605</v>
      </c>
      <c r="D2" s="24" t="s">
        <v>606</v>
      </c>
      <c r="E2" s="75" t="s">
        <v>607</v>
      </c>
    </row>
    <row r="3" spans="1:5" x14ac:dyDescent="0.25">
      <c r="A3" s="86"/>
      <c r="B3" s="21">
        <v>2</v>
      </c>
      <c r="C3" s="23" t="s">
        <v>608</v>
      </c>
      <c r="D3" s="24" t="s">
        <v>609</v>
      </c>
      <c r="E3" s="75" t="s">
        <v>610</v>
      </c>
    </row>
    <row r="4" spans="1:5" x14ac:dyDescent="0.25">
      <c r="A4" s="86"/>
      <c r="B4" s="21">
        <v>3</v>
      </c>
      <c r="C4" s="23" t="s">
        <v>611</v>
      </c>
      <c r="D4" s="24" t="s">
        <v>612</v>
      </c>
      <c r="E4" s="25" t="s">
        <v>613</v>
      </c>
    </row>
    <row r="5" spans="1:5" x14ac:dyDescent="0.25">
      <c r="A5" s="85">
        <v>20211012</v>
      </c>
      <c r="B5" s="21">
        <v>4</v>
      </c>
      <c r="C5" s="23" t="s">
        <v>614</v>
      </c>
      <c r="D5" s="24" t="s">
        <v>615</v>
      </c>
      <c r="E5" s="25"/>
    </row>
    <row r="6" spans="1:5" x14ac:dyDescent="0.25">
      <c r="A6" s="86"/>
      <c r="B6" s="21">
        <v>5</v>
      </c>
      <c r="C6" s="23" t="s">
        <v>616</v>
      </c>
      <c r="D6" s="24" t="s">
        <v>617</v>
      </c>
      <c r="E6" s="25"/>
    </row>
    <row r="7" spans="1:5" x14ac:dyDescent="0.25">
      <c r="A7" s="86"/>
      <c r="B7" s="21">
        <v>6</v>
      </c>
      <c r="C7" s="23" t="s">
        <v>618</v>
      </c>
      <c r="D7" s="24" t="s">
        <v>612</v>
      </c>
      <c r="E7" s="25" t="s">
        <v>619</v>
      </c>
    </row>
    <row r="8" spans="1:5" x14ac:dyDescent="0.25">
      <c r="A8" s="86"/>
      <c r="B8" s="21">
        <v>7</v>
      </c>
      <c r="C8" s="23" t="s">
        <v>620</v>
      </c>
      <c r="D8" s="24" t="s">
        <v>606</v>
      </c>
      <c r="E8" s="25" t="s">
        <v>621</v>
      </c>
    </row>
    <row r="9" spans="1:5" x14ac:dyDescent="0.25">
      <c r="A9" s="86"/>
      <c r="B9" s="21">
        <v>8</v>
      </c>
      <c r="C9" s="23" t="s">
        <v>622</v>
      </c>
      <c r="D9" s="24" t="s">
        <v>623</v>
      </c>
      <c r="E9" s="25" t="s">
        <v>624</v>
      </c>
    </row>
    <row r="10" spans="1:5" x14ac:dyDescent="0.25">
      <c r="A10" s="86"/>
      <c r="B10" s="21">
        <v>9</v>
      </c>
      <c r="C10" s="23" t="s">
        <v>625</v>
      </c>
      <c r="D10" s="27" t="s">
        <v>626</v>
      </c>
      <c r="E10" s="25" t="s">
        <v>627</v>
      </c>
    </row>
    <row r="11" spans="1:5" x14ac:dyDescent="0.25">
      <c r="A11" s="86"/>
      <c r="B11" s="21">
        <v>10</v>
      </c>
      <c r="C11" s="23" t="s">
        <v>628</v>
      </c>
      <c r="D11" s="27" t="s">
        <v>629</v>
      </c>
      <c r="E11" s="25" t="s">
        <v>630</v>
      </c>
    </row>
    <row r="12" spans="1:5" x14ac:dyDescent="0.25">
      <c r="A12" s="86"/>
      <c r="B12" s="21">
        <v>11</v>
      </c>
      <c r="C12" s="23" t="s">
        <v>631</v>
      </c>
      <c r="D12" s="27" t="s">
        <v>609</v>
      </c>
      <c r="E12" s="23" t="s">
        <v>632</v>
      </c>
    </row>
    <row r="13" spans="1:5" x14ac:dyDescent="0.25">
      <c r="A13" s="86"/>
      <c r="B13" s="21">
        <v>12</v>
      </c>
      <c r="C13" s="23" t="s">
        <v>633</v>
      </c>
      <c r="D13" s="27" t="s">
        <v>612</v>
      </c>
      <c r="E13" s="23" t="s">
        <v>634</v>
      </c>
    </row>
    <row r="14" spans="1:5" x14ac:dyDescent="0.25">
      <c r="A14" s="86"/>
      <c r="B14" s="21">
        <v>13</v>
      </c>
      <c r="C14" s="23" t="s">
        <v>635</v>
      </c>
      <c r="D14" s="27" t="s">
        <v>636</v>
      </c>
      <c r="E14" s="23" t="s">
        <v>637</v>
      </c>
    </row>
    <row r="15" spans="1:5" x14ac:dyDescent="0.25">
      <c r="A15" s="85">
        <v>20211018</v>
      </c>
      <c r="B15" s="21">
        <v>14</v>
      </c>
      <c r="C15" s="23" t="s">
        <v>638</v>
      </c>
      <c r="D15" s="24" t="s">
        <v>639</v>
      </c>
      <c r="E15" s="25" t="s">
        <v>640</v>
      </c>
    </row>
    <row r="16" spans="1:5" x14ac:dyDescent="0.25">
      <c r="A16" s="86"/>
      <c r="B16" s="21">
        <v>15</v>
      </c>
      <c r="C16" s="23" t="s">
        <v>641</v>
      </c>
      <c r="D16" s="24" t="s">
        <v>612</v>
      </c>
      <c r="E16" s="25" t="s">
        <v>642</v>
      </c>
    </row>
    <row r="17" spans="1:5" x14ac:dyDescent="0.25">
      <c r="A17" s="86"/>
      <c r="B17" s="21">
        <v>16</v>
      </c>
      <c r="C17" s="23" t="s">
        <v>643</v>
      </c>
      <c r="D17" s="24" t="s">
        <v>644</v>
      </c>
      <c r="E17" s="25" t="s">
        <v>645</v>
      </c>
    </row>
    <row r="18" spans="1:5" x14ac:dyDescent="0.25">
      <c r="A18" s="86"/>
      <c r="B18" s="21">
        <v>17</v>
      </c>
      <c r="C18" s="23" t="s">
        <v>646</v>
      </c>
      <c r="D18" s="24" t="s">
        <v>647</v>
      </c>
      <c r="E18" s="25"/>
    </row>
    <row r="19" spans="1:5" x14ac:dyDescent="0.25">
      <c r="A19" s="86"/>
      <c r="B19" s="21">
        <v>18</v>
      </c>
      <c r="C19" s="23" t="s">
        <v>648</v>
      </c>
      <c r="D19" s="24" t="s">
        <v>649</v>
      </c>
      <c r="E19" s="25" t="s">
        <v>650</v>
      </c>
    </row>
    <row r="20" spans="1:5" x14ac:dyDescent="0.25">
      <c r="A20" s="86"/>
      <c r="B20" s="21">
        <v>19</v>
      </c>
      <c r="C20" s="23" t="s">
        <v>651</v>
      </c>
      <c r="D20" s="24" t="s">
        <v>629</v>
      </c>
      <c r="E20" s="25" t="s">
        <v>652</v>
      </c>
    </row>
    <row r="21" spans="1:5" x14ac:dyDescent="0.25">
      <c r="A21" s="86"/>
      <c r="B21" s="21">
        <v>20</v>
      </c>
      <c r="C21" s="23" t="s">
        <v>653</v>
      </c>
      <c r="D21" s="24" t="s">
        <v>654</v>
      </c>
      <c r="E21" s="25" t="s">
        <v>655</v>
      </c>
    </row>
    <row r="22" spans="1:5" x14ac:dyDescent="0.25">
      <c r="A22" s="86"/>
      <c r="B22" s="21">
        <v>21</v>
      </c>
      <c r="C22" s="23" t="s">
        <v>656</v>
      </c>
      <c r="D22" s="24" t="s">
        <v>657</v>
      </c>
      <c r="E22" s="25" t="s">
        <v>658</v>
      </c>
    </row>
    <row r="23" spans="1:5" x14ac:dyDescent="0.25">
      <c r="A23" s="86"/>
      <c r="B23" s="21">
        <v>22</v>
      </c>
      <c r="C23" s="23" t="s">
        <v>659</v>
      </c>
      <c r="D23" s="24" t="s">
        <v>660</v>
      </c>
      <c r="E23" s="25" t="s">
        <v>661</v>
      </c>
    </row>
    <row r="24" spans="1:5" x14ac:dyDescent="0.25">
      <c r="A24" s="86"/>
      <c r="B24" s="21">
        <v>23</v>
      </c>
      <c r="C24" s="76" t="s">
        <v>662</v>
      </c>
      <c r="D24" s="77" t="s">
        <v>663</v>
      </c>
      <c r="E24" s="78" t="s">
        <v>664</v>
      </c>
    </row>
    <row r="25" spans="1:5" x14ac:dyDescent="0.25">
      <c r="A25" s="85">
        <v>20211020</v>
      </c>
      <c r="B25" s="21">
        <v>24</v>
      </c>
      <c r="C25" s="23" t="s">
        <v>665</v>
      </c>
      <c r="D25" s="24" t="s">
        <v>666</v>
      </c>
      <c r="E25" s="25" t="s">
        <v>667</v>
      </c>
    </row>
    <row r="26" spans="1:5" x14ac:dyDescent="0.25">
      <c r="A26" s="86"/>
      <c r="B26" s="21">
        <v>25</v>
      </c>
      <c r="C26" s="23" t="s">
        <v>668</v>
      </c>
      <c r="D26" s="24" t="s">
        <v>669</v>
      </c>
      <c r="E26" s="25" t="s">
        <v>670</v>
      </c>
    </row>
    <row r="27" spans="1:5" x14ac:dyDescent="0.25">
      <c r="A27" s="86"/>
      <c r="B27" s="21">
        <v>26</v>
      </c>
      <c r="C27" s="23" t="s">
        <v>671</v>
      </c>
      <c r="D27" s="24" t="s">
        <v>672</v>
      </c>
      <c r="E27" s="25" t="s">
        <v>673</v>
      </c>
    </row>
    <row r="28" spans="1:5" x14ac:dyDescent="0.25">
      <c r="A28" s="86"/>
      <c r="B28" s="21">
        <v>27</v>
      </c>
      <c r="C28" s="23" t="s">
        <v>674</v>
      </c>
      <c r="D28" s="24" t="s">
        <v>675</v>
      </c>
      <c r="E28" s="25" t="s">
        <v>676</v>
      </c>
    </row>
    <row r="29" spans="1:5" x14ac:dyDescent="0.25">
      <c r="A29" s="86"/>
      <c r="B29" s="21">
        <v>28</v>
      </c>
      <c r="C29" s="23" t="s">
        <v>677</v>
      </c>
      <c r="D29" s="24" t="s">
        <v>678</v>
      </c>
      <c r="E29" s="25" t="s">
        <v>679</v>
      </c>
    </row>
    <row r="30" spans="1:5" x14ac:dyDescent="0.25">
      <c r="A30" s="86"/>
      <c r="B30" s="21">
        <v>29</v>
      </c>
      <c r="C30" s="23" t="s">
        <v>680</v>
      </c>
      <c r="D30" s="24" t="s">
        <v>681</v>
      </c>
      <c r="E30" s="25" t="s">
        <v>682</v>
      </c>
    </row>
    <row r="31" spans="1:5" x14ac:dyDescent="0.25">
      <c r="A31" s="86"/>
      <c r="B31" s="21">
        <v>30</v>
      </c>
      <c r="C31" s="23" t="s">
        <v>683</v>
      </c>
      <c r="D31" s="24" t="s">
        <v>629</v>
      </c>
      <c r="E31" s="25" t="s">
        <v>684</v>
      </c>
    </row>
    <row r="32" spans="1:5" x14ac:dyDescent="0.25">
      <c r="A32" s="86"/>
      <c r="B32" s="21">
        <v>31</v>
      </c>
      <c r="C32" s="23" t="s">
        <v>685</v>
      </c>
      <c r="D32" s="24" t="s">
        <v>686</v>
      </c>
      <c r="E32" s="25"/>
    </row>
    <row r="33" spans="1:5" x14ac:dyDescent="0.25">
      <c r="A33" s="86"/>
      <c r="B33" s="21">
        <v>32</v>
      </c>
      <c r="C33" s="23" t="s">
        <v>687</v>
      </c>
      <c r="D33" s="24" t="s">
        <v>688</v>
      </c>
      <c r="E33" s="25"/>
    </row>
    <row r="34" spans="1:5" x14ac:dyDescent="0.25">
      <c r="A34" s="86"/>
      <c r="B34" s="21">
        <v>33</v>
      </c>
      <c r="C34" s="23" t="s">
        <v>689</v>
      </c>
      <c r="D34" s="24" t="s">
        <v>660</v>
      </c>
      <c r="E34" s="25" t="s">
        <v>690</v>
      </c>
    </row>
    <row r="35" spans="1:5" x14ac:dyDescent="0.25">
      <c r="A35" s="85">
        <v>20211022</v>
      </c>
      <c r="B35" s="79">
        <v>34</v>
      </c>
      <c r="C35" s="43" t="s">
        <v>691</v>
      </c>
      <c r="D35" s="44" t="s">
        <v>692</v>
      </c>
      <c r="E35" s="45" t="s">
        <v>693</v>
      </c>
    </row>
    <row r="36" spans="1:5" x14ac:dyDescent="0.25">
      <c r="A36" s="86"/>
      <c r="B36" s="79">
        <v>35</v>
      </c>
      <c r="C36" s="43" t="s">
        <v>694</v>
      </c>
      <c r="D36" s="44" t="s">
        <v>606</v>
      </c>
      <c r="E36" s="45" t="s">
        <v>695</v>
      </c>
    </row>
    <row r="37" spans="1:5" x14ac:dyDescent="0.25">
      <c r="A37" s="86"/>
      <c r="B37" s="79">
        <v>36</v>
      </c>
      <c r="C37" s="43" t="s">
        <v>696</v>
      </c>
      <c r="D37" s="44" t="s">
        <v>697</v>
      </c>
      <c r="E37" s="51" t="s">
        <v>698</v>
      </c>
    </row>
    <row r="38" spans="1:5" x14ac:dyDescent="0.25">
      <c r="A38" s="86"/>
      <c r="B38" s="79">
        <v>37</v>
      </c>
      <c r="C38" s="43" t="s">
        <v>699</v>
      </c>
      <c r="D38" s="44" t="s">
        <v>686</v>
      </c>
      <c r="E38" s="51" t="s">
        <v>700</v>
      </c>
    </row>
    <row r="39" spans="1:5" x14ac:dyDescent="0.25">
      <c r="A39" s="86"/>
      <c r="B39" s="79">
        <v>38</v>
      </c>
      <c r="C39" s="43" t="s">
        <v>701</v>
      </c>
      <c r="D39" s="44" t="s">
        <v>629</v>
      </c>
      <c r="E39" s="51" t="s">
        <v>702</v>
      </c>
    </row>
    <row r="40" spans="1:5" x14ac:dyDescent="0.25">
      <c r="A40" s="86"/>
      <c r="B40" s="79">
        <v>39</v>
      </c>
      <c r="C40" s="43" t="s">
        <v>703</v>
      </c>
      <c r="D40" s="44" t="s">
        <v>697</v>
      </c>
      <c r="E40" s="45" t="s">
        <v>704</v>
      </c>
    </row>
    <row r="41" spans="1:5" x14ac:dyDescent="0.25">
      <c r="A41" s="86"/>
      <c r="B41" s="79">
        <v>40</v>
      </c>
      <c r="C41" s="43" t="s">
        <v>705</v>
      </c>
      <c r="D41" s="44" t="s">
        <v>706</v>
      </c>
      <c r="E41" s="51"/>
    </row>
    <row r="42" spans="1:5" x14ac:dyDescent="0.25">
      <c r="A42" s="86"/>
      <c r="B42" s="79">
        <v>41</v>
      </c>
      <c r="C42" s="43" t="s">
        <v>707</v>
      </c>
      <c r="D42" s="44" t="s">
        <v>612</v>
      </c>
      <c r="E42" s="51"/>
    </row>
    <row r="43" spans="1:5" x14ac:dyDescent="0.25">
      <c r="A43" s="86"/>
      <c r="B43" s="79">
        <v>42</v>
      </c>
      <c r="C43" s="43" t="s">
        <v>708</v>
      </c>
      <c r="D43" s="44" t="s">
        <v>709</v>
      </c>
      <c r="E43" s="51"/>
    </row>
    <row r="44" spans="1:5" x14ac:dyDescent="0.25">
      <c r="A44" s="86"/>
      <c r="B44" s="79">
        <v>43</v>
      </c>
      <c r="C44" s="43" t="s">
        <v>710</v>
      </c>
      <c r="D44" s="44" t="s">
        <v>711</v>
      </c>
      <c r="E44" s="51"/>
    </row>
  </sheetData>
  <mergeCells count="5">
    <mergeCell ref="A2:A4"/>
    <mergeCell ref="A5:A14"/>
    <mergeCell ref="A15:A24"/>
    <mergeCell ref="A25:A34"/>
    <mergeCell ref="A35:A44"/>
  </mergeCells>
  <phoneticPr fontId="1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81"/>
  <sheetViews>
    <sheetView workbookViewId="0">
      <pane ySplit="1" topLeftCell="A2" activePane="bottomLeft" state="frozen"/>
      <selection pane="bottomLeft" activeCell="B3" sqref="B3"/>
    </sheetView>
  </sheetViews>
  <sheetFormatPr defaultColWidth="14.44140625" defaultRowHeight="15" customHeight="1" x14ac:dyDescent="0.25"/>
  <cols>
    <col min="1" max="1" width="10.109375" customWidth="1"/>
    <col min="2" max="2" width="7.33203125" customWidth="1"/>
    <col min="3" max="3" width="71.5546875" customWidth="1"/>
    <col min="4" max="4" width="14.44140625" customWidth="1"/>
    <col min="5" max="5" width="68.109375" customWidth="1"/>
  </cols>
  <sheetData>
    <row r="1" spans="1:5" x14ac:dyDescent="0.25">
      <c r="A1" s="21" t="s">
        <v>0</v>
      </c>
      <c r="B1" s="21" t="s">
        <v>30</v>
      </c>
      <c r="C1" s="22" t="s">
        <v>31</v>
      </c>
      <c r="D1" s="21" t="s">
        <v>32</v>
      </c>
      <c r="E1" s="21" t="s">
        <v>33</v>
      </c>
    </row>
    <row r="2" spans="1:5" x14ac:dyDescent="0.25">
      <c r="A2" s="85">
        <v>20210927</v>
      </c>
      <c r="B2" s="21">
        <v>1</v>
      </c>
      <c r="C2" s="46" t="s">
        <v>712</v>
      </c>
      <c r="D2" s="24">
        <f>3*3*6</f>
        <v>54</v>
      </c>
      <c r="E2" s="25"/>
    </row>
    <row r="3" spans="1:5" x14ac:dyDescent="0.25">
      <c r="A3" s="86"/>
      <c r="B3" s="21">
        <v>2</v>
      </c>
      <c r="C3" s="46" t="s">
        <v>713</v>
      </c>
      <c r="D3" s="24">
        <f>5*5*5</f>
        <v>125</v>
      </c>
      <c r="E3" s="25"/>
    </row>
    <row r="4" spans="1:5" x14ac:dyDescent="0.25">
      <c r="A4" s="86"/>
      <c r="B4" s="21">
        <v>3</v>
      </c>
      <c r="C4" s="46" t="s">
        <v>714</v>
      </c>
      <c r="D4" s="24">
        <f>10*6</f>
        <v>60</v>
      </c>
      <c r="E4" s="25"/>
    </row>
    <row r="5" spans="1:5" x14ac:dyDescent="0.25">
      <c r="A5" s="86"/>
      <c r="B5" s="21">
        <v>4</v>
      </c>
      <c r="C5" s="46" t="s">
        <v>715</v>
      </c>
      <c r="D5" s="24">
        <f>25*25*40/2</f>
        <v>12500</v>
      </c>
      <c r="E5" s="25"/>
    </row>
    <row r="6" spans="1:5" x14ac:dyDescent="0.25">
      <c r="A6" s="86"/>
      <c r="B6" s="21">
        <v>5</v>
      </c>
      <c r="C6" s="23" t="s">
        <v>716</v>
      </c>
      <c r="D6" s="24">
        <f>10*10*10 / 1</f>
        <v>1000</v>
      </c>
      <c r="E6" s="25"/>
    </row>
    <row r="7" spans="1:5" x14ac:dyDescent="0.25">
      <c r="A7" s="86"/>
      <c r="B7" s="21">
        <v>6</v>
      </c>
      <c r="C7" s="46" t="s">
        <v>717</v>
      </c>
      <c r="D7" s="24" t="e">
        <f ca="1">POW(216/27,1/3)</f>
        <v>#NAME?</v>
      </c>
      <c r="E7" s="25"/>
    </row>
    <row r="8" spans="1:5" x14ac:dyDescent="0.25">
      <c r="A8" s="86"/>
      <c r="B8" s="21">
        <v>7</v>
      </c>
      <c r="C8" s="23" t="s">
        <v>718</v>
      </c>
      <c r="D8" s="24">
        <f>(400*200*300)/(20*20*20)</f>
        <v>3000</v>
      </c>
      <c r="E8" s="25"/>
    </row>
    <row r="9" spans="1:5" x14ac:dyDescent="0.25">
      <c r="A9" s="86"/>
      <c r="B9" s="21">
        <v>8</v>
      </c>
      <c r="C9" s="23" t="s">
        <v>719</v>
      </c>
      <c r="D9" s="24">
        <f>(5*5*9)-(7*2*10)</f>
        <v>85</v>
      </c>
      <c r="E9" s="25"/>
    </row>
    <row r="10" spans="1:5" x14ac:dyDescent="0.25">
      <c r="A10" s="86"/>
      <c r="B10" s="21">
        <v>9</v>
      </c>
      <c r="C10" s="46" t="s">
        <v>720</v>
      </c>
      <c r="D10" s="24">
        <f>(160-2*(5*2))/(2*(5+2))</f>
        <v>10</v>
      </c>
      <c r="E10" s="25"/>
    </row>
    <row r="11" spans="1:5" x14ac:dyDescent="0.25">
      <c r="A11" s="86"/>
      <c r="B11" s="21">
        <v>10</v>
      </c>
      <c r="C11" s="23" t="s">
        <v>721</v>
      </c>
      <c r="D11" s="24">
        <f>(2*(9*3) + 2*(9+3)*10)/6</f>
        <v>49</v>
      </c>
      <c r="E11" s="25"/>
    </row>
    <row r="12" spans="1:5" x14ac:dyDescent="0.25">
      <c r="A12" s="85">
        <v>20210928</v>
      </c>
      <c r="B12" s="21">
        <v>11</v>
      </c>
      <c r="C12" s="23" t="s">
        <v>722</v>
      </c>
      <c r="D12" s="24">
        <f>9*3</f>
        <v>27</v>
      </c>
      <c r="E12" s="25" t="s">
        <v>723</v>
      </c>
    </row>
    <row r="13" spans="1:5" x14ac:dyDescent="0.25">
      <c r="A13" s="86"/>
      <c r="B13" s="21">
        <v>12</v>
      </c>
      <c r="C13" s="23" t="s">
        <v>724</v>
      </c>
      <c r="D13" s="24">
        <f>45/3</f>
        <v>15</v>
      </c>
      <c r="E13" s="25" t="s">
        <v>723</v>
      </c>
    </row>
    <row r="14" spans="1:5" x14ac:dyDescent="0.25">
      <c r="A14" s="86"/>
      <c r="B14" s="21">
        <v>13</v>
      </c>
      <c r="C14" s="23" t="s">
        <v>725</v>
      </c>
      <c r="D14" s="24">
        <f>12*3</f>
        <v>36</v>
      </c>
      <c r="E14" s="25" t="s">
        <v>723</v>
      </c>
    </row>
    <row r="15" spans="1:5" x14ac:dyDescent="0.25">
      <c r="A15" s="86"/>
      <c r="B15" s="21">
        <v>14</v>
      </c>
      <c r="C15" s="23" t="s">
        <v>726</v>
      </c>
      <c r="D15" s="24">
        <f>(180-110)/2</f>
        <v>35</v>
      </c>
      <c r="E15" s="25" t="s">
        <v>727</v>
      </c>
    </row>
    <row r="16" spans="1:5" x14ac:dyDescent="0.25">
      <c r="A16" s="86"/>
      <c r="B16" s="21">
        <v>15</v>
      </c>
      <c r="C16" s="23" t="s">
        <v>728</v>
      </c>
      <c r="D16" s="24">
        <f>180-(90+30)</f>
        <v>60</v>
      </c>
      <c r="E16" s="25" t="s">
        <v>727</v>
      </c>
    </row>
    <row r="17" spans="1:5" x14ac:dyDescent="0.25">
      <c r="A17" s="86"/>
      <c r="B17" s="21">
        <v>16</v>
      </c>
      <c r="C17" s="23" t="s">
        <v>729</v>
      </c>
      <c r="D17" s="24">
        <f>40-2*(8+7)</f>
        <v>10</v>
      </c>
      <c r="E17" s="25" t="s">
        <v>730</v>
      </c>
    </row>
    <row r="18" spans="1:5" x14ac:dyDescent="0.25">
      <c r="A18" s="86"/>
      <c r="B18" s="21">
        <v>17</v>
      </c>
      <c r="C18" s="23" t="s">
        <v>731</v>
      </c>
      <c r="D18" s="24">
        <f>(10*4 - 12*2)/2</f>
        <v>8</v>
      </c>
      <c r="E18" s="25" t="s">
        <v>730</v>
      </c>
    </row>
    <row r="19" spans="1:5" x14ac:dyDescent="0.25">
      <c r="A19" s="86"/>
      <c r="B19" s="21">
        <v>18</v>
      </c>
      <c r="C19" s="23" t="s">
        <v>732</v>
      </c>
      <c r="D19" s="24">
        <f>8*4</f>
        <v>32</v>
      </c>
      <c r="E19" s="25" t="s">
        <v>733</v>
      </c>
    </row>
    <row r="20" spans="1:5" x14ac:dyDescent="0.25">
      <c r="A20" s="86"/>
      <c r="B20" s="21">
        <v>19</v>
      </c>
      <c r="C20" s="23" t="s">
        <v>734</v>
      </c>
      <c r="D20" s="24">
        <f>64/4</f>
        <v>16</v>
      </c>
      <c r="E20" s="25" t="s">
        <v>733</v>
      </c>
    </row>
    <row r="21" spans="1:5" x14ac:dyDescent="0.25">
      <c r="A21" s="86"/>
      <c r="B21" s="21">
        <v>20</v>
      </c>
      <c r="C21" s="23" t="s">
        <v>735</v>
      </c>
      <c r="D21" s="24">
        <f>(50-18*2)/2</f>
        <v>7</v>
      </c>
      <c r="E21" s="25" t="s">
        <v>736</v>
      </c>
    </row>
    <row r="22" spans="1:5" x14ac:dyDescent="0.25">
      <c r="A22" s="85">
        <v>20210929</v>
      </c>
      <c r="B22" s="21">
        <v>21</v>
      </c>
      <c r="C22" s="23" t="s">
        <v>737</v>
      </c>
      <c r="D22" s="24">
        <f>5*5</f>
        <v>25</v>
      </c>
      <c r="E22" s="25" t="s">
        <v>738</v>
      </c>
    </row>
    <row r="23" spans="1:5" x14ac:dyDescent="0.25">
      <c r="A23" s="86"/>
      <c r="B23" s="21">
        <v>22</v>
      </c>
      <c r="C23" s="23" t="s">
        <v>739</v>
      </c>
      <c r="D23" s="24">
        <f>(7*6)+(5*7)</f>
        <v>77</v>
      </c>
      <c r="E23" s="25" t="s">
        <v>738</v>
      </c>
    </row>
    <row r="24" spans="1:5" x14ac:dyDescent="0.25">
      <c r="A24" s="86"/>
      <c r="B24" s="21">
        <v>23</v>
      </c>
      <c r="C24" s="23" t="s">
        <v>740</v>
      </c>
      <c r="D24" s="24">
        <f>9*9 - 10*8</f>
        <v>1</v>
      </c>
      <c r="E24" s="25" t="s">
        <v>738</v>
      </c>
    </row>
    <row r="25" spans="1:5" x14ac:dyDescent="0.25">
      <c r="A25" s="86"/>
      <c r="B25" s="21">
        <v>24</v>
      </c>
      <c r="C25" s="23" t="s">
        <v>741</v>
      </c>
      <c r="D25" s="24">
        <f>(24/6)+(24/12)</f>
        <v>6</v>
      </c>
      <c r="E25" s="25" t="s">
        <v>738</v>
      </c>
    </row>
    <row r="26" spans="1:5" x14ac:dyDescent="0.25">
      <c r="A26" s="86"/>
      <c r="B26" s="21">
        <v>25</v>
      </c>
      <c r="C26" s="23" t="s">
        <v>742</v>
      </c>
      <c r="D26" s="24">
        <f>(12*6)/9</f>
        <v>8</v>
      </c>
      <c r="E26" s="25" t="s">
        <v>738</v>
      </c>
    </row>
    <row r="27" spans="1:5" x14ac:dyDescent="0.25">
      <c r="A27" s="86"/>
      <c r="B27" s="21">
        <v>26</v>
      </c>
      <c r="C27" s="23" t="s">
        <v>743</v>
      </c>
      <c r="D27" s="24">
        <f>(40+20)*2</f>
        <v>120</v>
      </c>
      <c r="E27" s="25" t="s">
        <v>744</v>
      </c>
    </row>
    <row r="28" spans="1:5" x14ac:dyDescent="0.25">
      <c r="A28" s="86"/>
      <c r="B28" s="21">
        <v>27</v>
      </c>
      <c r="C28" s="23" t="s">
        <v>745</v>
      </c>
      <c r="D28" s="24">
        <f>((8*2)+12)*2</f>
        <v>56</v>
      </c>
      <c r="E28" s="25" t="s">
        <v>744</v>
      </c>
    </row>
    <row r="29" spans="1:5" x14ac:dyDescent="0.25">
      <c r="A29" s="86"/>
      <c r="B29" s="21">
        <v>28</v>
      </c>
      <c r="C29" s="23" t="s">
        <v>746</v>
      </c>
      <c r="D29" s="24">
        <f>((10+8)+10)*2</f>
        <v>56</v>
      </c>
      <c r="E29" s="25" t="s">
        <v>744</v>
      </c>
    </row>
    <row r="30" spans="1:5" x14ac:dyDescent="0.25">
      <c r="A30" s="86"/>
      <c r="B30" s="21">
        <v>29</v>
      </c>
      <c r="C30" s="23" t="s">
        <v>747</v>
      </c>
      <c r="D30" s="24">
        <f>(26-8*2)/2</f>
        <v>5</v>
      </c>
      <c r="E30" s="25" t="s">
        <v>744</v>
      </c>
    </row>
    <row r="31" spans="1:5" x14ac:dyDescent="0.25">
      <c r="A31" s="86"/>
      <c r="B31" s="21">
        <v>30</v>
      </c>
      <c r="C31" s="23" t="s">
        <v>748</v>
      </c>
      <c r="D31" s="24">
        <f>(40-12*2)/2</f>
        <v>8</v>
      </c>
      <c r="E31" s="25" t="s">
        <v>744</v>
      </c>
    </row>
    <row r="32" spans="1:5" x14ac:dyDescent="0.25">
      <c r="A32" s="85">
        <v>20210930</v>
      </c>
      <c r="B32" s="21">
        <v>31</v>
      </c>
      <c r="C32" s="23" t="s">
        <v>749</v>
      </c>
      <c r="D32" s="24">
        <f>(25+10)*2</f>
        <v>70</v>
      </c>
      <c r="E32" s="25" t="s">
        <v>750</v>
      </c>
    </row>
    <row r="33" spans="1:5" x14ac:dyDescent="0.25">
      <c r="A33" s="86"/>
      <c r="B33" s="21">
        <v>32</v>
      </c>
      <c r="C33" s="23" t="s">
        <v>751</v>
      </c>
      <c r="D33" s="24">
        <f>(48-15*2)/2</f>
        <v>9</v>
      </c>
      <c r="E33" s="25" t="s">
        <v>750</v>
      </c>
    </row>
    <row r="34" spans="1:5" x14ac:dyDescent="0.25">
      <c r="A34" s="86"/>
      <c r="B34" s="21">
        <v>33</v>
      </c>
      <c r="C34" s="23" t="s">
        <v>752</v>
      </c>
      <c r="D34" s="24">
        <f>14+11-10</f>
        <v>15</v>
      </c>
      <c r="E34" s="25" t="s">
        <v>750</v>
      </c>
    </row>
    <row r="35" spans="1:5" x14ac:dyDescent="0.25">
      <c r="A35" s="86"/>
      <c r="B35" s="21">
        <v>34</v>
      </c>
      <c r="C35" s="23" t="s">
        <v>753</v>
      </c>
      <c r="D35" s="24">
        <f>(36/2+4)/2</f>
        <v>11</v>
      </c>
      <c r="E35" s="25" t="s">
        <v>750</v>
      </c>
    </row>
    <row r="36" spans="1:5" x14ac:dyDescent="0.25">
      <c r="A36" s="86"/>
      <c r="B36" s="21">
        <v>35</v>
      </c>
      <c r="C36" s="23" t="s">
        <v>754</v>
      </c>
      <c r="D36" s="24">
        <f>20*4</f>
        <v>80</v>
      </c>
      <c r="E36" s="25" t="s">
        <v>755</v>
      </c>
    </row>
    <row r="37" spans="1:5" x14ac:dyDescent="0.25">
      <c r="A37" s="86"/>
      <c r="B37" s="21">
        <v>36</v>
      </c>
      <c r="C37" s="23" t="s">
        <v>756</v>
      </c>
      <c r="D37" s="24">
        <f>(10-8)*4</f>
        <v>8</v>
      </c>
      <c r="E37" s="25" t="s">
        <v>755</v>
      </c>
    </row>
    <row r="38" spans="1:5" x14ac:dyDescent="0.25">
      <c r="A38" s="86"/>
      <c r="B38" s="21">
        <v>37</v>
      </c>
      <c r="C38" s="23" t="s">
        <v>757</v>
      </c>
      <c r="D38" s="24">
        <f>12*4 - 12*1/3*4</f>
        <v>32</v>
      </c>
      <c r="E38" s="25" t="s">
        <v>755</v>
      </c>
    </row>
    <row r="39" spans="1:5" x14ac:dyDescent="0.25">
      <c r="A39" s="86"/>
      <c r="B39" s="21">
        <v>38</v>
      </c>
      <c r="C39" s="23" t="s">
        <v>758</v>
      </c>
      <c r="D39" s="24">
        <f>100/4</f>
        <v>25</v>
      </c>
      <c r="E39" s="25" t="s">
        <v>755</v>
      </c>
    </row>
    <row r="40" spans="1:5" x14ac:dyDescent="0.25">
      <c r="A40" s="86"/>
      <c r="B40" s="21">
        <v>39</v>
      </c>
      <c r="C40" s="23" t="s">
        <v>759</v>
      </c>
      <c r="D40" s="24">
        <f>(10+16)*2/4</f>
        <v>13</v>
      </c>
      <c r="E40" s="25" t="s">
        <v>760</v>
      </c>
    </row>
    <row r="41" spans="1:5" x14ac:dyDescent="0.25">
      <c r="A41" s="86"/>
      <c r="B41" s="21">
        <v>40</v>
      </c>
      <c r="C41" s="23" t="s">
        <v>761</v>
      </c>
      <c r="D41" s="24">
        <f>(28-10*2)/2</f>
        <v>4</v>
      </c>
      <c r="E41" s="25" t="s">
        <v>762</v>
      </c>
    </row>
    <row r="42" spans="1:5" x14ac:dyDescent="0.25">
      <c r="A42" s="85">
        <v>20211001</v>
      </c>
      <c r="B42" s="21">
        <v>41</v>
      </c>
      <c r="C42" s="23" t="s">
        <v>763</v>
      </c>
      <c r="D42" s="24">
        <f>10*7</f>
        <v>70</v>
      </c>
      <c r="E42" s="25" t="s">
        <v>764</v>
      </c>
    </row>
    <row r="43" spans="1:5" x14ac:dyDescent="0.25">
      <c r="A43" s="86"/>
      <c r="B43" s="21">
        <v>42</v>
      </c>
      <c r="C43" s="23" t="s">
        <v>765</v>
      </c>
      <c r="D43" s="24">
        <f>36*25</f>
        <v>900</v>
      </c>
      <c r="E43" s="25" t="s">
        <v>764</v>
      </c>
    </row>
    <row r="44" spans="1:5" x14ac:dyDescent="0.25">
      <c r="A44" s="86"/>
      <c r="B44" s="21">
        <v>43</v>
      </c>
      <c r="C44" s="23" t="s">
        <v>766</v>
      </c>
      <c r="D44" s="24">
        <f>140/10</f>
        <v>14</v>
      </c>
      <c r="E44" s="25" t="s">
        <v>764</v>
      </c>
    </row>
    <row r="45" spans="1:5" x14ac:dyDescent="0.25">
      <c r="A45" s="86"/>
      <c r="B45" s="21">
        <v>44</v>
      </c>
      <c r="C45" s="23" t="s">
        <v>767</v>
      </c>
      <c r="D45" s="24">
        <f>9600/120</f>
        <v>80</v>
      </c>
      <c r="E45" s="25" t="s">
        <v>764</v>
      </c>
    </row>
    <row r="46" spans="1:5" x14ac:dyDescent="0.25">
      <c r="A46" s="86"/>
      <c r="B46" s="21">
        <v>45</v>
      </c>
      <c r="C46" s="23" t="s">
        <v>768</v>
      </c>
      <c r="D46" s="24">
        <f>5*12 + 5*(16-2*5)/2</f>
        <v>75</v>
      </c>
      <c r="E46" s="25" t="s">
        <v>764</v>
      </c>
    </row>
    <row r="47" spans="1:5" x14ac:dyDescent="0.25">
      <c r="A47" s="86"/>
      <c r="B47" s="21">
        <v>46</v>
      </c>
      <c r="C47" s="23" t="s">
        <v>769</v>
      </c>
      <c r="D47" s="24">
        <f>(12*18)/(6*3)</f>
        <v>12</v>
      </c>
      <c r="E47" s="25" t="s">
        <v>764</v>
      </c>
    </row>
    <row r="48" spans="1:5" x14ac:dyDescent="0.25">
      <c r="A48" s="86"/>
      <c r="B48" s="21">
        <v>47</v>
      </c>
      <c r="C48" s="23" t="s">
        <v>770</v>
      </c>
      <c r="D48" s="24">
        <f>10 * ((28-10*2)/2)</f>
        <v>40</v>
      </c>
      <c r="E48" s="25" t="s">
        <v>764</v>
      </c>
    </row>
    <row r="49" spans="1:5" x14ac:dyDescent="0.25">
      <c r="A49" s="86"/>
      <c r="B49" s="21">
        <v>48</v>
      </c>
      <c r="C49" s="23" t="s">
        <v>771</v>
      </c>
      <c r="D49" s="24">
        <f>(240/2 + 20)/2 * ((240/2 + 20)/2 - 20)</f>
        <v>3500</v>
      </c>
      <c r="E49" s="25" t="s">
        <v>764</v>
      </c>
    </row>
    <row r="50" spans="1:5" x14ac:dyDescent="0.25">
      <c r="A50" s="86"/>
      <c r="B50" s="21">
        <v>49</v>
      </c>
      <c r="C50" s="23" t="s">
        <v>772</v>
      </c>
      <c r="D50" s="24">
        <f>(38-10*2)/2 * 10</f>
        <v>90</v>
      </c>
      <c r="E50" s="25" t="s">
        <v>764</v>
      </c>
    </row>
    <row r="51" spans="1:5" x14ac:dyDescent="0.25">
      <c r="A51" s="86"/>
      <c r="B51" s="21">
        <v>50</v>
      </c>
      <c r="C51" s="23" t="s">
        <v>773</v>
      </c>
      <c r="D51" s="24">
        <v>7</v>
      </c>
      <c r="E51" s="25" t="s">
        <v>764</v>
      </c>
    </row>
    <row r="52" spans="1:5" x14ac:dyDescent="0.25">
      <c r="A52" s="85">
        <v>20211005</v>
      </c>
      <c r="B52" s="21">
        <v>51</v>
      </c>
      <c r="C52" s="23" t="s">
        <v>774</v>
      </c>
      <c r="D52" s="24">
        <f>7*7</f>
        <v>49</v>
      </c>
      <c r="E52" s="25" t="s">
        <v>775</v>
      </c>
    </row>
    <row r="53" spans="1:5" x14ac:dyDescent="0.25">
      <c r="A53" s="86"/>
      <c r="B53" s="21">
        <v>52</v>
      </c>
      <c r="C53" s="23" t="s">
        <v>776</v>
      </c>
      <c r="D53" s="24">
        <f>20*20</f>
        <v>400</v>
      </c>
      <c r="E53" s="25" t="s">
        <v>775</v>
      </c>
    </row>
    <row r="54" spans="1:5" x14ac:dyDescent="0.25">
      <c r="A54" s="86"/>
      <c r="B54" s="21">
        <v>53</v>
      </c>
      <c r="C54" s="23" t="s">
        <v>777</v>
      </c>
      <c r="D54" s="24">
        <f>12*12 - 10*10</f>
        <v>44</v>
      </c>
      <c r="E54" s="25" t="s">
        <v>775</v>
      </c>
    </row>
    <row r="55" spans="1:5" x14ac:dyDescent="0.25">
      <c r="A55" s="86"/>
      <c r="B55" s="21">
        <v>54</v>
      </c>
      <c r="C55" s="23" t="s">
        <v>778</v>
      </c>
      <c r="D55" s="24">
        <f>24*24</f>
        <v>576</v>
      </c>
      <c r="E55" s="25" t="s">
        <v>775</v>
      </c>
    </row>
    <row r="56" spans="1:5" x14ac:dyDescent="0.25">
      <c r="A56" s="86"/>
      <c r="B56" s="21">
        <v>55</v>
      </c>
      <c r="C56" s="23" t="s">
        <v>779</v>
      </c>
      <c r="D56" s="24">
        <f>(12*12)/(6*6)</f>
        <v>4</v>
      </c>
      <c r="E56" s="25" t="s">
        <v>775</v>
      </c>
    </row>
    <row r="57" spans="1:5" x14ac:dyDescent="0.25">
      <c r="A57" s="86"/>
      <c r="B57" s="21">
        <v>56</v>
      </c>
      <c r="C57" s="23" t="s">
        <v>780</v>
      </c>
      <c r="D57" s="24">
        <f>(15*15)/(5*5)</f>
        <v>9</v>
      </c>
      <c r="E57" s="25" t="s">
        <v>775</v>
      </c>
    </row>
    <row r="58" spans="1:5" x14ac:dyDescent="0.25">
      <c r="A58" s="86"/>
      <c r="B58" s="21">
        <v>57</v>
      </c>
      <c r="C58" s="23" t="s">
        <v>781</v>
      </c>
      <c r="D58" s="24">
        <f>(10*10)/(5*5)</f>
        <v>4</v>
      </c>
      <c r="E58" s="25" t="s">
        <v>775</v>
      </c>
    </row>
    <row r="59" spans="1:5" x14ac:dyDescent="0.25">
      <c r="A59" s="86"/>
      <c r="B59" s="21">
        <v>58</v>
      </c>
      <c r="C59" s="23" t="s">
        <v>782</v>
      </c>
      <c r="D59" s="24">
        <f>80*80/4</f>
        <v>1600</v>
      </c>
      <c r="E59" s="25" t="s">
        <v>775</v>
      </c>
    </row>
    <row r="60" spans="1:5" x14ac:dyDescent="0.25">
      <c r="A60" s="86"/>
      <c r="B60" s="21">
        <v>59</v>
      </c>
      <c r="C60" s="23" t="s">
        <v>783</v>
      </c>
      <c r="D60" s="24">
        <f>(7+3)*(7+3)</f>
        <v>100</v>
      </c>
      <c r="E60" s="25" t="s">
        <v>775</v>
      </c>
    </row>
    <row r="61" spans="1:5" x14ac:dyDescent="0.25">
      <c r="A61" s="86"/>
      <c r="B61" s="21">
        <v>60</v>
      </c>
      <c r="C61" s="23" t="s">
        <v>784</v>
      </c>
      <c r="D61" s="24">
        <f>12*12 - (12-4)*(12-4)</f>
        <v>80</v>
      </c>
      <c r="E61" s="25" t="s">
        <v>775</v>
      </c>
    </row>
    <row r="62" spans="1:5" x14ac:dyDescent="0.25">
      <c r="A62" s="85">
        <v>20211006</v>
      </c>
      <c r="B62" s="21">
        <v>61</v>
      </c>
      <c r="C62" s="23" t="s">
        <v>785</v>
      </c>
      <c r="D62" s="24" t="e">
        <f ca="1">POW(49,1/2)</f>
        <v>#NAME?</v>
      </c>
      <c r="E62" s="25" t="s">
        <v>775</v>
      </c>
    </row>
    <row r="63" spans="1:5" x14ac:dyDescent="0.25">
      <c r="A63" s="86"/>
      <c r="B63" s="21">
        <v>62</v>
      </c>
      <c r="C63" s="23" t="s">
        <v>786</v>
      </c>
      <c r="D63" s="24" t="e">
        <f ca="1">POW(100,1/2)</f>
        <v>#NAME?</v>
      </c>
      <c r="E63" s="25" t="s">
        <v>775</v>
      </c>
    </row>
    <row r="64" spans="1:5" x14ac:dyDescent="0.25">
      <c r="A64" s="86"/>
      <c r="B64" s="21">
        <v>63</v>
      </c>
      <c r="C64" s="23" t="s">
        <v>787</v>
      </c>
      <c r="D64" s="24" t="e">
        <f ca="1">POW(4*9,1/2)</f>
        <v>#NAME?</v>
      </c>
      <c r="E64" s="25" t="s">
        <v>775</v>
      </c>
    </row>
    <row r="65" spans="1:5" x14ac:dyDescent="0.25">
      <c r="A65" s="86"/>
      <c r="B65" s="21">
        <v>64</v>
      </c>
      <c r="C65" s="23" t="s">
        <v>788</v>
      </c>
      <c r="D65" s="24" t="e">
        <f ca="1">POW(((60-3*2)/2) * 3,1/2)</f>
        <v>#NAME?</v>
      </c>
      <c r="E65" s="25" t="s">
        <v>775</v>
      </c>
    </row>
    <row r="66" spans="1:5" x14ac:dyDescent="0.25">
      <c r="A66" s="86"/>
      <c r="B66" s="21">
        <v>65</v>
      </c>
      <c r="C66" s="23" t="s">
        <v>789</v>
      </c>
      <c r="D66" s="24">
        <f>(32/4) * (32/4)</f>
        <v>64</v>
      </c>
      <c r="E66" s="25" t="s">
        <v>775</v>
      </c>
    </row>
    <row r="67" spans="1:5" x14ac:dyDescent="0.25">
      <c r="A67" s="86"/>
      <c r="B67" s="21">
        <v>66</v>
      </c>
      <c r="C67" s="23" t="s">
        <v>790</v>
      </c>
      <c r="D67" s="24">
        <f>10*10 + (32/4)*(32/4)</f>
        <v>164</v>
      </c>
      <c r="E67" s="25" t="s">
        <v>775</v>
      </c>
    </row>
    <row r="68" spans="1:5" x14ac:dyDescent="0.25">
      <c r="A68" s="86"/>
      <c r="B68" s="21">
        <v>67</v>
      </c>
      <c r="C68" s="23" t="s">
        <v>791</v>
      </c>
      <c r="D68" s="24">
        <f>(60/4) * (60/4) - ((40-8*2)/2)*8</f>
        <v>129</v>
      </c>
      <c r="E68" s="25" t="s">
        <v>775</v>
      </c>
    </row>
    <row r="69" spans="1:5" x14ac:dyDescent="0.25">
      <c r="A69" s="86"/>
      <c r="B69" s="21">
        <v>68</v>
      </c>
      <c r="C69" s="23" t="s">
        <v>792</v>
      </c>
      <c r="D69" s="24">
        <f>(80/4)*(80/4)*5</f>
        <v>2000</v>
      </c>
      <c r="E69" s="25" t="s">
        <v>775</v>
      </c>
    </row>
    <row r="70" spans="1:5" x14ac:dyDescent="0.25">
      <c r="A70" s="86"/>
      <c r="B70" s="21">
        <v>69</v>
      </c>
      <c r="C70" s="23" t="s">
        <v>793</v>
      </c>
      <c r="D70" s="80">
        <f>0.3*0.3*8*10</f>
        <v>7.1999999999999993</v>
      </c>
      <c r="E70" s="25" t="s">
        <v>794</v>
      </c>
    </row>
    <row r="71" spans="1:5" x14ac:dyDescent="0.25">
      <c r="A71" s="86"/>
      <c r="B71" s="21">
        <v>70</v>
      </c>
      <c r="C71" s="23" t="s">
        <v>795</v>
      </c>
      <c r="D71" s="24">
        <f>2000*3000/100</f>
        <v>60000</v>
      </c>
      <c r="E71" s="25" t="s">
        <v>794</v>
      </c>
    </row>
    <row r="72" spans="1:5" x14ac:dyDescent="0.25">
      <c r="A72" s="85">
        <v>20211007</v>
      </c>
      <c r="B72" s="21">
        <v>71</v>
      </c>
      <c r="C72" s="23" t="s">
        <v>796</v>
      </c>
      <c r="D72" s="24" t="e">
        <f ca="1">(POW(144,1/2) + POW(144,1/2)*1/3)*2</f>
        <v>#NAME?</v>
      </c>
      <c r="E72" s="25" t="s">
        <v>797</v>
      </c>
    </row>
    <row r="73" spans="1:5" x14ac:dyDescent="0.25">
      <c r="A73" s="86"/>
      <c r="B73" s="21">
        <v>72</v>
      </c>
      <c r="C73" s="23" t="s">
        <v>798</v>
      </c>
      <c r="D73" s="24" t="e">
        <f ca="1">POW(3*4*3,1/2)</f>
        <v>#NAME?</v>
      </c>
      <c r="E73" s="25" t="s">
        <v>797</v>
      </c>
    </row>
    <row r="74" spans="1:5" x14ac:dyDescent="0.25">
      <c r="A74" s="86"/>
      <c r="B74" s="21">
        <v>73</v>
      </c>
      <c r="C74" s="23" t="s">
        <v>799</v>
      </c>
      <c r="D74" s="24" t="e">
        <f ca="1">20*POW(144,1/2)</f>
        <v>#NAME?</v>
      </c>
      <c r="E74" s="25" t="s">
        <v>797</v>
      </c>
    </row>
    <row r="75" spans="1:5" x14ac:dyDescent="0.25">
      <c r="A75" s="86"/>
      <c r="B75" s="21">
        <v>74</v>
      </c>
      <c r="C75" s="23" t="s">
        <v>800</v>
      </c>
      <c r="D75" s="24">
        <f>60/(3+4+5)*5</f>
        <v>25</v>
      </c>
      <c r="E75" s="25" t="s">
        <v>797</v>
      </c>
    </row>
    <row r="76" spans="1:5" x14ac:dyDescent="0.25">
      <c r="A76" s="86"/>
      <c r="B76" s="21">
        <v>75</v>
      </c>
      <c r="C76" s="23" t="s">
        <v>801</v>
      </c>
      <c r="D76" s="24" t="e">
        <f ca="1">(POW(169,1/2)-3) * (POW(169,1/2) - 5)</f>
        <v>#NAME?</v>
      </c>
      <c r="E76" s="25" t="s">
        <v>797</v>
      </c>
    </row>
    <row r="77" spans="1:5" x14ac:dyDescent="0.25">
      <c r="A77" s="86"/>
      <c r="B77" s="21">
        <v>76</v>
      </c>
      <c r="C77" s="23" t="s">
        <v>802</v>
      </c>
      <c r="D77" s="24" t="e">
        <f ca="1">(POW(243/3,1/2) + POW(243/3,1/2)*3)*2</f>
        <v>#NAME?</v>
      </c>
      <c r="E77" s="25" t="s">
        <v>797</v>
      </c>
    </row>
    <row r="78" spans="1:5" x14ac:dyDescent="0.25">
      <c r="A78" s="86"/>
      <c r="B78" s="21">
        <v>77</v>
      </c>
      <c r="C78" s="23" t="s">
        <v>803</v>
      </c>
      <c r="D78" s="24">
        <f>20*12</f>
        <v>240</v>
      </c>
      <c r="E78" s="25" t="s">
        <v>804</v>
      </c>
    </row>
    <row r="79" spans="1:5" x14ac:dyDescent="0.25">
      <c r="A79" s="86"/>
      <c r="B79" s="21">
        <v>78</v>
      </c>
      <c r="C79" s="23" t="s">
        <v>805</v>
      </c>
      <c r="D79" s="24">
        <f>180/15</f>
        <v>12</v>
      </c>
      <c r="E79" s="25" t="s">
        <v>804</v>
      </c>
    </row>
    <row r="80" spans="1:5" x14ac:dyDescent="0.25">
      <c r="A80" s="86"/>
      <c r="B80" s="21">
        <v>79</v>
      </c>
      <c r="C80" s="23" t="s">
        <v>806</v>
      </c>
      <c r="D80" s="24">
        <f>1/2*24*30</f>
        <v>360</v>
      </c>
      <c r="E80" s="25" t="s">
        <v>807</v>
      </c>
    </row>
    <row r="81" spans="1:5" x14ac:dyDescent="0.25">
      <c r="A81" s="86"/>
      <c r="B81" s="21">
        <v>80</v>
      </c>
      <c r="C81" s="23" t="s">
        <v>808</v>
      </c>
      <c r="D81" s="24">
        <f>36*2/8</f>
        <v>9</v>
      </c>
      <c r="E81" s="25" t="s">
        <v>807</v>
      </c>
    </row>
    <row r="82" spans="1:5" x14ac:dyDescent="0.25">
      <c r="A82" s="85">
        <v>20211008</v>
      </c>
      <c r="B82" s="21">
        <v>81</v>
      </c>
      <c r="C82" s="23" t="s">
        <v>809</v>
      </c>
      <c r="D82" s="24">
        <f>1/2*10*12</f>
        <v>60</v>
      </c>
      <c r="E82" s="25" t="s">
        <v>810</v>
      </c>
    </row>
    <row r="83" spans="1:5" x14ac:dyDescent="0.25">
      <c r="A83" s="86"/>
      <c r="B83" s="21">
        <v>82</v>
      </c>
      <c r="C83" s="23" t="s">
        <v>811</v>
      </c>
      <c r="D83" s="24">
        <f>1/2*100*80</f>
        <v>4000</v>
      </c>
      <c r="E83" s="25" t="s">
        <v>810</v>
      </c>
    </row>
    <row r="84" spans="1:5" x14ac:dyDescent="0.25">
      <c r="A84" s="86"/>
      <c r="B84" s="21">
        <v>83</v>
      </c>
      <c r="C84" s="23" t="s">
        <v>812</v>
      </c>
      <c r="D84" s="24">
        <f>66*2/11</f>
        <v>12</v>
      </c>
      <c r="E84" s="25" t="s">
        <v>810</v>
      </c>
    </row>
    <row r="85" spans="1:5" x14ac:dyDescent="0.25">
      <c r="A85" s="86"/>
      <c r="B85" s="21">
        <v>84</v>
      </c>
      <c r="C85" s="23" t="s">
        <v>813</v>
      </c>
      <c r="D85" s="24">
        <f>2400*2/60</f>
        <v>80</v>
      </c>
      <c r="E85" s="25" t="s">
        <v>810</v>
      </c>
    </row>
    <row r="86" spans="1:5" x14ac:dyDescent="0.25">
      <c r="A86" s="86"/>
      <c r="B86" s="21">
        <v>85</v>
      </c>
      <c r="C86" s="23" t="s">
        <v>814</v>
      </c>
      <c r="D86" s="24">
        <f>1/2*10*12*2*2/8</f>
        <v>30</v>
      </c>
      <c r="E86" s="25" t="s">
        <v>810</v>
      </c>
    </row>
    <row r="87" spans="1:5" x14ac:dyDescent="0.25">
      <c r="A87" s="86"/>
      <c r="B87" s="21">
        <v>86</v>
      </c>
      <c r="C87" s="23" t="s">
        <v>815</v>
      </c>
      <c r="D87" s="24">
        <f>1/2*(5+8)*4</f>
        <v>26</v>
      </c>
      <c r="E87" s="25" t="s">
        <v>816</v>
      </c>
    </row>
    <row r="88" spans="1:5" x14ac:dyDescent="0.25">
      <c r="A88" s="86"/>
      <c r="B88" s="21">
        <v>87</v>
      </c>
      <c r="C88" s="23" t="s">
        <v>817</v>
      </c>
      <c r="D88" s="24">
        <f>1/2*(14+20)*12</f>
        <v>204</v>
      </c>
      <c r="E88" s="25" t="s">
        <v>816</v>
      </c>
    </row>
    <row r="89" spans="1:5" x14ac:dyDescent="0.25">
      <c r="A89" s="86"/>
      <c r="B89" s="21">
        <v>88</v>
      </c>
      <c r="C89" s="23" t="s">
        <v>818</v>
      </c>
      <c r="D89" s="24">
        <f>1/2*46*90</f>
        <v>2070</v>
      </c>
      <c r="E89" s="25" t="s">
        <v>816</v>
      </c>
    </row>
    <row r="90" spans="1:5" x14ac:dyDescent="0.25">
      <c r="A90" s="86"/>
      <c r="B90" s="21">
        <v>89</v>
      </c>
      <c r="C90" s="23" t="s">
        <v>819</v>
      </c>
      <c r="D90" s="24">
        <f>76*2/(9+10)</f>
        <v>8</v>
      </c>
      <c r="E90" s="25" t="s">
        <v>816</v>
      </c>
    </row>
    <row r="91" spans="1:5" x14ac:dyDescent="0.25">
      <c r="A91" s="86"/>
      <c r="B91" s="21">
        <v>90</v>
      </c>
      <c r="C91" s="23" t="s">
        <v>820</v>
      </c>
      <c r="D91" s="24">
        <f>16*2/4-3</f>
        <v>5</v>
      </c>
      <c r="E91" s="25" t="s">
        <v>816</v>
      </c>
    </row>
    <row r="92" spans="1:5" x14ac:dyDescent="0.25">
      <c r="A92" s="85">
        <v>20211012</v>
      </c>
      <c r="B92" s="21">
        <v>91</v>
      </c>
      <c r="C92" s="46" t="s">
        <v>821</v>
      </c>
      <c r="D92" s="24">
        <f>6+12+8</f>
        <v>26</v>
      </c>
      <c r="E92" s="36" t="s">
        <v>822</v>
      </c>
    </row>
    <row r="93" spans="1:5" x14ac:dyDescent="0.25">
      <c r="A93" s="86"/>
      <c r="B93" s="21">
        <v>92</v>
      </c>
      <c r="C93" s="46" t="s">
        <v>823</v>
      </c>
      <c r="D93" s="24">
        <f>12/4</f>
        <v>3</v>
      </c>
      <c r="E93" s="36" t="s">
        <v>822</v>
      </c>
    </row>
    <row r="94" spans="1:5" x14ac:dyDescent="0.25">
      <c r="A94" s="86"/>
      <c r="B94" s="21">
        <v>93</v>
      </c>
      <c r="C94" s="46" t="s">
        <v>824</v>
      </c>
      <c r="D94" s="24">
        <f>4</f>
        <v>4</v>
      </c>
      <c r="E94" s="36" t="s">
        <v>822</v>
      </c>
    </row>
    <row r="95" spans="1:5" x14ac:dyDescent="0.25">
      <c r="A95" s="86"/>
      <c r="B95" s="21">
        <v>94</v>
      </c>
      <c r="C95" s="46" t="s">
        <v>825</v>
      </c>
      <c r="D95" s="56">
        <v>3</v>
      </c>
      <c r="E95" s="36" t="s">
        <v>822</v>
      </c>
    </row>
    <row r="96" spans="1:5" x14ac:dyDescent="0.25">
      <c r="A96" s="86"/>
      <c r="B96" s="21">
        <v>95</v>
      </c>
      <c r="C96" s="46" t="s">
        <v>826</v>
      </c>
      <c r="D96" s="56">
        <v>4</v>
      </c>
      <c r="E96" s="36" t="s">
        <v>822</v>
      </c>
    </row>
    <row r="97" spans="1:5" x14ac:dyDescent="0.25">
      <c r="A97" s="86"/>
      <c r="B97" s="21">
        <v>96</v>
      </c>
      <c r="C97" s="46" t="s">
        <v>827</v>
      </c>
      <c r="D97" s="24">
        <f>12+8</f>
        <v>20</v>
      </c>
      <c r="E97" s="36" t="s">
        <v>828</v>
      </c>
    </row>
    <row r="98" spans="1:5" x14ac:dyDescent="0.25">
      <c r="A98" s="86"/>
      <c r="B98" s="21">
        <v>97</v>
      </c>
      <c r="C98" s="46" t="s">
        <v>829</v>
      </c>
      <c r="D98" s="24">
        <f>8/4</f>
        <v>2</v>
      </c>
      <c r="E98" s="36" t="s">
        <v>828</v>
      </c>
    </row>
    <row r="99" spans="1:5" x14ac:dyDescent="0.25">
      <c r="A99" s="86"/>
      <c r="B99" s="21">
        <v>98</v>
      </c>
      <c r="C99" s="46" t="s">
        <v>830</v>
      </c>
      <c r="D99" s="24">
        <f>4</f>
        <v>4</v>
      </c>
      <c r="E99" s="36" t="s">
        <v>828</v>
      </c>
    </row>
    <row r="100" spans="1:5" x14ac:dyDescent="0.25">
      <c r="A100" s="86"/>
      <c r="B100" s="21">
        <v>99</v>
      </c>
      <c r="C100" s="46" t="s">
        <v>831</v>
      </c>
      <c r="D100" s="56">
        <v>3</v>
      </c>
      <c r="E100" s="36" t="s">
        <v>828</v>
      </c>
    </row>
    <row r="101" spans="1:5" x14ac:dyDescent="0.25">
      <c r="A101" s="86"/>
      <c r="B101" s="21">
        <v>100</v>
      </c>
      <c r="C101" s="46" t="s">
        <v>832</v>
      </c>
      <c r="D101" s="56">
        <v>4</v>
      </c>
      <c r="E101" s="36" t="s">
        <v>828</v>
      </c>
    </row>
    <row r="102" spans="1:5" x14ac:dyDescent="0.25">
      <c r="A102" s="85">
        <v>20211013</v>
      </c>
      <c r="B102" s="21">
        <v>101</v>
      </c>
      <c r="C102" s="53" t="s">
        <v>833</v>
      </c>
      <c r="D102" s="27">
        <f>6*12</f>
        <v>72</v>
      </c>
      <c r="E102" s="53" t="s">
        <v>834</v>
      </c>
    </row>
    <row r="103" spans="1:5" x14ac:dyDescent="0.25">
      <c r="A103" s="86"/>
      <c r="B103" s="21">
        <v>102</v>
      </c>
      <c r="C103" s="53" t="s">
        <v>835</v>
      </c>
      <c r="D103" s="27">
        <f>60/12</f>
        <v>5</v>
      </c>
      <c r="E103" s="53" t="s">
        <v>834</v>
      </c>
    </row>
    <row r="104" spans="1:5" x14ac:dyDescent="0.25">
      <c r="A104" s="86"/>
      <c r="B104" s="21">
        <v>103</v>
      </c>
      <c r="C104" s="53" t="s">
        <v>836</v>
      </c>
      <c r="D104" s="27">
        <f>7-2</f>
        <v>5</v>
      </c>
      <c r="E104" s="53" t="s">
        <v>834</v>
      </c>
    </row>
    <row r="105" spans="1:5" x14ac:dyDescent="0.25">
      <c r="A105" s="86"/>
      <c r="B105" s="21">
        <v>104</v>
      </c>
      <c r="C105" s="53" t="s">
        <v>837</v>
      </c>
      <c r="D105" s="54">
        <f>2+3+4+5</f>
        <v>14</v>
      </c>
      <c r="E105" s="53" t="s">
        <v>834</v>
      </c>
    </row>
    <row r="106" spans="1:5" x14ac:dyDescent="0.25">
      <c r="A106" s="86"/>
      <c r="B106" s="21">
        <v>105</v>
      </c>
      <c r="C106" s="53" t="s">
        <v>838</v>
      </c>
      <c r="D106" s="54">
        <f>72/12 * 4</f>
        <v>24</v>
      </c>
      <c r="E106" s="53" t="s">
        <v>834</v>
      </c>
    </row>
    <row r="107" spans="1:5" x14ac:dyDescent="0.25">
      <c r="A107" s="86"/>
      <c r="B107" s="21">
        <v>106</v>
      </c>
      <c r="C107" s="23" t="s">
        <v>839</v>
      </c>
      <c r="D107" s="27">
        <f>3*3</f>
        <v>9</v>
      </c>
      <c r="E107" s="23" t="s">
        <v>840</v>
      </c>
    </row>
    <row r="108" spans="1:5" x14ac:dyDescent="0.25">
      <c r="A108" s="86"/>
      <c r="B108" s="21">
        <v>107</v>
      </c>
      <c r="C108" s="23" t="s">
        <v>841</v>
      </c>
      <c r="D108" s="27">
        <f>4*2 + (4+2)</f>
        <v>14</v>
      </c>
      <c r="E108" s="23" t="s">
        <v>840</v>
      </c>
    </row>
    <row r="109" spans="1:5" x14ac:dyDescent="0.25">
      <c r="A109" s="86"/>
      <c r="B109" s="21">
        <v>108</v>
      </c>
      <c r="C109" s="23" t="s">
        <v>842</v>
      </c>
      <c r="D109" s="27">
        <f>10-2</f>
        <v>8</v>
      </c>
      <c r="E109" s="23" t="s">
        <v>840</v>
      </c>
    </row>
    <row r="110" spans="1:5" x14ac:dyDescent="0.25">
      <c r="A110" s="86"/>
      <c r="B110" s="21">
        <v>109</v>
      </c>
      <c r="C110" s="23" t="s">
        <v>843</v>
      </c>
      <c r="D110" s="27">
        <f>18/3 - (5-2)</f>
        <v>3</v>
      </c>
      <c r="E110" s="23" t="s">
        <v>840</v>
      </c>
    </row>
    <row r="111" spans="1:5" x14ac:dyDescent="0.25">
      <c r="A111" s="86"/>
      <c r="B111" s="21">
        <v>110</v>
      </c>
      <c r="C111" s="23" t="s">
        <v>844</v>
      </c>
      <c r="D111" s="27">
        <f>16/2 + 2</f>
        <v>10</v>
      </c>
      <c r="E111" s="23" t="s">
        <v>840</v>
      </c>
    </row>
    <row r="112" spans="1:5" x14ac:dyDescent="0.25">
      <c r="A112" s="87">
        <v>20211014</v>
      </c>
      <c r="B112" s="22">
        <v>111</v>
      </c>
      <c r="C112" s="23" t="s">
        <v>845</v>
      </c>
      <c r="D112" s="27">
        <f>50/(2+3)</f>
        <v>10</v>
      </c>
      <c r="E112" s="23" t="s">
        <v>840</v>
      </c>
    </row>
    <row r="113" spans="1:5" x14ac:dyDescent="0.25">
      <c r="A113" s="86"/>
      <c r="B113" s="22">
        <v>112</v>
      </c>
      <c r="C113" s="23" t="s">
        <v>846</v>
      </c>
      <c r="D113" s="27">
        <f>2*(5*4)+8*5</f>
        <v>80</v>
      </c>
      <c r="E113" s="23" t="s">
        <v>847</v>
      </c>
    </row>
    <row r="114" spans="1:5" x14ac:dyDescent="0.25">
      <c r="A114" s="86"/>
      <c r="B114" s="22">
        <v>113</v>
      </c>
      <c r="C114" s="23" t="s">
        <v>848</v>
      </c>
      <c r="D114" s="27">
        <f>12/2 * 3 * 5</f>
        <v>90</v>
      </c>
      <c r="E114" s="23" t="s">
        <v>847</v>
      </c>
    </row>
    <row r="115" spans="1:5" x14ac:dyDescent="0.25">
      <c r="A115" s="86"/>
      <c r="B115" s="81">
        <v>114</v>
      </c>
      <c r="C115" s="23" t="s">
        <v>849</v>
      </c>
      <c r="D115" s="27">
        <f>400/(2*10)</f>
        <v>20</v>
      </c>
      <c r="E115" s="23" t="s">
        <v>847</v>
      </c>
    </row>
    <row r="116" spans="1:5" x14ac:dyDescent="0.25">
      <c r="A116" s="86"/>
      <c r="B116" s="81">
        <v>115</v>
      </c>
      <c r="C116" s="23" t="s">
        <v>850</v>
      </c>
      <c r="D116" s="27" t="e">
        <f ca="1">POW(150/6,1/2)</f>
        <v>#NAME?</v>
      </c>
      <c r="E116" s="23" t="s">
        <v>847</v>
      </c>
    </row>
    <row r="117" spans="1:5" x14ac:dyDescent="0.25">
      <c r="A117" s="86"/>
      <c r="B117" s="81">
        <v>116</v>
      </c>
      <c r="C117" s="23" t="s">
        <v>851</v>
      </c>
      <c r="D117" s="27">
        <f>(220-20-20) / (2*4 + 2*5) * 4 + (4+5)*4</f>
        <v>76</v>
      </c>
      <c r="E117" s="23" t="s">
        <v>847</v>
      </c>
    </row>
    <row r="118" spans="1:5" x14ac:dyDescent="0.25">
      <c r="A118" s="86"/>
      <c r="B118" s="22">
        <v>117</v>
      </c>
      <c r="C118" s="23" t="s">
        <v>852</v>
      </c>
      <c r="D118" s="27">
        <f>5 + 1</f>
        <v>6</v>
      </c>
      <c r="E118" s="23" t="s">
        <v>853</v>
      </c>
    </row>
    <row r="119" spans="1:5" x14ac:dyDescent="0.25">
      <c r="A119" s="86"/>
      <c r="B119" s="22">
        <v>118</v>
      </c>
      <c r="C119" s="23" t="s">
        <v>854</v>
      </c>
      <c r="D119" s="27">
        <f>(6*2) + (6+1)</f>
        <v>19</v>
      </c>
      <c r="E119" s="23" t="s">
        <v>853</v>
      </c>
    </row>
    <row r="120" spans="1:5" x14ac:dyDescent="0.25">
      <c r="A120" s="86"/>
      <c r="B120" s="22">
        <v>119</v>
      </c>
      <c r="C120" s="23" t="s">
        <v>855</v>
      </c>
      <c r="D120" s="27">
        <f>11-1</f>
        <v>10</v>
      </c>
      <c r="E120" s="23" t="s">
        <v>853</v>
      </c>
    </row>
    <row r="121" spans="1:5" x14ac:dyDescent="0.25">
      <c r="A121" s="86"/>
      <c r="B121" s="22">
        <v>120</v>
      </c>
      <c r="C121" s="23" t="s">
        <v>856</v>
      </c>
      <c r="D121" s="27">
        <f>(20/2) + 1</f>
        <v>11</v>
      </c>
      <c r="E121" s="23" t="s">
        <v>853</v>
      </c>
    </row>
    <row r="122" spans="1:5" x14ac:dyDescent="0.25">
      <c r="A122" s="87">
        <v>20211015</v>
      </c>
      <c r="B122" s="22">
        <v>121</v>
      </c>
      <c r="C122" s="23" t="s">
        <v>857</v>
      </c>
      <c r="D122" s="27">
        <f>(28-1)/3</f>
        <v>9</v>
      </c>
      <c r="E122" s="23" t="s">
        <v>853</v>
      </c>
    </row>
    <row r="123" spans="1:5" x14ac:dyDescent="0.25">
      <c r="A123" s="86"/>
      <c r="B123" s="22">
        <v>122</v>
      </c>
      <c r="C123" s="23" t="s">
        <v>858</v>
      </c>
      <c r="D123" s="27">
        <f>(9-1)/1</f>
        <v>8</v>
      </c>
      <c r="E123" s="23" t="s">
        <v>853</v>
      </c>
    </row>
    <row r="124" spans="1:5" x14ac:dyDescent="0.25">
      <c r="A124" s="86"/>
      <c r="B124" s="81">
        <v>123</v>
      </c>
      <c r="C124" s="23" t="s">
        <v>859</v>
      </c>
      <c r="D124" s="27">
        <f>5*3 - 5*2</f>
        <v>5</v>
      </c>
      <c r="E124" s="23" t="s">
        <v>853</v>
      </c>
    </row>
    <row r="125" spans="1:5" x14ac:dyDescent="0.25">
      <c r="A125" s="86"/>
      <c r="B125" s="81">
        <v>124</v>
      </c>
      <c r="C125" s="23" t="s">
        <v>860</v>
      </c>
      <c r="D125" s="27">
        <f>(18/3) + (5-1)</f>
        <v>10</v>
      </c>
      <c r="E125" s="23" t="s">
        <v>853</v>
      </c>
    </row>
    <row r="126" spans="1:5" x14ac:dyDescent="0.25">
      <c r="A126" s="86"/>
      <c r="B126" s="81">
        <v>125</v>
      </c>
      <c r="C126" s="23" t="s">
        <v>861</v>
      </c>
      <c r="D126" s="27">
        <f>(10/2)*3 - ((10/2) +1)</f>
        <v>9</v>
      </c>
      <c r="E126" s="23" t="s">
        <v>853</v>
      </c>
    </row>
    <row r="127" spans="1:5" x14ac:dyDescent="0.25">
      <c r="A127" s="86"/>
      <c r="B127" s="22">
        <v>126</v>
      </c>
      <c r="C127" s="23" t="s">
        <v>862</v>
      </c>
      <c r="D127" s="27">
        <f>(5*8)+(5*5)</f>
        <v>65</v>
      </c>
      <c r="E127" s="23" t="s">
        <v>863</v>
      </c>
    </row>
    <row r="128" spans="1:5" x14ac:dyDescent="0.25">
      <c r="A128" s="86"/>
      <c r="B128" s="22">
        <v>127</v>
      </c>
      <c r="C128" s="23" t="s">
        <v>864</v>
      </c>
      <c r="D128" s="27">
        <f>(75-7*5)/5</f>
        <v>8</v>
      </c>
      <c r="E128" s="23" t="s">
        <v>863</v>
      </c>
    </row>
    <row r="129" spans="1:5" x14ac:dyDescent="0.25">
      <c r="A129" s="86"/>
      <c r="B129" s="22">
        <v>128</v>
      </c>
      <c r="C129" s="23" t="s">
        <v>865</v>
      </c>
      <c r="D129" s="27">
        <f>(108-((12/2)*10))/(12/2)</f>
        <v>8</v>
      </c>
      <c r="E129" s="23" t="s">
        <v>863</v>
      </c>
    </row>
    <row r="130" spans="1:5" x14ac:dyDescent="0.25">
      <c r="A130" s="86"/>
      <c r="B130" s="22">
        <v>129</v>
      </c>
      <c r="C130" s="23" t="s">
        <v>866</v>
      </c>
      <c r="D130" s="27">
        <f>(10*6) + (13*6)</f>
        <v>138</v>
      </c>
      <c r="E130" s="23" t="s">
        <v>863</v>
      </c>
    </row>
    <row r="131" spans="1:5" x14ac:dyDescent="0.25">
      <c r="A131" s="86"/>
      <c r="B131" s="22">
        <v>130</v>
      </c>
      <c r="C131" s="23" t="s">
        <v>867</v>
      </c>
      <c r="D131" s="27">
        <f>(8-1)*10</f>
        <v>70</v>
      </c>
      <c r="E131" s="23" t="s">
        <v>863</v>
      </c>
    </row>
    <row r="132" spans="1:5" x14ac:dyDescent="0.25">
      <c r="A132" s="87">
        <v>20211018</v>
      </c>
      <c r="B132" s="22">
        <v>131</v>
      </c>
      <c r="C132" s="23" t="s">
        <v>868</v>
      </c>
      <c r="D132" s="27">
        <f>(7+2) + (6+1)</f>
        <v>16</v>
      </c>
      <c r="E132" s="23" t="s">
        <v>869</v>
      </c>
    </row>
    <row r="133" spans="1:5" x14ac:dyDescent="0.25">
      <c r="A133" s="86"/>
      <c r="B133" s="81">
        <v>132</v>
      </c>
      <c r="C133" s="23" t="s">
        <v>870</v>
      </c>
      <c r="D133" s="27">
        <f>(8-2)*3 + (7-1)*2</f>
        <v>30</v>
      </c>
      <c r="E133" s="23" t="s">
        <v>869</v>
      </c>
    </row>
    <row r="134" spans="1:5" x14ac:dyDescent="0.25">
      <c r="A134" s="86"/>
      <c r="B134" s="81">
        <v>133</v>
      </c>
      <c r="C134" s="23" t="s">
        <v>871</v>
      </c>
      <c r="D134" s="27">
        <f>12/2 * 3</f>
        <v>18</v>
      </c>
      <c r="E134" s="23" t="s">
        <v>869</v>
      </c>
    </row>
    <row r="135" spans="1:5" x14ac:dyDescent="0.25">
      <c r="A135" s="86"/>
      <c r="B135" s="81">
        <v>134</v>
      </c>
      <c r="C135" s="23" t="s">
        <v>872</v>
      </c>
      <c r="D135" s="27">
        <f>35/(2+3)</f>
        <v>7</v>
      </c>
      <c r="E135" s="23" t="s">
        <v>869</v>
      </c>
    </row>
    <row r="136" spans="1:5" x14ac:dyDescent="0.25">
      <c r="A136" s="86"/>
      <c r="B136" s="22">
        <v>135</v>
      </c>
      <c r="C136" s="23" t="s">
        <v>873</v>
      </c>
      <c r="D136" s="27">
        <f>3*3 + 3*2</f>
        <v>15</v>
      </c>
      <c r="E136" s="23" t="s">
        <v>869</v>
      </c>
    </row>
    <row r="137" spans="1:5" x14ac:dyDescent="0.25">
      <c r="A137" s="86"/>
      <c r="B137" s="22">
        <v>136</v>
      </c>
      <c r="C137" s="23" t="s">
        <v>874</v>
      </c>
      <c r="D137" s="27">
        <f>10*5*8</f>
        <v>400</v>
      </c>
      <c r="E137" s="23" t="s">
        <v>875</v>
      </c>
    </row>
    <row r="138" spans="1:5" x14ac:dyDescent="0.25">
      <c r="A138" s="86"/>
      <c r="B138" s="22">
        <v>137</v>
      </c>
      <c r="C138" s="23" t="s">
        <v>876</v>
      </c>
      <c r="D138" s="27">
        <f>30*10</f>
        <v>300</v>
      </c>
      <c r="E138" s="23" t="s">
        <v>875</v>
      </c>
    </row>
    <row r="139" spans="1:5" x14ac:dyDescent="0.25">
      <c r="A139" s="86"/>
      <c r="B139" s="22">
        <v>138</v>
      </c>
      <c r="C139" s="23" t="s">
        <v>877</v>
      </c>
      <c r="D139" s="27">
        <f>20*20</f>
        <v>400</v>
      </c>
      <c r="E139" s="23" t="s">
        <v>875</v>
      </c>
    </row>
    <row r="140" spans="1:5" x14ac:dyDescent="0.25">
      <c r="A140" s="86"/>
      <c r="B140" s="22">
        <v>139</v>
      </c>
      <c r="C140" s="23" t="s">
        <v>878</v>
      </c>
      <c r="D140" s="82">
        <f>0.5*0.5*1.2</f>
        <v>0.3</v>
      </c>
      <c r="E140" s="23" t="s">
        <v>875</v>
      </c>
    </row>
    <row r="141" spans="1:5" x14ac:dyDescent="0.25">
      <c r="A141" s="86"/>
      <c r="B141" s="22">
        <v>140</v>
      </c>
      <c r="C141" s="23" t="s">
        <v>879</v>
      </c>
      <c r="D141" s="83">
        <f>6*8*10/1</f>
        <v>480</v>
      </c>
      <c r="E141" s="23" t="s">
        <v>875</v>
      </c>
    </row>
    <row r="142" spans="1:5" x14ac:dyDescent="0.25">
      <c r="A142" s="87">
        <v>20211019</v>
      </c>
      <c r="B142" s="81">
        <v>141</v>
      </c>
      <c r="C142" s="23" t="s">
        <v>880</v>
      </c>
      <c r="D142" s="27">
        <f>(24/4)*(24/4)*10</f>
        <v>360</v>
      </c>
      <c r="E142" s="23" t="s">
        <v>875</v>
      </c>
    </row>
    <row r="143" spans="1:5" x14ac:dyDescent="0.25">
      <c r="A143" s="86"/>
      <c r="B143" s="81">
        <v>142</v>
      </c>
      <c r="C143" s="23" t="s">
        <v>881</v>
      </c>
      <c r="D143" s="27">
        <f>10 * 2* (72-10*4-2*4)/4</f>
        <v>120</v>
      </c>
      <c r="E143" s="23" t="s">
        <v>875</v>
      </c>
    </row>
    <row r="144" spans="1:5" x14ac:dyDescent="0.25">
      <c r="A144" s="86"/>
      <c r="B144" s="81">
        <v>143</v>
      </c>
      <c r="C144" s="23" t="s">
        <v>882</v>
      </c>
      <c r="D144" s="27">
        <f>10*12*15</f>
        <v>1800</v>
      </c>
      <c r="E144" s="23" t="s">
        <v>875</v>
      </c>
    </row>
    <row r="145" spans="1:5" x14ac:dyDescent="0.25">
      <c r="A145" s="86"/>
      <c r="B145" s="22">
        <v>144</v>
      </c>
      <c r="C145" s="23" t="s">
        <v>883</v>
      </c>
      <c r="D145" s="27">
        <f>1040/(13*4)</f>
        <v>20</v>
      </c>
      <c r="E145" s="23" t="s">
        <v>875</v>
      </c>
    </row>
    <row r="146" spans="1:5" x14ac:dyDescent="0.25">
      <c r="A146" s="86"/>
      <c r="B146" s="22">
        <v>145</v>
      </c>
      <c r="C146" s="23" t="s">
        <v>884</v>
      </c>
      <c r="D146" s="27">
        <f>(4*5*10)/(4*2)</f>
        <v>25</v>
      </c>
      <c r="E146" s="23" t="s">
        <v>875</v>
      </c>
    </row>
    <row r="147" spans="1:5" x14ac:dyDescent="0.25">
      <c r="A147" s="86"/>
      <c r="B147" s="22">
        <v>146</v>
      </c>
      <c r="C147" s="23" t="s">
        <v>885</v>
      </c>
      <c r="D147" s="27">
        <f>6*6*6</f>
        <v>216</v>
      </c>
      <c r="E147" s="23" t="s">
        <v>886</v>
      </c>
    </row>
    <row r="148" spans="1:5" x14ac:dyDescent="0.25">
      <c r="A148" s="86"/>
      <c r="B148" s="22">
        <v>147</v>
      </c>
      <c r="C148" s="23" t="s">
        <v>887</v>
      </c>
      <c r="D148" s="27" t="e">
        <f ca="1">POW(81,3/2)</f>
        <v>#NAME?</v>
      </c>
      <c r="E148" s="23" t="s">
        <v>886</v>
      </c>
    </row>
    <row r="149" spans="1:5" x14ac:dyDescent="0.25">
      <c r="A149" s="86"/>
      <c r="B149" s="22">
        <v>148</v>
      </c>
      <c r="C149" s="23" t="s">
        <v>888</v>
      </c>
      <c r="D149" s="27">
        <f>3*3*3</f>
        <v>27</v>
      </c>
      <c r="E149" s="23" t="s">
        <v>886</v>
      </c>
    </row>
    <row r="150" spans="1:5" x14ac:dyDescent="0.25">
      <c r="A150" s="86"/>
      <c r="B150" s="22">
        <v>149</v>
      </c>
      <c r="C150" s="23" t="s">
        <v>889</v>
      </c>
      <c r="D150" s="27" t="e">
        <f ca="1">POW(MIN(15,12,18),3)</f>
        <v>#NAME?</v>
      </c>
      <c r="E150" s="23" t="s">
        <v>886</v>
      </c>
    </row>
    <row r="151" spans="1:5" x14ac:dyDescent="0.25">
      <c r="A151" s="86"/>
      <c r="B151" s="81">
        <v>150</v>
      </c>
      <c r="C151" s="23" t="s">
        <v>890</v>
      </c>
      <c r="D151" s="27" t="e">
        <f ca="1">POW(40/4,3)</f>
        <v>#NAME?</v>
      </c>
      <c r="E151" s="23" t="s">
        <v>886</v>
      </c>
    </row>
    <row r="152" spans="1:5" x14ac:dyDescent="0.25">
      <c r="A152" s="87">
        <v>20211020</v>
      </c>
      <c r="B152" s="81">
        <v>151</v>
      </c>
      <c r="C152" s="53" t="s">
        <v>891</v>
      </c>
      <c r="D152" s="27" t="e">
        <f ca="1">POW(216,1/3)</f>
        <v>#NAME?</v>
      </c>
      <c r="E152" s="23" t="s">
        <v>886</v>
      </c>
    </row>
    <row r="153" spans="1:5" x14ac:dyDescent="0.25">
      <c r="A153" s="86"/>
      <c r="B153" s="81">
        <v>152</v>
      </c>
      <c r="C153" s="23" t="s">
        <v>892</v>
      </c>
      <c r="D153" s="27">
        <f>216/27</f>
        <v>8</v>
      </c>
      <c r="E153" s="23" t="s">
        <v>886</v>
      </c>
    </row>
    <row r="154" spans="1:5" x14ac:dyDescent="0.25">
      <c r="A154" s="86"/>
      <c r="B154" s="22">
        <v>153</v>
      </c>
      <c r="C154" s="23" t="s">
        <v>893</v>
      </c>
      <c r="D154" s="27">
        <f>(4*4*4)/(8*2)</f>
        <v>4</v>
      </c>
      <c r="E154" s="23" t="s">
        <v>886</v>
      </c>
    </row>
    <row r="155" spans="1:5" x14ac:dyDescent="0.25">
      <c r="A155" s="86"/>
      <c r="B155" s="22">
        <v>154</v>
      </c>
      <c r="C155" s="23" t="s">
        <v>894</v>
      </c>
      <c r="D155" s="27" t="e">
        <f ca="1">POW(125*8,1/3)</f>
        <v>#NAME?</v>
      </c>
      <c r="E155" s="23" t="s">
        <v>886</v>
      </c>
    </row>
    <row r="156" spans="1:5" x14ac:dyDescent="0.25">
      <c r="A156" s="86"/>
      <c r="B156" s="22">
        <v>155</v>
      </c>
      <c r="C156" s="23" t="s">
        <v>895</v>
      </c>
      <c r="D156" s="27">
        <f>70*50*4</f>
        <v>14000</v>
      </c>
      <c r="E156" s="23" t="s">
        <v>886</v>
      </c>
    </row>
    <row r="157" spans="1:5" x14ac:dyDescent="0.25">
      <c r="A157" s="86"/>
      <c r="B157" s="22">
        <v>156</v>
      </c>
      <c r="C157" s="23" t="s">
        <v>896</v>
      </c>
      <c r="D157" s="27">
        <f>60*45*3</f>
        <v>8100</v>
      </c>
      <c r="E157" s="23" t="s">
        <v>886</v>
      </c>
    </row>
    <row r="158" spans="1:5" x14ac:dyDescent="0.25">
      <c r="A158" s="86"/>
      <c r="B158" s="22">
        <v>157</v>
      </c>
      <c r="C158" s="23" t="s">
        <v>897</v>
      </c>
      <c r="D158" s="27">
        <f>2*(5*6+6*7+7*5)</f>
        <v>214</v>
      </c>
      <c r="E158" s="23" t="s">
        <v>898</v>
      </c>
    </row>
    <row r="159" spans="1:5" x14ac:dyDescent="0.25">
      <c r="A159" s="86"/>
      <c r="B159" s="22">
        <v>158</v>
      </c>
      <c r="C159" s="23" t="s">
        <v>899</v>
      </c>
      <c r="D159" s="27">
        <f>2*(3*4+4*5+5*3)+2*(4*2+2*6+6*4)</f>
        <v>182</v>
      </c>
      <c r="E159" s="23" t="s">
        <v>898</v>
      </c>
    </row>
    <row r="160" spans="1:5" x14ac:dyDescent="0.25">
      <c r="A160" s="86"/>
      <c r="B160" s="81">
        <v>159</v>
      </c>
      <c r="C160" s="23" t="s">
        <v>900</v>
      </c>
      <c r="D160" s="27" t="e">
        <f ca="1">(210/2-POW(25,1/2)*POW(25,1/2))/(POW(25,1/2)+POW(25,1/2)) * POW(25,1/2) * POW(25,1/2)</f>
        <v>#NAME?</v>
      </c>
      <c r="E160" s="23" t="s">
        <v>898</v>
      </c>
    </row>
    <row r="161" spans="1:5" x14ac:dyDescent="0.25">
      <c r="A161" s="86"/>
      <c r="B161" s="81">
        <v>160</v>
      </c>
      <c r="C161" s="23" t="s">
        <v>901</v>
      </c>
      <c r="D161" s="27">
        <f>(200-20*8)*8</f>
        <v>320</v>
      </c>
      <c r="E161" s="23" t="s">
        <v>898</v>
      </c>
    </row>
    <row r="162" spans="1:5" x14ac:dyDescent="0.25">
      <c r="A162" s="87">
        <v>20211021</v>
      </c>
      <c r="B162" s="81">
        <v>161</v>
      </c>
      <c r="C162" s="23" t="s">
        <v>902</v>
      </c>
      <c r="D162" s="27">
        <f>(200-20*8)/2</f>
        <v>20</v>
      </c>
      <c r="E162" s="23" t="s">
        <v>898</v>
      </c>
    </row>
    <row r="163" spans="1:5" x14ac:dyDescent="0.25">
      <c r="A163" s="86"/>
      <c r="B163" s="22">
        <v>162</v>
      </c>
      <c r="C163" s="23" t="s">
        <v>903</v>
      </c>
      <c r="D163" s="27">
        <f>3*3*2 + 5*3*4</f>
        <v>78</v>
      </c>
      <c r="E163" s="23" t="s">
        <v>898</v>
      </c>
    </row>
    <row r="164" spans="1:5" x14ac:dyDescent="0.25">
      <c r="A164" s="86"/>
      <c r="B164" s="22">
        <v>163</v>
      </c>
      <c r="C164" s="23" t="s">
        <v>904</v>
      </c>
      <c r="D164" s="27">
        <f>(126/2-3*5)/(3+5)</f>
        <v>6</v>
      </c>
      <c r="E164" s="23" t="s">
        <v>898</v>
      </c>
    </row>
    <row r="165" spans="1:5" x14ac:dyDescent="0.25">
      <c r="A165" s="86"/>
      <c r="B165" s="22">
        <v>164</v>
      </c>
      <c r="C165" s="23" t="s">
        <v>905</v>
      </c>
      <c r="D165" s="27">
        <f>2*(3*5 + 5*(180/3/5) + (180/3/5) * 3)</f>
        <v>222</v>
      </c>
      <c r="E165" s="23" t="s">
        <v>898</v>
      </c>
    </row>
    <row r="166" spans="1:5" x14ac:dyDescent="0.25">
      <c r="A166" s="86"/>
      <c r="B166" s="22">
        <v>165</v>
      </c>
      <c r="C166" s="23" t="s">
        <v>906</v>
      </c>
      <c r="D166" s="27">
        <f>5*5*6</f>
        <v>150</v>
      </c>
      <c r="E166" s="23" t="s">
        <v>907</v>
      </c>
    </row>
    <row r="167" spans="1:5" x14ac:dyDescent="0.25">
      <c r="A167" s="86"/>
      <c r="B167" s="22">
        <v>166</v>
      </c>
      <c r="C167" s="23" t="s">
        <v>908</v>
      </c>
      <c r="D167" s="27">
        <f>9*6</f>
        <v>54</v>
      </c>
      <c r="E167" s="23" t="s">
        <v>907</v>
      </c>
    </row>
    <row r="168" spans="1:5" x14ac:dyDescent="0.25">
      <c r="A168" s="86"/>
      <c r="B168" s="22">
        <v>167</v>
      </c>
      <c r="C168" s="23" t="s">
        <v>909</v>
      </c>
      <c r="D168" s="27">
        <f>(20/4)*(20/4)*6</f>
        <v>150</v>
      </c>
      <c r="E168" s="23" t="s">
        <v>907</v>
      </c>
    </row>
    <row r="169" spans="1:5" x14ac:dyDescent="0.25">
      <c r="A169" s="86"/>
      <c r="B169" s="81">
        <v>168</v>
      </c>
      <c r="C169" s="23" t="s">
        <v>910</v>
      </c>
      <c r="D169" s="27">
        <f>MIN(10,13,8) * MIN(10,13,8) * 6</f>
        <v>384</v>
      </c>
      <c r="E169" s="23" t="s">
        <v>907</v>
      </c>
    </row>
    <row r="170" spans="1:5" x14ac:dyDescent="0.25">
      <c r="A170" s="86"/>
      <c r="B170" s="81">
        <v>169</v>
      </c>
      <c r="C170" s="23" t="s">
        <v>911</v>
      </c>
      <c r="D170" s="27" t="e">
        <f ca="1">POW(726/6,1/2)</f>
        <v>#NAME?</v>
      </c>
      <c r="E170" s="23" t="s">
        <v>907</v>
      </c>
    </row>
    <row r="171" spans="1:5" x14ac:dyDescent="0.25">
      <c r="A171" s="86"/>
      <c r="B171" s="81">
        <v>170</v>
      </c>
      <c r="C171" s="23" t="s">
        <v>912</v>
      </c>
      <c r="D171" s="27" t="e">
        <f ca="1">POW(726/6,1/2)*12</f>
        <v>#NAME?</v>
      </c>
      <c r="E171" s="23" t="s">
        <v>907</v>
      </c>
    </row>
    <row r="172" spans="1:5" x14ac:dyDescent="0.25">
      <c r="A172" s="87">
        <v>20211022</v>
      </c>
      <c r="B172" s="22">
        <v>171</v>
      </c>
      <c r="C172" s="23" t="s">
        <v>913</v>
      </c>
      <c r="D172" s="27">
        <f>8*3 + 2*5*3</f>
        <v>54</v>
      </c>
      <c r="E172" s="23" t="s">
        <v>914</v>
      </c>
    </row>
    <row r="173" spans="1:5" x14ac:dyDescent="0.25">
      <c r="A173" s="86"/>
      <c r="B173" s="22">
        <v>172</v>
      </c>
      <c r="C173" s="23" t="s">
        <v>915</v>
      </c>
      <c r="D173" s="82">
        <f>2*8*3.1</f>
        <v>49.6</v>
      </c>
      <c r="E173" s="23" t="s">
        <v>914</v>
      </c>
    </row>
    <row r="174" spans="1:5" x14ac:dyDescent="0.25">
      <c r="A174" s="86"/>
      <c r="B174" s="22">
        <v>173</v>
      </c>
      <c r="C174" s="23" t="s">
        <v>916</v>
      </c>
      <c r="D174" s="27">
        <f>20*3/4</f>
        <v>15</v>
      </c>
      <c r="E174" s="23" t="s">
        <v>914</v>
      </c>
    </row>
    <row r="175" spans="1:5" x14ac:dyDescent="0.25">
      <c r="A175" s="86"/>
      <c r="B175" s="22">
        <v>174</v>
      </c>
      <c r="C175" s="23" t="s">
        <v>917</v>
      </c>
      <c r="D175" s="27">
        <f>48/3 - 54/3/2</f>
        <v>7</v>
      </c>
      <c r="E175" s="23" t="s">
        <v>914</v>
      </c>
    </row>
    <row r="176" spans="1:5" x14ac:dyDescent="0.25">
      <c r="A176" s="86"/>
      <c r="B176" s="22">
        <v>175</v>
      </c>
      <c r="C176" s="23" t="s">
        <v>918</v>
      </c>
      <c r="D176" s="27">
        <f>43.4 * 2 / 3.1 / 2</f>
        <v>14</v>
      </c>
      <c r="E176" s="23" t="s">
        <v>914</v>
      </c>
    </row>
    <row r="177" spans="1:5" x14ac:dyDescent="0.25">
      <c r="A177" s="86"/>
      <c r="B177" s="81">
        <v>176</v>
      </c>
      <c r="C177" s="23" t="s">
        <v>919</v>
      </c>
      <c r="D177" s="27">
        <f>(10/2)*(10/2)*3.14 - 3*3*3.14</f>
        <v>50.239999999999995</v>
      </c>
      <c r="E177" s="23" t="s">
        <v>920</v>
      </c>
    </row>
    <row r="178" spans="1:5" x14ac:dyDescent="0.25">
      <c r="A178" s="86"/>
      <c r="B178" s="81">
        <v>177</v>
      </c>
      <c r="C178" s="23" t="s">
        <v>921</v>
      </c>
      <c r="D178" s="82">
        <f>(50/2)*(50/2)*3.1</f>
        <v>1937.5</v>
      </c>
      <c r="E178" s="23" t="s">
        <v>920</v>
      </c>
    </row>
    <row r="179" spans="1:5" x14ac:dyDescent="0.25">
      <c r="A179" s="86"/>
      <c r="B179" s="81">
        <v>178</v>
      </c>
      <c r="C179" s="23" t="s">
        <v>922</v>
      </c>
      <c r="D179" s="27" t="e">
        <f ca="1">POW(432/3,1/2) * 2</f>
        <v>#NAME?</v>
      </c>
      <c r="E179" s="23" t="s">
        <v>920</v>
      </c>
    </row>
    <row r="180" spans="1:5" x14ac:dyDescent="0.25">
      <c r="A180" s="86"/>
      <c r="B180" s="22">
        <v>179</v>
      </c>
      <c r="C180" s="23" t="s">
        <v>923</v>
      </c>
      <c r="D180" s="27">
        <f>(78/2/3)*(78/2/3)*3</f>
        <v>507</v>
      </c>
      <c r="E180" s="23" t="s">
        <v>920</v>
      </c>
    </row>
    <row r="181" spans="1:5" x14ac:dyDescent="0.25">
      <c r="A181" s="86"/>
      <c r="B181" s="22">
        <v>180</v>
      </c>
      <c r="C181" s="23" t="s">
        <v>924</v>
      </c>
      <c r="D181" s="27" t="e">
        <f ca="1">POW(9*12/3,1/2)</f>
        <v>#NAME?</v>
      </c>
      <c r="E181" s="23" t="s">
        <v>920</v>
      </c>
    </row>
  </sheetData>
  <mergeCells count="18">
    <mergeCell ref="A172:A181"/>
    <mergeCell ref="A72:A81"/>
    <mergeCell ref="A82:A91"/>
    <mergeCell ref="A92:A101"/>
    <mergeCell ref="A102:A111"/>
    <mergeCell ref="A112:A121"/>
    <mergeCell ref="A122:A131"/>
    <mergeCell ref="A132:A141"/>
    <mergeCell ref="A52:A61"/>
    <mergeCell ref="A62:A71"/>
    <mergeCell ref="A142:A151"/>
    <mergeCell ref="A152:A161"/>
    <mergeCell ref="A162:A171"/>
    <mergeCell ref="A2:A11"/>
    <mergeCell ref="A12:A21"/>
    <mergeCell ref="A22:A31"/>
    <mergeCell ref="A32:A41"/>
    <mergeCell ref="A42:A51"/>
  </mergeCells>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현황</vt:lpstr>
      <vt:lpstr>유형1</vt:lpstr>
      <vt:lpstr>유형2</vt:lpstr>
      <vt:lpstr>유형3</vt:lpstr>
      <vt:lpstr>유형4</vt:lpstr>
      <vt:lpstr>유형5</vt:lpstr>
      <vt:lpstr>유형6</vt:lpstr>
      <vt:lpstr>유형7</vt:lpstr>
      <vt:lpstr>유형8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2021-10-27T18:21:28Z</dcterms:modified>
</cp:coreProperties>
</file>