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angwei\Desktop\Made by wei\dataprocessing\"/>
    </mc:Choice>
  </mc:AlternateContent>
  <bookViews>
    <workbookView xWindow="0" yWindow="0" windowWidth="19200" windowHeight="7490"/>
  </bookViews>
  <sheets>
    <sheet name="Contact L" sheetId="1" r:id="rId1"/>
    <sheet name="Total F by Flow" sheetId="2" r:id="rId2"/>
    <sheet name="Sheet3" sheetId="3" r:id="rId3"/>
  </sheets>
  <calcPr calcId="171027" concurrentCalc="0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1" i="1"/>
  <c r="B3" i="1"/>
  <c r="C3" i="1"/>
  <c r="B4" i="1"/>
  <c r="C4" i="1"/>
  <c r="B5" i="1"/>
  <c r="C5" i="1"/>
  <c r="B6" i="1"/>
  <c r="C6" i="1"/>
  <c r="B2" i="1"/>
  <c r="C2" i="1"/>
  <c r="G61" i="2"/>
  <c r="H56" i="2"/>
  <c r="H61" i="2"/>
  <c r="D61" i="2"/>
  <c r="I61" i="2"/>
  <c r="F68" i="2"/>
  <c r="G68" i="2"/>
  <c r="I68" i="2"/>
  <c r="G59" i="2"/>
  <c r="G60" i="2"/>
  <c r="H60" i="2"/>
  <c r="N60" i="2"/>
  <c r="N61" i="2"/>
  <c r="G62" i="2"/>
  <c r="H62" i="2"/>
  <c r="N62" i="2"/>
  <c r="F66" i="2"/>
  <c r="S59" i="2"/>
  <c r="F67" i="2"/>
  <c r="S60" i="2"/>
  <c r="S61" i="2"/>
  <c r="O60" i="2"/>
  <c r="P60" i="2"/>
  <c r="O61" i="2"/>
  <c r="P61" i="2"/>
  <c r="O62" i="2"/>
  <c r="P62" i="2"/>
  <c r="H59" i="2"/>
  <c r="N59" i="2"/>
  <c r="O59" i="2"/>
  <c r="P59" i="2"/>
  <c r="F62" i="2"/>
  <c r="F60" i="2"/>
  <c r="F59" i="2"/>
  <c r="F61" i="2"/>
  <c r="D60" i="2"/>
  <c r="Q60" i="2"/>
  <c r="Q61" i="2"/>
  <c r="D62" i="2"/>
  <c r="Q62" i="2"/>
  <c r="D59" i="2"/>
  <c r="Q59" i="2"/>
  <c r="I62" i="2"/>
  <c r="I60" i="2"/>
  <c r="I59" i="2"/>
  <c r="G67" i="2"/>
  <c r="I67" i="2"/>
  <c r="G66" i="2"/>
  <c r="I66" i="2"/>
  <c r="C69" i="2"/>
  <c r="D69" i="2"/>
  <c r="C68" i="2"/>
  <c r="D68" i="2"/>
  <c r="C67" i="2"/>
  <c r="D67" i="2"/>
  <c r="C66" i="2"/>
  <c r="D66" i="2"/>
  <c r="D21" i="2"/>
  <c r="D33" i="2"/>
  <c r="A55" i="2"/>
  <c r="B55" i="2"/>
  <c r="C55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21" i="2"/>
  <c r="F21" i="2"/>
  <c r="E51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33" i="2"/>
  <c r="F33" i="2"/>
  <c r="E13" i="2"/>
  <c r="F13" i="2"/>
  <c r="E14" i="2"/>
  <c r="F14" i="2"/>
  <c r="E15" i="2"/>
  <c r="F15" i="2"/>
  <c r="E16" i="2"/>
  <c r="F16" i="2"/>
  <c r="E17" i="2"/>
  <c r="F17" i="2"/>
  <c r="E12" i="2"/>
  <c r="F12" i="2"/>
  <c r="E48" i="2"/>
  <c r="E47" i="2"/>
  <c r="E46" i="2"/>
  <c r="E45" i="2"/>
  <c r="F45" i="2"/>
  <c r="E49" i="2"/>
  <c r="E50" i="2"/>
  <c r="F46" i="2"/>
  <c r="F47" i="2"/>
  <c r="F48" i="2"/>
  <c r="F49" i="2"/>
  <c r="F50" i="2"/>
  <c r="F51" i="2"/>
  <c r="E44" i="2"/>
  <c r="F44" i="2"/>
  <c r="E4" i="2"/>
  <c r="F4" i="2"/>
  <c r="E5" i="2"/>
  <c r="F5" i="2"/>
  <c r="E6" i="2"/>
  <c r="F6" i="2"/>
  <c r="E7" i="2"/>
  <c r="F7" i="2"/>
  <c r="E8" i="2"/>
  <c r="F8" i="2"/>
  <c r="E3" i="2"/>
  <c r="F3" i="2"/>
  <c r="D29" i="2"/>
  <c r="D40" i="2"/>
  <c r="D51" i="2"/>
  <c r="D39" i="2"/>
  <c r="D50" i="2"/>
  <c r="D38" i="2"/>
  <c r="D49" i="2"/>
  <c r="D37" i="2"/>
  <c r="D36" i="2"/>
  <c r="D48" i="2"/>
  <c r="D35" i="2"/>
  <c r="D47" i="2"/>
  <c r="D34" i="2"/>
  <c r="D46" i="2"/>
  <c r="D45" i="2"/>
  <c r="D28" i="2"/>
  <c r="D44" i="2"/>
  <c r="D27" i="2"/>
  <c r="D26" i="2"/>
  <c r="D17" i="2"/>
  <c r="D25" i="2"/>
  <c r="D16" i="2"/>
  <c r="D24" i="2"/>
  <c r="D15" i="2"/>
  <c r="D23" i="2"/>
  <c r="D14" i="2"/>
  <c r="D22" i="2"/>
  <c r="D13" i="2"/>
  <c r="D12" i="2"/>
  <c r="D8" i="2"/>
  <c r="D7" i="2"/>
  <c r="D6" i="2"/>
  <c r="D5" i="2"/>
  <c r="D4" i="2"/>
  <c r="D3" i="2"/>
  <c r="B28" i="2"/>
  <c r="C28" i="2"/>
  <c r="B27" i="2"/>
  <c r="C27" i="2"/>
  <c r="B29" i="2"/>
  <c r="C29" i="2"/>
  <c r="B17" i="2"/>
  <c r="C17" i="2"/>
  <c r="E60" i="2"/>
  <c r="E61" i="2"/>
  <c r="E62" i="2"/>
  <c r="E59" i="2"/>
  <c r="B16" i="2"/>
  <c r="C16" i="2"/>
  <c r="B8" i="2"/>
  <c r="C8" i="2"/>
  <c r="B40" i="2"/>
  <c r="C40" i="2"/>
  <c r="B44" i="2"/>
  <c r="C44" i="2"/>
  <c r="B51" i="2"/>
  <c r="C51" i="2"/>
  <c r="B46" i="2"/>
  <c r="C46" i="2"/>
  <c r="B47" i="2"/>
  <c r="C47" i="2"/>
  <c r="B48" i="2"/>
  <c r="C48" i="2"/>
  <c r="B49" i="2"/>
  <c r="C49" i="2"/>
  <c r="B50" i="2"/>
  <c r="C50" i="2"/>
  <c r="B45" i="2"/>
  <c r="C45" i="2"/>
  <c r="B34" i="2"/>
  <c r="C34" i="2"/>
  <c r="B35" i="2"/>
  <c r="C35" i="2"/>
  <c r="B36" i="2"/>
  <c r="C36" i="2"/>
  <c r="B37" i="2"/>
  <c r="C37" i="2"/>
  <c r="B38" i="2"/>
  <c r="C38" i="2"/>
  <c r="B39" i="2"/>
  <c r="C39" i="2"/>
  <c r="B33" i="2"/>
  <c r="C33" i="2"/>
  <c r="B22" i="2"/>
  <c r="C22" i="2"/>
  <c r="B23" i="2"/>
  <c r="C23" i="2"/>
  <c r="B24" i="2"/>
  <c r="C24" i="2"/>
  <c r="B25" i="2"/>
  <c r="C25" i="2"/>
  <c r="B26" i="2"/>
  <c r="C26" i="2"/>
  <c r="B21" i="2"/>
  <c r="C21" i="2"/>
  <c r="B13" i="2"/>
  <c r="C13" i="2"/>
  <c r="B14" i="2"/>
  <c r="C14" i="2"/>
  <c r="B15" i="2"/>
  <c r="C15" i="2"/>
  <c r="B12" i="2"/>
  <c r="C12" i="2"/>
  <c r="B4" i="2"/>
  <c r="C4" i="2"/>
  <c r="B5" i="2"/>
  <c r="C5" i="2"/>
  <c r="B6" i="2"/>
  <c r="C6" i="2"/>
  <c r="B7" i="2"/>
  <c r="C7" i="2"/>
  <c r="B3" i="2"/>
  <c r="C3" i="2"/>
</calcChain>
</file>

<file path=xl/sharedStrings.xml><?xml version="1.0" encoding="utf-8"?>
<sst xmlns="http://schemas.openxmlformats.org/spreadsheetml/2006/main" count="78" uniqueCount="33">
  <si>
    <t>Diameter</t>
  </si>
  <si>
    <t>Diameter (um)</t>
  </si>
  <si>
    <t>Contact L</t>
  </si>
  <si>
    <t>um</t>
  </si>
  <si>
    <t>Penetration L (um)</t>
  </si>
  <si>
    <t>W (um)</t>
  </si>
  <si>
    <t>Cell L (um)</t>
  </si>
  <si>
    <t>EpCAM</t>
  </si>
  <si>
    <t>MCF-10A</t>
  </si>
  <si>
    <t>MCF-7</t>
  </si>
  <si>
    <t>HeLa</t>
  </si>
  <si>
    <t>PC3</t>
  </si>
  <si>
    <t>L (um)</t>
  </si>
  <si>
    <t>Dia (um)</t>
  </si>
  <si>
    <t>Force (nN/kPa)</t>
  </si>
  <si>
    <t>Q (mm^3/s)</t>
  </si>
  <si>
    <t>Empty Channel</t>
  </si>
  <si>
    <t>Resistance (10^15 x Pa s/m^3)</t>
  </si>
  <si>
    <t>Resistance (MPa s/mm^3)</t>
  </si>
  <si>
    <t>Compression (nN)</t>
  </si>
  <si>
    <t>tan(theta)</t>
  </si>
  <si>
    <t>E (kPa) - rough estimate</t>
  </si>
  <si>
    <t>Force by Shear</t>
  </si>
  <si>
    <t>EpCAM at contact</t>
  </si>
  <si>
    <t>Real F/Shear F</t>
  </si>
  <si>
    <t>E (kPa)</t>
  </si>
  <si>
    <t>Sim (kPa)</t>
  </si>
  <si>
    <t>Tatara Analysis</t>
  </si>
  <si>
    <t>a (um)</t>
  </si>
  <si>
    <t>f(a) (/um)</t>
  </si>
  <si>
    <t>Delta real</t>
  </si>
  <si>
    <t>Delta fit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</si>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</sst>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0" fillId="0" borderId="0" xfId="0" applyNumberFormat="1"/>
    <xf numFmtId="0" fontId="2" fillId="3" borderId="0" xfId="0" applyFont="1" applyFill="1"/>
    <xf numFmtId="0" fontId="0" fillId="3" borderId="0" xfId="0" applyFill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FF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688370260430505"/>
          <c:y val="5.1400554097404488E-2"/>
          <c:w val="0.72927657569675164"/>
          <c:h val="0.78169364246135897"/>
        </c:manualLayout>
      </c:layout>
      <c:scatterChart>
        <c:scatterStyle val="lineMarker"/>
        <c:varyColors val="0"/>
        <c:ser>
          <c:idx val="0"/>
          <c:order val="0"/>
          <c:tx>
            <c:v>10 um</c:v>
          </c:tx>
          <c:spPr>
            <a:ln w="19050">
              <a:solidFill>
                <a:srgbClr val="0000FF"/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  <a:ln w="19050">
                <a:solidFill>
                  <a:srgbClr val="0000FF"/>
                </a:solidFill>
              </a:ln>
            </c:spPr>
          </c:marker>
          <c:xVal>
            <c:numRef>
              <c:f>'Total F by Flow'!$A$3:$A$8</c:f>
              <c:numCache>
                <c:formatCode>General</c:formatCode>
                <c:ptCount val="6"/>
                <c:pt idx="0">
                  <c:v>240</c:v>
                </c:pt>
                <c:pt idx="1">
                  <c:v>250</c:v>
                </c:pt>
                <c:pt idx="2">
                  <c:v>260</c:v>
                </c:pt>
                <c:pt idx="3">
                  <c:v>270</c:v>
                </c:pt>
                <c:pt idx="4">
                  <c:v>280</c:v>
                </c:pt>
                <c:pt idx="5">
                  <c:v>290</c:v>
                </c:pt>
              </c:numCache>
            </c:numRef>
          </c:xVal>
          <c:yVal>
            <c:numRef>
              <c:f>'Total F by Flow'!$D$3:$D$8</c:f>
              <c:numCache>
                <c:formatCode>General</c:formatCode>
                <c:ptCount val="6"/>
                <c:pt idx="0">
                  <c:v>13.996</c:v>
                </c:pt>
                <c:pt idx="1">
                  <c:v>16.462800000000001</c:v>
                </c:pt>
                <c:pt idx="2">
                  <c:v>19.058399999999999</c:v>
                </c:pt>
                <c:pt idx="3">
                  <c:v>23.847999999999999</c:v>
                </c:pt>
                <c:pt idx="4">
                  <c:v>29.99316</c:v>
                </c:pt>
                <c:pt idx="5">
                  <c:v>36.268000000000001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BB-4079-BAF9-44BEA4641FC4}"/>
            </c:ext>
          </c:extLst>
        </c:ser>
        <c:ser>
          <c:idx val="1"/>
          <c:order val="1"/>
          <c:tx>
            <c:v>15 um</c:v>
          </c:tx>
          <c:spPr>
            <a:ln w="19050">
              <a:solidFill>
                <a:srgbClr val="FF0000"/>
              </a:solidFill>
            </a:ln>
          </c:spPr>
          <c:marker>
            <c:symbol val="square"/>
            <c:size val="7"/>
            <c:spPr>
              <a:solidFill>
                <a:schemeClr val="bg1"/>
              </a:solidFill>
              <a:ln w="19050">
                <a:solidFill>
                  <a:srgbClr val="FF0000"/>
                </a:solidFill>
              </a:ln>
            </c:spPr>
          </c:marker>
          <c:xVal>
            <c:numRef>
              <c:f>'Total F by Flow'!$A$12:$A$17</c:f>
              <c:numCache>
                <c:formatCode>General</c:formatCode>
                <c:ptCount val="6"/>
                <c:pt idx="0">
                  <c:v>175</c:v>
                </c:pt>
                <c:pt idx="1">
                  <c:v>200</c:v>
                </c:pt>
                <c:pt idx="2">
                  <c:v>225</c:v>
                </c:pt>
                <c:pt idx="3">
                  <c:v>250</c:v>
                </c:pt>
                <c:pt idx="4">
                  <c:v>275</c:v>
                </c:pt>
                <c:pt idx="5">
                  <c:v>285</c:v>
                </c:pt>
              </c:numCache>
            </c:numRef>
          </c:xVal>
          <c:yVal>
            <c:numRef>
              <c:f>'Total F by Flow'!$D$12:$D$17</c:f>
              <c:numCache>
                <c:formatCode>General</c:formatCode>
                <c:ptCount val="6"/>
                <c:pt idx="0">
                  <c:v>15.811999999999999</c:v>
                </c:pt>
                <c:pt idx="1">
                  <c:v>23.578800000000001</c:v>
                </c:pt>
                <c:pt idx="2">
                  <c:v>33.503999999999998</c:v>
                </c:pt>
                <c:pt idx="3">
                  <c:v>49.256</c:v>
                </c:pt>
                <c:pt idx="4">
                  <c:v>76.742000000000004</c:v>
                </c:pt>
                <c:pt idx="5">
                  <c:v>89.96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BB-4079-BAF9-44BEA4641FC4}"/>
            </c:ext>
          </c:extLst>
        </c:ser>
        <c:ser>
          <c:idx val="2"/>
          <c:order val="2"/>
          <c:tx>
            <c:v>20 um</c:v>
          </c:tx>
          <c:spPr>
            <a:ln w="19050">
              <a:solidFill>
                <a:srgbClr val="009900"/>
              </a:solidFill>
            </a:ln>
          </c:spPr>
          <c:marker>
            <c:symbol val="diamond"/>
            <c:size val="9"/>
            <c:spPr>
              <a:solidFill>
                <a:schemeClr val="bg1"/>
              </a:solidFill>
              <a:ln w="19050">
                <a:solidFill>
                  <a:srgbClr val="009900"/>
                </a:solidFill>
              </a:ln>
            </c:spPr>
          </c:marker>
          <c:xVal>
            <c:numRef>
              <c:f>'Total F by Flow'!$A$21:$A$29</c:f>
              <c:numCache>
                <c:formatCode>General</c:formatCode>
                <c:ptCount val="9"/>
                <c:pt idx="0">
                  <c:v>120</c:v>
                </c:pt>
                <c:pt idx="1">
                  <c:v>140</c:v>
                </c:pt>
                <c:pt idx="2">
                  <c:v>160</c:v>
                </c:pt>
                <c:pt idx="3">
                  <c:v>180</c:v>
                </c:pt>
                <c:pt idx="4">
                  <c:v>200</c:v>
                </c:pt>
                <c:pt idx="5">
                  <c:v>220</c:v>
                </c:pt>
                <c:pt idx="6">
                  <c:v>240</c:v>
                </c:pt>
                <c:pt idx="7">
                  <c:v>260</c:v>
                </c:pt>
                <c:pt idx="8">
                  <c:v>280</c:v>
                </c:pt>
              </c:numCache>
            </c:numRef>
          </c:xVal>
          <c:yVal>
            <c:numRef>
              <c:f>'Total F by Flow'!$D$21:$D$29</c:f>
              <c:numCache>
                <c:formatCode>General</c:formatCode>
                <c:ptCount val="9"/>
                <c:pt idx="0">
                  <c:v>25.462800000000001</c:v>
                </c:pt>
                <c:pt idx="1">
                  <c:v>34.159999999999997</c:v>
                </c:pt>
                <c:pt idx="2">
                  <c:v>42.828000000000003</c:v>
                </c:pt>
                <c:pt idx="3">
                  <c:v>53.195999999999998</c:v>
                </c:pt>
                <c:pt idx="4">
                  <c:v>66.36</c:v>
                </c:pt>
                <c:pt idx="5">
                  <c:v>85.08</c:v>
                </c:pt>
                <c:pt idx="6">
                  <c:v>111.02</c:v>
                </c:pt>
                <c:pt idx="7">
                  <c:v>146.76</c:v>
                </c:pt>
                <c:pt idx="8">
                  <c:v>181.8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BB-4079-BAF9-44BEA4641FC4}"/>
            </c:ext>
          </c:extLst>
        </c:ser>
        <c:ser>
          <c:idx val="3"/>
          <c:order val="3"/>
          <c:tx>
            <c:v>25 um</c:v>
          </c:tx>
          <c:spPr>
            <a:ln w="19050">
              <a:solidFill>
                <a:schemeClr val="tx1"/>
              </a:solidFill>
            </a:ln>
          </c:spPr>
          <c:marker>
            <c:symbol val="triangle"/>
            <c:size val="7"/>
            <c:spPr>
              <a:solidFill>
                <a:schemeClr val="bg1"/>
              </a:solidFill>
              <a:ln w="19050">
                <a:solidFill>
                  <a:schemeClr val="tx1"/>
                </a:solidFill>
              </a:ln>
            </c:spPr>
          </c:marker>
          <c:xVal>
            <c:numRef>
              <c:f>'Total F by Flow'!$A$33:$A$40</c:f>
              <c:numCache>
                <c:formatCode>General</c:formatCode>
                <c:ptCount val="8"/>
                <c:pt idx="0">
                  <c:v>60</c:v>
                </c:pt>
                <c:pt idx="1">
                  <c:v>90</c:v>
                </c:pt>
                <c:pt idx="2">
                  <c:v>120</c:v>
                </c:pt>
                <c:pt idx="3">
                  <c:v>150</c:v>
                </c:pt>
                <c:pt idx="4">
                  <c:v>180</c:v>
                </c:pt>
                <c:pt idx="5">
                  <c:v>210</c:v>
                </c:pt>
                <c:pt idx="6">
                  <c:v>240</c:v>
                </c:pt>
                <c:pt idx="7">
                  <c:v>260</c:v>
                </c:pt>
              </c:numCache>
            </c:numRef>
          </c:xVal>
          <c:yVal>
            <c:numRef>
              <c:f>'Total F by Flow'!$D$33:$D$40</c:f>
              <c:numCache>
                <c:formatCode>General</c:formatCode>
                <c:ptCount val="8"/>
                <c:pt idx="0">
                  <c:v>44.915999999999997</c:v>
                </c:pt>
                <c:pt idx="1">
                  <c:v>61.78</c:v>
                </c:pt>
                <c:pt idx="2">
                  <c:v>82.16</c:v>
                </c:pt>
                <c:pt idx="3">
                  <c:v>108.32</c:v>
                </c:pt>
                <c:pt idx="4">
                  <c:v>148</c:v>
                </c:pt>
                <c:pt idx="5">
                  <c:v>210.36</c:v>
                </c:pt>
                <c:pt idx="6">
                  <c:v>292.72000000000003</c:v>
                </c:pt>
                <c:pt idx="7">
                  <c:v>321.88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BB-4079-BAF9-44BEA4641FC4}"/>
            </c:ext>
          </c:extLst>
        </c:ser>
        <c:ser>
          <c:idx val="4"/>
          <c:order val="4"/>
          <c:tx>
            <c:v>30 um</c:v>
          </c:tx>
          <c:spPr>
            <a:ln w="1905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x"/>
            <c:size val="7"/>
            <c:spPr>
              <a:noFill/>
              <a:ln w="19050"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marker>
          <c:xVal>
            <c:numRef>
              <c:f>'Total F by Flow'!$A$44:$A$51</c:f>
              <c:numCache>
                <c:formatCode>General</c:formatCode>
                <c:ptCount val="8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</c:numCache>
            </c:numRef>
          </c:xVal>
          <c:yVal>
            <c:numRef>
              <c:f>'Total F by Flow'!$D$44:$D$51</c:f>
              <c:numCache>
                <c:formatCode>General</c:formatCode>
                <c:ptCount val="8"/>
                <c:pt idx="0">
                  <c:v>106.976</c:v>
                </c:pt>
                <c:pt idx="1">
                  <c:v>133.28</c:v>
                </c:pt>
                <c:pt idx="2">
                  <c:v>163.38399999999999</c:v>
                </c:pt>
                <c:pt idx="3">
                  <c:v>207.04</c:v>
                </c:pt>
                <c:pt idx="4">
                  <c:v>266.48</c:v>
                </c:pt>
                <c:pt idx="5">
                  <c:v>349.56</c:v>
                </c:pt>
                <c:pt idx="6">
                  <c:v>446.4</c:v>
                </c:pt>
                <c:pt idx="7">
                  <c:v>510.48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BB-4079-BAF9-44BEA4641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01472"/>
        <c:axId val="157403776"/>
      </c:scatterChart>
      <c:valAx>
        <c:axId val="157401472"/>
        <c:scaling>
          <c:orientation val="minMax"/>
          <c:max val="300"/>
        </c:scaling>
        <c:delete val="0"/>
        <c:axPos val="b"/>
        <c:title>
          <c:tx>
            <c:rich>
              <a:bodyPr/>
              <a:lstStyle/>
              <a:p>
                <a:pPr>
                  <a:defRPr sz="1200" b="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200" b="0">
                    <a:latin typeface="Arial" panose="020B0604020202020204" pitchFamily="34" charset="0"/>
                    <a:cs typeface="Arial" panose="020B0604020202020204" pitchFamily="34" charset="0"/>
                  </a:rPr>
                  <a:t>Penetration Length (um)</a:t>
                </a:r>
              </a:p>
            </c:rich>
          </c:tx>
          <c:layout>
            <c:manualLayout>
              <c:xMode val="edge"/>
              <c:yMode val="edge"/>
              <c:x val="0.27007492451111881"/>
              <c:y val="0.9104633275007291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57403776"/>
        <c:crosses val="autoZero"/>
        <c:crossBetween val="midCat"/>
      </c:valAx>
      <c:valAx>
        <c:axId val="1574037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200" b="0">
                    <a:latin typeface="Arial" panose="020B0604020202020204" pitchFamily="34" charset="0"/>
                    <a:cs typeface="Arial" panose="020B0604020202020204" pitchFamily="34" charset="0"/>
                  </a:rPr>
                  <a:t>Force /</a:t>
                </a:r>
                <a:r>
                  <a:rPr lang="en-US" sz="12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Inlet Pressure </a:t>
                </a:r>
                <a:r>
                  <a:rPr lang="en-US" sz="1200" b="0">
                    <a:latin typeface="Arial" panose="020B0604020202020204" pitchFamily="34" charset="0"/>
                    <a:cs typeface="Arial" panose="020B0604020202020204" pitchFamily="34" charset="0"/>
                  </a:rPr>
                  <a:t>(nN/kPa)</a:t>
                </a:r>
              </a:p>
            </c:rich>
          </c:tx>
          <c:layout>
            <c:manualLayout>
              <c:xMode val="edge"/>
              <c:yMode val="edge"/>
              <c:x val="5.9469183640418434E-3"/>
              <c:y val="3.758275007290756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10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57401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2427296162493718"/>
          <c:y val="2.7201808107319918E-2"/>
          <c:w val="0.26969423760611733"/>
          <c:h val="0.36497703412073496"/>
        </c:manualLayout>
      </c:layout>
      <c:overlay val="0"/>
      <c:txPr>
        <a:bodyPr/>
        <a:lstStyle/>
        <a:p>
          <a:pPr>
            <a:defRPr sz="11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688370260430505"/>
          <c:y val="5.1400554097404488E-2"/>
          <c:w val="0.72927657569675164"/>
          <c:h val="0.78169364246135897"/>
        </c:manualLayout>
      </c:layout>
      <c:scatterChart>
        <c:scatterStyle val="lineMarker"/>
        <c:varyColors val="0"/>
        <c:ser>
          <c:idx val="0"/>
          <c:order val="0"/>
          <c:tx>
            <c:v>10 um</c:v>
          </c:tx>
          <c:spPr>
            <a:ln w="19050">
              <a:solidFill>
                <a:srgbClr val="0000FF"/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  <a:ln w="19050">
                <a:solidFill>
                  <a:srgbClr val="0000FF"/>
                </a:solidFill>
              </a:ln>
            </c:spPr>
          </c:marker>
          <c:xVal>
            <c:numRef>
              <c:f>'Total F by Flow'!$A$3:$A$8</c:f>
              <c:numCache>
                <c:formatCode>General</c:formatCode>
                <c:ptCount val="6"/>
                <c:pt idx="0">
                  <c:v>240</c:v>
                </c:pt>
                <c:pt idx="1">
                  <c:v>250</c:v>
                </c:pt>
                <c:pt idx="2">
                  <c:v>260</c:v>
                </c:pt>
                <c:pt idx="3">
                  <c:v>270</c:v>
                </c:pt>
                <c:pt idx="4">
                  <c:v>280</c:v>
                </c:pt>
                <c:pt idx="5">
                  <c:v>290</c:v>
                </c:pt>
              </c:numCache>
            </c:numRef>
          </c:xVal>
          <c:yVal>
            <c:numRef>
              <c:f>'Total F by Flow'!$F$3:$F$8</c:f>
              <c:numCache>
                <c:formatCode>General</c:formatCode>
                <c:ptCount val="6"/>
                <c:pt idx="0">
                  <c:v>0.12562814070351758</c:v>
                </c:pt>
                <c:pt idx="1">
                  <c:v>0.12651821862348178</c:v>
                </c:pt>
                <c:pt idx="2">
                  <c:v>0.12820512820512822</c:v>
                </c:pt>
                <c:pt idx="3">
                  <c:v>0.13227513227513227</c:v>
                </c:pt>
                <c:pt idx="4">
                  <c:v>0.1388888888888889</c:v>
                </c:pt>
                <c:pt idx="5">
                  <c:v>0.14872099940511602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E4-42FD-B25E-41EBE00140EF}"/>
            </c:ext>
          </c:extLst>
        </c:ser>
        <c:ser>
          <c:idx val="1"/>
          <c:order val="1"/>
          <c:tx>
            <c:v>15 um</c:v>
          </c:tx>
          <c:spPr>
            <a:ln w="19050">
              <a:solidFill>
                <a:srgbClr val="FF0000"/>
              </a:solidFill>
            </a:ln>
          </c:spPr>
          <c:marker>
            <c:symbol val="square"/>
            <c:size val="7"/>
            <c:spPr>
              <a:solidFill>
                <a:schemeClr val="bg1"/>
              </a:solidFill>
              <a:ln w="19050">
                <a:solidFill>
                  <a:srgbClr val="FF0000"/>
                </a:solidFill>
              </a:ln>
            </c:spPr>
          </c:marker>
          <c:xVal>
            <c:numRef>
              <c:f>'Total F by Flow'!$A$12:$A$17</c:f>
              <c:numCache>
                <c:formatCode>General</c:formatCode>
                <c:ptCount val="6"/>
                <c:pt idx="0">
                  <c:v>175</c:v>
                </c:pt>
                <c:pt idx="1">
                  <c:v>200</c:v>
                </c:pt>
                <c:pt idx="2">
                  <c:v>225</c:v>
                </c:pt>
                <c:pt idx="3">
                  <c:v>250</c:v>
                </c:pt>
                <c:pt idx="4">
                  <c:v>275</c:v>
                </c:pt>
                <c:pt idx="5">
                  <c:v>285</c:v>
                </c:pt>
              </c:numCache>
            </c:numRef>
          </c:xVal>
          <c:yVal>
            <c:numRef>
              <c:f>'Total F by Flow'!$F$12:$F$17</c:f>
              <c:numCache>
                <c:formatCode>General</c:formatCode>
                <c:ptCount val="6"/>
                <c:pt idx="0">
                  <c:v>0.12462612163509472</c:v>
                </c:pt>
                <c:pt idx="1">
                  <c:v>0.12632642748863063</c:v>
                </c:pt>
                <c:pt idx="2">
                  <c:v>0.12973533990659056</c:v>
                </c:pt>
                <c:pt idx="3">
                  <c:v>0.13873473917869034</c:v>
                </c:pt>
                <c:pt idx="4">
                  <c:v>0.17146776406035666</c:v>
                </c:pt>
                <c:pt idx="5">
                  <c:v>0.20424836601307189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E4-42FD-B25E-41EBE00140EF}"/>
            </c:ext>
          </c:extLst>
        </c:ser>
        <c:ser>
          <c:idx val="2"/>
          <c:order val="2"/>
          <c:tx>
            <c:v>20 um</c:v>
          </c:tx>
          <c:spPr>
            <a:ln w="19050">
              <a:solidFill>
                <a:srgbClr val="009900"/>
              </a:solidFill>
            </a:ln>
          </c:spPr>
          <c:marker>
            <c:symbol val="diamond"/>
            <c:size val="9"/>
            <c:spPr>
              <a:solidFill>
                <a:schemeClr val="bg1"/>
              </a:solidFill>
              <a:ln w="19050">
                <a:solidFill>
                  <a:srgbClr val="009900"/>
                </a:solidFill>
              </a:ln>
            </c:spPr>
          </c:marker>
          <c:xVal>
            <c:numRef>
              <c:f>'Total F by Flow'!$A$21:$A$29</c:f>
              <c:numCache>
                <c:formatCode>General</c:formatCode>
                <c:ptCount val="9"/>
                <c:pt idx="0">
                  <c:v>120</c:v>
                </c:pt>
                <c:pt idx="1">
                  <c:v>140</c:v>
                </c:pt>
                <c:pt idx="2">
                  <c:v>160</c:v>
                </c:pt>
                <c:pt idx="3">
                  <c:v>180</c:v>
                </c:pt>
                <c:pt idx="4">
                  <c:v>200</c:v>
                </c:pt>
                <c:pt idx="5">
                  <c:v>220</c:v>
                </c:pt>
                <c:pt idx="6">
                  <c:v>240</c:v>
                </c:pt>
                <c:pt idx="7">
                  <c:v>260</c:v>
                </c:pt>
                <c:pt idx="8">
                  <c:v>280</c:v>
                </c:pt>
              </c:numCache>
            </c:numRef>
          </c:xVal>
          <c:yVal>
            <c:numRef>
              <c:f>'Total F by Flow'!$F$21:$F$29</c:f>
              <c:numCache>
                <c:formatCode>General</c:formatCode>
                <c:ptCount val="9"/>
                <c:pt idx="0">
                  <c:v>0.12563445399266293</c:v>
                </c:pt>
                <c:pt idx="1">
                  <c:v>0.12702864750058432</c:v>
                </c:pt>
                <c:pt idx="2">
                  <c:v>0.12720704218185519</c:v>
                </c:pt>
                <c:pt idx="3">
                  <c:v>0.13162051174054964</c:v>
                </c:pt>
                <c:pt idx="4">
                  <c:v>0.13653741125068269</c:v>
                </c:pt>
                <c:pt idx="5">
                  <c:v>0.14585764294049008</c:v>
                </c:pt>
                <c:pt idx="6">
                  <c:v>0.16583747927031511</c:v>
                </c:pt>
                <c:pt idx="7">
                  <c:v>0.22202486678507993</c:v>
                </c:pt>
                <c:pt idx="8">
                  <c:v>0.45099489473779159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E4-42FD-B25E-41EBE00140EF}"/>
            </c:ext>
          </c:extLst>
        </c:ser>
        <c:ser>
          <c:idx val="3"/>
          <c:order val="3"/>
          <c:tx>
            <c:v>25 um</c:v>
          </c:tx>
          <c:spPr>
            <a:ln w="19050">
              <a:solidFill>
                <a:schemeClr val="tx1"/>
              </a:solidFill>
            </a:ln>
          </c:spPr>
          <c:marker>
            <c:symbol val="triangle"/>
            <c:size val="7"/>
            <c:spPr>
              <a:solidFill>
                <a:schemeClr val="bg1"/>
              </a:solidFill>
              <a:ln w="19050">
                <a:solidFill>
                  <a:schemeClr val="tx1"/>
                </a:solidFill>
              </a:ln>
            </c:spPr>
          </c:marker>
          <c:xVal>
            <c:numRef>
              <c:f>'Total F by Flow'!$A$33:$A$40</c:f>
              <c:numCache>
                <c:formatCode>General</c:formatCode>
                <c:ptCount val="8"/>
                <c:pt idx="0">
                  <c:v>60</c:v>
                </c:pt>
                <c:pt idx="1">
                  <c:v>90</c:v>
                </c:pt>
                <c:pt idx="2">
                  <c:v>120</c:v>
                </c:pt>
                <c:pt idx="3">
                  <c:v>150</c:v>
                </c:pt>
                <c:pt idx="4">
                  <c:v>180</c:v>
                </c:pt>
                <c:pt idx="5">
                  <c:v>210</c:v>
                </c:pt>
                <c:pt idx="6">
                  <c:v>240</c:v>
                </c:pt>
                <c:pt idx="7">
                  <c:v>260</c:v>
                </c:pt>
              </c:numCache>
            </c:numRef>
          </c:xVal>
          <c:yVal>
            <c:numRef>
              <c:f>'Total F by Flow'!$F$33:$F$39</c:f>
              <c:numCache>
                <c:formatCode>General</c:formatCode>
                <c:ptCount val="7"/>
                <c:pt idx="0">
                  <c:v>0.12759659061909864</c:v>
                </c:pt>
                <c:pt idx="1">
                  <c:v>0.12794268167860798</c:v>
                </c:pt>
                <c:pt idx="2">
                  <c:v>0.13448813814621552</c:v>
                </c:pt>
                <c:pt idx="3">
                  <c:v>0.14164305949008499</c:v>
                </c:pt>
                <c:pt idx="4">
                  <c:v>0.15873015873015872</c:v>
                </c:pt>
                <c:pt idx="5">
                  <c:v>0.20938023450586266</c:v>
                </c:pt>
                <c:pt idx="6">
                  <c:v>0.49407114624505927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E4-42FD-B25E-41EBE00140EF}"/>
            </c:ext>
          </c:extLst>
        </c:ser>
        <c:ser>
          <c:idx val="4"/>
          <c:order val="4"/>
          <c:tx>
            <c:v>30 um</c:v>
          </c:tx>
          <c:spPr>
            <a:ln w="1905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x"/>
            <c:size val="7"/>
            <c:spPr>
              <a:noFill/>
              <a:ln w="19050"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marker>
          <c:xVal>
            <c:numRef>
              <c:f>'Total F by Flow'!$A$44:$A$51</c:f>
              <c:numCache>
                <c:formatCode>General</c:formatCode>
                <c:ptCount val="8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</c:numCache>
            </c:numRef>
          </c:xVal>
          <c:yVal>
            <c:numRef>
              <c:f>'Total F by Flow'!$F$44:$F$50</c:f>
              <c:numCache>
                <c:formatCode>General</c:formatCode>
                <c:ptCount val="7"/>
                <c:pt idx="0">
                  <c:v>0.1388888888888889</c:v>
                </c:pt>
                <c:pt idx="1">
                  <c:v>0.13966480446927376</c:v>
                </c:pt>
                <c:pt idx="2">
                  <c:v>0.14749262536873159</c:v>
                </c:pt>
                <c:pt idx="3">
                  <c:v>0.16025641025641027</c:v>
                </c:pt>
                <c:pt idx="4">
                  <c:v>0.18518518518518517</c:v>
                </c:pt>
                <c:pt idx="5">
                  <c:v>0.25</c:v>
                </c:pt>
                <c:pt idx="6">
                  <c:v>0.47438330170777987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E4-42FD-B25E-41EBE0014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51776"/>
        <c:axId val="157454336"/>
      </c:scatterChart>
      <c:valAx>
        <c:axId val="157451776"/>
        <c:scaling>
          <c:orientation val="minMax"/>
          <c:max val="300"/>
        </c:scaling>
        <c:delete val="0"/>
        <c:axPos val="b"/>
        <c:title>
          <c:tx>
            <c:rich>
              <a:bodyPr/>
              <a:lstStyle/>
              <a:p>
                <a:pPr>
                  <a:defRPr sz="1200" b="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200" b="0">
                    <a:latin typeface="Arial" panose="020B0604020202020204" pitchFamily="34" charset="0"/>
                    <a:cs typeface="Arial" panose="020B0604020202020204" pitchFamily="34" charset="0"/>
                  </a:rPr>
                  <a:t>Penetration Length (um)</a:t>
                </a:r>
              </a:p>
            </c:rich>
          </c:tx>
          <c:layout>
            <c:manualLayout>
              <c:xMode val="edge"/>
              <c:yMode val="edge"/>
              <c:x val="0.27007492451111881"/>
              <c:y val="0.9104633275007291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57454336"/>
        <c:crosses val="autoZero"/>
        <c:crossBetween val="midCat"/>
      </c:valAx>
      <c:valAx>
        <c:axId val="157454336"/>
        <c:scaling>
          <c:orientation val="minMax"/>
          <c:max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200" b="0">
                    <a:latin typeface="Arial" panose="020B0604020202020204" pitchFamily="34" charset="0"/>
                    <a:cs typeface="Arial" panose="020B0604020202020204" pitchFamily="34" charset="0"/>
                  </a:rPr>
                  <a:t>Resistance (MPa s/mm</a:t>
                </a:r>
                <a:r>
                  <a:rPr lang="en-US" sz="1200" b="0" baseline="30000">
                    <a:latin typeface="Arial" panose="020B0604020202020204" pitchFamily="34" charset="0"/>
                    <a:cs typeface="Arial" panose="020B0604020202020204" pitchFamily="34" charset="0"/>
                  </a:rPr>
                  <a:t>3</a:t>
                </a:r>
                <a:r>
                  <a:rPr lang="en-US" sz="1200" b="0"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1.5052598409334846E-3"/>
              <c:y val="0.1162864537766112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10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57451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2427296162493718"/>
          <c:y val="2.7201808107319918E-2"/>
          <c:w val="0.26969423760611733"/>
          <c:h val="0.36497703412073496"/>
        </c:manualLayout>
      </c:layout>
      <c:overlay val="0"/>
      <c:txPr>
        <a:bodyPr/>
        <a:lstStyle/>
        <a:p>
          <a:pPr>
            <a:defRPr sz="11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68635</xdr:colOff>
      <xdr:row>1</xdr:row>
      <xdr:rowOff>138112</xdr:rowOff>
    </xdr:from>
    <xdr:to>
      <xdr:col>12</xdr:col>
      <xdr:colOff>478491</xdr:colOff>
      <xdr:row>16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68635</xdr:colOff>
      <xdr:row>20</xdr:row>
      <xdr:rowOff>138112</xdr:rowOff>
    </xdr:from>
    <xdr:to>
      <xdr:col>12</xdr:col>
      <xdr:colOff>478491</xdr:colOff>
      <xdr:row>35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workbookViewId="0">
      <selection activeCell="F1" sqref="F1:F1048576"/>
    </sheetView>
  </sheetViews>
  <sheetFormatPr defaultRowHeight="14.5" x14ac:dyDescent="0.35"/>
  <cols>
    <col min="1" max="1" width="14.7265625" customWidth="1"/>
  </cols>
  <sheetData>
    <row r="1" spans="1:7" x14ac:dyDescent="0.35">
      <c r="A1" t="s">
        <v>1</v>
      </c>
      <c r="B1" t="s">
        <v>2</v>
      </c>
      <c r="D1">
        <v>28.486857142857101</v>
      </c>
      <c r="E1">
        <f>300-D1</f>
        <v>271.5131428571429</v>
      </c>
      <c r="F1">
        <v>13.7205095464415</v>
      </c>
      <c r="G1">
        <v>-1068.25714285714</v>
      </c>
    </row>
    <row r="2" spans="1:7" x14ac:dyDescent="0.35">
      <c r="A2">
        <v>10</v>
      </c>
      <c r="B2">
        <f>300-(A2-4)/26*300</f>
        <v>230.76923076923077</v>
      </c>
      <c r="C2">
        <f>300-B2</f>
        <v>69.230769230769226</v>
      </c>
      <c r="D2">
        <v>52.118000000000002</v>
      </c>
      <c r="E2">
        <f t="shared" ref="E2:E48" si="0">300-D2</f>
        <v>247.88200000000001</v>
      </c>
      <c r="F2">
        <v>18.061702345907101</v>
      </c>
      <c r="G2">
        <v>-553.55142857142903</v>
      </c>
    </row>
    <row r="3" spans="1:7" x14ac:dyDescent="0.35">
      <c r="A3">
        <v>15</v>
      </c>
      <c r="B3">
        <f t="shared" ref="B3:B6" si="1">300-(A3-4)/26*300</f>
        <v>173.07692307692309</v>
      </c>
      <c r="C3">
        <f t="shared" ref="C3:C6" si="2">300-B3</f>
        <v>126.92307692307691</v>
      </c>
      <c r="D3">
        <v>6.4742857142857098</v>
      </c>
      <c r="E3">
        <f t="shared" si="0"/>
        <v>293.52571428571429</v>
      </c>
      <c r="F3">
        <v>15.8811880548177</v>
      </c>
      <c r="G3">
        <v>-1427.58</v>
      </c>
    </row>
    <row r="4" spans="1:7" x14ac:dyDescent="0.35">
      <c r="A4">
        <v>20</v>
      </c>
      <c r="B4">
        <f t="shared" si="1"/>
        <v>115.38461538461539</v>
      </c>
      <c r="C4">
        <f t="shared" si="2"/>
        <v>184.61538461538461</v>
      </c>
      <c r="D4">
        <v>31.724</v>
      </c>
      <c r="E4">
        <f t="shared" si="0"/>
        <v>268.27600000000001</v>
      </c>
      <c r="F4">
        <v>15.3179235874357</v>
      </c>
      <c r="G4">
        <v>-495.28285714285698</v>
      </c>
    </row>
    <row r="5" spans="1:7" x14ac:dyDescent="0.35">
      <c r="A5">
        <v>25</v>
      </c>
      <c r="B5">
        <f t="shared" si="1"/>
        <v>57.692307692307679</v>
      </c>
      <c r="C5">
        <f t="shared" si="2"/>
        <v>242.30769230769232</v>
      </c>
      <c r="D5">
        <v>12.9485714285714</v>
      </c>
      <c r="E5">
        <f t="shared" si="0"/>
        <v>287.05142857142857</v>
      </c>
      <c r="F5">
        <v>16.911278651102599</v>
      </c>
      <c r="G5">
        <v>-446.72571428571399</v>
      </c>
    </row>
    <row r="6" spans="1:7" x14ac:dyDescent="0.35">
      <c r="A6">
        <v>30</v>
      </c>
      <c r="B6">
        <f t="shared" si="1"/>
        <v>0</v>
      </c>
      <c r="C6">
        <f t="shared" si="2"/>
        <v>300</v>
      </c>
      <c r="D6">
        <v>53.412857142857099</v>
      </c>
      <c r="E6">
        <f t="shared" si="0"/>
        <v>246.58714285714291</v>
      </c>
      <c r="F6">
        <v>12.221619332984799</v>
      </c>
      <c r="G6">
        <v>-2612.3742857142902</v>
      </c>
    </row>
    <row r="7" spans="1:7" x14ac:dyDescent="0.35">
      <c r="D7">
        <v>37.8745714285714</v>
      </c>
      <c r="E7">
        <f t="shared" si="0"/>
        <v>262.12542857142859</v>
      </c>
      <c r="F7">
        <v>11.2945626163452</v>
      </c>
      <c r="G7">
        <v>-2019.9771428571401</v>
      </c>
    </row>
    <row r="8" spans="1:7" x14ac:dyDescent="0.35">
      <c r="D8">
        <v>18.451714285714299</v>
      </c>
      <c r="E8">
        <f t="shared" si="0"/>
        <v>281.54828571428573</v>
      </c>
      <c r="F8">
        <v>11.8641738466472</v>
      </c>
      <c r="G8">
        <v>-1796.61428571429</v>
      </c>
    </row>
    <row r="9" spans="1:7" x14ac:dyDescent="0.35">
      <c r="D9">
        <v>34.313714285714298</v>
      </c>
      <c r="E9">
        <f t="shared" si="0"/>
        <v>265.6862857142857</v>
      </c>
      <c r="F9">
        <v>16.3063806722412</v>
      </c>
      <c r="G9">
        <v>-932.29714285714294</v>
      </c>
    </row>
    <row r="10" spans="1:7" x14ac:dyDescent="0.35">
      <c r="D10">
        <v>11.33</v>
      </c>
      <c r="E10">
        <f t="shared" si="0"/>
        <v>288.67</v>
      </c>
      <c r="F10">
        <v>14.1487056842647</v>
      </c>
      <c r="G10">
        <v>-621.53142857142905</v>
      </c>
    </row>
    <row r="11" spans="1:7" x14ac:dyDescent="0.35">
      <c r="D11">
        <v>36.903428571428599</v>
      </c>
      <c r="E11">
        <f t="shared" si="0"/>
        <v>263.09657142857139</v>
      </c>
      <c r="F11">
        <v>18.323773772546801</v>
      </c>
      <c r="G11">
        <v>-145.671428571429</v>
      </c>
    </row>
    <row r="12" spans="1:7" x14ac:dyDescent="0.35">
      <c r="D12">
        <v>22.336285714285701</v>
      </c>
      <c r="E12">
        <f t="shared" si="0"/>
        <v>277.66371428571432</v>
      </c>
      <c r="F12">
        <v>11.278314538459901</v>
      </c>
      <c r="G12">
        <v>-776.91428571428605</v>
      </c>
    </row>
    <row r="13" spans="1:7" x14ac:dyDescent="0.35">
      <c r="D13">
        <v>16.5094285714286</v>
      </c>
      <c r="E13">
        <f t="shared" si="0"/>
        <v>283.4905714285714</v>
      </c>
      <c r="F13">
        <v>13.3029450621755</v>
      </c>
      <c r="G13">
        <v>-626.38714285714298</v>
      </c>
    </row>
    <row r="14" spans="1:7" x14ac:dyDescent="0.35">
      <c r="D14">
        <v>56.65</v>
      </c>
      <c r="E14">
        <f t="shared" si="0"/>
        <v>243.35</v>
      </c>
      <c r="F14">
        <v>12.524960380657101</v>
      </c>
      <c r="G14">
        <v>-320.47714285714301</v>
      </c>
    </row>
    <row r="15" spans="1:7" x14ac:dyDescent="0.35">
      <c r="D15">
        <v>28.486857142857101</v>
      </c>
      <c r="E15">
        <f t="shared" si="0"/>
        <v>271.5131428571429</v>
      </c>
      <c r="F15">
        <v>12.5251510320095</v>
      </c>
      <c r="G15">
        <v>-33.018857142857101</v>
      </c>
    </row>
    <row r="16" spans="1:7" x14ac:dyDescent="0.35">
      <c r="D16">
        <v>58.592285714285701</v>
      </c>
      <c r="E16">
        <f t="shared" si="0"/>
        <v>241.40771428571429</v>
      </c>
      <c r="F16">
        <v>17.556353322905199</v>
      </c>
      <c r="G16">
        <v>-281.63142857142901</v>
      </c>
    </row>
    <row r="17" spans="4:7" x14ac:dyDescent="0.35">
      <c r="D17">
        <v>49.851999999999997</v>
      </c>
      <c r="E17">
        <f t="shared" si="0"/>
        <v>250.148</v>
      </c>
      <c r="F17">
        <v>16.644878163463201</v>
      </c>
      <c r="G17">
        <v>-7.8616326530612</v>
      </c>
    </row>
    <row r="18" spans="4:7" x14ac:dyDescent="0.35">
      <c r="D18">
        <v>9.71142857142857</v>
      </c>
      <c r="E18">
        <f t="shared" si="0"/>
        <v>290.28857142857146</v>
      </c>
      <c r="F18">
        <v>12.023576188039399</v>
      </c>
      <c r="G18">
        <v>-835.18285714285696</v>
      </c>
    </row>
    <row r="19" spans="4:7" x14ac:dyDescent="0.35">
      <c r="D19">
        <v>10.6825714285714</v>
      </c>
      <c r="E19">
        <f t="shared" si="0"/>
        <v>289.31742857142859</v>
      </c>
      <c r="F19">
        <v>12.3895992162429</v>
      </c>
      <c r="G19">
        <v>-670.08857142857096</v>
      </c>
    </row>
    <row r="20" spans="4:7" x14ac:dyDescent="0.35">
      <c r="D20">
        <v>8.7402857142857098</v>
      </c>
      <c r="E20">
        <f t="shared" si="0"/>
        <v>291.25971428571427</v>
      </c>
      <c r="F20">
        <v>15.0970102841234</v>
      </c>
      <c r="G20">
        <v>-116.537142857143</v>
      </c>
    </row>
    <row r="21" spans="4:7" x14ac:dyDescent="0.35">
      <c r="D21">
        <v>9.71142857142857</v>
      </c>
      <c r="E21">
        <f t="shared" si="0"/>
        <v>290.28857142857146</v>
      </c>
      <c r="F21">
        <v>13.477437649928101</v>
      </c>
      <c r="G21">
        <v>-412.73571428571398</v>
      </c>
    </row>
    <row r="22" spans="4:7" x14ac:dyDescent="0.35">
      <c r="D22">
        <v>18.451714285714299</v>
      </c>
      <c r="E22">
        <f t="shared" si="0"/>
        <v>281.54828571428573</v>
      </c>
      <c r="F22">
        <v>12.522023606338999</v>
      </c>
      <c r="G22">
        <v>-373.89</v>
      </c>
    </row>
    <row r="23" spans="4:7" x14ac:dyDescent="0.35">
      <c r="D23">
        <v>41.111714285714299</v>
      </c>
      <c r="E23">
        <f t="shared" si="0"/>
        <v>258.8882857142857</v>
      </c>
      <c r="F23">
        <v>18.187433876387001</v>
      </c>
      <c r="G23">
        <v>-40.787999999999897</v>
      </c>
    </row>
    <row r="24" spans="4:7" x14ac:dyDescent="0.35">
      <c r="D24">
        <v>8.7402857142856991</v>
      </c>
      <c r="E24">
        <f t="shared" si="0"/>
        <v>291.25971428571432</v>
      </c>
      <c r="F24">
        <v>12.4818602333367</v>
      </c>
      <c r="G24">
        <v>-394.931428571428</v>
      </c>
    </row>
    <row r="25" spans="4:7" x14ac:dyDescent="0.35">
      <c r="D25">
        <v>30.5757497217005</v>
      </c>
      <c r="E25">
        <f t="shared" si="0"/>
        <v>269.4242502782995</v>
      </c>
      <c r="F25">
        <v>13.275916454333</v>
      </c>
      <c r="G25">
        <v>-108.494595786679</v>
      </c>
    </row>
    <row r="26" spans="4:7" x14ac:dyDescent="0.35">
      <c r="D26">
        <v>5.9178870429097801</v>
      </c>
      <c r="E26">
        <f t="shared" si="0"/>
        <v>294.0821129570902</v>
      </c>
      <c r="F26">
        <v>13.3176642105837</v>
      </c>
      <c r="G26">
        <v>-1696.4609523008</v>
      </c>
    </row>
    <row r="27" spans="4:7" x14ac:dyDescent="0.35">
      <c r="D27">
        <v>4.6028010333742699</v>
      </c>
      <c r="E27">
        <f t="shared" si="0"/>
        <v>295.39719896662575</v>
      </c>
      <c r="F27">
        <v>11.669809632451701</v>
      </c>
      <c r="G27">
        <v>-976.45136208011297</v>
      </c>
    </row>
    <row r="28" spans="4:7" x14ac:dyDescent="0.35">
      <c r="D28">
        <v>3.9452580286065202</v>
      </c>
      <c r="E28">
        <f t="shared" si="0"/>
        <v>296.05474197139347</v>
      </c>
      <c r="F28">
        <v>13.5729172907864</v>
      </c>
      <c r="G28">
        <v>-1144.12482829589</v>
      </c>
    </row>
    <row r="29" spans="4:7" x14ac:dyDescent="0.35">
      <c r="D29">
        <v>42.411523807520098</v>
      </c>
      <c r="E29">
        <f t="shared" si="0"/>
        <v>257.5884761924799</v>
      </c>
      <c r="F29">
        <v>15.346717796150401</v>
      </c>
      <c r="G29">
        <v>-325.48378736003798</v>
      </c>
    </row>
    <row r="30" spans="4:7" x14ac:dyDescent="0.35">
      <c r="D30">
        <v>6.5754300476775303</v>
      </c>
      <c r="E30">
        <f t="shared" si="0"/>
        <v>293.42456995232249</v>
      </c>
      <c r="F30">
        <v>12.6789264718042</v>
      </c>
      <c r="G30">
        <v>-1686.5978072292901</v>
      </c>
    </row>
    <row r="31" spans="4:7" x14ac:dyDescent="0.35">
      <c r="D31">
        <v>21.370147654952</v>
      </c>
      <c r="E31">
        <f t="shared" si="0"/>
        <v>278.62985234504799</v>
      </c>
      <c r="F31">
        <v>13.401423382307501</v>
      </c>
      <c r="G31">
        <v>-877.81991136495105</v>
      </c>
    </row>
    <row r="32" spans="4:7" x14ac:dyDescent="0.35">
      <c r="D32">
        <v>85.480590619807899</v>
      </c>
      <c r="E32">
        <f t="shared" si="0"/>
        <v>214.51940938019209</v>
      </c>
      <c r="F32">
        <v>19.579238802569002</v>
      </c>
      <c r="G32">
        <v>-266.30491693094001</v>
      </c>
    </row>
    <row r="33" spans="4:7" x14ac:dyDescent="0.35">
      <c r="D33">
        <v>41.4252093003685</v>
      </c>
      <c r="E33">
        <f t="shared" si="0"/>
        <v>258.57479069963148</v>
      </c>
      <c r="F33">
        <v>11.849484891133001</v>
      </c>
      <c r="G33">
        <v>-170.13925248365601</v>
      </c>
    </row>
    <row r="34" spans="4:7" x14ac:dyDescent="0.35">
      <c r="D34">
        <v>8.8768305643646706</v>
      </c>
      <c r="E34">
        <f t="shared" si="0"/>
        <v>291.1231694356353</v>
      </c>
      <c r="F34">
        <v>11.6545599863987</v>
      </c>
      <c r="G34">
        <v>-374.799512717619</v>
      </c>
    </row>
    <row r="35" spans="4:7" x14ac:dyDescent="0.35">
      <c r="D35">
        <v>54.247297893339599</v>
      </c>
      <c r="E35">
        <f t="shared" si="0"/>
        <v>245.75270210666039</v>
      </c>
      <c r="F35">
        <v>18.114312460277599</v>
      </c>
      <c r="G35">
        <v>-72.329730524452899</v>
      </c>
    </row>
    <row r="36" spans="4:7" x14ac:dyDescent="0.35">
      <c r="D36">
        <v>35.507322257458704</v>
      </c>
      <c r="E36">
        <f t="shared" si="0"/>
        <v>264.49267774254128</v>
      </c>
      <c r="F36">
        <v>15.1677064856349</v>
      </c>
      <c r="G36">
        <v>-16.6914762748737</v>
      </c>
    </row>
    <row r="37" spans="4:7" x14ac:dyDescent="0.35">
      <c r="D37">
        <v>73.316045031604503</v>
      </c>
      <c r="E37">
        <f t="shared" si="0"/>
        <v>226.68395496839548</v>
      </c>
      <c r="F37">
        <v>17.434672863742001</v>
      </c>
      <c r="G37">
        <v>-17.753661128729298</v>
      </c>
    </row>
    <row r="38" spans="4:7" x14ac:dyDescent="0.35">
      <c r="D38">
        <v>40.110123290832902</v>
      </c>
      <c r="E38">
        <f t="shared" si="0"/>
        <v>259.88987670916708</v>
      </c>
      <c r="F38">
        <v>18.615593645487198</v>
      </c>
      <c r="G38">
        <v>-49.315725357581698</v>
      </c>
    </row>
    <row r="39" spans="4:7" x14ac:dyDescent="0.35">
      <c r="D39">
        <v>17.096118123961599</v>
      </c>
      <c r="E39">
        <f t="shared" si="0"/>
        <v>282.90388187603838</v>
      </c>
      <c r="F39">
        <v>13.067777355493901</v>
      </c>
      <c r="G39">
        <v>-33.288114616367501</v>
      </c>
    </row>
    <row r="40" spans="4:7" x14ac:dyDescent="0.35">
      <c r="D40">
        <v>79.2339320745143</v>
      </c>
      <c r="E40">
        <f t="shared" si="0"/>
        <v>220.76606792548569</v>
      </c>
      <c r="F40">
        <v>27.275578475561598</v>
      </c>
      <c r="G40">
        <v>-41.728690687184297</v>
      </c>
    </row>
    <row r="41" spans="4:7" x14ac:dyDescent="0.35">
      <c r="D41">
        <v>7.5617445548291604</v>
      </c>
      <c r="E41">
        <f t="shared" si="0"/>
        <v>292.43825544517085</v>
      </c>
      <c r="F41">
        <v>13.261858306906401</v>
      </c>
      <c r="G41">
        <v>-355.07322257458702</v>
      </c>
    </row>
    <row r="42" spans="4:7" x14ac:dyDescent="0.35">
      <c r="D42">
        <v>7.2329730524452902</v>
      </c>
      <c r="E42">
        <f t="shared" si="0"/>
        <v>292.76702694755471</v>
      </c>
      <c r="F42">
        <v>19.245891633309402</v>
      </c>
      <c r="G42">
        <v>-245.16960606340501</v>
      </c>
    </row>
    <row r="43" spans="4:7" x14ac:dyDescent="0.35">
      <c r="D43">
        <v>26.630491693094001</v>
      </c>
      <c r="E43">
        <f t="shared" si="0"/>
        <v>273.36950830690603</v>
      </c>
      <c r="F43">
        <v>14.4518325867109</v>
      </c>
      <c r="G43">
        <v>-269.59263195477899</v>
      </c>
    </row>
    <row r="44" spans="4:7" x14ac:dyDescent="0.35">
      <c r="D44">
        <v>4.9315725357581499</v>
      </c>
      <c r="E44">
        <f t="shared" si="0"/>
        <v>295.06842746424184</v>
      </c>
      <c r="F44">
        <v>11.620239751475401</v>
      </c>
      <c r="G44">
        <v>-581.925559219462</v>
      </c>
    </row>
    <row r="45" spans="4:7" x14ac:dyDescent="0.35">
      <c r="D45">
        <v>10.191916573900199</v>
      </c>
      <c r="E45">
        <f t="shared" si="0"/>
        <v>289.80808342609981</v>
      </c>
      <c r="F45">
        <v>10.5782491516487</v>
      </c>
      <c r="G45">
        <v>-1686.5978072292901</v>
      </c>
    </row>
    <row r="46" spans="4:7" x14ac:dyDescent="0.35">
      <c r="D46">
        <v>19.068747138264801</v>
      </c>
      <c r="E46">
        <f t="shared" si="0"/>
        <v>280.93125286173517</v>
      </c>
      <c r="F46">
        <v>10.678472307394999</v>
      </c>
      <c r="G46">
        <v>-1607.6926466571599</v>
      </c>
    </row>
    <row r="47" spans="4:7" x14ac:dyDescent="0.35">
      <c r="D47">
        <v>27.616806200245598</v>
      </c>
      <c r="E47">
        <f t="shared" si="0"/>
        <v>272.38319379975439</v>
      </c>
      <c r="F47">
        <v>19.343354905086301</v>
      </c>
      <c r="G47">
        <v>-26.5072023797001</v>
      </c>
    </row>
    <row r="48" spans="4:7" x14ac:dyDescent="0.35">
      <c r="D48">
        <v>40.438894793216797</v>
      </c>
      <c r="E48">
        <f t="shared" si="0"/>
        <v>259.56110520678322</v>
      </c>
      <c r="F48">
        <v>13.305399344692299</v>
      </c>
      <c r="G48">
        <v>-555.62383902875195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9"/>
  <sheetViews>
    <sheetView topLeftCell="A31" zoomScale="85" zoomScaleNormal="85" workbookViewId="0">
      <selection activeCell="L39" sqref="L39:L40"/>
    </sheetView>
  </sheetViews>
  <sheetFormatPr defaultRowHeight="14.5" x14ac:dyDescent="0.35"/>
  <cols>
    <col min="1" max="1" width="17.453125" customWidth="1"/>
    <col min="3" max="3" width="10.453125" customWidth="1"/>
    <col min="4" max="4" width="14.54296875" customWidth="1"/>
    <col min="5" max="5" width="11.26953125" customWidth="1"/>
    <col min="6" max="6" width="14.26953125" customWidth="1"/>
    <col min="7" max="7" width="13.81640625" customWidth="1"/>
    <col min="8" max="8" width="16.1796875" customWidth="1"/>
  </cols>
  <sheetData>
    <row r="1" spans="1:6" x14ac:dyDescent="0.35">
      <c r="A1" s="2" t="s">
        <v>0</v>
      </c>
      <c r="B1" s="2">
        <v>10</v>
      </c>
      <c r="C1" s="2" t="s">
        <v>3</v>
      </c>
    </row>
    <row r="2" spans="1:6" x14ac:dyDescent="0.35">
      <c r="A2" s="1" t="s">
        <v>4</v>
      </c>
      <c r="B2" s="1" t="s">
        <v>5</v>
      </c>
      <c r="C2" s="1" t="s">
        <v>6</v>
      </c>
      <c r="D2" s="1" t="s">
        <v>14</v>
      </c>
      <c r="E2" s="1" t="s">
        <v>15</v>
      </c>
      <c r="F2" s="1" t="s">
        <v>17</v>
      </c>
    </row>
    <row r="3" spans="1:6" x14ac:dyDescent="0.35">
      <c r="A3" s="4">
        <v>240</v>
      </c>
      <c r="B3">
        <f>(300-A3)/300*26+4</f>
        <v>9.1999999999999993</v>
      </c>
      <c r="C3" s="4">
        <f>SQRT((2*B$1^3/B3+B3*B3)/3)</f>
        <v>10.033797957367657</v>
      </c>
      <c r="D3">
        <f>3.499*4</f>
        <v>13.996</v>
      </c>
      <c r="E3">
        <f>0.00199*4</f>
        <v>7.9600000000000001E-3</v>
      </c>
      <c r="F3">
        <f>0.001/E3</f>
        <v>0.12562814070351758</v>
      </c>
    </row>
    <row r="4" spans="1:6" x14ac:dyDescent="0.35">
      <c r="A4" s="4">
        <v>250</v>
      </c>
      <c r="B4">
        <f t="shared" ref="B4:B8" si="0">(300-A4)/300*26+4</f>
        <v>8.3333333333333321</v>
      </c>
      <c r="C4" s="4">
        <f t="shared" ref="C4:C8" si="1">SQRT((2*B$1^3/B4+B4*B4)/3)</f>
        <v>10.156187677871463</v>
      </c>
      <c r="D4">
        <f>4.1157*4</f>
        <v>16.462800000000001</v>
      </c>
      <c r="E4">
        <f>0.001976*4</f>
        <v>7.9039999999999996E-3</v>
      </c>
      <c r="F4">
        <f t="shared" ref="F4:F8" si="2">0.001/E4</f>
        <v>0.12651821862348178</v>
      </c>
    </row>
    <row r="5" spans="1:6" x14ac:dyDescent="0.35">
      <c r="A5" s="4">
        <v>260</v>
      </c>
      <c r="B5">
        <f t="shared" si="0"/>
        <v>7.4666666666666668</v>
      </c>
      <c r="C5" s="4">
        <f t="shared" si="1"/>
        <v>10.386020315280438</v>
      </c>
      <c r="D5">
        <f>4.7646*4</f>
        <v>19.058399999999999</v>
      </c>
      <c r="E5">
        <f>0.00195*4</f>
        <v>7.7999999999999996E-3</v>
      </c>
      <c r="F5">
        <f t="shared" si="2"/>
        <v>0.12820512820512822</v>
      </c>
    </row>
    <row r="6" spans="1:6" x14ac:dyDescent="0.35">
      <c r="A6" s="4">
        <v>270</v>
      </c>
      <c r="B6">
        <f t="shared" si="0"/>
        <v>6.6</v>
      </c>
      <c r="C6" s="4">
        <f t="shared" si="1"/>
        <v>10.748492964602109</v>
      </c>
      <c r="D6">
        <f>5.962*4</f>
        <v>23.847999999999999</v>
      </c>
      <c r="E6">
        <f>0.00189*4</f>
        <v>7.5599999999999999E-3</v>
      </c>
      <c r="F6">
        <f t="shared" si="2"/>
        <v>0.13227513227513227</v>
      </c>
    </row>
    <row r="7" spans="1:6" x14ac:dyDescent="0.35">
      <c r="A7" s="4">
        <v>280</v>
      </c>
      <c r="B7">
        <f t="shared" si="0"/>
        <v>5.7333333333333334</v>
      </c>
      <c r="C7" s="4">
        <f t="shared" si="1"/>
        <v>11.279898350804359</v>
      </c>
      <c r="D7">
        <f>7.49829*4</f>
        <v>29.99316</v>
      </c>
      <c r="E7">
        <f>0.0018*4</f>
        <v>7.1999999999999998E-3</v>
      </c>
      <c r="F7">
        <f t="shared" si="2"/>
        <v>0.1388888888888889</v>
      </c>
    </row>
    <row r="8" spans="1:6" x14ac:dyDescent="0.35">
      <c r="A8" s="4">
        <v>290</v>
      </c>
      <c r="B8">
        <f t="shared" si="0"/>
        <v>4.8666666666666671</v>
      </c>
      <c r="C8" s="4">
        <f t="shared" si="1"/>
        <v>12.036657184811647</v>
      </c>
      <c r="D8">
        <f>9.067*4</f>
        <v>36.268000000000001</v>
      </c>
      <c r="E8">
        <f>0.001681*4</f>
        <v>6.7239999999999999E-3</v>
      </c>
      <c r="F8">
        <f t="shared" si="2"/>
        <v>0.14872099940511602</v>
      </c>
    </row>
    <row r="10" spans="1:6" x14ac:dyDescent="0.35">
      <c r="A10" s="2" t="s">
        <v>0</v>
      </c>
      <c r="B10" s="2">
        <v>15</v>
      </c>
      <c r="C10" s="2" t="s">
        <v>3</v>
      </c>
    </row>
    <row r="11" spans="1:6" x14ac:dyDescent="0.35">
      <c r="A11" s="1" t="s">
        <v>4</v>
      </c>
      <c r="B11" s="1" t="s">
        <v>5</v>
      </c>
      <c r="C11" s="1" t="s">
        <v>6</v>
      </c>
      <c r="D11" s="1" t="s">
        <v>14</v>
      </c>
      <c r="E11" s="1" t="s">
        <v>15</v>
      </c>
      <c r="F11" s="1" t="s">
        <v>17</v>
      </c>
    </row>
    <row r="12" spans="1:6" x14ac:dyDescent="0.35">
      <c r="A12" s="4">
        <v>175</v>
      </c>
      <c r="B12">
        <f>(300-A12)/300*26+4</f>
        <v>14.833333333333334</v>
      </c>
      <c r="C12" s="4">
        <f t="shared" ref="C12:C17" si="3">SQRT((2*B$10^3/B12+B12*B12)/3)</f>
        <v>15.000932832694758</v>
      </c>
      <c r="D12">
        <f>3.953*4</f>
        <v>15.811999999999999</v>
      </c>
      <c r="E12">
        <f>0.002006*4</f>
        <v>8.0239999999999999E-3</v>
      </c>
      <c r="F12">
        <f>0.001/E12</f>
        <v>0.12462612163509472</v>
      </c>
    </row>
    <row r="13" spans="1:6" x14ac:dyDescent="0.35">
      <c r="A13" s="4">
        <v>200</v>
      </c>
      <c r="B13">
        <f t="shared" ref="B13:B17" si="4">(300-A13)/300*26+4</f>
        <v>12.666666666666666</v>
      </c>
      <c r="C13" s="4">
        <f t="shared" si="3"/>
        <v>15.202403113614963</v>
      </c>
      <c r="D13">
        <f>5.8947*4</f>
        <v>23.578800000000001</v>
      </c>
      <c r="E13">
        <f>0.001979*4</f>
        <v>7.9159999999999994E-3</v>
      </c>
      <c r="F13">
        <f t="shared" ref="F13:F17" si="5">0.001/E13</f>
        <v>0.12632642748863063</v>
      </c>
    </row>
    <row r="14" spans="1:6" x14ac:dyDescent="0.35">
      <c r="A14" s="4">
        <v>225</v>
      </c>
      <c r="B14">
        <f t="shared" si="4"/>
        <v>10.5</v>
      </c>
      <c r="C14" s="4">
        <f t="shared" si="3"/>
        <v>15.844106610526019</v>
      </c>
      <c r="D14">
        <f>8.376*4</f>
        <v>33.503999999999998</v>
      </c>
      <c r="E14">
        <f>0.001927*4</f>
        <v>7.7079999999999996E-3</v>
      </c>
      <c r="F14">
        <f t="shared" si="5"/>
        <v>0.12973533990659056</v>
      </c>
    </row>
    <row r="15" spans="1:6" x14ac:dyDescent="0.35">
      <c r="A15" s="4">
        <v>250</v>
      </c>
      <c r="B15">
        <f t="shared" si="4"/>
        <v>8.3333333333333321</v>
      </c>
      <c r="C15" s="4">
        <f t="shared" si="3"/>
        <v>17.12156967535828</v>
      </c>
      <c r="D15">
        <f>12.314*4</f>
        <v>49.256</v>
      </c>
      <c r="E15">
        <f>0.001802*4</f>
        <v>7.208E-3</v>
      </c>
      <c r="F15">
        <f t="shared" si="5"/>
        <v>0.13873473917869034</v>
      </c>
    </row>
    <row r="16" spans="1:6" x14ac:dyDescent="0.35">
      <c r="A16" s="4">
        <v>275</v>
      </c>
      <c r="B16">
        <f t="shared" si="4"/>
        <v>6.1666666666666661</v>
      </c>
      <c r="C16" s="4">
        <f t="shared" si="3"/>
        <v>19.430408919803796</v>
      </c>
      <c r="D16">
        <f>19.1855*4</f>
        <v>76.742000000000004</v>
      </c>
      <c r="E16">
        <f>0.001458*4</f>
        <v>5.8320000000000004E-3</v>
      </c>
      <c r="F16">
        <f t="shared" si="5"/>
        <v>0.17146776406035666</v>
      </c>
    </row>
    <row r="17" spans="1:6" x14ac:dyDescent="0.35">
      <c r="A17" s="4">
        <v>285</v>
      </c>
      <c r="B17">
        <f t="shared" si="4"/>
        <v>5.3</v>
      </c>
      <c r="C17" s="4">
        <f t="shared" si="3"/>
        <v>20.830065655684471</v>
      </c>
      <c r="D17">
        <f>22.49*4</f>
        <v>89.96</v>
      </c>
      <c r="E17">
        <f>0.001224*4</f>
        <v>4.8960000000000002E-3</v>
      </c>
      <c r="F17">
        <f t="shared" si="5"/>
        <v>0.20424836601307189</v>
      </c>
    </row>
    <row r="19" spans="1:6" x14ac:dyDescent="0.35">
      <c r="A19" s="2" t="s">
        <v>0</v>
      </c>
      <c r="B19" s="2">
        <v>20</v>
      </c>
      <c r="C19" s="2" t="s">
        <v>3</v>
      </c>
    </row>
    <row r="20" spans="1:6" x14ac:dyDescent="0.35">
      <c r="A20" s="1" t="s">
        <v>4</v>
      </c>
      <c r="B20" s="1" t="s">
        <v>5</v>
      </c>
      <c r="C20" s="1" t="s">
        <v>6</v>
      </c>
      <c r="D20" s="1" t="s">
        <v>14</v>
      </c>
      <c r="E20" s="1" t="s">
        <v>15</v>
      </c>
      <c r="F20" s="1" t="s">
        <v>18</v>
      </c>
    </row>
    <row r="21" spans="1:6" x14ac:dyDescent="0.35">
      <c r="A21" s="4">
        <v>120</v>
      </c>
      <c r="B21">
        <f>(300-A21)/300*26+4</f>
        <v>19.600000000000001</v>
      </c>
      <c r="C21" s="4">
        <f t="shared" ref="C21:C29" si="6">SQRT((2*B$19^3/B21+B21*B21)/3)</f>
        <v>20.004054010893601</v>
      </c>
      <c r="D21">
        <f>6.3657*4</f>
        <v>25.462800000000001</v>
      </c>
      <c r="E21">
        <f>0.0019899*4</f>
        <v>7.9596000000000007E-3</v>
      </c>
      <c r="F21">
        <f>0.001/E21</f>
        <v>0.12563445399266293</v>
      </c>
    </row>
    <row r="22" spans="1:6" x14ac:dyDescent="0.35">
      <c r="A22" s="4">
        <v>140</v>
      </c>
      <c r="B22">
        <f t="shared" ref="B22:B29" si="7">(300-A22)/300*26+4</f>
        <v>17.866666666666667</v>
      </c>
      <c r="C22" s="4">
        <f t="shared" si="6"/>
        <v>20.122459805214994</v>
      </c>
      <c r="D22">
        <f>8.54*4</f>
        <v>34.159999999999997</v>
      </c>
      <c r="E22">
        <f>0.00196806*4</f>
        <v>7.8722400000000008E-3</v>
      </c>
      <c r="F22">
        <f t="shared" ref="F22:F29" si="8">0.001/E22</f>
        <v>0.12702864750058432</v>
      </c>
    </row>
    <row r="23" spans="1:6" x14ac:dyDescent="0.35">
      <c r="A23" s="4">
        <v>160</v>
      </c>
      <c r="B23">
        <f t="shared" si="7"/>
        <v>16.133333333333333</v>
      </c>
      <c r="C23" s="4">
        <f t="shared" si="6"/>
        <v>20.428900946408636</v>
      </c>
      <c r="D23">
        <f>10.707*4</f>
        <v>42.828000000000003</v>
      </c>
      <c r="E23">
        <f>0.0019653*4</f>
        <v>7.8612000000000005E-3</v>
      </c>
      <c r="F23">
        <f t="shared" si="8"/>
        <v>0.12720704218185519</v>
      </c>
    </row>
    <row r="24" spans="1:6" x14ac:dyDescent="0.35">
      <c r="A24" s="4">
        <v>180</v>
      </c>
      <c r="B24">
        <f t="shared" si="7"/>
        <v>14.4</v>
      </c>
      <c r="C24" s="4">
        <f t="shared" si="6"/>
        <v>20.96402562415841</v>
      </c>
      <c r="D24">
        <f>13.299*4</f>
        <v>53.195999999999998</v>
      </c>
      <c r="E24">
        <f>0.0018994*4</f>
        <v>7.5976000000000004E-3</v>
      </c>
      <c r="F24">
        <f t="shared" si="8"/>
        <v>0.13162051174054964</v>
      </c>
    </row>
    <row r="25" spans="1:6" x14ac:dyDescent="0.35">
      <c r="A25" s="4">
        <v>200</v>
      </c>
      <c r="B25">
        <f t="shared" si="7"/>
        <v>12.666666666666666</v>
      </c>
      <c r="C25" s="4">
        <f t="shared" si="6"/>
        <v>21.783803916222457</v>
      </c>
      <c r="D25">
        <f>16.59*4</f>
        <v>66.36</v>
      </c>
      <c r="E25">
        <f>0.001831*4</f>
        <v>7.3239999999999998E-3</v>
      </c>
      <c r="F25">
        <f t="shared" si="8"/>
        <v>0.13653741125068269</v>
      </c>
    </row>
    <row r="26" spans="1:6" x14ac:dyDescent="0.35">
      <c r="A26" s="4">
        <v>220</v>
      </c>
      <c r="B26">
        <f t="shared" si="7"/>
        <v>10.933333333333334</v>
      </c>
      <c r="C26" s="4">
        <f t="shared" si="6"/>
        <v>22.970650926229897</v>
      </c>
      <c r="D26">
        <f>21.27*4</f>
        <v>85.08</v>
      </c>
      <c r="E26">
        <f>0.001714*4</f>
        <v>6.8560000000000001E-3</v>
      </c>
      <c r="F26">
        <f t="shared" si="8"/>
        <v>0.14585764294049008</v>
      </c>
    </row>
    <row r="27" spans="1:6" x14ac:dyDescent="0.35">
      <c r="A27" s="4">
        <v>240</v>
      </c>
      <c r="B27">
        <f t="shared" si="7"/>
        <v>9.1999999999999993</v>
      </c>
      <c r="C27" s="4">
        <f t="shared" si="6"/>
        <v>24.65610427989121</v>
      </c>
      <c r="D27">
        <f>27.755*4</f>
        <v>111.02</v>
      </c>
      <c r="E27">
        <f>0.0015075*4</f>
        <v>6.0299999999999998E-3</v>
      </c>
      <c r="F27">
        <f t="shared" si="8"/>
        <v>0.16583747927031511</v>
      </c>
    </row>
    <row r="28" spans="1:6" x14ac:dyDescent="0.35">
      <c r="A28" s="4">
        <v>260</v>
      </c>
      <c r="B28">
        <f t="shared" si="7"/>
        <v>7.4666666666666668</v>
      </c>
      <c r="C28" s="4">
        <f t="shared" si="6"/>
        <v>27.071561055643205</v>
      </c>
      <c r="D28">
        <f>36.69*4</f>
        <v>146.76</v>
      </c>
      <c r="E28">
        <f>0.001126*4</f>
        <v>4.5040000000000002E-3</v>
      </c>
      <c r="F28">
        <f t="shared" si="8"/>
        <v>0.22202486678507993</v>
      </c>
    </row>
    <row r="29" spans="1:6" x14ac:dyDescent="0.35">
      <c r="A29" s="4">
        <v>280</v>
      </c>
      <c r="B29">
        <f t="shared" si="7"/>
        <v>5.7333333333333334</v>
      </c>
      <c r="C29" s="4">
        <f t="shared" si="6"/>
        <v>30.678813457768733</v>
      </c>
      <c r="D29">
        <f>45.45*4</f>
        <v>181.8</v>
      </c>
      <c r="E29">
        <f>0.00055433*4</f>
        <v>2.2173200000000001E-3</v>
      </c>
      <c r="F29">
        <f t="shared" si="8"/>
        <v>0.45099489473779159</v>
      </c>
    </row>
    <row r="31" spans="1:6" x14ac:dyDescent="0.35">
      <c r="A31" s="2" t="s">
        <v>0</v>
      </c>
      <c r="B31" s="2">
        <v>25</v>
      </c>
      <c r="C31" s="2" t="s">
        <v>3</v>
      </c>
    </row>
    <row r="32" spans="1:6" x14ac:dyDescent="0.35">
      <c r="A32" s="1" t="s">
        <v>4</v>
      </c>
      <c r="B32" s="1" t="s">
        <v>5</v>
      </c>
      <c r="C32" s="1" t="s">
        <v>6</v>
      </c>
      <c r="D32" s="1" t="s">
        <v>14</v>
      </c>
      <c r="E32" s="1" t="s">
        <v>15</v>
      </c>
      <c r="F32" s="1" t="s">
        <v>17</v>
      </c>
    </row>
    <row r="33" spans="1:6" x14ac:dyDescent="0.35">
      <c r="A33" s="4">
        <v>60</v>
      </c>
      <c r="B33" s="4">
        <f>(300-A33)/300*26+4</f>
        <v>24.8</v>
      </c>
      <c r="C33" s="4">
        <f t="shared" ref="C33:C40" si="9">SQRT((2*B$31^3/B33+B33*B33)/3)</f>
        <v>25.00080428813768</v>
      </c>
      <c r="D33">
        <f>11.229*4</f>
        <v>44.915999999999997</v>
      </c>
      <c r="E33">
        <f>0.0019593*4</f>
        <v>7.8372000000000008E-3</v>
      </c>
      <c r="F33">
        <f>0.001/E33</f>
        <v>0.12759659061909864</v>
      </c>
    </row>
    <row r="34" spans="1:6" x14ac:dyDescent="0.35">
      <c r="A34" s="4">
        <v>90</v>
      </c>
      <c r="B34" s="4">
        <f t="shared" ref="B34:B40" si="10">(300-A34)/300*26+4</f>
        <v>22.2</v>
      </c>
      <c r="C34" s="4">
        <f t="shared" si="9"/>
        <v>25.16941038680126</v>
      </c>
      <c r="D34">
        <f>15.445*4</f>
        <v>61.78</v>
      </c>
      <c r="E34">
        <f>0.001954*4</f>
        <v>7.816E-3</v>
      </c>
      <c r="F34">
        <f t="shared" ref="F34:F40" si="11">0.001/E34</f>
        <v>0.12794268167860798</v>
      </c>
    </row>
    <row r="35" spans="1:6" x14ac:dyDescent="0.35">
      <c r="A35" s="4">
        <v>120</v>
      </c>
      <c r="B35" s="4">
        <f t="shared" si="10"/>
        <v>19.600000000000001</v>
      </c>
      <c r="C35" s="4">
        <f t="shared" si="9"/>
        <v>25.681042003145958</v>
      </c>
      <c r="D35">
        <f>20.54*4</f>
        <v>82.16</v>
      </c>
      <c r="E35">
        <f>0.0018589*4</f>
        <v>7.4355999999999997E-3</v>
      </c>
      <c r="F35">
        <f t="shared" si="11"/>
        <v>0.13448813814621552</v>
      </c>
    </row>
    <row r="36" spans="1:6" x14ac:dyDescent="0.35">
      <c r="A36" s="4">
        <v>150</v>
      </c>
      <c r="B36" s="4">
        <f t="shared" si="10"/>
        <v>17</v>
      </c>
      <c r="C36" s="4">
        <f t="shared" si="9"/>
        <v>26.62852664667253</v>
      </c>
      <c r="D36">
        <f>27.08*4</f>
        <v>108.32</v>
      </c>
      <c r="E36">
        <f>0.001765*4</f>
        <v>7.0600000000000003E-3</v>
      </c>
      <c r="F36">
        <f t="shared" si="11"/>
        <v>0.14164305949008499</v>
      </c>
    </row>
    <row r="37" spans="1:6" x14ac:dyDescent="0.35">
      <c r="A37" s="4">
        <v>180</v>
      </c>
      <c r="B37" s="4">
        <f t="shared" si="10"/>
        <v>14.4</v>
      </c>
      <c r="C37" s="4">
        <f t="shared" si="9"/>
        <v>28.151369942324823</v>
      </c>
      <c r="D37">
        <f>37*4</f>
        <v>148</v>
      </c>
      <c r="E37">
        <f>0.001575*4</f>
        <v>6.3E-3</v>
      </c>
      <c r="F37">
        <f t="shared" si="11"/>
        <v>0.15873015873015872</v>
      </c>
    </row>
    <row r="38" spans="1:6" x14ac:dyDescent="0.35">
      <c r="A38" s="4">
        <v>210</v>
      </c>
      <c r="B38" s="4">
        <f t="shared" si="10"/>
        <v>11.8</v>
      </c>
      <c r="C38" s="4">
        <f t="shared" si="9"/>
        <v>30.482481770932861</v>
      </c>
      <c r="D38">
        <f>52.59*4</f>
        <v>210.36</v>
      </c>
      <c r="E38">
        <f>0.001194*4</f>
        <v>4.7759999999999999E-3</v>
      </c>
      <c r="F38">
        <f t="shared" si="11"/>
        <v>0.20938023450586266</v>
      </c>
    </row>
    <row r="39" spans="1:6" x14ac:dyDescent="0.35">
      <c r="A39" s="4">
        <v>240</v>
      </c>
      <c r="B39" s="4">
        <f t="shared" si="10"/>
        <v>9.1999999999999993</v>
      </c>
      <c r="C39" s="4">
        <f t="shared" si="9"/>
        <v>34.065520840652468</v>
      </c>
      <c r="D39">
        <f>73.18*4</f>
        <v>292.72000000000003</v>
      </c>
      <c r="E39">
        <f>0.000506*4</f>
        <v>2.0240000000000002E-3</v>
      </c>
      <c r="F39">
        <f t="shared" si="11"/>
        <v>0.49407114624505927</v>
      </c>
    </row>
    <row r="40" spans="1:6" x14ac:dyDescent="0.35">
      <c r="A40" s="4">
        <v>260</v>
      </c>
      <c r="B40" s="4">
        <f t="shared" si="10"/>
        <v>7.4666666666666668</v>
      </c>
      <c r="C40" s="4">
        <f t="shared" si="9"/>
        <v>37.598842926584709</v>
      </c>
      <c r="D40">
        <f>80.47*4</f>
        <v>321.88</v>
      </c>
      <c r="E40">
        <f>0.00006675*4</f>
        <v>2.6699999999999998E-4</v>
      </c>
      <c r="F40">
        <f t="shared" si="11"/>
        <v>3.7453183520599254</v>
      </c>
    </row>
    <row r="42" spans="1:6" x14ac:dyDescent="0.35">
      <c r="A42" s="2" t="s">
        <v>0</v>
      </c>
      <c r="B42" s="2">
        <v>30</v>
      </c>
      <c r="C42" s="2" t="s">
        <v>3</v>
      </c>
    </row>
    <row r="43" spans="1:6" x14ac:dyDescent="0.35">
      <c r="A43" s="1" t="s">
        <v>4</v>
      </c>
      <c r="B43" s="1" t="s">
        <v>5</v>
      </c>
      <c r="C43" s="1" t="s">
        <v>6</v>
      </c>
      <c r="D43" s="1" t="s">
        <v>14</v>
      </c>
      <c r="E43" s="1" t="s">
        <v>15</v>
      </c>
      <c r="F43" s="1" t="s">
        <v>17</v>
      </c>
    </row>
    <row r="44" spans="1:6" x14ac:dyDescent="0.35">
      <c r="A44" s="4">
        <v>25</v>
      </c>
      <c r="B44" s="4">
        <f>(300-A44)/300*26+4</f>
        <v>27.833333333333332</v>
      </c>
      <c r="C44" s="4">
        <f t="shared" ref="C44:C51" si="12">SQRT((2*B$42^3/B44+B44*B44)/3)</f>
        <v>30.082188555818689</v>
      </c>
      <c r="D44">
        <f>4*26.744</f>
        <v>106.976</v>
      </c>
      <c r="E44" s="5">
        <f>0.0018*4</f>
        <v>7.1999999999999998E-3</v>
      </c>
      <c r="F44">
        <f>0.001/E44</f>
        <v>0.1388888888888889</v>
      </c>
    </row>
    <row r="45" spans="1:6" x14ac:dyDescent="0.35">
      <c r="A45" s="4">
        <v>50</v>
      </c>
      <c r="B45" s="4">
        <f>(300-A45)/300*26+4</f>
        <v>25.666666666666668</v>
      </c>
      <c r="C45" s="4">
        <f t="shared" si="12"/>
        <v>30.346190764102403</v>
      </c>
      <c r="D45">
        <f>33.32*4</f>
        <v>133.28</v>
      </c>
      <c r="E45" s="5">
        <f>0.00179*4</f>
        <v>7.1599999999999997E-3</v>
      </c>
      <c r="F45">
        <f t="shared" ref="F45:F51" si="13">0.001/E45</f>
        <v>0.13966480446927376</v>
      </c>
    </row>
    <row r="46" spans="1:6" x14ac:dyDescent="0.35">
      <c r="A46" s="4">
        <v>75</v>
      </c>
      <c r="B46" s="4">
        <f t="shared" ref="B46:B51" si="14">(300-A46)/300*26+4</f>
        <v>23.5</v>
      </c>
      <c r="C46" s="4">
        <f t="shared" si="12"/>
        <v>30.822731549002015</v>
      </c>
      <c r="D46">
        <f>40.846*4</f>
        <v>163.38399999999999</v>
      </c>
      <c r="E46" s="5">
        <f>0.001695*4</f>
        <v>6.7799999999999996E-3</v>
      </c>
      <c r="F46">
        <f t="shared" si="13"/>
        <v>0.14749262536873159</v>
      </c>
    </row>
    <row r="47" spans="1:6" x14ac:dyDescent="0.35">
      <c r="A47" s="4">
        <v>100</v>
      </c>
      <c r="B47" s="4">
        <f t="shared" si="14"/>
        <v>21.333333333333332</v>
      </c>
      <c r="C47" s="4">
        <f t="shared" si="12"/>
        <v>31.550811458720105</v>
      </c>
      <c r="D47">
        <f>51.76*4</f>
        <v>207.04</v>
      </c>
      <c r="E47" s="5">
        <f>0.00156*4</f>
        <v>6.2399999999999999E-3</v>
      </c>
      <c r="F47">
        <f t="shared" si="13"/>
        <v>0.16025641025641027</v>
      </c>
    </row>
    <row r="48" spans="1:6" x14ac:dyDescent="0.35">
      <c r="A48" s="4">
        <v>125</v>
      </c>
      <c r="B48" s="4">
        <f t="shared" si="14"/>
        <v>19.166666666666668</v>
      </c>
      <c r="C48" s="4">
        <f t="shared" si="12"/>
        <v>32.581960322950373</v>
      </c>
      <c r="D48">
        <f>66.62*4</f>
        <v>266.48</v>
      </c>
      <c r="E48" s="5">
        <f>0.00135*4</f>
        <v>5.4000000000000003E-3</v>
      </c>
      <c r="F48">
        <f t="shared" si="13"/>
        <v>0.18518518518518517</v>
      </c>
    </row>
    <row r="49" spans="1:19" x14ac:dyDescent="0.35">
      <c r="A49" s="4">
        <v>150</v>
      </c>
      <c r="B49" s="4">
        <f t="shared" si="14"/>
        <v>17</v>
      </c>
      <c r="C49" s="4">
        <f t="shared" si="12"/>
        <v>33.987598661057213</v>
      </c>
      <c r="D49">
        <f>87.39*4</f>
        <v>349.56</v>
      </c>
      <c r="E49" s="5">
        <f>0.001*4</f>
        <v>4.0000000000000001E-3</v>
      </c>
      <c r="F49">
        <f t="shared" si="13"/>
        <v>0.25</v>
      </c>
    </row>
    <row r="50" spans="1:19" x14ac:dyDescent="0.35">
      <c r="A50" s="4">
        <v>175</v>
      </c>
      <c r="B50" s="4">
        <f t="shared" si="14"/>
        <v>14.833333333333334</v>
      </c>
      <c r="C50" s="4">
        <f t="shared" si="12"/>
        <v>35.872353402864555</v>
      </c>
      <c r="D50">
        <f>111.6*4</f>
        <v>446.4</v>
      </c>
      <c r="E50" s="5">
        <f>0.000527*4</f>
        <v>2.1080000000000001E-3</v>
      </c>
      <c r="F50">
        <f t="shared" si="13"/>
        <v>0.47438330170777987</v>
      </c>
    </row>
    <row r="51" spans="1:19" x14ac:dyDescent="0.35">
      <c r="A51" s="4">
        <v>200</v>
      </c>
      <c r="B51" s="4">
        <f t="shared" si="14"/>
        <v>12.666666666666666</v>
      </c>
      <c r="C51" s="4">
        <f t="shared" si="12"/>
        <v>38.39966292899495</v>
      </c>
      <c r="D51">
        <f>127.62*4</f>
        <v>510.48</v>
      </c>
      <c r="E51" s="5">
        <f>0.0000867*4</f>
        <v>3.4680000000000003E-4</v>
      </c>
      <c r="F51">
        <f t="shared" si="13"/>
        <v>2.8835063437139561</v>
      </c>
    </row>
    <row r="52" spans="1:19" x14ac:dyDescent="0.35">
      <c r="A52" s="3"/>
      <c r="C52" s="3"/>
    </row>
    <row r="53" spans="1:19" x14ac:dyDescent="0.35">
      <c r="A53" s="2" t="s">
        <v>16</v>
      </c>
      <c r="C53" s="3"/>
    </row>
    <row r="54" spans="1:19" x14ac:dyDescent="0.35">
      <c r="A54" s="1" t="s">
        <v>15</v>
      </c>
      <c r="B54" s="1" t="s">
        <v>17</v>
      </c>
      <c r="C54" s="3"/>
    </row>
    <row r="55" spans="1:19" x14ac:dyDescent="0.35">
      <c r="A55">
        <f>0.002087*4</f>
        <v>8.3479999999999995E-3</v>
      </c>
      <c r="B55">
        <f>0.001/A55</f>
        <v>0.11978917105893629</v>
      </c>
      <c r="C55">
        <f t="shared" ref="C55" si="15">0.001/B55</f>
        <v>8.3479999999999995E-3</v>
      </c>
    </row>
    <row r="56" spans="1:19" x14ac:dyDescent="0.35">
      <c r="G56" s="1" t="s">
        <v>20</v>
      </c>
      <c r="H56" s="1">
        <f>TAN(2.5*3.141592654/180)</f>
        <v>4.3660942914220235E-2</v>
      </c>
    </row>
    <row r="57" spans="1:19" x14ac:dyDescent="0.35">
      <c r="A57" s="2" t="s">
        <v>7</v>
      </c>
      <c r="M57" s="1" t="s">
        <v>27</v>
      </c>
    </row>
    <row r="58" spans="1:19" x14ac:dyDescent="0.35">
      <c r="B58" s="1" t="s">
        <v>13</v>
      </c>
      <c r="C58" s="1" t="s">
        <v>12</v>
      </c>
      <c r="D58" s="1" t="s">
        <v>5</v>
      </c>
      <c r="E58" s="1" t="s">
        <v>6</v>
      </c>
      <c r="F58" s="1" t="s">
        <v>22</v>
      </c>
      <c r="G58" s="1" t="s">
        <v>14</v>
      </c>
      <c r="H58" s="1" t="s">
        <v>19</v>
      </c>
      <c r="I58" s="6" t="s">
        <v>21</v>
      </c>
      <c r="L58" t="s">
        <v>32</v>
      </c>
      <c r="M58" s="1" t="s">
        <v>25</v>
      </c>
      <c r="N58" s="1" t="s">
        <v>28</v>
      </c>
      <c r="O58" s="1" t="s">
        <v>29</v>
      </c>
      <c r="P58" s="1" t="s">
        <v>31</v>
      </c>
      <c r="Q58" s="1" t="s">
        <v>30</v>
      </c>
    </row>
    <row r="59" spans="1:19" x14ac:dyDescent="0.35">
      <c r="A59" s="1" t="s">
        <v>8</v>
      </c>
      <c r="B59">
        <v>15.958338739238899</v>
      </c>
      <c r="C59">
        <v>214.1187857165821</v>
      </c>
      <c r="D59">
        <f>(300-C59)/300*26+4</f>
        <v>11.44303857122955</v>
      </c>
      <c r="E59">
        <f>SQRT((2*B59^3/D59+D59*D59)/3)</f>
        <v>16.745738301460115</v>
      </c>
      <c r="F59">
        <f>0.68*4*2</f>
        <v>5.44</v>
      </c>
      <c r="G59">
        <f>3.565*4*2</f>
        <v>28.52</v>
      </c>
      <c r="H59" s="4">
        <f>G59/2/H$56/2</f>
        <v>163.30384833896431</v>
      </c>
      <c r="I59" s="7">
        <f>H59*9/4/SQRT(B59*((B59-D59))^3)</f>
        <v>9.5863914223378863</v>
      </c>
      <c r="L59">
        <v>0.5</v>
      </c>
      <c r="M59">
        <v>6.5</v>
      </c>
      <c r="N59">
        <f>(3*(1-L59^2)*B59/2*H59/4/M59)^0.33</f>
        <v>4.7556937534079466</v>
      </c>
      <c r="O59">
        <f>2*(1+L59)*(B59/2)^2/(N59^2+B59^2)^1.5+0.75/SQRT(N59^2+B59^2)</f>
        <v>8.6406243866387317E-2</v>
      </c>
      <c r="P59" s="7">
        <f>3*(1-L59^2)*H59/2/M59/N59-2*H59*O59/3.14159/M59</f>
        <v>4.5612165820958808</v>
      </c>
      <c r="Q59" s="7">
        <f>B59-D59</f>
        <v>4.5153001680093485</v>
      </c>
      <c r="S59">
        <f>M59*F66/G59</f>
        <v>1.3319074333800842</v>
      </c>
    </row>
    <row r="60" spans="1:19" x14ac:dyDescent="0.35">
      <c r="A60" s="1" t="s">
        <v>9</v>
      </c>
      <c r="B60">
        <v>24.121489539603996</v>
      </c>
      <c r="C60">
        <v>248.69560820291997</v>
      </c>
      <c r="D60">
        <f t="shared" ref="D60:D62" si="16">(300-C60)/300*26+4</f>
        <v>8.4463806224136029</v>
      </c>
      <c r="E60">
        <f>SQRT((2*B60^3/D60+D60*D60)/3)</f>
        <v>33.638558896355214</v>
      </c>
      <c r="F60">
        <f>1.4953*4*2</f>
        <v>11.962400000000001</v>
      </c>
      <c r="G60">
        <f>13.52*4*2</f>
        <v>108.16</v>
      </c>
      <c r="H60" s="4">
        <f>G60/2/H$56/2</f>
        <v>619.31782034861078</v>
      </c>
      <c r="I60" s="7">
        <f>H60*9/4/SQRT(B60*((B60-D60))^3)</f>
        <v>4.5717048306781534</v>
      </c>
      <c r="L60">
        <v>0.5</v>
      </c>
      <c r="M60">
        <v>2.6</v>
      </c>
      <c r="N60">
        <f t="shared" ref="N60:N62" si="17">(3*(1-L60^2)*B60/2*H60/4/M60)^0.33</f>
        <v>11.449438040065784</v>
      </c>
      <c r="O60">
        <f t="shared" ref="O60:O62" si="18">2*(1+L60)*(B60/2)^2/(N60^2+B60^2)^1.5+0.75/SQRT(N60^2+B60^2)</f>
        <v>5.1013162681497276E-2</v>
      </c>
      <c r="P60" s="7">
        <f t="shared" ref="P60:P62" si="19">3*(1-L60^2)*H60/2/M60/N60-2*H60*O60/3.14159/M60</f>
        <v>15.669236813863831</v>
      </c>
      <c r="Q60" s="7">
        <f t="shared" ref="Q60:Q62" si="20">B60-D60</f>
        <v>15.675108917190393</v>
      </c>
      <c r="S60">
        <f>M60*F67/G60</f>
        <v>0.28090384615384617</v>
      </c>
    </row>
    <row r="61" spans="1:19" x14ac:dyDescent="0.35">
      <c r="A61" s="1" t="s">
        <v>10</v>
      </c>
      <c r="B61">
        <v>17.576003443278577</v>
      </c>
      <c r="C61">
        <v>196.57042304608333</v>
      </c>
      <c r="D61">
        <f t="shared" si="16"/>
        <v>12.963896669339444</v>
      </c>
      <c r="E61">
        <f>SQRT((2*B61^3/D61+D61*D61)/3)</f>
        <v>18.309356703504097</v>
      </c>
      <c r="F61">
        <f>0.8901*4*2</f>
        <v>7.1208</v>
      </c>
      <c r="G61">
        <f>4.749*4*2</f>
        <v>37.991999999999997</v>
      </c>
      <c r="H61" s="4">
        <f t="shared" ref="H61:H62" si="21">G61/2/H$56/2</f>
        <v>217.53996515055863</v>
      </c>
      <c r="I61" s="7">
        <f>H61*9/4/SQRT(B61*((B61-D61))^3)</f>
        <v>11.787249565724606</v>
      </c>
      <c r="L61">
        <v>0.5</v>
      </c>
      <c r="M61">
        <v>8.3000000000000007</v>
      </c>
      <c r="N61">
        <f t="shared" si="17"/>
        <v>4.9787038686579255</v>
      </c>
      <c r="O61">
        <f t="shared" si="18"/>
        <v>7.9063146205172394E-2</v>
      </c>
      <c r="P61" s="7">
        <f t="shared" si="19"/>
        <v>4.6031776499297798</v>
      </c>
      <c r="Q61" s="7">
        <f t="shared" si="20"/>
        <v>4.6121067739391322</v>
      </c>
      <c r="S61">
        <f>M61*F68/G61</f>
        <v>1.4331438197515267</v>
      </c>
    </row>
    <row r="62" spans="1:19" x14ac:dyDescent="0.35">
      <c r="A62" s="1" t="s">
        <v>11</v>
      </c>
      <c r="B62">
        <v>17.780521203950943</v>
      </c>
      <c r="C62">
        <v>248.14657847267793</v>
      </c>
      <c r="D62">
        <f t="shared" si="16"/>
        <v>8.4939631990345781</v>
      </c>
      <c r="E62">
        <f>SQRT((2*B62^3/D62+D62*D62)/3)</f>
        <v>21.569548043447</v>
      </c>
      <c r="F62">
        <f>0.94355*4*2</f>
        <v>7.5484</v>
      </c>
      <c r="G62">
        <f>6.6*4*2</f>
        <v>52.8</v>
      </c>
      <c r="H62" s="4">
        <f t="shared" si="21"/>
        <v>302.32970519976561</v>
      </c>
      <c r="I62" s="7">
        <f>H62*9/4/SQRT(B62*((B62-D62))^3)</f>
        <v>5.7004472525488978</v>
      </c>
      <c r="L62">
        <v>0.5</v>
      </c>
      <c r="M62">
        <v>3.41</v>
      </c>
      <c r="N62">
        <f t="shared" si="17"/>
        <v>7.4719153283483095</v>
      </c>
      <c r="O62">
        <f t="shared" si="18"/>
        <v>7.1937345562475996E-2</v>
      </c>
      <c r="P62" s="7">
        <f t="shared" si="19"/>
        <v>9.2886173378351522</v>
      </c>
      <c r="Q62" s="7">
        <f t="shared" si="20"/>
        <v>9.2865580049163654</v>
      </c>
    </row>
    <row r="64" spans="1:19" x14ac:dyDescent="0.35">
      <c r="A64" s="2" t="s">
        <v>23</v>
      </c>
    </row>
    <row r="65" spans="1:10" x14ac:dyDescent="0.35">
      <c r="B65" s="1" t="s">
        <v>13</v>
      </c>
      <c r="C65" s="1" t="s">
        <v>2</v>
      </c>
      <c r="D65" s="1" t="s">
        <v>5</v>
      </c>
      <c r="F65" s="1" t="s">
        <v>22</v>
      </c>
      <c r="G65" s="1" t="s">
        <v>24</v>
      </c>
      <c r="H65" s="1"/>
      <c r="I65" s="6" t="s">
        <v>25</v>
      </c>
      <c r="J65" s="1" t="s">
        <v>26</v>
      </c>
    </row>
    <row r="66" spans="1:10" x14ac:dyDescent="0.35">
      <c r="A66" s="1" t="s">
        <v>8</v>
      </c>
      <c r="B66">
        <v>15.958338739238899</v>
      </c>
      <c r="C66">
        <f>300-(B66-4)/26*300</f>
        <v>162.01916839339734</v>
      </c>
      <c r="D66">
        <f>(300-C66)/300*26+4</f>
        <v>15.958338739238897</v>
      </c>
      <c r="F66">
        <f>0.7305*4*2</f>
        <v>5.8440000000000003</v>
      </c>
      <c r="G66">
        <f>G59/F66</f>
        <v>4.88021902806297</v>
      </c>
      <c r="I66">
        <f>I59/G66</f>
        <v>1.9643363068773707</v>
      </c>
      <c r="J66" s="8">
        <v>0.7</v>
      </c>
    </row>
    <row r="67" spans="1:10" x14ac:dyDescent="0.35">
      <c r="A67" s="1" t="s">
        <v>9</v>
      </c>
      <c r="B67">
        <v>24.121489539603996</v>
      </c>
      <c r="C67">
        <f t="shared" ref="C67:C69" si="22">300-(B67-4)/26*300</f>
        <v>67.828966850723134</v>
      </c>
      <c r="D67">
        <f t="shared" ref="D67:D69" si="23">(300-C67)/300*26+4</f>
        <v>24.121489539603996</v>
      </c>
      <c r="F67">
        <f>1.4607*2*4</f>
        <v>11.685600000000001</v>
      </c>
      <c r="G67">
        <f>G60/F67</f>
        <v>9.2558362428972405</v>
      </c>
      <c r="I67">
        <f>I60/G67</f>
        <v>0.49392671939138899</v>
      </c>
      <c r="J67" s="8">
        <v>5.2999999999999999E-2</v>
      </c>
    </row>
    <row r="68" spans="1:10" x14ac:dyDescent="0.35">
      <c r="A68" s="1" t="s">
        <v>10</v>
      </c>
      <c r="B68">
        <v>17.576003443278577</v>
      </c>
      <c r="C68">
        <f t="shared" si="22"/>
        <v>143.35380642370873</v>
      </c>
      <c r="D68">
        <f t="shared" si="23"/>
        <v>17.576003443278577</v>
      </c>
      <c r="F68">
        <f>0.82*2*4</f>
        <v>6.56</v>
      </c>
      <c r="G68">
        <f>G61/F68</f>
        <v>5.7914634146341459</v>
      </c>
      <c r="I68">
        <f>I61/G68</f>
        <v>2.0352799839743478</v>
      </c>
      <c r="J68" s="8">
        <v>0.65</v>
      </c>
    </row>
    <row r="69" spans="1:10" x14ac:dyDescent="0.35">
      <c r="A69" s="1" t="s">
        <v>11</v>
      </c>
      <c r="B69">
        <v>17.780521203950943</v>
      </c>
      <c r="C69">
        <f t="shared" si="22"/>
        <v>140.99398610825833</v>
      </c>
      <c r="D69">
        <f t="shared" si="23"/>
        <v>17.780521203950947</v>
      </c>
      <c r="J69" s="8">
        <v>0.13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Contact L</vt:lpstr>
      <vt:lpstr>Total F by Flow</vt:lpstr>
      <vt:lpstr>Sheet3</vt:lpstr>
    </vt:vector>
  </TitlesOfParts>
  <Company>City University of Hong Kong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LAM Hiu Wai Raymond</dc:creator>
  <cp:lastModifiedBy>huangwei</cp:lastModifiedBy>
  <dcterms:created xsi:type="dcterms:W3CDTF">2014-02-02T10:20:50Z</dcterms:created>
  <dcterms:modified xsi:type="dcterms:W3CDTF">2020-07-13T11:02:02Z</dcterms:modified>
</cp:coreProperties>
</file>