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hou/Desktop/"/>
    </mc:Choice>
  </mc:AlternateContent>
  <xr:revisionPtr revIDLastSave="0" documentId="13_ncr:1_{43C0F541-CBF0-3245-B145-3BA77FBED806}" xr6:coauthVersionLast="45" xr6:coauthVersionMax="45" xr10:uidLastSave="{00000000-0000-0000-0000-000000000000}"/>
  <bookViews>
    <workbookView xWindow="0" yWindow="460" windowWidth="28800" windowHeight="16060" xr2:uid="{00000000-000D-0000-FFFF-FFFF00000000}"/>
  </bookViews>
  <sheets>
    <sheet name="Modeling" sheetId="4" r:id="rId1"/>
  </sheets>
  <definedNames>
    <definedName name="sale">#REF!</definedName>
    <definedName name="sampletranspo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4" l="1"/>
  <c r="P17" i="4"/>
  <c r="P13" i="4"/>
  <c r="F16" i="4" l="1"/>
  <c r="B24" i="4" s="1"/>
  <c r="F7" i="4" l="1"/>
  <c r="F11" i="4"/>
  <c r="F14" i="4" s="1"/>
  <c r="G3" i="4"/>
  <c r="F21" i="4" l="1"/>
  <c r="G4" i="4"/>
  <c r="G5" i="4" s="1"/>
  <c r="G9" i="4" s="1"/>
  <c r="G14" i="4" l="1"/>
  <c r="G1" i="4"/>
  <c r="G18" i="4" s="1"/>
  <c r="G25" i="4" l="1"/>
  <c r="H3" i="4"/>
  <c r="H1" i="4"/>
  <c r="B15" i="4" l="1"/>
  <c r="I1" i="4"/>
  <c r="H18" i="4"/>
  <c r="H19" i="4" s="1"/>
  <c r="I3" i="4"/>
  <c r="H4" i="4"/>
  <c r="H5" i="4" s="1"/>
  <c r="H9" i="4" s="1"/>
  <c r="G19" i="4"/>
  <c r="H21" i="4" l="1"/>
  <c r="H26" i="4" s="1"/>
  <c r="B22" i="4"/>
  <c r="G21" i="4"/>
  <c r="I4" i="4"/>
  <c r="I5" i="4"/>
  <c r="I9" i="4" s="1"/>
  <c r="H14" i="4"/>
  <c r="J1" i="4"/>
  <c r="I18" i="4"/>
  <c r="I19" i="4" s="1"/>
  <c r="J3" i="4"/>
  <c r="H25" i="4" l="1"/>
  <c r="I21" i="4"/>
  <c r="I26" i="4" s="1"/>
  <c r="G26" i="4"/>
  <c r="J4" i="4"/>
  <c r="J5" i="4" s="1"/>
  <c r="J9" i="4" s="1"/>
  <c r="K1" i="4"/>
  <c r="J18" i="4"/>
  <c r="J19" i="4" s="1"/>
  <c r="K3" i="4"/>
  <c r="I14" i="4"/>
  <c r="I25" i="4" s="1"/>
  <c r="J21" i="4" l="1"/>
  <c r="J26" i="4" s="1"/>
  <c r="J14" i="4"/>
  <c r="J25" i="4" s="1"/>
  <c r="K4" i="4"/>
  <c r="K5" i="4" s="1"/>
  <c r="K9" i="4" s="1"/>
  <c r="L1" i="4"/>
  <c r="K18" i="4"/>
  <c r="K19" i="4" s="1"/>
  <c r="L3" i="4"/>
  <c r="K21" i="4" l="1"/>
  <c r="K26" i="4"/>
  <c r="K14" i="4"/>
  <c r="K25" i="4" s="1"/>
  <c r="L4" i="4"/>
  <c r="L5" i="4" s="1"/>
  <c r="L9" i="4" s="1"/>
  <c r="M1" i="4"/>
  <c r="L18" i="4"/>
  <c r="L19" i="4" s="1"/>
  <c r="M3" i="4"/>
  <c r="L21" i="4" l="1"/>
  <c r="L26" i="4" s="1"/>
  <c r="M4" i="4"/>
  <c r="M5" i="4" s="1"/>
  <c r="M9" i="4" s="1"/>
  <c r="N1" i="4"/>
  <c r="M18" i="4"/>
  <c r="M19" i="4" s="1"/>
  <c r="N3" i="4"/>
  <c r="L14" i="4"/>
  <c r="L25" i="4" s="1"/>
  <c r="M21" i="4" l="1"/>
  <c r="M14" i="4"/>
  <c r="M25" i="4" s="1"/>
  <c r="N4" i="4"/>
  <c r="N5" i="4"/>
  <c r="N9" i="4" s="1"/>
  <c r="O1" i="4"/>
  <c r="N18" i="4"/>
  <c r="N19" i="4" s="1"/>
  <c r="O3" i="4"/>
  <c r="M26" i="4" l="1"/>
  <c r="O4" i="4"/>
  <c r="O5" i="4" s="1"/>
  <c r="O9" i="4" s="1"/>
  <c r="P1" i="4"/>
  <c r="P18" i="4" s="1"/>
  <c r="P19" i="4" s="1"/>
  <c r="O18" i="4"/>
  <c r="O19" i="4" s="1"/>
  <c r="P3" i="4"/>
  <c r="N14" i="4"/>
  <c r="N25" i="4" s="1"/>
  <c r="N21" i="4"/>
  <c r="N26" i="4" s="1"/>
  <c r="O14" i="4" l="1"/>
  <c r="O25" i="4" s="1"/>
  <c r="B18" i="4" s="1"/>
  <c r="O21" i="4"/>
  <c r="P4" i="4"/>
  <c r="P5" i="4" s="1"/>
  <c r="P9" i="4" s="1"/>
  <c r="P14" i="4" s="1"/>
  <c r="O26" i="4" l="1"/>
  <c r="B19" i="4" s="1"/>
  <c r="B21" i="4"/>
  <c r="B17" i="4"/>
  <c r="B20" i="4"/>
  <c r="B16" i="4"/>
</calcChain>
</file>

<file path=xl/sharedStrings.xml><?xml version="1.0" encoding="utf-8"?>
<sst xmlns="http://schemas.openxmlformats.org/spreadsheetml/2006/main" count="38" uniqueCount="36">
  <si>
    <t>Year</t>
  </si>
  <si>
    <t>Purchase Price</t>
  </si>
  <si>
    <t>NOI</t>
  </si>
  <si>
    <t>Assumptions</t>
  </si>
  <si>
    <t>LTV</t>
  </si>
  <si>
    <t>Property SF</t>
  </si>
  <si>
    <t>Gross Potential Revenue/SF/Year</t>
  </si>
  <si>
    <t>Annual Revenue Growth</t>
  </si>
  <si>
    <t>Vacancy</t>
  </si>
  <si>
    <t>Sale Price</t>
  </si>
  <si>
    <t>Holding Period</t>
  </si>
  <si>
    <t>Interest Rate</t>
  </si>
  <si>
    <t xml:space="preserve">Amortization </t>
  </si>
  <si>
    <t>Gross Potential Revenue</t>
  </si>
  <si>
    <t>Effective Gross Income</t>
  </si>
  <si>
    <t>Expenses</t>
  </si>
  <si>
    <t>Sales Proceeds</t>
  </si>
  <si>
    <t>Total Unlevered Cash Flow</t>
  </si>
  <si>
    <t>Loan Proceeds</t>
  </si>
  <si>
    <t>Loan Payoff</t>
  </si>
  <si>
    <t>Interest Payment</t>
  </si>
  <si>
    <t>Principal Payment</t>
  </si>
  <si>
    <t>Total Levered Cash Flow</t>
  </si>
  <si>
    <t>Unlevered Cash-on-Cash</t>
  </si>
  <si>
    <t>Levered Cash-on-Cash</t>
  </si>
  <si>
    <t>Unlevered IRR</t>
  </si>
  <si>
    <t>Levered IRR</t>
  </si>
  <si>
    <t>Unlevered Equity Multiple</t>
  </si>
  <si>
    <t>Levered Equity Multiple</t>
  </si>
  <si>
    <t>Average Unlevered Cash-on-Cash</t>
  </si>
  <si>
    <t xml:space="preserve">Average Levered Cash-on-Cash </t>
  </si>
  <si>
    <t>Going-In DSCR (Forward 1 Year)</t>
  </si>
  <si>
    <t>Going-In Cap Rate (Forward 1 Year)</t>
  </si>
  <si>
    <t>Solutions</t>
  </si>
  <si>
    <t>Expenses PSF</t>
  </si>
  <si>
    <t>Each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</si>
</sst>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8" formatCode="0\ &quot;Years&quot;"/>
    <numFmt numFmtId="169" formatCode="_(&quot;$&quot;* #,##0_);_(&quot;$&quot;* \(#,##0\);_(&quot;$&quot;* &quot;-&quot;??_);_(@_)"/>
    <numFmt numFmtId="170" formatCode="0\ &quot;SF/Year&quot;"/>
    <numFmt numFmtId="171" formatCode="0.0%"/>
  </numFmts>
  <fonts count="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6" fillId="3" borderId="1" xfId="0" applyFont="1" applyFill="1" applyBorder="1" applyAlignment="1">
      <alignment horizontal="centerContinuous"/>
    </xf>
    <xf numFmtId="0" fontId="6" fillId="3" borderId="2" xfId="0" applyFont="1" applyFill="1" applyBorder="1" applyAlignment="1">
      <alignment horizontal="centerContinuous"/>
    </xf>
    <xf numFmtId="0" fontId="1" fillId="0" borderId="0" xfId="0" applyFont="1"/>
    <xf numFmtId="0" fontId="1" fillId="4" borderId="5" xfId="0" applyFont="1" applyFill="1" applyBorder="1"/>
    <xf numFmtId="169" fontId="4" fillId="0" borderId="6" xfId="0" applyNumberFormat="1" applyFont="1" applyBorder="1"/>
    <xf numFmtId="170" fontId="4" fillId="0" borderId="6" xfId="0" applyNumberFormat="1" applyFont="1" applyBorder="1"/>
    <xf numFmtId="10" fontId="4" fillId="0" borderId="6" xfId="0" applyNumberFormat="1" applyFont="1" applyBorder="1"/>
    <xf numFmtId="168" fontId="4" fillId="0" borderId="6" xfId="0" applyNumberFormat="1" applyFont="1" applyBorder="1"/>
    <xf numFmtId="0" fontId="1" fillId="4" borderId="3" xfId="0" applyFont="1" applyFill="1" applyBorder="1"/>
    <xf numFmtId="168" fontId="4" fillId="0" borderId="4" xfId="0" applyNumberFormat="1" applyFont="1" applyBorder="1"/>
    <xf numFmtId="0" fontId="1" fillId="5" borderId="10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6" fillId="3" borderId="0" xfId="0" applyFont="1" applyFill="1" applyAlignment="1">
      <alignment horizontal="centerContinuous"/>
    </xf>
    <xf numFmtId="8" fontId="1" fillId="0" borderId="0" xfId="0" applyNumberFormat="1" applyFont="1"/>
    <xf numFmtId="2" fontId="1" fillId="0" borderId="0" xfId="0" applyNumberFormat="1" applyFont="1"/>
    <xf numFmtId="2" fontId="4" fillId="0" borderId="6" xfId="0" applyNumberFormat="1" applyFont="1" applyBorder="1"/>
    <xf numFmtId="10" fontId="5" fillId="2" borderId="0" xfId="0" applyNumberFormat="1" applyFont="1" applyFill="1"/>
    <xf numFmtId="9" fontId="5" fillId="2" borderId="0" xfId="1" applyNumberFormat="1" applyFont="1" applyFill="1"/>
    <xf numFmtId="0" fontId="1" fillId="0" borderId="0" xfId="0" applyFont="1" applyAlignment="1">
      <alignment wrapText="1"/>
    </xf>
    <xf numFmtId="10" fontId="5" fillId="2" borderId="0" xfId="1" applyNumberFormat="1" applyFont="1" applyFill="1"/>
    <xf numFmtId="0" fontId="1" fillId="0" borderId="0" xfId="0" applyFont="1" applyAlignment="1">
      <alignment vertical="top" wrapText="1"/>
    </xf>
    <xf numFmtId="171" fontId="5" fillId="2" borderId="0" xfId="1" applyNumberFormat="1" applyFont="1" applyFill="1"/>
    <xf numFmtId="2" fontId="5" fillId="2" borderId="0" xfId="1" applyNumberFormat="1" applyFont="1" applyFill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3" fillId="0" borderId="5" xfId="0" applyFont="1" applyBorder="1"/>
    <xf numFmtId="169" fontId="1" fillId="0" borderId="0" xfId="0" applyNumberFormat="1" applyFont="1" applyBorder="1"/>
    <xf numFmtId="169" fontId="1" fillId="0" borderId="6" xfId="0" applyNumberFormat="1" applyFont="1" applyBorder="1"/>
    <xf numFmtId="8" fontId="1" fillId="0" borderId="0" xfId="0" applyNumberFormat="1" applyFont="1" applyBorder="1"/>
    <xf numFmtId="8" fontId="1" fillId="0" borderId="6" xfId="0" applyNumberFormat="1" applyFont="1" applyBorder="1"/>
    <xf numFmtId="8" fontId="1" fillId="0" borderId="0" xfId="2" applyNumberFormat="1" applyFont="1" applyBorder="1"/>
    <xf numFmtId="169" fontId="1" fillId="0" borderId="6" xfId="2" applyNumberFormat="1" applyFont="1" applyBorder="1"/>
    <xf numFmtId="10" fontId="1" fillId="0" borderId="0" xfId="1" applyNumberFormat="1" applyFont="1" applyBorder="1"/>
    <xf numFmtId="10" fontId="1" fillId="0" borderId="6" xfId="1" applyNumberFormat="1" applyFont="1" applyBorder="1"/>
    <xf numFmtId="0" fontId="1" fillId="0" borderId="8" xfId="0" applyFont="1" applyBorder="1"/>
    <xf numFmtId="10" fontId="1" fillId="0" borderId="8" xfId="1" applyNumberFormat="1" applyFont="1" applyBorder="1"/>
    <xf numFmtId="10" fontId="1" fillId="0" borderId="4" xfId="1" applyNumberFormat="1" applyFont="1" applyBorder="1"/>
    <xf numFmtId="0" fontId="1" fillId="6" borderId="1" xfId="0" applyFont="1" applyFill="1" applyBorder="1"/>
    <xf numFmtId="0" fontId="3" fillId="6" borderId="5" xfId="0" applyFont="1" applyFill="1" applyBorder="1"/>
    <xf numFmtId="0" fontId="1" fillId="7" borderId="5" xfId="0" applyFont="1" applyFill="1" applyBorder="1"/>
    <xf numFmtId="0" fontId="1" fillId="7" borderId="3" xfId="0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DAF9-3371-4C70-B5DD-D97CECF2685F}">
  <dimension ref="A1:S50"/>
  <sheetViews>
    <sheetView tabSelected="1" zoomScaleNormal="100" workbookViewId="0">
      <selection activeCell="B33" sqref="B33"/>
    </sheetView>
  </sheetViews>
  <sheetFormatPr baseColWidth="10" defaultColWidth="8.83203125" defaultRowHeight="15" x14ac:dyDescent="0.2"/>
  <cols>
    <col min="1" max="1" width="44.83203125" style="3" bestFit="1" customWidth="1"/>
    <col min="2" max="2" width="14.6640625" style="3" bestFit="1" customWidth="1"/>
    <col min="3" max="4" width="8.83203125" style="3"/>
    <col min="5" max="5" width="24.6640625" style="3" bestFit="1" customWidth="1"/>
    <col min="6" max="6" width="15.1640625" style="3" bestFit="1" customWidth="1"/>
    <col min="7" max="8" width="14.83203125" style="3" bestFit="1" customWidth="1"/>
    <col min="9" max="16" width="14.1640625" style="3" bestFit="1" customWidth="1"/>
    <col min="17" max="16384" width="8.83203125" style="3"/>
  </cols>
  <sheetData>
    <row r="1" spans="1:16" x14ac:dyDescent="0.2">
      <c r="A1" s="1" t="s">
        <v>3</v>
      </c>
      <c r="B1" s="2"/>
      <c r="E1" s="41" t="s">
        <v>0</v>
      </c>
      <c r="F1" s="24">
        <v>0</v>
      </c>
      <c r="G1" s="24">
        <f>F1+1</f>
        <v>1</v>
      </c>
      <c r="H1" s="24">
        <f t="shared" ref="H1:P1" si="0">G1+1</f>
        <v>2</v>
      </c>
      <c r="I1" s="24">
        <f t="shared" si="0"/>
        <v>3</v>
      </c>
      <c r="J1" s="24">
        <f t="shared" si="0"/>
        <v>4</v>
      </c>
      <c r="K1" s="24">
        <f t="shared" si="0"/>
        <v>5</v>
      </c>
      <c r="L1" s="24">
        <f t="shared" si="0"/>
        <v>6</v>
      </c>
      <c r="M1" s="24">
        <f t="shared" si="0"/>
        <v>7</v>
      </c>
      <c r="N1" s="24">
        <f t="shared" si="0"/>
        <v>8</v>
      </c>
      <c r="O1" s="24">
        <f t="shared" si="0"/>
        <v>9</v>
      </c>
      <c r="P1" s="25">
        <f t="shared" si="0"/>
        <v>10</v>
      </c>
    </row>
    <row r="2" spans="1:16" x14ac:dyDescent="0.2">
      <c r="A2" s="4" t="s">
        <v>1</v>
      </c>
      <c r="B2" s="5">
        <v>10000000</v>
      </c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</row>
    <row r="3" spans="1:16" x14ac:dyDescent="0.2">
      <c r="A3" s="4" t="s">
        <v>5</v>
      </c>
      <c r="B3" s="16">
        <v>50000</v>
      </c>
      <c r="E3" s="26" t="s">
        <v>13</v>
      </c>
      <c r="F3" s="27"/>
      <c r="G3" s="27">
        <f>B3*B4</f>
        <v>1000000</v>
      </c>
      <c r="H3" s="27">
        <f>$G$3*(1+$B$5)^G1</f>
        <v>1020000</v>
      </c>
      <c r="I3" s="27">
        <f>$G$3*(1+$B$5)^H1</f>
        <v>1040400</v>
      </c>
      <c r="J3" s="27">
        <f t="shared" ref="J3:P3" si="1">$G$3*(1+$B$5)^I1</f>
        <v>1061208</v>
      </c>
      <c r="K3" s="27">
        <f t="shared" si="1"/>
        <v>1082432.1599999999</v>
      </c>
      <c r="L3" s="27">
        <f t="shared" si="1"/>
        <v>1104080.8032</v>
      </c>
      <c r="M3" s="27">
        <f t="shared" si="1"/>
        <v>1126162.4192640001</v>
      </c>
      <c r="N3" s="27">
        <f t="shared" si="1"/>
        <v>1148685.6676492798</v>
      </c>
      <c r="O3" s="27">
        <f t="shared" si="1"/>
        <v>1171659.3810022655</v>
      </c>
      <c r="P3" s="28">
        <f t="shared" si="1"/>
        <v>1195092.5686223109</v>
      </c>
    </row>
    <row r="4" spans="1:16" x14ac:dyDescent="0.2">
      <c r="A4" s="4" t="s">
        <v>6</v>
      </c>
      <c r="B4" s="6">
        <v>20</v>
      </c>
      <c r="E4" s="26" t="s">
        <v>8</v>
      </c>
      <c r="F4" s="27"/>
      <c r="G4" s="27">
        <f>-(G3*$B$6)</f>
        <v>-80000</v>
      </c>
      <c r="H4" s="27">
        <f t="shared" ref="H4:P4" si="2">-(H3*$B$6)</f>
        <v>-81600</v>
      </c>
      <c r="I4" s="27">
        <f t="shared" si="2"/>
        <v>-83232</v>
      </c>
      <c r="J4" s="27">
        <f t="shared" si="2"/>
        <v>-84896.639999999999</v>
      </c>
      <c r="K4" s="27">
        <f t="shared" si="2"/>
        <v>-86594.572799999994</v>
      </c>
      <c r="L4" s="27">
        <f t="shared" si="2"/>
        <v>-88326.464255999992</v>
      </c>
      <c r="M4" s="27">
        <f t="shared" si="2"/>
        <v>-90092.993541120013</v>
      </c>
      <c r="N4" s="27">
        <f t="shared" si="2"/>
        <v>-91894.853411942386</v>
      </c>
      <c r="O4" s="27">
        <f t="shared" si="2"/>
        <v>-93732.750480181247</v>
      </c>
      <c r="P4" s="28">
        <f t="shared" si="2"/>
        <v>-95607.405489784869</v>
      </c>
    </row>
    <row r="5" spans="1:16" x14ac:dyDescent="0.2">
      <c r="A5" s="4" t="s">
        <v>7</v>
      </c>
      <c r="B5" s="7">
        <v>0.02</v>
      </c>
      <c r="E5" s="42" t="s">
        <v>14</v>
      </c>
      <c r="F5" s="27"/>
      <c r="G5" s="27">
        <f>G3+G4</f>
        <v>920000</v>
      </c>
      <c r="H5" s="27">
        <f t="shared" ref="H5:P5" si="3">H3+H4</f>
        <v>938400</v>
      </c>
      <c r="I5" s="27">
        <f t="shared" si="3"/>
        <v>957168</v>
      </c>
      <c r="J5" s="27">
        <f t="shared" si="3"/>
        <v>976311.36</v>
      </c>
      <c r="K5" s="27">
        <f t="shared" si="3"/>
        <v>995837.58719999995</v>
      </c>
      <c r="L5" s="27">
        <f t="shared" si="3"/>
        <v>1015754.338944</v>
      </c>
      <c r="M5" s="27">
        <f t="shared" si="3"/>
        <v>1036069.4257228802</v>
      </c>
      <c r="N5" s="27">
        <f t="shared" si="3"/>
        <v>1056790.8142373373</v>
      </c>
      <c r="O5" s="27">
        <f t="shared" si="3"/>
        <v>1077926.6305220842</v>
      </c>
      <c r="P5" s="28">
        <f t="shared" si="3"/>
        <v>1099485.163132526</v>
      </c>
    </row>
    <row r="6" spans="1:16" x14ac:dyDescent="0.2">
      <c r="A6" s="4" t="s">
        <v>8</v>
      </c>
      <c r="B6" s="7">
        <v>0.08</v>
      </c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spans="1:16" x14ac:dyDescent="0.2">
      <c r="A7" s="4" t="s">
        <v>9</v>
      </c>
      <c r="B7" s="5">
        <v>15000000</v>
      </c>
      <c r="E7" s="29" t="s">
        <v>15</v>
      </c>
      <c r="F7" s="27">
        <f>B12*B3</f>
        <v>600000</v>
      </c>
      <c r="G7" s="27"/>
      <c r="H7" s="27"/>
      <c r="I7" s="27"/>
      <c r="J7" s="27"/>
      <c r="K7" s="27"/>
      <c r="L7" s="27"/>
      <c r="M7" s="27"/>
      <c r="N7" s="27"/>
      <c r="O7" s="27"/>
      <c r="P7" s="28"/>
    </row>
    <row r="8" spans="1:16" x14ac:dyDescent="0.2">
      <c r="A8" s="4" t="s">
        <v>10</v>
      </c>
      <c r="B8" s="8">
        <v>10</v>
      </c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1:16" x14ac:dyDescent="0.2">
      <c r="A9" s="4" t="s">
        <v>4</v>
      </c>
      <c r="B9" s="7">
        <v>0.7</v>
      </c>
      <c r="E9" s="42" t="s">
        <v>2</v>
      </c>
      <c r="F9" s="27"/>
      <c r="G9" s="27">
        <f>G5-$F$7</f>
        <v>320000</v>
      </c>
      <c r="H9" s="27">
        <f t="shared" ref="H9:P9" si="4">H5-$F$7</f>
        <v>338400</v>
      </c>
      <c r="I9" s="27">
        <f t="shared" si="4"/>
        <v>357168</v>
      </c>
      <c r="J9" s="27">
        <f t="shared" si="4"/>
        <v>376311.36</v>
      </c>
      <c r="K9" s="27">
        <f t="shared" si="4"/>
        <v>395837.58719999995</v>
      </c>
      <c r="L9" s="27">
        <f t="shared" si="4"/>
        <v>415754.33894399996</v>
      </c>
      <c r="M9" s="27">
        <f t="shared" si="4"/>
        <v>436069.42572288017</v>
      </c>
      <c r="N9" s="27">
        <f t="shared" si="4"/>
        <v>456790.81423733733</v>
      </c>
      <c r="O9" s="27">
        <f t="shared" si="4"/>
        <v>477926.63052208419</v>
      </c>
      <c r="P9" s="28">
        <f t="shared" si="4"/>
        <v>499485.16313252598</v>
      </c>
    </row>
    <row r="10" spans="1:16" x14ac:dyDescent="0.2">
      <c r="A10" s="4" t="s">
        <v>11</v>
      </c>
      <c r="B10" s="7">
        <v>0.05</v>
      </c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</row>
    <row r="11" spans="1:16" x14ac:dyDescent="0.2">
      <c r="A11" s="9" t="s">
        <v>12</v>
      </c>
      <c r="B11" s="10">
        <v>30</v>
      </c>
      <c r="E11" s="26" t="s">
        <v>1</v>
      </c>
      <c r="F11" s="30">
        <f>-B2</f>
        <v>-10000000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</row>
    <row r="12" spans="1:16" x14ac:dyDescent="0.2">
      <c r="A12" s="3" t="s">
        <v>34</v>
      </c>
      <c r="B12" s="15">
        <v>12</v>
      </c>
      <c r="E12" s="26" t="s">
        <v>16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8">
        <v>0</v>
      </c>
    </row>
    <row r="13" spans="1:16" x14ac:dyDescent="0.2"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>
        <f>B7</f>
        <v>15000000</v>
      </c>
    </row>
    <row r="14" spans="1:16" x14ac:dyDescent="0.2">
      <c r="A14" s="13" t="s">
        <v>33</v>
      </c>
      <c r="B14" s="13"/>
      <c r="E14" s="42" t="s">
        <v>17</v>
      </c>
      <c r="F14" s="30">
        <f>F11</f>
        <v>-10000000</v>
      </c>
      <c r="G14" s="27">
        <f>G9</f>
        <v>320000</v>
      </c>
      <c r="H14" s="27">
        <f t="shared" ref="H14:O14" si="5">H9</f>
        <v>338400</v>
      </c>
      <c r="I14" s="27">
        <f t="shared" si="5"/>
        <v>357168</v>
      </c>
      <c r="J14" s="27">
        <f t="shared" si="5"/>
        <v>376311.36</v>
      </c>
      <c r="K14" s="27">
        <f t="shared" si="5"/>
        <v>395837.58719999995</v>
      </c>
      <c r="L14" s="27">
        <f t="shared" si="5"/>
        <v>415754.33894399996</v>
      </c>
      <c r="M14" s="27">
        <f t="shared" si="5"/>
        <v>436069.42572288017</v>
      </c>
      <c r="N14" s="27">
        <f t="shared" si="5"/>
        <v>456790.81423733733</v>
      </c>
      <c r="O14" s="27">
        <f t="shared" si="5"/>
        <v>477926.63052208419</v>
      </c>
      <c r="P14" s="31">
        <f>P9+P13</f>
        <v>15499485.163132526</v>
      </c>
    </row>
    <row r="15" spans="1:16" x14ac:dyDescent="0.2">
      <c r="A15" s="11" t="s">
        <v>32</v>
      </c>
      <c r="B15" s="22">
        <f>G25</f>
        <v>3.2000000000000001E-2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</row>
    <row r="16" spans="1:16" x14ac:dyDescent="0.2">
      <c r="A16" s="12" t="s">
        <v>25</v>
      </c>
      <c r="B16" s="17">
        <f>IRR(F14:P14)</f>
        <v>7.49187875075914E-2</v>
      </c>
      <c r="E16" s="26" t="s">
        <v>18</v>
      </c>
      <c r="F16" s="30">
        <f>B9*B2</f>
        <v>7000000</v>
      </c>
      <c r="G16" s="27"/>
      <c r="H16" s="27"/>
      <c r="I16" s="27"/>
      <c r="J16" s="27"/>
      <c r="K16" s="27"/>
      <c r="L16" s="27"/>
      <c r="M16" s="27"/>
      <c r="N16" s="27"/>
      <c r="O16" s="27"/>
      <c r="P16" s="28"/>
    </row>
    <row r="17" spans="1:19" x14ac:dyDescent="0.2">
      <c r="A17" s="12" t="s">
        <v>26</v>
      </c>
      <c r="B17" s="18">
        <f>IRR(F21:P21)</f>
        <v>0.10667703596334288</v>
      </c>
      <c r="E17" s="26" t="s">
        <v>19</v>
      </c>
      <c r="F17" s="27"/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31">
        <f>5674793</f>
        <v>5674793</v>
      </c>
    </row>
    <row r="18" spans="1:19" x14ac:dyDescent="0.2">
      <c r="A18" s="12" t="s">
        <v>29</v>
      </c>
      <c r="B18" s="17">
        <f>AVERAGE(G25:P25)</f>
        <v>4.0737433197263015E-2</v>
      </c>
      <c r="E18" s="26" t="s">
        <v>20</v>
      </c>
      <c r="F18" s="27"/>
      <c r="G18" s="32">
        <f>IPMT($B$10,G1,30,$F$16)</f>
        <v>-350000</v>
      </c>
      <c r="H18" s="32">
        <f t="shared" ref="H18:P18" si="6">IPMT($B$10,H1,30,$F$16)</f>
        <v>-344731.9977219032</v>
      </c>
      <c r="I18" s="32">
        <f t="shared" si="6"/>
        <v>-339200.59532990155</v>
      </c>
      <c r="J18" s="32">
        <f t="shared" si="6"/>
        <v>-333392.6228182998</v>
      </c>
      <c r="K18" s="32">
        <f t="shared" si="6"/>
        <v>-327294.25168111804</v>
      </c>
      <c r="L18" s="32">
        <f t="shared" si="6"/>
        <v>-320890.96198707708</v>
      </c>
      <c r="M18" s="32">
        <f t="shared" si="6"/>
        <v>-314167.50780833414</v>
      </c>
      <c r="N18" s="32">
        <f t="shared" si="6"/>
        <v>-307107.88092065405</v>
      </c>
      <c r="O18" s="32">
        <f t="shared" si="6"/>
        <v>-299695.27268858999</v>
      </c>
      <c r="P18" s="33">
        <f t="shared" si="6"/>
        <v>-291912.03404492262</v>
      </c>
      <c r="Q18" s="14"/>
      <c r="R18" s="14"/>
      <c r="S18" s="14"/>
    </row>
    <row r="19" spans="1:19" x14ac:dyDescent="0.2">
      <c r="A19" s="12" t="s">
        <v>30</v>
      </c>
      <c r="B19" s="17">
        <f>AVERAGE(G26:P26)</f>
        <v>-1.5996075114370761E-2</v>
      </c>
      <c r="E19" s="26" t="s">
        <v>21</v>
      </c>
      <c r="F19" s="27"/>
      <c r="G19" s="32">
        <f t="shared" ref="G19:P19" si="7">$B$24-G18</f>
        <v>-105360.04556193604</v>
      </c>
      <c r="H19" s="32">
        <f t="shared" si="7"/>
        <v>-110628.04784003284</v>
      </c>
      <c r="I19" s="32">
        <f t="shared" si="7"/>
        <v>-116159.45023203449</v>
      </c>
      <c r="J19" s="32">
        <f t="shared" si="7"/>
        <v>-121967.42274363624</v>
      </c>
      <c r="K19" s="32">
        <f t="shared" si="7"/>
        <v>-128065.793880818</v>
      </c>
      <c r="L19" s="32">
        <f t="shared" si="7"/>
        <v>-134469.08357485896</v>
      </c>
      <c r="M19" s="32">
        <f t="shared" si="7"/>
        <v>-141192.53775360191</v>
      </c>
      <c r="N19" s="32">
        <f t="shared" si="7"/>
        <v>-148252.164641282</v>
      </c>
      <c r="O19" s="32">
        <f t="shared" si="7"/>
        <v>-155664.77287334605</v>
      </c>
      <c r="P19" s="33">
        <f t="shared" si="7"/>
        <v>-163448.01151701342</v>
      </c>
    </row>
    <row r="20" spans="1:19" x14ac:dyDescent="0.2">
      <c r="A20" s="12" t="s">
        <v>27</v>
      </c>
      <c r="B20" s="20">
        <f>-SUMIF(F14:P14,"&gt;0")/SUMIF(F14:P14,"&lt;0")</f>
        <v>1.9073743319758829</v>
      </c>
      <c r="E20" s="26"/>
      <c r="F20" s="27"/>
      <c r="G20" s="32"/>
      <c r="H20" s="32"/>
      <c r="I20" s="32"/>
      <c r="J20" s="32"/>
      <c r="K20" s="32"/>
      <c r="L20" s="32"/>
      <c r="M20" s="32"/>
      <c r="N20" s="32"/>
      <c r="O20" s="32"/>
      <c r="P20" s="33"/>
    </row>
    <row r="21" spans="1:19" x14ac:dyDescent="0.2">
      <c r="A21" s="12" t="s">
        <v>28</v>
      </c>
      <c r="B21" s="20">
        <f>-SUMIF(F21:P21,"&gt;0")/SUMIF(F21:P21,"&lt;0")</f>
        <v>2.6475150350149779</v>
      </c>
      <c r="E21" s="42" t="s">
        <v>22</v>
      </c>
      <c r="F21" s="30">
        <f>F14+F16</f>
        <v>-3000000</v>
      </c>
      <c r="G21" s="34">
        <f t="shared" ref="G21:M21" si="8">(G9+G18+G19)</f>
        <v>-135360.04556193604</v>
      </c>
      <c r="H21" s="34">
        <f t="shared" si="8"/>
        <v>-116960.04556193604</v>
      </c>
      <c r="I21" s="34">
        <f t="shared" si="8"/>
        <v>-98192.045561936044</v>
      </c>
      <c r="J21" s="34">
        <f t="shared" si="8"/>
        <v>-79048.685561936058</v>
      </c>
      <c r="K21" s="34">
        <f t="shared" si="8"/>
        <v>-59522.458361936093</v>
      </c>
      <c r="L21" s="34">
        <f t="shared" si="8"/>
        <v>-39605.706617936085</v>
      </c>
      <c r="M21" s="34">
        <f t="shared" si="8"/>
        <v>-19290.619839055871</v>
      </c>
      <c r="N21" s="34">
        <f t="shared" ref="N21:O21" si="9">N9+N18+N19</f>
        <v>1430.768675401283</v>
      </c>
      <c r="O21" s="34">
        <f t="shared" si="9"/>
        <v>22566.584960148146</v>
      </c>
      <c r="P21" s="35">
        <v>9369332</v>
      </c>
    </row>
    <row r="22" spans="1:19" x14ac:dyDescent="0.2">
      <c r="A22" s="12" t="s">
        <v>31</v>
      </c>
      <c r="B22" s="23">
        <f>-G9/SUM(G18:G19)</f>
        <v>0.70274061837178692</v>
      </c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  <row r="23" spans="1:19" x14ac:dyDescent="0.2"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1:19" x14ac:dyDescent="0.2">
      <c r="A24" s="3" t="s">
        <v>35</v>
      </c>
      <c r="B24" s="14">
        <f>PMT(B10,30,F16)</f>
        <v>-455360.04556193604</v>
      </c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</row>
    <row r="25" spans="1:19" x14ac:dyDescent="0.2">
      <c r="E25" s="43" t="s">
        <v>23</v>
      </c>
      <c r="F25" s="27"/>
      <c r="G25" s="36">
        <f>G14/$B$2</f>
        <v>3.2000000000000001E-2</v>
      </c>
      <c r="H25" s="36">
        <f t="shared" ref="H25:N25" si="10">H14/$B$2</f>
        <v>3.3840000000000002E-2</v>
      </c>
      <c r="I25" s="36">
        <f t="shared" si="10"/>
        <v>3.57168E-2</v>
      </c>
      <c r="J25" s="36">
        <f t="shared" si="10"/>
        <v>3.7631135999999996E-2</v>
      </c>
      <c r="K25" s="36">
        <f t="shared" si="10"/>
        <v>3.9583758719999994E-2</v>
      </c>
      <c r="L25" s="36">
        <f t="shared" si="10"/>
        <v>4.1575433894399993E-2</v>
      </c>
      <c r="M25" s="36">
        <f t="shared" si="10"/>
        <v>4.3606942572288018E-2</v>
      </c>
      <c r="N25" s="36">
        <f t="shared" si="10"/>
        <v>4.5679081423733732E-2</v>
      </c>
      <c r="O25" s="36">
        <f>O14/$B$2</f>
        <v>4.7792663052208417E-2</v>
      </c>
      <c r="P25" s="37">
        <f>499485.1631/B2</f>
        <v>4.9948516310000003E-2</v>
      </c>
    </row>
    <row r="26" spans="1:19" ht="15" customHeight="1" x14ac:dyDescent="0.2">
      <c r="E26" s="44" t="s">
        <v>24</v>
      </c>
      <c r="F26" s="38"/>
      <c r="G26" s="39">
        <f>G21/-$F$21</f>
        <v>-4.5120015187312013E-2</v>
      </c>
      <c r="H26" s="39">
        <f t="shared" ref="H26:M26" si="11">H21/-$F$21</f>
        <v>-3.8986681853978682E-2</v>
      </c>
      <c r="I26" s="39">
        <f t="shared" si="11"/>
        <v>-3.2730681853978684E-2</v>
      </c>
      <c r="J26" s="39">
        <f t="shared" si="11"/>
        <v>-2.6349561853978687E-2</v>
      </c>
      <c r="K26" s="39">
        <f t="shared" si="11"/>
        <v>-1.9840819453978698E-2</v>
      </c>
      <c r="L26" s="39">
        <f t="shared" si="11"/>
        <v>-1.3201902205978696E-2</v>
      </c>
      <c r="M26" s="39">
        <f t="shared" si="11"/>
        <v>-6.4302066130186237E-3</v>
      </c>
      <c r="N26" s="39">
        <f>N21/-$F$21</f>
        <v>4.7692289180042768E-4</v>
      </c>
      <c r="O26" s="39">
        <f>O21/-$F$21</f>
        <v>7.5221949867160486E-3</v>
      </c>
      <c r="P26" s="40">
        <v>1.47E-2</v>
      </c>
    </row>
    <row r="30" spans="1:19" x14ac:dyDescent="0.2">
      <c r="G30" s="14"/>
    </row>
    <row r="31" spans="1:19" x14ac:dyDescent="0.2">
      <c r="G31" s="14"/>
    </row>
    <row r="33" spans="5:12" ht="15" customHeight="1" x14ac:dyDescent="0.2">
      <c r="E33" s="21"/>
      <c r="F33" s="21"/>
      <c r="G33" s="21"/>
      <c r="H33" s="21"/>
      <c r="I33" s="21"/>
      <c r="J33" s="21"/>
      <c r="K33" s="21"/>
      <c r="L33" s="21"/>
    </row>
    <row r="34" spans="5:12" x14ac:dyDescent="0.2">
      <c r="E34" s="21"/>
      <c r="F34" s="21"/>
      <c r="G34" s="21"/>
      <c r="H34" s="21"/>
      <c r="I34" s="21"/>
      <c r="J34" s="21"/>
      <c r="K34" s="21"/>
      <c r="L34" s="21"/>
    </row>
    <row r="35" spans="5:12" x14ac:dyDescent="0.2">
      <c r="E35" s="21"/>
      <c r="F35" s="21"/>
      <c r="G35" s="21"/>
      <c r="H35" s="21"/>
      <c r="I35" s="21"/>
      <c r="J35" s="21"/>
      <c r="K35" s="21"/>
      <c r="L35" s="21"/>
    </row>
    <row r="36" spans="5:12" x14ac:dyDescent="0.2">
      <c r="E36" s="21"/>
      <c r="F36" s="21"/>
      <c r="G36" s="21"/>
      <c r="H36" s="21"/>
      <c r="I36" s="21"/>
      <c r="J36" s="21"/>
      <c r="K36" s="21"/>
      <c r="L36" s="21"/>
    </row>
    <row r="37" spans="5:12" x14ac:dyDescent="0.2">
      <c r="E37" s="21"/>
      <c r="F37" s="21"/>
      <c r="G37" s="21"/>
      <c r="H37" s="21"/>
      <c r="I37" s="21"/>
      <c r="J37" s="21"/>
      <c r="K37" s="21"/>
      <c r="L37" s="21"/>
    </row>
    <row r="38" spans="5:12" x14ac:dyDescent="0.2">
      <c r="E38" s="21"/>
      <c r="F38" s="21"/>
      <c r="G38" s="21"/>
      <c r="H38" s="21"/>
      <c r="I38" s="21"/>
      <c r="J38" s="21"/>
      <c r="K38" s="21"/>
      <c r="L38" s="21"/>
    </row>
    <row r="39" spans="5:12" x14ac:dyDescent="0.2">
      <c r="E39" s="21"/>
      <c r="F39" s="21"/>
      <c r="G39" s="21"/>
      <c r="H39" s="21"/>
      <c r="I39" s="21"/>
      <c r="J39" s="21"/>
      <c r="K39" s="21"/>
      <c r="L39" s="21"/>
    </row>
    <row r="40" spans="5:12" x14ac:dyDescent="0.2">
      <c r="E40" s="21"/>
      <c r="F40" s="21"/>
      <c r="G40" s="21"/>
      <c r="H40" s="21"/>
      <c r="I40" s="21"/>
      <c r="J40" s="21"/>
      <c r="K40" s="21"/>
      <c r="L40" s="21"/>
    </row>
    <row r="41" spans="5:12" x14ac:dyDescent="0.2">
      <c r="E41" s="21"/>
      <c r="F41" s="21"/>
      <c r="G41" s="21"/>
      <c r="H41" s="21"/>
      <c r="I41" s="21"/>
      <c r="J41" s="21"/>
      <c r="K41" s="21"/>
      <c r="L41" s="21"/>
    </row>
    <row r="42" spans="5:12" x14ac:dyDescent="0.2">
      <c r="E42" s="21"/>
      <c r="F42" s="21"/>
      <c r="G42" s="21"/>
      <c r="H42" s="21"/>
      <c r="I42" s="21"/>
      <c r="J42" s="21"/>
      <c r="K42" s="21"/>
      <c r="L42" s="21"/>
    </row>
    <row r="43" spans="5:12" x14ac:dyDescent="0.2">
      <c r="E43" s="21"/>
      <c r="F43" s="21"/>
      <c r="G43" s="21"/>
      <c r="H43" s="21"/>
      <c r="I43" s="21"/>
      <c r="J43" s="21"/>
      <c r="K43" s="21"/>
      <c r="L43" s="21"/>
    </row>
    <row r="44" spans="5:12" x14ac:dyDescent="0.2">
      <c r="E44" s="19"/>
      <c r="F44" s="19"/>
      <c r="G44" s="19"/>
      <c r="H44" s="19"/>
      <c r="I44" s="19"/>
      <c r="J44" s="19"/>
      <c r="K44" s="19"/>
      <c r="L44" s="19"/>
    </row>
    <row r="45" spans="5:12" x14ac:dyDescent="0.2">
      <c r="E45" s="19"/>
      <c r="F45" s="19"/>
      <c r="G45" s="19"/>
      <c r="H45" s="19"/>
      <c r="I45" s="19"/>
      <c r="J45" s="19"/>
      <c r="K45" s="19"/>
      <c r="L45" s="19"/>
    </row>
    <row r="46" spans="5:12" x14ac:dyDescent="0.2">
      <c r="E46" s="19"/>
      <c r="F46" s="19"/>
      <c r="G46" s="19"/>
      <c r="H46" s="19"/>
      <c r="I46" s="19"/>
      <c r="J46" s="19"/>
      <c r="K46" s="19"/>
      <c r="L46" s="19"/>
    </row>
    <row r="47" spans="5:12" x14ac:dyDescent="0.2">
      <c r="E47" s="19"/>
      <c r="F47" s="19"/>
      <c r="G47" s="19"/>
      <c r="H47" s="19"/>
      <c r="I47" s="19"/>
      <c r="J47" s="19"/>
      <c r="K47" s="19"/>
      <c r="L47" s="19"/>
    </row>
    <row r="48" spans="5:12" x14ac:dyDescent="0.2">
      <c r="E48" s="19"/>
      <c r="F48" s="19"/>
      <c r="G48" s="19"/>
      <c r="H48" s="19"/>
      <c r="I48" s="19"/>
      <c r="J48" s="19"/>
      <c r="K48" s="19"/>
      <c r="L48" s="19"/>
    </row>
    <row r="49" spans="5:12" x14ac:dyDescent="0.2">
      <c r="E49" s="19"/>
      <c r="F49" s="19"/>
      <c r="G49" s="19"/>
      <c r="H49" s="19"/>
      <c r="I49" s="19"/>
      <c r="J49" s="19"/>
      <c r="K49" s="19"/>
      <c r="L49" s="19"/>
    </row>
    <row r="50" spans="5:12" x14ac:dyDescent="0.2">
      <c r="E50" s="19"/>
      <c r="F50" s="19"/>
      <c r="G50" s="19"/>
      <c r="H50" s="19"/>
      <c r="I50" s="19"/>
      <c r="J50" s="19"/>
      <c r="K50" s="19"/>
      <c r="L50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Microsoft Office User</cp:lastModifiedBy>
  <cp:lastPrinted>2015-04-26T06:34:51Z</cp:lastPrinted>
  <dcterms:created xsi:type="dcterms:W3CDTF">2013-06-21T18:56:54Z</dcterms:created>
  <dcterms:modified xsi:type="dcterms:W3CDTF">2020-12-29T18:35:19Z</dcterms:modified>
</cp:coreProperties>
</file>